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ckupacerdata\Prapart\KPI\2019\"/>
    </mc:Choice>
  </mc:AlternateContent>
  <bookViews>
    <workbookView xWindow="0" yWindow="0" windowWidth="13665" windowHeight="4770"/>
  </bookViews>
  <sheets>
    <sheet name="Deployment" sheetId="10" r:id="rId1"/>
    <sheet name="Reliability Cal. Capacity " sheetId="12" state="hidden" r:id="rId2"/>
    <sheet name="Reliability fr IR" sheetId="15" state="hidden" r:id="rId3"/>
    <sheet name="Reliabiliyt Unit fr IR" sheetId="16" state="hidden" r:id="rId4"/>
    <sheet name="EII cal" sheetId="9" state="hidden" r:id="rId5"/>
    <sheet name="EII จอม" sheetId="14" state="hidden" r:id="rId6"/>
    <sheet name="PL CAP" sheetId="11" state="hidden" r:id="rId7"/>
    <sheet name="Premium fr SI" sheetId="13" state="hidden" r:id="rId8"/>
    <sheet name="Cash Cost" sheetId="8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6" i="10" l="1"/>
  <c r="AA6" i="10"/>
  <c r="F72" i="10" l="1"/>
  <c r="F34" i="10"/>
  <c r="F31" i="10" s="1"/>
  <c r="F65" i="10" l="1"/>
  <c r="P6" i="10" l="1"/>
  <c r="P5" i="10"/>
  <c r="Z6" i="10" l="1"/>
  <c r="Y6" i="10"/>
  <c r="Z5" i="10"/>
  <c r="Y5" i="10"/>
  <c r="U6" i="10"/>
  <c r="U5" i="10"/>
  <c r="X6" i="10"/>
  <c r="W6" i="10"/>
  <c r="V6" i="10"/>
  <c r="T6" i="10"/>
  <c r="S6" i="10"/>
  <c r="R6" i="10"/>
  <c r="Q6" i="10"/>
  <c r="O6" i="10"/>
  <c r="AB5" i="10"/>
  <c r="AA5" i="10"/>
  <c r="X5" i="10"/>
  <c r="W5" i="10"/>
  <c r="V5" i="10"/>
  <c r="T5" i="10"/>
  <c r="S5" i="10"/>
  <c r="R5" i="10"/>
  <c r="Q5" i="10"/>
  <c r="O5" i="10"/>
  <c r="DN62" i="16" l="1"/>
  <c r="DM62" i="16"/>
  <c r="DL62" i="16"/>
  <c r="DJ62" i="16"/>
  <c r="DI62" i="16"/>
  <c r="DH62" i="16"/>
  <c r="DF62" i="16"/>
  <c r="DB62" i="16"/>
  <c r="CW62" i="16"/>
  <c r="CS62" i="16"/>
  <c r="CN62" i="16"/>
  <c r="CJ62" i="16"/>
  <c r="CE62" i="16"/>
  <c r="CA62" i="16"/>
  <c r="BV62" i="16"/>
  <c r="BR62" i="16"/>
  <c r="BM62" i="16"/>
  <c r="BI62" i="16"/>
  <c r="BD62" i="16"/>
  <c r="AZ62" i="16"/>
  <c r="AU62" i="16"/>
  <c r="AQ62" i="16"/>
  <c r="AL62" i="16"/>
  <c r="AH62" i="16"/>
  <c r="AC62" i="16"/>
  <c r="Y62" i="16"/>
  <c r="T62" i="16"/>
  <c r="P62" i="16"/>
  <c r="K62" i="16"/>
  <c r="DO62" i="16" s="1"/>
  <c r="G62" i="16"/>
  <c r="DN61" i="16"/>
  <c r="DM61" i="16"/>
  <c r="DL61" i="16"/>
  <c r="DJ61" i="16"/>
  <c r="DI61" i="16"/>
  <c r="DH61" i="16"/>
  <c r="DF61" i="16"/>
  <c r="DB61" i="16"/>
  <c r="CW61" i="16"/>
  <c r="CS61" i="16"/>
  <c r="CN61" i="16"/>
  <c r="CJ61" i="16"/>
  <c r="CE61" i="16"/>
  <c r="CA61" i="16"/>
  <c r="BV61" i="16"/>
  <c r="BR61" i="16"/>
  <c r="BM61" i="16"/>
  <c r="BI61" i="16"/>
  <c r="BD61" i="16"/>
  <c r="AZ61" i="16"/>
  <c r="AU61" i="16"/>
  <c r="AQ61" i="16"/>
  <c r="AL61" i="16"/>
  <c r="AH61" i="16"/>
  <c r="AC61" i="16"/>
  <c r="Y61" i="16"/>
  <c r="T61" i="16"/>
  <c r="P61" i="16"/>
  <c r="K61" i="16"/>
  <c r="G61" i="16"/>
  <c r="DN60" i="16"/>
  <c r="DM60" i="16"/>
  <c r="DL60" i="16"/>
  <c r="DJ60" i="16"/>
  <c r="DI60" i="16"/>
  <c r="DH60" i="16"/>
  <c r="DF60" i="16"/>
  <c r="DB60" i="16"/>
  <c r="CW60" i="16"/>
  <c r="CS60" i="16"/>
  <c r="CN60" i="16"/>
  <c r="CJ60" i="16"/>
  <c r="CE60" i="16"/>
  <c r="CA60" i="16"/>
  <c r="BV60" i="16"/>
  <c r="BR60" i="16"/>
  <c r="BM60" i="16"/>
  <c r="BI60" i="16"/>
  <c r="BD60" i="16"/>
  <c r="AZ60" i="16"/>
  <c r="AU60" i="16"/>
  <c r="AQ60" i="16"/>
  <c r="AL60" i="16"/>
  <c r="AH60" i="16"/>
  <c r="AC60" i="16"/>
  <c r="Y60" i="16"/>
  <c r="T60" i="16"/>
  <c r="P60" i="16"/>
  <c r="K60" i="16"/>
  <c r="G60" i="16"/>
  <c r="DN59" i="16"/>
  <c r="DM59" i="16"/>
  <c r="DL59" i="16"/>
  <c r="DJ59" i="16"/>
  <c r="DI59" i="16"/>
  <c r="DH59" i="16"/>
  <c r="DF59" i="16"/>
  <c r="DB59" i="16"/>
  <c r="CW59" i="16"/>
  <c r="CS59" i="16"/>
  <c r="CN59" i="16"/>
  <c r="CJ59" i="16"/>
  <c r="CE59" i="16"/>
  <c r="CA59" i="16"/>
  <c r="BV59" i="16"/>
  <c r="BR59" i="16"/>
  <c r="BM59" i="16"/>
  <c r="BI59" i="16"/>
  <c r="BD59" i="16"/>
  <c r="AZ59" i="16"/>
  <c r="AU59" i="16"/>
  <c r="AQ59" i="16"/>
  <c r="AL59" i="16"/>
  <c r="AH59" i="16"/>
  <c r="AC59" i="16"/>
  <c r="Y59" i="16"/>
  <c r="T59" i="16"/>
  <c r="P59" i="16"/>
  <c r="K59" i="16"/>
  <c r="G59" i="16"/>
  <c r="DN58" i="16"/>
  <c r="DM58" i="16"/>
  <c r="DL58" i="16"/>
  <c r="DJ58" i="16"/>
  <c r="DI58" i="16"/>
  <c r="DH58" i="16"/>
  <c r="DF58" i="16"/>
  <c r="DB58" i="16"/>
  <c r="CW58" i="16"/>
  <c r="CS58" i="16"/>
  <c r="CN58" i="16"/>
  <c r="CJ58" i="16"/>
  <c r="CE58" i="16"/>
  <c r="CA58" i="16"/>
  <c r="BV58" i="16"/>
  <c r="BR58" i="16"/>
  <c r="BM58" i="16"/>
  <c r="BI58" i="16"/>
  <c r="BD58" i="16"/>
  <c r="AZ58" i="16"/>
  <c r="AU58" i="16"/>
  <c r="AQ58" i="16"/>
  <c r="AL58" i="16"/>
  <c r="AH58" i="16"/>
  <c r="AC58" i="16"/>
  <c r="Y58" i="16"/>
  <c r="T58" i="16"/>
  <c r="P58" i="16"/>
  <c r="K58" i="16"/>
  <c r="G58" i="16"/>
  <c r="DN57" i="16"/>
  <c r="DM57" i="16"/>
  <c r="DL57" i="16"/>
  <c r="DJ57" i="16"/>
  <c r="DI57" i="16"/>
  <c r="DH57" i="16"/>
  <c r="DF57" i="16"/>
  <c r="DB57" i="16"/>
  <c r="CW57" i="16"/>
  <c r="CS57" i="16"/>
  <c r="CN57" i="16"/>
  <c r="CJ57" i="16"/>
  <c r="CE57" i="16"/>
  <c r="CA57" i="16"/>
  <c r="BV57" i="16"/>
  <c r="BR57" i="16"/>
  <c r="BM57" i="16"/>
  <c r="BI57" i="16"/>
  <c r="BD57" i="16"/>
  <c r="AZ57" i="16"/>
  <c r="AU57" i="16"/>
  <c r="AQ57" i="16"/>
  <c r="AL57" i="16"/>
  <c r="AH57" i="16"/>
  <c r="AC57" i="16"/>
  <c r="Y57" i="16"/>
  <c r="T57" i="16"/>
  <c r="P57" i="16"/>
  <c r="K57" i="16"/>
  <c r="G57" i="16"/>
  <c r="DN56" i="16"/>
  <c r="DM56" i="16"/>
  <c r="DL56" i="16"/>
  <c r="DJ56" i="16"/>
  <c r="DI56" i="16"/>
  <c r="DH56" i="16"/>
  <c r="DF56" i="16"/>
  <c r="DB56" i="16"/>
  <c r="CW56" i="16"/>
  <c r="CS56" i="16"/>
  <c r="CN56" i="16"/>
  <c r="CJ56" i="16"/>
  <c r="CE56" i="16"/>
  <c r="CA56" i="16"/>
  <c r="BV56" i="16"/>
  <c r="BR56" i="16"/>
  <c r="BM56" i="16"/>
  <c r="BI56" i="16"/>
  <c r="BD56" i="16"/>
  <c r="AZ56" i="16"/>
  <c r="AU56" i="16"/>
  <c r="AQ56" i="16"/>
  <c r="AL56" i="16"/>
  <c r="AH56" i="16"/>
  <c r="AC56" i="16"/>
  <c r="DO56" i="16" s="1"/>
  <c r="Y56" i="16"/>
  <c r="T56" i="16"/>
  <c r="P56" i="16"/>
  <c r="K56" i="16"/>
  <c r="G56" i="16"/>
  <c r="DN55" i="16"/>
  <c r="DM55" i="16"/>
  <c r="DL55" i="16"/>
  <c r="DJ55" i="16"/>
  <c r="DI55" i="16"/>
  <c r="DH55" i="16"/>
  <c r="DF55" i="16"/>
  <c r="DB55" i="16"/>
  <c r="CW55" i="16"/>
  <c r="CS55" i="16"/>
  <c r="CN55" i="16"/>
  <c r="CJ55" i="16"/>
  <c r="CE55" i="16"/>
  <c r="CA55" i="16"/>
  <c r="BV55" i="16"/>
  <c r="BR55" i="16"/>
  <c r="BM55" i="16"/>
  <c r="BI55" i="16"/>
  <c r="BD55" i="16"/>
  <c r="AZ55" i="16"/>
  <c r="AU55" i="16"/>
  <c r="AQ55" i="16"/>
  <c r="AL55" i="16"/>
  <c r="AH55" i="16"/>
  <c r="AC55" i="16"/>
  <c r="Y55" i="16"/>
  <c r="T55" i="16"/>
  <c r="P55" i="16"/>
  <c r="K55" i="16"/>
  <c r="G55" i="16"/>
  <c r="DN54" i="16"/>
  <c r="DM54" i="16"/>
  <c r="DL54" i="16"/>
  <c r="DJ54" i="16"/>
  <c r="DI54" i="16"/>
  <c r="DH54" i="16"/>
  <c r="DF54" i="16"/>
  <c r="DB54" i="16"/>
  <c r="CW54" i="16"/>
  <c r="CS54" i="16"/>
  <c r="CN54" i="16"/>
  <c r="CJ54" i="16"/>
  <c r="CE54" i="16"/>
  <c r="CA54" i="16"/>
  <c r="BV54" i="16"/>
  <c r="BR54" i="16"/>
  <c r="BM54" i="16"/>
  <c r="BI54" i="16"/>
  <c r="BD54" i="16"/>
  <c r="AZ54" i="16"/>
  <c r="AU54" i="16"/>
  <c r="AQ54" i="16"/>
  <c r="AL54" i="16"/>
  <c r="AH54" i="16"/>
  <c r="AC54" i="16"/>
  <c r="Y54" i="16"/>
  <c r="T54" i="16"/>
  <c r="P54" i="16"/>
  <c r="K54" i="16"/>
  <c r="G54" i="16"/>
  <c r="DN53" i="16"/>
  <c r="DM53" i="16"/>
  <c r="DL53" i="16"/>
  <c r="DJ53" i="16"/>
  <c r="DI53" i="16"/>
  <c r="DH53" i="16"/>
  <c r="DF53" i="16"/>
  <c r="DB53" i="16"/>
  <c r="CW53" i="16"/>
  <c r="CS53" i="16"/>
  <c r="CN53" i="16"/>
  <c r="CJ53" i="16"/>
  <c r="CE53" i="16"/>
  <c r="CA53" i="16"/>
  <c r="BV53" i="16"/>
  <c r="BR53" i="16"/>
  <c r="BM53" i="16"/>
  <c r="BI53" i="16"/>
  <c r="BD53" i="16"/>
  <c r="AZ53" i="16"/>
  <c r="AU53" i="16"/>
  <c r="AQ53" i="16"/>
  <c r="AL53" i="16"/>
  <c r="AH53" i="16"/>
  <c r="AC53" i="16"/>
  <c r="Y53" i="16"/>
  <c r="T53" i="16"/>
  <c r="P53" i="16"/>
  <c r="K53" i="16"/>
  <c r="G53" i="16"/>
  <c r="DN52" i="16"/>
  <c r="DM52" i="16"/>
  <c r="DL52" i="16"/>
  <c r="DJ52" i="16"/>
  <c r="DI52" i="16"/>
  <c r="DH52" i="16"/>
  <c r="DF52" i="16"/>
  <c r="DB52" i="16"/>
  <c r="CW52" i="16"/>
  <c r="CS52" i="16"/>
  <c r="CN52" i="16"/>
  <c r="CJ52" i="16"/>
  <c r="CE52" i="16"/>
  <c r="CA52" i="16"/>
  <c r="BV52" i="16"/>
  <c r="BR52" i="16"/>
  <c r="BM52" i="16"/>
  <c r="DO52" i="16" s="1"/>
  <c r="BI52" i="16"/>
  <c r="BD52" i="16"/>
  <c r="AZ52" i="16"/>
  <c r="AU52" i="16"/>
  <c r="AQ52" i="16"/>
  <c r="AL52" i="16"/>
  <c r="AH52" i="16"/>
  <c r="AC52" i="16"/>
  <c r="Y52" i="16"/>
  <c r="T52" i="16"/>
  <c r="P52" i="16"/>
  <c r="DK52" i="16" s="1"/>
  <c r="K52" i="16"/>
  <c r="G52" i="16"/>
  <c r="DN51" i="16"/>
  <c r="DM51" i="16"/>
  <c r="DL51" i="16"/>
  <c r="DJ51" i="16"/>
  <c r="DI51" i="16"/>
  <c r="DH51" i="16"/>
  <c r="DF51" i="16"/>
  <c r="DB51" i="16"/>
  <c r="CW51" i="16"/>
  <c r="CS51" i="16"/>
  <c r="CN51" i="16"/>
  <c r="CJ51" i="16"/>
  <c r="CE51" i="16"/>
  <c r="CA51" i="16"/>
  <c r="BV51" i="16"/>
  <c r="BR51" i="16"/>
  <c r="BM51" i="16"/>
  <c r="BI51" i="16"/>
  <c r="BD51" i="16"/>
  <c r="AZ51" i="16"/>
  <c r="AU51" i="16"/>
  <c r="AQ51" i="16"/>
  <c r="AL51" i="16"/>
  <c r="AH51" i="16"/>
  <c r="AC51" i="16"/>
  <c r="Y51" i="16"/>
  <c r="T51" i="16"/>
  <c r="P51" i="16"/>
  <c r="K51" i="16"/>
  <c r="G51" i="16"/>
  <c r="DN50" i="16"/>
  <c r="DM50" i="16"/>
  <c r="DL50" i="16"/>
  <c r="DJ50" i="16"/>
  <c r="DI50" i="16"/>
  <c r="DH50" i="16"/>
  <c r="DF50" i="16"/>
  <c r="DB50" i="16"/>
  <c r="CW50" i="16"/>
  <c r="CS50" i="16"/>
  <c r="CN50" i="16"/>
  <c r="CJ50" i="16"/>
  <c r="CE50" i="16"/>
  <c r="CA50" i="16"/>
  <c r="BV50" i="16"/>
  <c r="BR50" i="16"/>
  <c r="BM50" i="16"/>
  <c r="BI50" i="16"/>
  <c r="BD50" i="16"/>
  <c r="AZ50" i="16"/>
  <c r="AU50" i="16"/>
  <c r="AQ50" i="16"/>
  <c r="AL50" i="16"/>
  <c r="AH50" i="16"/>
  <c r="AC50" i="16"/>
  <c r="Y50" i="16"/>
  <c r="T50" i="16"/>
  <c r="P50" i="16"/>
  <c r="K50" i="16"/>
  <c r="G50" i="16"/>
  <c r="DN49" i="16"/>
  <c r="DM49" i="16"/>
  <c r="DL49" i="16"/>
  <c r="DJ49" i="16"/>
  <c r="DI49" i="16"/>
  <c r="DH49" i="16"/>
  <c r="DF49" i="16"/>
  <c r="DB49" i="16"/>
  <c r="CW49" i="16"/>
  <c r="CS49" i="16"/>
  <c r="CN49" i="16"/>
  <c r="CJ49" i="16"/>
  <c r="CE49" i="16"/>
  <c r="CA49" i="16"/>
  <c r="BV49" i="16"/>
  <c r="BR49" i="16"/>
  <c r="BM49" i="16"/>
  <c r="BI49" i="16"/>
  <c r="BD49" i="16"/>
  <c r="AZ49" i="16"/>
  <c r="AU49" i="16"/>
  <c r="AQ49" i="16"/>
  <c r="AL49" i="16"/>
  <c r="AH49" i="16"/>
  <c r="AC49" i="16"/>
  <c r="Y49" i="16"/>
  <c r="T49" i="16"/>
  <c r="P49" i="16"/>
  <c r="K49" i="16"/>
  <c r="G49" i="16"/>
  <c r="DO48" i="16"/>
  <c r="DN48" i="16"/>
  <c r="DM48" i="16"/>
  <c r="DL48" i="16"/>
  <c r="DJ48" i="16"/>
  <c r="DI48" i="16"/>
  <c r="DH48" i="16"/>
  <c r="DF48" i="16"/>
  <c r="DB48" i="16"/>
  <c r="CW48" i="16"/>
  <c r="CS48" i="16"/>
  <c r="CN48" i="16"/>
  <c r="CJ48" i="16"/>
  <c r="CE48" i="16"/>
  <c r="CA48" i="16"/>
  <c r="BV48" i="16"/>
  <c r="BR48" i="16"/>
  <c r="BM48" i="16"/>
  <c r="BI48" i="16"/>
  <c r="BD48" i="16"/>
  <c r="AZ48" i="16"/>
  <c r="AU48" i="16"/>
  <c r="AQ48" i="16"/>
  <c r="AL48" i="16"/>
  <c r="AH48" i="16"/>
  <c r="AC48" i="16"/>
  <c r="Y48" i="16"/>
  <c r="T48" i="16"/>
  <c r="P48" i="16"/>
  <c r="K48" i="16"/>
  <c r="G48" i="16"/>
  <c r="DK48" i="16" s="1"/>
  <c r="DN47" i="16"/>
  <c r="DM47" i="16"/>
  <c r="DL47" i="16"/>
  <c r="DJ47" i="16"/>
  <c r="DI47" i="16"/>
  <c r="DH47" i="16"/>
  <c r="DF47" i="16"/>
  <c r="DB47" i="16"/>
  <c r="CW47" i="16"/>
  <c r="CS47" i="16"/>
  <c r="CN47" i="16"/>
  <c r="CJ47" i="16"/>
  <c r="CE47" i="16"/>
  <c r="CA47" i="16"/>
  <c r="BV47" i="16"/>
  <c r="BR47" i="16"/>
  <c r="BM47" i="16"/>
  <c r="BI47" i="16"/>
  <c r="BD47" i="16"/>
  <c r="AZ47" i="16"/>
  <c r="AU47" i="16"/>
  <c r="AQ47" i="16"/>
  <c r="AL47" i="16"/>
  <c r="AH47" i="16"/>
  <c r="AC47" i="16"/>
  <c r="Y47" i="16"/>
  <c r="T47" i="16"/>
  <c r="P47" i="16"/>
  <c r="K47" i="16"/>
  <c r="G47" i="16"/>
  <c r="DN46" i="16"/>
  <c r="DM46" i="16"/>
  <c r="DL46" i="16"/>
  <c r="DJ46" i="16"/>
  <c r="DI46" i="16"/>
  <c r="DH46" i="16"/>
  <c r="DF46" i="16"/>
  <c r="DB46" i="16"/>
  <c r="CW46" i="16"/>
  <c r="CS46" i="16"/>
  <c r="CN46" i="16"/>
  <c r="CJ46" i="16"/>
  <c r="CE46" i="16"/>
  <c r="CA46" i="16"/>
  <c r="BV46" i="16"/>
  <c r="BR46" i="16"/>
  <c r="BM46" i="16"/>
  <c r="BI46" i="16"/>
  <c r="BD46" i="16"/>
  <c r="AZ46" i="16"/>
  <c r="AU46" i="16"/>
  <c r="AQ46" i="16"/>
  <c r="AL46" i="16"/>
  <c r="AH46" i="16"/>
  <c r="AC46" i="16"/>
  <c r="Y46" i="16"/>
  <c r="T46" i="16"/>
  <c r="P46" i="16"/>
  <c r="K46" i="16"/>
  <c r="G46" i="16"/>
  <c r="DN45" i="16"/>
  <c r="DM45" i="16"/>
  <c r="DL45" i="16"/>
  <c r="DJ45" i="16"/>
  <c r="DI45" i="16"/>
  <c r="DH45" i="16"/>
  <c r="DF45" i="16"/>
  <c r="DB45" i="16"/>
  <c r="CW45" i="16"/>
  <c r="CS45" i="16"/>
  <c r="CN45" i="16"/>
  <c r="CJ45" i="16"/>
  <c r="CE45" i="16"/>
  <c r="CA45" i="16"/>
  <c r="BV45" i="16"/>
  <c r="BR45" i="16"/>
  <c r="BM45" i="16"/>
  <c r="BI45" i="16"/>
  <c r="BD45" i="16"/>
  <c r="AZ45" i="16"/>
  <c r="AU45" i="16"/>
  <c r="AQ45" i="16"/>
  <c r="AL45" i="16"/>
  <c r="AH45" i="16"/>
  <c r="AC45" i="16"/>
  <c r="Y45" i="16"/>
  <c r="T45" i="16"/>
  <c r="P45" i="16"/>
  <c r="K45" i="16"/>
  <c r="G45" i="16"/>
  <c r="DN44" i="16"/>
  <c r="DM44" i="16"/>
  <c r="DL44" i="16"/>
  <c r="DJ44" i="16"/>
  <c r="DI44" i="16"/>
  <c r="DH44" i="16"/>
  <c r="DF44" i="16"/>
  <c r="DB44" i="16"/>
  <c r="CW44" i="16"/>
  <c r="CS44" i="16"/>
  <c r="CN44" i="16"/>
  <c r="CJ44" i="16"/>
  <c r="CE44" i="16"/>
  <c r="CA44" i="16"/>
  <c r="BV44" i="16"/>
  <c r="BR44" i="16"/>
  <c r="BM44" i="16"/>
  <c r="BI44" i="16"/>
  <c r="BD44" i="16"/>
  <c r="AZ44" i="16"/>
  <c r="AU44" i="16"/>
  <c r="AQ44" i="16"/>
  <c r="AL44" i="16"/>
  <c r="AH44" i="16"/>
  <c r="AC44" i="16"/>
  <c r="Y44" i="16"/>
  <c r="T44" i="16"/>
  <c r="P44" i="16"/>
  <c r="K44" i="16"/>
  <c r="G44" i="16"/>
  <c r="DK44" i="16" s="1"/>
  <c r="DN43" i="16"/>
  <c r="DM43" i="16"/>
  <c r="DL43" i="16"/>
  <c r="DJ43" i="16"/>
  <c r="DI43" i="16"/>
  <c r="DH43" i="16"/>
  <c r="DF43" i="16"/>
  <c r="DB43" i="16"/>
  <c r="CW43" i="16"/>
  <c r="CS43" i="16"/>
  <c r="CN43" i="16"/>
  <c r="CJ43" i="16"/>
  <c r="CE43" i="16"/>
  <c r="CA43" i="16"/>
  <c r="BV43" i="16"/>
  <c r="BR43" i="16"/>
  <c r="BM43" i="16"/>
  <c r="BI43" i="16"/>
  <c r="BD43" i="16"/>
  <c r="AZ43" i="16"/>
  <c r="AU43" i="16"/>
  <c r="AQ43" i="16"/>
  <c r="AL43" i="16"/>
  <c r="AH43" i="16"/>
  <c r="AC43" i="16"/>
  <c r="Y43" i="16"/>
  <c r="T43" i="16"/>
  <c r="P43" i="16"/>
  <c r="K43" i="16"/>
  <c r="DO43" i="16" s="1"/>
  <c r="G43" i="16"/>
  <c r="DN42" i="16"/>
  <c r="DM42" i="16"/>
  <c r="DL42" i="16"/>
  <c r="DJ42" i="16"/>
  <c r="DI42" i="16"/>
  <c r="DH42" i="16"/>
  <c r="DF42" i="16"/>
  <c r="DB42" i="16"/>
  <c r="CW42" i="16"/>
  <c r="CS42" i="16"/>
  <c r="CN42" i="16"/>
  <c r="CJ42" i="16"/>
  <c r="CE42" i="16"/>
  <c r="CA42" i="16"/>
  <c r="BV42" i="16"/>
  <c r="BR42" i="16"/>
  <c r="BM42" i="16"/>
  <c r="BI42" i="16"/>
  <c r="BD42" i="16"/>
  <c r="AZ42" i="16"/>
  <c r="AU42" i="16"/>
  <c r="AQ42" i="16"/>
  <c r="AL42" i="16"/>
  <c r="AH42" i="16"/>
  <c r="AC42" i="16"/>
  <c r="Y42" i="16"/>
  <c r="T42" i="16"/>
  <c r="P42" i="16"/>
  <c r="K42" i="16"/>
  <c r="G42" i="16"/>
  <c r="DN41" i="16"/>
  <c r="DM41" i="16"/>
  <c r="DL41" i="16"/>
  <c r="DJ41" i="16"/>
  <c r="DI41" i="16"/>
  <c r="DH41" i="16"/>
  <c r="DF41" i="16"/>
  <c r="DB41" i="16"/>
  <c r="CW41" i="16"/>
  <c r="CS41" i="16"/>
  <c r="CN41" i="16"/>
  <c r="CJ41" i="16"/>
  <c r="CE41" i="16"/>
  <c r="CA41" i="16"/>
  <c r="BV41" i="16"/>
  <c r="BR41" i="16"/>
  <c r="BM41" i="16"/>
  <c r="BI41" i="16"/>
  <c r="BD41" i="16"/>
  <c r="AZ41" i="16"/>
  <c r="AU41" i="16"/>
  <c r="AQ41" i="16"/>
  <c r="AL41" i="16"/>
  <c r="AH41" i="16"/>
  <c r="AC41" i="16"/>
  <c r="Y41" i="16"/>
  <c r="T41" i="16"/>
  <c r="P41" i="16"/>
  <c r="K41" i="16"/>
  <c r="G41" i="16"/>
  <c r="DN40" i="16"/>
  <c r="DM40" i="16"/>
  <c r="DL40" i="16"/>
  <c r="DJ40" i="16"/>
  <c r="DI40" i="16"/>
  <c r="DH40" i="16"/>
  <c r="DF40" i="16"/>
  <c r="DB40" i="16"/>
  <c r="CW40" i="16"/>
  <c r="CS40" i="16"/>
  <c r="CN40" i="16"/>
  <c r="CJ40" i="16"/>
  <c r="CE40" i="16"/>
  <c r="CA40" i="16"/>
  <c r="BV40" i="16"/>
  <c r="BR40" i="16"/>
  <c r="BM40" i="16"/>
  <c r="BI40" i="16"/>
  <c r="BD40" i="16"/>
  <c r="AZ40" i="16"/>
  <c r="AU40" i="16"/>
  <c r="AQ40" i="16"/>
  <c r="AL40" i="16"/>
  <c r="AH40" i="16"/>
  <c r="AC40" i="16"/>
  <c r="Y40" i="16"/>
  <c r="T40" i="16"/>
  <c r="P40" i="16"/>
  <c r="K40" i="16"/>
  <c r="G40" i="16"/>
  <c r="DN39" i="16"/>
  <c r="DM39" i="16"/>
  <c r="DL39" i="16"/>
  <c r="DJ39" i="16"/>
  <c r="DI39" i="16"/>
  <c r="DH39" i="16"/>
  <c r="DF39" i="16"/>
  <c r="DB39" i="16"/>
  <c r="CW39" i="16"/>
  <c r="CS39" i="16"/>
  <c r="CN39" i="16"/>
  <c r="CJ39" i="16"/>
  <c r="CE39" i="16"/>
  <c r="CA39" i="16"/>
  <c r="BV39" i="16"/>
  <c r="BR39" i="16"/>
  <c r="BM39" i="16"/>
  <c r="BI39" i="16"/>
  <c r="BD39" i="16"/>
  <c r="AZ39" i="16"/>
  <c r="AU39" i="16"/>
  <c r="AQ39" i="16"/>
  <c r="AL39" i="16"/>
  <c r="AH39" i="16"/>
  <c r="AC39" i="16"/>
  <c r="Y39" i="16"/>
  <c r="T39" i="16"/>
  <c r="P39" i="16"/>
  <c r="K39" i="16"/>
  <c r="G39" i="16"/>
  <c r="DN38" i="16"/>
  <c r="DM38" i="16"/>
  <c r="DL38" i="16"/>
  <c r="DJ38" i="16"/>
  <c r="DI38" i="16"/>
  <c r="DH38" i="16"/>
  <c r="DF38" i="16"/>
  <c r="DB38" i="16"/>
  <c r="CW38" i="16"/>
  <c r="CS38" i="16"/>
  <c r="CN38" i="16"/>
  <c r="CJ38" i="16"/>
  <c r="CE38" i="16"/>
  <c r="CA38" i="16"/>
  <c r="BV38" i="16"/>
  <c r="BR38" i="16"/>
  <c r="BM38" i="16"/>
  <c r="BI38" i="16"/>
  <c r="BD38" i="16"/>
  <c r="AZ38" i="16"/>
  <c r="AU38" i="16"/>
  <c r="AQ38" i="16"/>
  <c r="AL38" i="16"/>
  <c r="AH38" i="16"/>
  <c r="AC38" i="16"/>
  <c r="Y38" i="16"/>
  <c r="T38" i="16"/>
  <c r="P38" i="16"/>
  <c r="K38" i="16"/>
  <c r="G38" i="16"/>
  <c r="DN37" i="16"/>
  <c r="DM37" i="16"/>
  <c r="DL37" i="16"/>
  <c r="DJ37" i="16"/>
  <c r="DI37" i="16"/>
  <c r="DH37" i="16"/>
  <c r="DF37" i="16"/>
  <c r="DB37" i="16"/>
  <c r="CW37" i="16"/>
  <c r="CS37" i="16"/>
  <c r="CN37" i="16"/>
  <c r="CJ37" i="16"/>
  <c r="CE37" i="16"/>
  <c r="CA37" i="16"/>
  <c r="BV37" i="16"/>
  <c r="BR37" i="16"/>
  <c r="BM37" i="16"/>
  <c r="BI37" i="16"/>
  <c r="BD37" i="16"/>
  <c r="AZ37" i="16"/>
  <c r="AU37" i="16"/>
  <c r="AQ37" i="16"/>
  <c r="AL37" i="16"/>
  <c r="AH37" i="16"/>
  <c r="AC37" i="16"/>
  <c r="Y37" i="16"/>
  <c r="T37" i="16"/>
  <c r="P37" i="16"/>
  <c r="K37" i="16"/>
  <c r="G37" i="16"/>
  <c r="DN36" i="16"/>
  <c r="DM36" i="16"/>
  <c r="DL36" i="16"/>
  <c r="DJ36" i="16"/>
  <c r="DI36" i="16"/>
  <c r="DH36" i="16"/>
  <c r="DF36" i="16"/>
  <c r="DB36" i="16"/>
  <c r="CW36" i="16"/>
  <c r="CS36" i="16"/>
  <c r="CN36" i="16"/>
  <c r="CJ36" i="16"/>
  <c r="CE36" i="16"/>
  <c r="CA36" i="16"/>
  <c r="BV36" i="16"/>
  <c r="BR36" i="16"/>
  <c r="BM36" i="16"/>
  <c r="BI36" i="16"/>
  <c r="BD36" i="16"/>
  <c r="AZ36" i="16"/>
  <c r="AU36" i="16"/>
  <c r="AQ36" i="16"/>
  <c r="AL36" i="16"/>
  <c r="AH36" i="16"/>
  <c r="AC36" i="16"/>
  <c r="Y36" i="16"/>
  <c r="T36" i="16"/>
  <c r="P36" i="16"/>
  <c r="K36" i="16"/>
  <c r="G36" i="16"/>
  <c r="DN35" i="16"/>
  <c r="DM35" i="16"/>
  <c r="DL35" i="16"/>
  <c r="DJ35" i="16"/>
  <c r="DI35" i="16"/>
  <c r="DH35" i="16"/>
  <c r="DF35" i="16"/>
  <c r="DB35" i="16"/>
  <c r="CW35" i="16"/>
  <c r="CS35" i="16"/>
  <c r="CN35" i="16"/>
  <c r="CJ35" i="16"/>
  <c r="CE35" i="16"/>
  <c r="CA35" i="16"/>
  <c r="BV35" i="16"/>
  <c r="BR35" i="16"/>
  <c r="BM35" i="16"/>
  <c r="BI35" i="16"/>
  <c r="BD35" i="16"/>
  <c r="AZ35" i="16"/>
  <c r="AU35" i="16"/>
  <c r="AQ35" i="16"/>
  <c r="AL35" i="16"/>
  <c r="AH35" i="16"/>
  <c r="AC35" i="16"/>
  <c r="Y35" i="16"/>
  <c r="T35" i="16"/>
  <c r="P35" i="16"/>
  <c r="K35" i="16"/>
  <c r="G35" i="16"/>
  <c r="DN34" i="16"/>
  <c r="DM34" i="16"/>
  <c r="DL34" i="16"/>
  <c r="DJ34" i="16"/>
  <c r="DI34" i="16"/>
  <c r="DH34" i="16"/>
  <c r="DF34" i="16"/>
  <c r="DB34" i="16"/>
  <c r="CW34" i="16"/>
  <c r="CS34" i="16"/>
  <c r="CN34" i="16"/>
  <c r="CJ34" i="16"/>
  <c r="CE34" i="16"/>
  <c r="CA34" i="16"/>
  <c r="BV34" i="16"/>
  <c r="BR34" i="16"/>
  <c r="BM34" i="16"/>
  <c r="BI34" i="16"/>
  <c r="BD34" i="16"/>
  <c r="AZ34" i="16"/>
  <c r="AU34" i="16"/>
  <c r="AQ34" i="16"/>
  <c r="AL34" i="16"/>
  <c r="AH34" i="16"/>
  <c r="AC34" i="16"/>
  <c r="Y34" i="16"/>
  <c r="T34" i="16"/>
  <c r="P34" i="16"/>
  <c r="K34" i="16"/>
  <c r="G34" i="16"/>
  <c r="DN33" i="16"/>
  <c r="DM33" i="16"/>
  <c r="DL33" i="16"/>
  <c r="DJ33" i="16"/>
  <c r="DI33" i="16"/>
  <c r="DH33" i="16"/>
  <c r="DF33" i="16"/>
  <c r="DB33" i="16"/>
  <c r="CW33" i="16"/>
  <c r="CS33" i="16"/>
  <c r="CN33" i="16"/>
  <c r="CJ33" i="16"/>
  <c r="CE33" i="16"/>
  <c r="CA33" i="16"/>
  <c r="BV33" i="16"/>
  <c r="BR33" i="16"/>
  <c r="BM33" i="16"/>
  <c r="BI33" i="16"/>
  <c r="BD33" i="16"/>
  <c r="AZ33" i="16"/>
  <c r="AU33" i="16"/>
  <c r="AQ33" i="16"/>
  <c r="AL33" i="16"/>
  <c r="AH33" i="16"/>
  <c r="AC33" i="16"/>
  <c r="Y33" i="16"/>
  <c r="T33" i="16"/>
  <c r="P33" i="16"/>
  <c r="K33" i="16"/>
  <c r="DO33" i="16" s="1"/>
  <c r="G33" i="16"/>
  <c r="DK33" i="16" s="1"/>
  <c r="DN32" i="16"/>
  <c r="DM32" i="16"/>
  <c r="DL32" i="16"/>
  <c r="DJ32" i="16"/>
  <c r="DI32" i="16"/>
  <c r="DH32" i="16"/>
  <c r="DF32" i="16"/>
  <c r="DB32" i="16"/>
  <c r="CW32" i="16"/>
  <c r="CS32" i="16"/>
  <c r="CN32" i="16"/>
  <c r="CJ32" i="16"/>
  <c r="CE32" i="16"/>
  <c r="CA32" i="16"/>
  <c r="BV32" i="16"/>
  <c r="BR32" i="16"/>
  <c r="BM32" i="16"/>
  <c r="BI32" i="16"/>
  <c r="BD32" i="16"/>
  <c r="AZ32" i="16"/>
  <c r="AU32" i="16"/>
  <c r="AQ32" i="16"/>
  <c r="AL32" i="16"/>
  <c r="AH32" i="16"/>
  <c r="AC32" i="16"/>
  <c r="Y32" i="16"/>
  <c r="T32" i="16"/>
  <c r="P32" i="16"/>
  <c r="K32" i="16"/>
  <c r="G32" i="16"/>
  <c r="DN31" i="16"/>
  <c r="DM31" i="16"/>
  <c r="DL31" i="16"/>
  <c r="DJ31" i="16"/>
  <c r="DI31" i="16"/>
  <c r="DH31" i="16"/>
  <c r="DF31" i="16"/>
  <c r="DB31" i="16"/>
  <c r="CW31" i="16"/>
  <c r="CS31" i="16"/>
  <c r="CN31" i="16"/>
  <c r="CJ31" i="16"/>
  <c r="CE31" i="16"/>
  <c r="CA31" i="16"/>
  <c r="BV31" i="16"/>
  <c r="BR31" i="16"/>
  <c r="BM31" i="16"/>
  <c r="BI31" i="16"/>
  <c r="BD31" i="16"/>
  <c r="AZ31" i="16"/>
  <c r="AU31" i="16"/>
  <c r="AQ31" i="16"/>
  <c r="AL31" i="16"/>
  <c r="AH31" i="16"/>
  <c r="AC31" i="16"/>
  <c r="Y31" i="16"/>
  <c r="T31" i="16"/>
  <c r="P31" i="16"/>
  <c r="K31" i="16"/>
  <c r="G31" i="16"/>
  <c r="DN30" i="16"/>
  <c r="DM30" i="16"/>
  <c r="DL30" i="16"/>
  <c r="DJ30" i="16"/>
  <c r="DI30" i="16"/>
  <c r="DH30" i="16"/>
  <c r="DF30" i="16"/>
  <c r="DB30" i="16"/>
  <c r="CW30" i="16"/>
  <c r="CS30" i="16"/>
  <c r="CN30" i="16"/>
  <c r="CJ30" i="16"/>
  <c r="CE30" i="16"/>
  <c r="CA30" i="16"/>
  <c r="BV30" i="16"/>
  <c r="BR30" i="16"/>
  <c r="BM30" i="16"/>
  <c r="BI30" i="16"/>
  <c r="BD30" i="16"/>
  <c r="AZ30" i="16"/>
  <c r="AU30" i="16"/>
  <c r="AQ30" i="16"/>
  <c r="AL30" i="16"/>
  <c r="AH30" i="16"/>
  <c r="AC30" i="16"/>
  <c r="Y30" i="16"/>
  <c r="T30" i="16"/>
  <c r="P30" i="16"/>
  <c r="K30" i="16"/>
  <c r="G30" i="16"/>
  <c r="DN29" i="16"/>
  <c r="DM29" i="16"/>
  <c r="DL29" i="16"/>
  <c r="DJ29" i="16"/>
  <c r="DI29" i="16"/>
  <c r="DH29" i="16"/>
  <c r="DF29" i="16"/>
  <c r="DB29" i="16"/>
  <c r="CW29" i="16"/>
  <c r="CS29" i="16"/>
  <c r="CN29" i="16"/>
  <c r="CJ29" i="16"/>
  <c r="CE29" i="16"/>
  <c r="CA29" i="16"/>
  <c r="BV29" i="16"/>
  <c r="BR29" i="16"/>
  <c r="BM29" i="16"/>
  <c r="BI29" i="16"/>
  <c r="BD29" i="16"/>
  <c r="AZ29" i="16"/>
  <c r="AU29" i="16"/>
  <c r="AQ29" i="16"/>
  <c r="AL29" i="16"/>
  <c r="AH29" i="16"/>
  <c r="AC29" i="16"/>
  <c r="Y29" i="16"/>
  <c r="T29" i="16"/>
  <c r="P29" i="16"/>
  <c r="K29" i="16"/>
  <c r="G29" i="16"/>
  <c r="DN28" i="16"/>
  <c r="DM28" i="16"/>
  <c r="DL28" i="16"/>
  <c r="DJ28" i="16"/>
  <c r="DI28" i="16"/>
  <c r="DH28" i="16"/>
  <c r="DF28" i="16"/>
  <c r="DB28" i="16"/>
  <c r="CW28" i="16"/>
  <c r="CS28" i="16"/>
  <c r="CN28" i="16"/>
  <c r="CJ28" i="16"/>
  <c r="CE28" i="16"/>
  <c r="CA28" i="16"/>
  <c r="BV28" i="16"/>
  <c r="BR28" i="16"/>
  <c r="BM28" i="16"/>
  <c r="BI28" i="16"/>
  <c r="BD28" i="16"/>
  <c r="AZ28" i="16"/>
  <c r="AU28" i="16"/>
  <c r="AQ28" i="16"/>
  <c r="AL28" i="16"/>
  <c r="AH28" i="16"/>
  <c r="AC28" i="16"/>
  <c r="Y28" i="16"/>
  <c r="T28" i="16"/>
  <c r="DO28" i="16" s="1"/>
  <c r="P28" i="16"/>
  <c r="K28" i="16"/>
  <c r="G28" i="16"/>
  <c r="DN27" i="16"/>
  <c r="DM27" i="16"/>
  <c r="DL27" i="16"/>
  <c r="DJ27" i="16"/>
  <c r="DI27" i="16"/>
  <c r="DH27" i="16"/>
  <c r="DF27" i="16"/>
  <c r="DB27" i="16"/>
  <c r="CW27" i="16"/>
  <c r="CS27" i="16"/>
  <c r="CN27" i="16"/>
  <c r="CJ27" i="16"/>
  <c r="CE27" i="16"/>
  <c r="CA27" i="16"/>
  <c r="BV27" i="16"/>
  <c r="BR27" i="16"/>
  <c r="BM27" i="16"/>
  <c r="BI27" i="16"/>
  <c r="BD27" i="16"/>
  <c r="AZ27" i="16"/>
  <c r="AU27" i="16"/>
  <c r="AQ27" i="16"/>
  <c r="AL27" i="16"/>
  <c r="AH27" i="16"/>
  <c r="AC27" i="16"/>
  <c r="Y27" i="16"/>
  <c r="T27" i="16"/>
  <c r="P27" i="16"/>
  <c r="K27" i="16"/>
  <c r="G27" i="16"/>
  <c r="DK27" i="16" s="1"/>
  <c r="DN26" i="16"/>
  <c r="DM26" i="16"/>
  <c r="DL26" i="16"/>
  <c r="DJ26" i="16"/>
  <c r="DI26" i="16"/>
  <c r="DH26" i="16"/>
  <c r="DF26" i="16"/>
  <c r="DB26" i="16"/>
  <c r="CW26" i="16"/>
  <c r="CS26" i="16"/>
  <c r="CN26" i="16"/>
  <c r="CJ26" i="16"/>
  <c r="CE26" i="16"/>
  <c r="CA26" i="16"/>
  <c r="BV26" i="16"/>
  <c r="BR26" i="16"/>
  <c r="BM26" i="16"/>
  <c r="BI26" i="16"/>
  <c r="BD26" i="16"/>
  <c r="AZ26" i="16"/>
  <c r="AU26" i="16"/>
  <c r="AQ26" i="16"/>
  <c r="AL26" i="16"/>
  <c r="AH26" i="16"/>
  <c r="AC26" i="16"/>
  <c r="Y26" i="16"/>
  <c r="T26" i="16"/>
  <c r="P26" i="16"/>
  <c r="DK26" i="16" s="1"/>
  <c r="K26" i="16"/>
  <c r="G26" i="16"/>
  <c r="DN25" i="16"/>
  <c r="DM25" i="16"/>
  <c r="DL25" i="16"/>
  <c r="DJ25" i="16"/>
  <c r="DI25" i="16"/>
  <c r="DH25" i="16"/>
  <c r="DF25" i="16"/>
  <c r="DB25" i="16"/>
  <c r="CW25" i="16"/>
  <c r="CS25" i="16"/>
  <c r="CN25" i="16"/>
  <c r="CJ25" i="16"/>
  <c r="CE25" i="16"/>
  <c r="CA25" i="16"/>
  <c r="BV25" i="16"/>
  <c r="BR25" i="16"/>
  <c r="BM25" i="16"/>
  <c r="BI25" i="16"/>
  <c r="BD25" i="16"/>
  <c r="AZ25" i="16"/>
  <c r="AU25" i="16"/>
  <c r="AQ25" i="16"/>
  <c r="AL25" i="16"/>
  <c r="AH25" i="16"/>
  <c r="AC25" i="16"/>
  <c r="Y25" i="16"/>
  <c r="T25" i="16"/>
  <c r="P25" i="16"/>
  <c r="K25" i="16"/>
  <c r="DO25" i="16" s="1"/>
  <c r="G25" i="16"/>
  <c r="DN24" i="16"/>
  <c r="DM24" i="16"/>
  <c r="DL24" i="16"/>
  <c r="DJ24" i="16"/>
  <c r="DI24" i="16"/>
  <c r="DH24" i="16"/>
  <c r="DF24" i="16"/>
  <c r="DB24" i="16"/>
  <c r="CW24" i="16"/>
  <c r="CS24" i="16"/>
  <c r="CN24" i="16"/>
  <c r="CJ24" i="16"/>
  <c r="CE24" i="16"/>
  <c r="CA24" i="16"/>
  <c r="BV24" i="16"/>
  <c r="BR24" i="16"/>
  <c r="BM24" i="16"/>
  <c r="BI24" i="16"/>
  <c r="BD24" i="16"/>
  <c r="AZ24" i="16"/>
  <c r="AU24" i="16"/>
  <c r="AQ24" i="16"/>
  <c r="AL24" i="16"/>
  <c r="AH24" i="16"/>
  <c r="AC24" i="16"/>
  <c r="Y24" i="16"/>
  <c r="T24" i="16"/>
  <c r="P24" i="16"/>
  <c r="K24" i="16"/>
  <c r="G24" i="16"/>
  <c r="DN23" i="16"/>
  <c r="DM23" i="16"/>
  <c r="DL23" i="16"/>
  <c r="DJ23" i="16"/>
  <c r="DI23" i="16"/>
  <c r="DH23" i="16"/>
  <c r="DF23" i="16"/>
  <c r="DB23" i="16"/>
  <c r="CW23" i="16"/>
  <c r="CS23" i="16"/>
  <c r="CN23" i="16"/>
  <c r="CJ23" i="16"/>
  <c r="CE23" i="16"/>
  <c r="CA23" i="16"/>
  <c r="BV23" i="16"/>
  <c r="BR23" i="16"/>
  <c r="BM23" i="16"/>
  <c r="BI23" i="16"/>
  <c r="BD23" i="16"/>
  <c r="AZ23" i="16"/>
  <c r="AV23" i="16"/>
  <c r="AU23" i="16"/>
  <c r="AQ23" i="16"/>
  <c r="AL23" i="16"/>
  <c r="AH23" i="16"/>
  <c r="AC23" i="16"/>
  <c r="Y23" i="16"/>
  <c r="T23" i="16"/>
  <c r="P23" i="16"/>
  <c r="DK23" i="16" s="1"/>
  <c r="K23" i="16"/>
  <c r="G23" i="16"/>
  <c r="DN22" i="16"/>
  <c r="DM22" i="16"/>
  <c r="DL22" i="16"/>
  <c r="DJ22" i="16"/>
  <c r="DI22" i="16"/>
  <c r="DH22" i="16"/>
  <c r="DF22" i="16"/>
  <c r="DB22" i="16"/>
  <c r="CW22" i="16"/>
  <c r="CS22" i="16"/>
  <c r="CN22" i="16"/>
  <c r="CJ22" i="16"/>
  <c r="CE22" i="16"/>
  <c r="CA22" i="16"/>
  <c r="BV22" i="16"/>
  <c r="BR22" i="16"/>
  <c r="BM22" i="16"/>
  <c r="BI22" i="16"/>
  <c r="BD22" i="16"/>
  <c r="AZ22" i="16"/>
  <c r="AU22" i="16"/>
  <c r="AQ22" i="16"/>
  <c r="AL22" i="16"/>
  <c r="AH22" i="16"/>
  <c r="AC22" i="16"/>
  <c r="Y22" i="16"/>
  <c r="T22" i="16"/>
  <c r="P22" i="16"/>
  <c r="DK22" i="16" s="1"/>
  <c r="K22" i="16"/>
  <c r="G22" i="16"/>
  <c r="DN21" i="16"/>
  <c r="DM21" i="16"/>
  <c r="DL21" i="16"/>
  <c r="DJ21" i="16"/>
  <c r="DI21" i="16"/>
  <c r="DH21" i="16"/>
  <c r="DF21" i="16"/>
  <c r="DB21" i="16"/>
  <c r="CW21" i="16"/>
  <c r="CS21" i="16"/>
  <c r="CN21" i="16"/>
  <c r="CJ21" i="16"/>
  <c r="CE21" i="16"/>
  <c r="CA21" i="16"/>
  <c r="BV21" i="16"/>
  <c r="BR21" i="16"/>
  <c r="BM21" i="16"/>
  <c r="BI21" i="16"/>
  <c r="BD21" i="16"/>
  <c r="AZ21" i="16"/>
  <c r="AU21" i="16"/>
  <c r="AQ21" i="16"/>
  <c r="AL21" i="16"/>
  <c r="AH21" i="16"/>
  <c r="AC21" i="16"/>
  <c r="Y21" i="16"/>
  <c r="T21" i="16"/>
  <c r="P21" i="16"/>
  <c r="K21" i="16"/>
  <c r="G21" i="16"/>
  <c r="DK21" i="16" s="1"/>
  <c r="DN20" i="16"/>
  <c r="DM20" i="16"/>
  <c r="DL20" i="16"/>
  <c r="DJ20" i="16"/>
  <c r="DI20" i="16"/>
  <c r="DH20" i="16"/>
  <c r="DF20" i="16"/>
  <c r="DB20" i="16"/>
  <c r="CW20" i="16"/>
  <c r="CS20" i="16"/>
  <c r="CN20" i="16"/>
  <c r="CJ20" i="16"/>
  <c r="CE20" i="16"/>
  <c r="CA20" i="16"/>
  <c r="BV20" i="16"/>
  <c r="BR20" i="16"/>
  <c r="BM20" i="16"/>
  <c r="BI20" i="16"/>
  <c r="BD20" i="16"/>
  <c r="AZ20" i="16"/>
  <c r="AU20" i="16"/>
  <c r="AQ20" i="16"/>
  <c r="AL20" i="16"/>
  <c r="AH20" i="16"/>
  <c r="AC20" i="16"/>
  <c r="Y20" i="16"/>
  <c r="T20" i="16"/>
  <c r="P20" i="16"/>
  <c r="K20" i="16"/>
  <c r="G20" i="16"/>
  <c r="DN19" i="16"/>
  <c r="DM19" i="16"/>
  <c r="DL19" i="16"/>
  <c r="DJ19" i="16"/>
  <c r="DI19" i="16"/>
  <c r="DH19" i="16"/>
  <c r="DF19" i="16"/>
  <c r="DB19" i="16"/>
  <c r="CW19" i="16"/>
  <c r="CS19" i="16"/>
  <c r="CN19" i="16"/>
  <c r="CJ19" i="16"/>
  <c r="CE19" i="16"/>
  <c r="CA19" i="16"/>
  <c r="BV19" i="16"/>
  <c r="BR19" i="16"/>
  <c r="BM19" i="16"/>
  <c r="BI19" i="16"/>
  <c r="BD19" i="16"/>
  <c r="AZ19" i="16"/>
  <c r="AV19" i="16"/>
  <c r="AU19" i="16"/>
  <c r="AQ19" i="16"/>
  <c r="AL19" i="16"/>
  <c r="AH19" i="16"/>
  <c r="AC19" i="16"/>
  <c r="Y19" i="16"/>
  <c r="T19" i="16"/>
  <c r="P19" i="16"/>
  <c r="K19" i="16"/>
  <c r="G19" i="16"/>
  <c r="DN18" i="16"/>
  <c r="DM18" i="16"/>
  <c r="DL18" i="16"/>
  <c r="DJ18" i="16"/>
  <c r="DI18" i="16"/>
  <c r="DH18" i="16"/>
  <c r="DF18" i="16"/>
  <c r="DB18" i="16"/>
  <c r="CW18" i="16"/>
  <c r="CS18" i="16"/>
  <c r="CN18" i="16"/>
  <c r="CJ18" i="16"/>
  <c r="CE18" i="16"/>
  <c r="CA18" i="16"/>
  <c r="BV18" i="16"/>
  <c r="BR18" i="16"/>
  <c r="BM18" i="16"/>
  <c r="BI18" i="16"/>
  <c r="BD18" i="16"/>
  <c r="AZ18" i="16"/>
  <c r="AU18" i="16"/>
  <c r="AQ18" i="16"/>
  <c r="AL18" i="16"/>
  <c r="AH18" i="16"/>
  <c r="AC18" i="16"/>
  <c r="Y18" i="16"/>
  <c r="T18" i="16"/>
  <c r="P18" i="16"/>
  <c r="DK18" i="16" s="1"/>
  <c r="K18" i="16"/>
  <c r="G18" i="16"/>
  <c r="DN17" i="16"/>
  <c r="DM17" i="16"/>
  <c r="DL17" i="16"/>
  <c r="DJ17" i="16"/>
  <c r="DI17" i="16"/>
  <c r="DH17" i="16"/>
  <c r="DF17" i="16"/>
  <c r="DB17" i="16"/>
  <c r="CW17" i="16"/>
  <c r="CS17" i="16"/>
  <c r="CN17" i="16"/>
  <c r="CJ17" i="16"/>
  <c r="CE17" i="16"/>
  <c r="CA17" i="16"/>
  <c r="BV17" i="16"/>
  <c r="BR17" i="16"/>
  <c r="BM17" i="16"/>
  <c r="BI17" i="16"/>
  <c r="BD17" i="16"/>
  <c r="AZ17" i="16"/>
  <c r="AU17" i="16"/>
  <c r="AQ17" i="16"/>
  <c r="AL17" i="16"/>
  <c r="AH17" i="16"/>
  <c r="AC17" i="16"/>
  <c r="Y17" i="16"/>
  <c r="T17" i="16"/>
  <c r="P17" i="16"/>
  <c r="K17" i="16"/>
  <c r="G17" i="16"/>
  <c r="DN16" i="16"/>
  <c r="DM16" i="16"/>
  <c r="DL16" i="16"/>
  <c r="DJ16" i="16"/>
  <c r="DI16" i="16"/>
  <c r="DH16" i="16"/>
  <c r="DF16" i="16"/>
  <c r="DB16" i="16"/>
  <c r="CW16" i="16"/>
  <c r="CS16" i="16"/>
  <c r="CN16" i="16"/>
  <c r="CJ16" i="16"/>
  <c r="CE16" i="16"/>
  <c r="CA16" i="16"/>
  <c r="BV16" i="16"/>
  <c r="BR16" i="16"/>
  <c r="BM16" i="16"/>
  <c r="BI16" i="16"/>
  <c r="BD16" i="16"/>
  <c r="AZ16" i="16"/>
  <c r="AU16" i="16"/>
  <c r="AQ16" i="16"/>
  <c r="AL16" i="16"/>
  <c r="AH16" i="16"/>
  <c r="AC16" i="16"/>
  <c r="Y16" i="16"/>
  <c r="T16" i="16"/>
  <c r="P16" i="16"/>
  <c r="K16" i="16"/>
  <c r="G16" i="16"/>
  <c r="DK16" i="16" s="1"/>
  <c r="DN15" i="16"/>
  <c r="DM15" i="16"/>
  <c r="DL15" i="16"/>
  <c r="DJ15" i="16"/>
  <c r="DI15" i="16"/>
  <c r="DH15" i="16"/>
  <c r="DF15" i="16"/>
  <c r="DB15" i="16"/>
  <c r="CW15" i="16"/>
  <c r="CS15" i="16"/>
  <c r="CN15" i="16"/>
  <c r="CJ15" i="16"/>
  <c r="CE15" i="16"/>
  <c r="CA15" i="16"/>
  <c r="BV15" i="16"/>
  <c r="BR15" i="16"/>
  <c r="BM15" i="16"/>
  <c r="BI15" i="16"/>
  <c r="BD15" i="16"/>
  <c r="AZ15" i="16"/>
  <c r="AV15" i="16"/>
  <c r="AU15" i="16"/>
  <c r="AQ15" i="16"/>
  <c r="AL15" i="16"/>
  <c r="AH15" i="16"/>
  <c r="AC15" i="16"/>
  <c r="Y15" i="16"/>
  <c r="T15" i="16"/>
  <c r="P15" i="16"/>
  <c r="K15" i="16"/>
  <c r="G15" i="16"/>
  <c r="DN14" i="16"/>
  <c r="DM14" i="16"/>
  <c r="DL14" i="16"/>
  <c r="DJ14" i="16"/>
  <c r="DI14" i="16"/>
  <c r="DH14" i="16"/>
  <c r="DF14" i="16"/>
  <c r="DB14" i="16"/>
  <c r="CW14" i="16"/>
  <c r="CS14" i="16"/>
  <c r="CN14" i="16"/>
  <c r="CJ14" i="16"/>
  <c r="CE14" i="16"/>
  <c r="CA14" i="16"/>
  <c r="BV14" i="16"/>
  <c r="BR14" i="16"/>
  <c r="BM14" i="16"/>
  <c r="BI14" i="16"/>
  <c r="BD14" i="16"/>
  <c r="AZ14" i="16"/>
  <c r="AU14" i="16"/>
  <c r="AQ14" i="16"/>
  <c r="AL14" i="16"/>
  <c r="AH14" i="16"/>
  <c r="AC14" i="16"/>
  <c r="Y14" i="16"/>
  <c r="T14" i="16"/>
  <c r="P14" i="16"/>
  <c r="K14" i="16"/>
  <c r="G14" i="16"/>
  <c r="DN13" i="16"/>
  <c r="DM13" i="16"/>
  <c r="DL13" i="16"/>
  <c r="DJ13" i="16"/>
  <c r="DI13" i="16"/>
  <c r="DH13" i="16"/>
  <c r="DF13" i="16"/>
  <c r="DB13" i="16"/>
  <c r="CW13" i="16"/>
  <c r="CS13" i="16"/>
  <c r="CN13" i="16"/>
  <c r="CJ13" i="16"/>
  <c r="CE13" i="16"/>
  <c r="CA13" i="16"/>
  <c r="BV13" i="16"/>
  <c r="BR13" i="16"/>
  <c r="BM13" i="16"/>
  <c r="BI13" i="16"/>
  <c r="BD13" i="16"/>
  <c r="AZ13" i="16"/>
  <c r="AU13" i="16"/>
  <c r="AQ13" i="16"/>
  <c r="AL13" i="16"/>
  <c r="AH13" i="16"/>
  <c r="AC13" i="16"/>
  <c r="Y13" i="16"/>
  <c r="T13" i="16"/>
  <c r="P13" i="16"/>
  <c r="K13" i="16"/>
  <c r="G13" i="16"/>
  <c r="DN12" i="16"/>
  <c r="DM12" i="16"/>
  <c r="DL12" i="16"/>
  <c r="DJ12" i="16"/>
  <c r="DI12" i="16"/>
  <c r="DH12" i="16"/>
  <c r="DF12" i="16"/>
  <c r="DB12" i="16"/>
  <c r="CW12" i="16"/>
  <c r="CS12" i="16"/>
  <c r="CN12" i="16"/>
  <c r="CJ12" i="16"/>
  <c r="CE12" i="16"/>
  <c r="CA12" i="16"/>
  <c r="BV12" i="16"/>
  <c r="BR12" i="16"/>
  <c r="BM12" i="16"/>
  <c r="BI12" i="16"/>
  <c r="BD12" i="16"/>
  <c r="AZ12" i="16"/>
  <c r="AU12" i="16"/>
  <c r="AQ12" i="16"/>
  <c r="AL12" i="16"/>
  <c r="AH12" i="16"/>
  <c r="AC12" i="16"/>
  <c r="Y12" i="16"/>
  <c r="T12" i="16"/>
  <c r="P12" i="16"/>
  <c r="K12" i="16"/>
  <c r="G12" i="16"/>
  <c r="DN11" i="16"/>
  <c r="DM11" i="16"/>
  <c r="DL11" i="16"/>
  <c r="DJ11" i="16"/>
  <c r="DI11" i="16"/>
  <c r="DH11" i="16"/>
  <c r="DF11" i="16"/>
  <c r="DB11" i="16"/>
  <c r="CW11" i="16"/>
  <c r="CS11" i="16"/>
  <c r="CN11" i="16"/>
  <c r="CJ11" i="16"/>
  <c r="CE11" i="16"/>
  <c r="CA11" i="16"/>
  <c r="BV11" i="16"/>
  <c r="BR11" i="16"/>
  <c r="BM11" i="16"/>
  <c r="BI11" i="16"/>
  <c r="BD11" i="16"/>
  <c r="AZ11" i="16"/>
  <c r="AU11" i="16"/>
  <c r="AQ11" i="16"/>
  <c r="AL11" i="16"/>
  <c r="AH11" i="16"/>
  <c r="AC11" i="16"/>
  <c r="Y11" i="16"/>
  <c r="T11" i="16"/>
  <c r="P11" i="16"/>
  <c r="L11" i="16"/>
  <c r="K11" i="16"/>
  <c r="G11" i="16"/>
  <c r="DO10" i="16"/>
  <c r="DN10" i="16"/>
  <c r="DM10" i="16"/>
  <c r="DL10" i="16"/>
  <c r="DK10" i="16"/>
  <c r="DJ10" i="16"/>
  <c r="DI10" i="16"/>
  <c r="DH10" i="16"/>
  <c r="DO9" i="16"/>
  <c r="DN9" i="16"/>
  <c r="DM9" i="16"/>
  <c r="DL9" i="16"/>
  <c r="DK9" i="16"/>
  <c r="DJ9" i="16"/>
  <c r="DI9" i="16"/>
  <c r="DH9" i="16"/>
  <c r="DN8" i="16"/>
  <c r="DM8" i="16"/>
  <c r="DL8" i="16"/>
  <c r="DJ8" i="16"/>
  <c r="DI8" i="16"/>
  <c r="DH8" i="16"/>
  <c r="DF8" i="16"/>
  <c r="DB8" i="16"/>
  <c r="CW8" i="16"/>
  <c r="CS8" i="16"/>
  <c r="CN8" i="16"/>
  <c r="CJ8" i="16"/>
  <c r="CE8" i="16"/>
  <c r="CA8" i="16"/>
  <c r="BV8" i="16"/>
  <c r="BR8" i="16"/>
  <c r="BM8" i="16"/>
  <c r="BI8" i="16"/>
  <c r="BD8" i="16"/>
  <c r="AZ8" i="16"/>
  <c r="AU8" i="16"/>
  <c r="AQ8" i="16"/>
  <c r="AL8" i="16"/>
  <c r="AH8" i="16"/>
  <c r="AC8" i="16"/>
  <c r="Y8" i="16"/>
  <c r="T8" i="16"/>
  <c r="P8" i="16"/>
  <c r="K8" i="16"/>
  <c r="DO8" i="16" s="1"/>
  <c r="G8" i="16"/>
  <c r="DN7" i="16"/>
  <c r="DM7" i="16"/>
  <c r="DL7" i="16"/>
  <c r="DJ7" i="16"/>
  <c r="DI7" i="16"/>
  <c r="DH7" i="16"/>
  <c r="DF7" i="16"/>
  <c r="DB7" i="16"/>
  <c r="CW7" i="16"/>
  <c r="CS7" i="16"/>
  <c r="CN7" i="16"/>
  <c r="CJ7" i="16"/>
  <c r="CE7" i="16"/>
  <c r="CA7" i="16"/>
  <c r="BV7" i="16"/>
  <c r="BR7" i="16"/>
  <c r="BM7" i="16"/>
  <c r="BI7" i="16"/>
  <c r="BD7" i="16"/>
  <c r="AZ7" i="16"/>
  <c r="AU7" i="16"/>
  <c r="AQ7" i="16"/>
  <c r="AL7" i="16"/>
  <c r="AH7" i="16"/>
  <c r="AC7" i="16"/>
  <c r="Y7" i="16"/>
  <c r="T7" i="16"/>
  <c r="P7" i="16"/>
  <c r="K7" i="16"/>
  <c r="G7" i="16"/>
  <c r="DN6" i="16"/>
  <c r="DM6" i="16"/>
  <c r="DL6" i="16"/>
  <c r="DJ6" i="16"/>
  <c r="DI6" i="16"/>
  <c r="DH6" i="16"/>
  <c r="DF6" i="16"/>
  <c r="DB6" i="16"/>
  <c r="CW6" i="16"/>
  <c r="CS6" i="16"/>
  <c r="CN6" i="16"/>
  <c r="CJ6" i="16"/>
  <c r="CE6" i="16"/>
  <c r="CA6" i="16"/>
  <c r="BV6" i="16"/>
  <c r="BR6" i="16"/>
  <c r="BM6" i="16"/>
  <c r="BI6" i="16"/>
  <c r="BD6" i="16"/>
  <c r="AZ6" i="16"/>
  <c r="AU6" i="16"/>
  <c r="AQ6" i="16"/>
  <c r="AL6" i="16"/>
  <c r="AH6" i="16"/>
  <c r="AC6" i="16"/>
  <c r="Y6" i="16"/>
  <c r="T6" i="16"/>
  <c r="P6" i="16"/>
  <c r="DK6" i="16" s="1"/>
  <c r="K6" i="16"/>
  <c r="G6" i="16"/>
  <c r="DN5" i="16"/>
  <c r="DM5" i="16"/>
  <c r="DL5" i="16"/>
  <c r="DJ5" i="16"/>
  <c r="DI5" i="16"/>
  <c r="DH5" i="16"/>
  <c r="DF5" i="16"/>
  <c r="DB5" i="16"/>
  <c r="CW5" i="16"/>
  <c r="CX5" i="16" s="1"/>
  <c r="CS5" i="16"/>
  <c r="CN5" i="16"/>
  <c r="CJ5" i="16"/>
  <c r="CE5" i="16"/>
  <c r="CA5" i="16"/>
  <c r="BV5" i="16"/>
  <c r="BR5" i="16"/>
  <c r="BN5" i="16"/>
  <c r="BM5" i="16"/>
  <c r="BI5" i="16"/>
  <c r="BD5" i="16"/>
  <c r="AZ5" i="16"/>
  <c r="AU5" i="16"/>
  <c r="AQ5" i="16"/>
  <c r="AL5" i="16"/>
  <c r="AH5" i="16"/>
  <c r="AC5" i="16"/>
  <c r="Y5" i="16"/>
  <c r="T5" i="16"/>
  <c r="P5" i="16"/>
  <c r="K5" i="16"/>
  <c r="G5" i="16"/>
  <c r="CY3" i="16"/>
  <c r="DG14" i="16" s="1"/>
  <c r="CP3" i="16"/>
  <c r="CX11" i="16" s="1"/>
  <c r="CG3" i="16"/>
  <c r="BX3" i="16"/>
  <c r="CF38" i="16" s="1"/>
  <c r="BO3" i="16"/>
  <c r="BW26" i="16" s="1"/>
  <c r="BF3" i="16"/>
  <c r="BN17" i="16" s="1"/>
  <c r="AW3" i="16"/>
  <c r="AN3" i="16"/>
  <c r="AE3" i="16"/>
  <c r="AM26" i="16" s="1"/>
  <c r="V3" i="16"/>
  <c r="AD13" i="16" s="1"/>
  <c r="M3" i="16"/>
  <c r="U8" i="16" s="1"/>
  <c r="D3" i="16"/>
  <c r="L45" i="16" s="1"/>
  <c r="DH2" i="16"/>
  <c r="DH3" i="16" s="1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R52" i="15"/>
  <c r="Q52" i="15"/>
  <c r="Q51" i="15" s="1"/>
  <c r="P52" i="15"/>
  <c r="O52" i="15"/>
  <c r="N52" i="15"/>
  <c r="N51" i="15" s="1"/>
  <c r="M52" i="15"/>
  <c r="M51" i="15" s="1"/>
  <c r="L52" i="15"/>
  <c r="K52" i="15"/>
  <c r="J52" i="15"/>
  <c r="J51" i="15" s="1"/>
  <c r="I52" i="15"/>
  <c r="I51" i="15" s="1"/>
  <c r="H52" i="15"/>
  <c r="G52" i="15"/>
  <c r="F52" i="15"/>
  <c r="F51" i="15" s="1"/>
  <c r="R51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R49" i="15"/>
  <c r="Q49" i="15"/>
  <c r="P49" i="15"/>
  <c r="P48" i="15" s="1"/>
  <c r="O49" i="15"/>
  <c r="N49" i="15"/>
  <c r="M49" i="15"/>
  <c r="L49" i="15"/>
  <c r="L48" i="15" s="1"/>
  <c r="K49" i="15"/>
  <c r="J49" i="15"/>
  <c r="I49" i="15"/>
  <c r="H49" i="15"/>
  <c r="H48" i="15" s="1"/>
  <c r="G49" i="15"/>
  <c r="F49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R45" i="15"/>
  <c r="Q45" i="15"/>
  <c r="P45" i="15"/>
  <c r="O45" i="15"/>
  <c r="O44" i="15" s="1"/>
  <c r="O43" i="15" s="1"/>
  <c r="N45" i="15"/>
  <c r="M45" i="15"/>
  <c r="M44" i="15" s="1"/>
  <c r="M43" i="15" s="1"/>
  <c r="L45" i="15"/>
  <c r="K45" i="15"/>
  <c r="K44" i="15" s="1"/>
  <c r="K43" i="15" s="1"/>
  <c r="J45" i="15"/>
  <c r="I45" i="15"/>
  <c r="I44" i="15" s="1"/>
  <c r="I43" i="15" s="1"/>
  <c r="H45" i="15"/>
  <c r="G45" i="15"/>
  <c r="G44" i="15" s="1"/>
  <c r="G43" i="15" s="1"/>
  <c r="F45" i="15"/>
  <c r="Q44" i="15"/>
  <c r="Q43" i="15" s="1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R30" i="15"/>
  <c r="R29" i="15" s="1"/>
  <c r="Q30" i="15"/>
  <c r="P30" i="15"/>
  <c r="O30" i="15"/>
  <c r="O29" i="15" s="1"/>
  <c r="N30" i="15"/>
  <c r="N29" i="15" s="1"/>
  <c r="M30" i="15"/>
  <c r="L30" i="15"/>
  <c r="K30" i="15"/>
  <c r="J30" i="15"/>
  <c r="J29" i="15" s="1"/>
  <c r="I30" i="15"/>
  <c r="H30" i="15"/>
  <c r="G30" i="15"/>
  <c r="F30" i="15"/>
  <c r="F29" i="15" s="1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R26" i="15"/>
  <c r="Q26" i="15"/>
  <c r="P26" i="15"/>
  <c r="O26" i="15"/>
  <c r="O25" i="15" s="1"/>
  <c r="N26" i="15"/>
  <c r="M26" i="15"/>
  <c r="L26" i="15"/>
  <c r="K26" i="15"/>
  <c r="K25" i="15" s="1"/>
  <c r="J26" i="15"/>
  <c r="I26" i="15"/>
  <c r="H26" i="15"/>
  <c r="G26" i="15"/>
  <c r="G25" i="15" s="1"/>
  <c r="F26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R22" i="15"/>
  <c r="R21" i="15" s="1"/>
  <c r="Q22" i="15"/>
  <c r="P22" i="15"/>
  <c r="O22" i="15"/>
  <c r="N22" i="15"/>
  <c r="N21" i="15" s="1"/>
  <c r="M22" i="15"/>
  <c r="M21" i="15" s="1"/>
  <c r="L22" i="15"/>
  <c r="K22" i="15"/>
  <c r="J22" i="15"/>
  <c r="J21" i="15" s="1"/>
  <c r="I22" i="15"/>
  <c r="I21" i="15" s="1"/>
  <c r="H22" i="15"/>
  <c r="G22" i="15"/>
  <c r="G21" i="15" s="1"/>
  <c r="F22" i="15"/>
  <c r="F21" i="15" s="1"/>
  <c r="O21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R19" i="15"/>
  <c r="Q19" i="15"/>
  <c r="Q18" i="15" s="1"/>
  <c r="P19" i="15"/>
  <c r="O19" i="15"/>
  <c r="N19" i="15"/>
  <c r="N18" i="15" s="1"/>
  <c r="M19" i="15"/>
  <c r="M18" i="15" s="1"/>
  <c r="L19" i="15"/>
  <c r="K19" i="15"/>
  <c r="J19" i="15"/>
  <c r="J18" i="15" s="1"/>
  <c r="I19" i="15"/>
  <c r="I18" i="15" s="1"/>
  <c r="H19" i="15"/>
  <c r="G19" i="15"/>
  <c r="F19" i="15"/>
  <c r="F18" i="15" s="1"/>
  <c r="R18" i="15"/>
  <c r="O18" i="15"/>
  <c r="G18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R16" i="15"/>
  <c r="Q16" i="15"/>
  <c r="Q15" i="15" s="1"/>
  <c r="P16" i="15"/>
  <c r="O16" i="15"/>
  <c r="N16" i="15"/>
  <c r="M16" i="15"/>
  <c r="M15" i="15" s="1"/>
  <c r="L16" i="15"/>
  <c r="K16" i="15"/>
  <c r="J16" i="15"/>
  <c r="I16" i="15"/>
  <c r="I15" i="15" s="1"/>
  <c r="H16" i="15"/>
  <c r="G16" i="15"/>
  <c r="F16" i="15"/>
  <c r="R14" i="15"/>
  <c r="R13" i="15" s="1"/>
  <c r="Q14" i="15"/>
  <c r="P14" i="15"/>
  <c r="O14" i="15"/>
  <c r="N14" i="15"/>
  <c r="N13" i="15" s="1"/>
  <c r="M14" i="15"/>
  <c r="M13" i="15" s="1"/>
  <c r="L14" i="15"/>
  <c r="K14" i="15"/>
  <c r="K13" i="15" s="1"/>
  <c r="J14" i="15"/>
  <c r="J13" i="15" s="1"/>
  <c r="I14" i="15"/>
  <c r="I13" i="15" s="1"/>
  <c r="H14" i="15"/>
  <c r="H13" i="15" s="1"/>
  <c r="G14" i="15"/>
  <c r="G13" i="15" s="1"/>
  <c r="F14" i="15"/>
  <c r="F13" i="15" s="1"/>
  <c r="Q13" i="15"/>
  <c r="P13" i="15"/>
  <c r="O13" i="15"/>
  <c r="L13" i="15"/>
  <c r="R10" i="15"/>
  <c r="R9" i="15" s="1"/>
  <c r="Q10" i="15"/>
  <c r="P10" i="15"/>
  <c r="O10" i="15"/>
  <c r="N10" i="15"/>
  <c r="N9" i="15" s="1"/>
  <c r="M10" i="15"/>
  <c r="M9" i="15" s="1"/>
  <c r="L10" i="15"/>
  <c r="L9" i="15" s="1"/>
  <c r="K10" i="15"/>
  <c r="K9" i="15" s="1"/>
  <c r="J10" i="15"/>
  <c r="J9" i="15" s="1"/>
  <c r="I10" i="15"/>
  <c r="H10" i="15"/>
  <c r="H9" i="15" s="1"/>
  <c r="G10" i="15"/>
  <c r="G9" i="15" s="1"/>
  <c r="F10" i="15"/>
  <c r="F9" i="15" s="1"/>
  <c r="Q9" i="15"/>
  <c r="P9" i="15"/>
  <c r="O9" i="15"/>
  <c r="I9" i="15"/>
  <c r="R8" i="15"/>
  <c r="Q8" i="15"/>
  <c r="Q7" i="15" s="1"/>
  <c r="P8" i="15"/>
  <c r="P7" i="15" s="1"/>
  <c r="O8" i="15"/>
  <c r="O7" i="15" s="1"/>
  <c r="N8" i="15"/>
  <c r="M8" i="15"/>
  <c r="L8" i="15"/>
  <c r="L7" i="15" s="1"/>
  <c r="K8" i="15"/>
  <c r="K7" i="15" s="1"/>
  <c r="J8" i="15"/>
  <c r="J7" i="15" s="1"/>
  <c r="I8" i="15"/>
  <c r="I7" i="15" s="1"/>
  <c r="H8" i="15"/>
  <c r="H7" i="15" s="1"/>
  <c r="G8" i="15"/>
  <c r="G7" i="15" s="1"/>
  <c r="F8" i="15"/>
  <c r="F7" i="15" s="1"/>
  <c r="R7" i="15"/>
  <c r="N7" i="15"/>
  <c r="M7" i="15"/>
  <c r="Q3" i="15"/>
  <c r="P3" i="15"/>
  <c r="O3" i="15"/>
  <c r="N3" i="15"/>
  <c r="M3" i="15"/>
  <c r="L3" i="15"/>
  <c r="K3" i="15"/>
  <c r="J3" i="15"/>
  <c r="I3" i="15"/>
  <c r="H3" i="15"/>
  <c r="G3" i="15"/>
  <c r="F3" i="15"/>
  <c r="H44" i="15" l="1"/>
  <c r="H43" i="15" s="1"/>
  <c r="L44" i="15"/>
  <c r="L43" i="15" s="1"/>
  <c r="P44" i="15"/>
  <c r="P43" i="15" s="1"/>
  <c r="Q39" i="15"/>
  <c r="J15" i="15"/>
  <c r="R15" i="15"/>
  <c r="I35" i="15"/>
  <c r="BW7" i="16"/>
  <c r="BW29" i="16"/>
  <c r="O24" i="15"/>
  <c r="M35" i="15"/>
  <c r="Q35" i="15"/>
  <c r="Q34" i="15" s="1"/>
  <c r="AV41" i="16"/>
  <c r="DK5" i="16"/>
  <c r="DP5" i="16" s="1"/>
  <c r="L7" i="16"/>
  <c r="DO7" i="16"/>
  <c r="DG7" i="16"/>
  <c r="AV8" i="16"/>
  <c r="CF8" i="16"/>
  <c r="AV11" i="16"/>
  <c r="AV12" i="16"/>
  <c r="DK14" i="16"/>
  <c r="DP14" i="16" s="1"/>
  <c r="CF19" i="16"/>
  <c r="CF23" i="16"/>
  <c r="DO29" i="16"/>
  <c r="DG33" i="16"/>
  <c r="DO37" i="16"/>
  <c r="DK56" i="16"/>
  <c r="DO60" i="16"/>
  <c r="DG48" i="16"/>
  <c r="I6" i="15"/>
  <c r="Q6" i="15"/>
  <c r="I12" i="15"/>
  <c r="I11" i="15" s="1"/>
  <c r="M12" i="15"/>
  <c r="M11" i="15" s="1"/>
  <c r="Q12" i="15"/>
  <c r="H35" i="15"/>
  <c r="L35" i="15"/>
  <c r="P35" i="15"/>
  <c r="I48" i="15"/>
  <c r="M48" i="15"/>
  <c r="Q48" i="15"/>
  <c r="CO16" i="16"/>
  <c r="DO5" i="16"/>
  <c r="AV5" i="16"/>
  <c r="AM6" i="16"/>
  <c r="DK7" i="16"/>
  <c r="AV7" i="16"/>
  <c r="DK8" i="16"/>
  <c r="DK11" i="16"/>
  <c r="DK12" i="16"/>
  <c r="DP12" i="16" s="1"/>
  <c r="CF12" i="16"/>
  <c r="AM14" i="16"/>
  <c r="DO16" i="16"/>
  <c r="BW18" i="16"/>
  <c r="CX21" i="16"/>
  <c r="DK29" i="16"/>
  <c r="DO31" i="16"/>
  <c r="DK37" i="16"/>
  <c r="DP37" i="16" s="1"/>
  <c r="DK38" i="16"/>
  <c r="DK41" i="16"/>
  <c r="AM44" i="16"/>
  <c r="DK45" i="16"/>
  <c r="DP45" i="16" s="1"/>
  <c r="DK47" i="16"/>
  <c r="DO49" i="16"/>
  <c r="DO51" i="16"/>
  <c r="DO55" i="16"/>
  <c r="DK60" i="16"/>
  <c r="DG6" i="16"/>
  <c r="BW11" i="16"/>
  <c r="DO22" i="16"/>
  <c r="M6" i="15"/>
  <c r="F15" i="15"/>
  <c r="N15" i="15"/>
  <c r="H18" i="15"/>
  <c r="L18" i="15"/>
  <c r="K18" i="15"/>
  <c r="H21" i="15"/>
  <c r="L21" i="15"/>
  <c r="P21" i="15"/>
  <c r="K21" i="15"/>
  <c r="G29" i="15"/>
  <c r="K29" i="15"/>
  <c r="K24" i="15" s="1"/>
  <c r="I39" i="15"/>
  <c r="M39" i="15"/>
  <c r="G48" i="15"/>
  <c r="K48" i="15"/>
  <c r="O48" i="15"/>
  <c r="AD25" i="16"/>
  <c r="BN25" i="16"/>
  <c r="AD5" i="16"/>
  <c r="CF5" i="16"/>
  <c r="DO6" i="16"/>
  <c r="BW6" i="16"/>
  <c r="AM7" i="16"/>
  <c r="CF7" i="16"/>
  <c r="DO11" i="16"/>
  <c r="DO14" i="16"/>
  <c r="L15" i="16"/>
  <c r="DK17" i="16"/>
  <c r="DO18" i="16"/>
  <c r="L19" i="16"/>
  <c r="DO19" i="16"/>
  <c r="DO20" i="16"/>
  <c r="DG22" i="16"/>
  <c r="DO26" i="16"/>
  <c r="DK32" i="16"/>
  <c r="DO42" i="16"/>
  <c r="DO45" i="16"/>
  <c r="DK49" i="16"/>
  <c r="AM56" i="16"/>
  <c r="DO61" i="16"/>
  <c r="I47" i="15"/>
  <c r="M47" i="15"/>
  <c r="Q47" i="15"/>
  <c r="Q33" i="15" s="1"/>
  <c r="I34" i="15"/>
  <c r="F12" i="15"/>
  <c r="F11" i="15" s="1"/>
  <c r="N12" i="15"/>
  <c r="N11" i="15" s="1"/>
  <c r="P18" i="15"/>
  <c r="I29" i="15"/>
  <c r="H29" i="15"/>
  <c r="P29" i="15"/>
  <c r="G35" i="15"/>
  <c r="O35" i="15"/>
  <c r="J35" i="15"/>
  <c r="R35" i="15"/>
  <c r="F48" i="15"/>
  <c r="F47" i="15" s="1"/>
  <c r="N48" i="15"/>
  <c r="N47" i="15" s="1"/>
  <c r="O6" i="15"/>
  <c r="Q21" i="15"/>
  <c r="Q11" i="15" s="1"/>
  <c r="F44" i="15"/>
  <c r="F43" i="15" s="1"/>
  <c r="J44" i="15"/>
  <c r="J43" i="15" s="1"/>
  <c r="N44" i="15"/>
  <c r="N43" i="15" s="1"/>
  <c r="R44" i="15"/>
  <c r="R43" i="15" s="1"/>
  <c r="G6" i="15"/>
  <c r="G24" i="15"/>
  <c r="J12" i="15"/>
  <c r="J11" i="15" s="1"/>
  <c r="R12" i="15"/>
  <c r="R11" i="15" s="1"/>
  <c r="M29" i="15"/>
  <c r="Q29" i="15"/>
  <c r="L29" i="15"/>
  <c r="K35" i="15"/>
  <c r="F35" i="15"/>
  <c r="N35" i="15"/>
  <c r="J48" i="15"/>
  <c r="J47" i="15" s="1"/>
  <c r="R48" i="15"/>
  <c r="R47" i="15" s="1"/>
  <c r="K6" i="15"/>
  <c r="H6" i="15"/>
  <c r="L6" i="15"/>
  <c r="P6" i="15"/>
  <c r="J6" i="15"/>
  <c r="N6" i="15"/>
  <c r="R6" i="15"/>
  <c r="H15" i="15"/>
  <c r="L15" i="15"/>
  <c r="L12" i="15" s="1"/>
  <c r="P15" i="15"/>
  <c r="P12" i="15" s="1"/>
  <c r="P11" i="15" s="1"/>
  <c r="G15" i="15"/>
  <c r="G12" i="15" s="1"/>
  <c r="G11" i="15" s="1"/>
  <c r="K15" i="15"/>
  <c r="K12" i="15" s="1"/>
  <c r="K11" i="15" s="1"/>
  <c r="O15" i="15"/>
  <c r="F25" i="15"/>
  <c r="F24" i="15" s="1"/>
  <c r="J25" i="15"/>
  <c r="J24" i="15" s="1"/>
  <c r="N25" i="15"/>
  <c r="N24" i="15" s="1"/>
  <c r="R25" i="15"/>
  <c r="R24" i="15" s="1"/>
  <c r="I25" i="15"/>
  <c r="I24" i="15" s="1"/>
  <c r="I5" i="15" s="1"/>
  <c r="M25" i="15"/>
  <c r="M24" i="15" s="1"/>
  <c r="Q25" i="15"/>
  <c r="H25" i="15"/>
  <c r="L25" i="15"/>
  <c r="P25" i="15"/>
  <c r="P24" i="15" s="1"/>
  <c r="H39" i="15"/>
  <c r="L39" i="15"/>
  <c r="P39" i="15"/>
  <c r="G39" i="15"/>
  <c r="K39" i="15"/>
  <c r="O39" i="15"/>
  <c r="F39" i="15"/>
  <c r="J39" i="15"/>
  <c r="N39" i="15"/>
  <c r="R39" i="15"/>
  <c r="H51" i="15"/>
  <c r="H47" i="15" s="1"/>
  <c r="L51" i="15"/>
  <c r="L47" i="15" s="1"/>
  <c r="P51" i="15"/>
  <c r="G51" i="15"/>
  <c r="K51" i="15"/>
  <c r="O51" i="15"/>
  <c r="O47" i="15" s="1"/>
  <c r="DP49" i="16"/>
  <c r="DP41" i="16"/>
  <c r="DP60" i="16"/>
  <c r="DP56" i="16"/>
  <c r="DP52" i="16"/>
  <c r="DP48" i="16"/>
  <c r="DP26" i="16"/>
  <c r="DP33" i="16"/>
  <c r="DP29" i="16"/>
  <c r="DP16" i="16"/>
  <c r="DP22" i="16"/>
  <c r="DP18" i="16"/>
  <c r="DP8" i="16"/>
  <c r="DP7" i="16"/>
  <c r="DP9" i="16"/>
  <c r="DP10" i="16"/>
  <c r="DP6" i="16"/>
  <c r="DP11" i="16"/>
  <c r="BE61" i="16"/>
  <c r="BE57" i="16"/>
  <c r="BE53" i="16"/>
  <c r="BE49" i="16"/>
  <c r="BE45" i="16"/>
  <c r="BE41" i="16"/>
  <c r="BE60" i="16"/>
  <c r="BE56" i="16"/>
  <c r="BE52" i="16"/>
  <c r="BE48" i="16"/>
  <c r="BE44" i="16"/>
  <c r="BE59" i="16"/>
  <c r="BE55" i="16"/>
  <c r="BE51" i="16"/>
  <c r="BE47" i="16"/>
  <c r="BE50" i="16"/>
  <c r="BE46" i="16"/>
  <c r="BE38" i="16"/>
  <c r="BE34" i="16"/>
  <c r="BE30" i="16"/>
  <c r="BE54" i="16"/>
  <c r="BE37" i="16"/>
  <c r="BE33" i="16"/>
  <c r="BE29" i="16"/>
  <c r="BE58" i="16"/>
  <c r="BE42" i="16"/>
  <c r="BE40" i="16"/>
  <c r="BE36" i="16"/>
  <c r="BE32" i="16"/>
  <c r="BE28" i="16"/>
  <c r="BE35" i="16"/>
  <c r="BE27" i="16"/>
  <c r="BE23" i="16"/>
  <c r="BE19" i="16"/>
  <c r="BE15" i="16"/>
  <c r="BE11" i="16"/>
  <c r="BE39" i="16"/>
  <c r="BE26" i="16"/>
  <c r="BE22" i="16"/>
  <c r="BE18" i="16"/>
  <c r="BE14" i="16"/>
  <c r="BE62" i="16"/>
  <c r="BE43" i="16"/>
  <c r="BE25" i="16"/>
  <c r="BE21" i="16"/>
  <c r="BE17" i="16"/>
  <c r="BE13" i="16"/>
  <c r="BE8" i="16"/>
  <c r="CO8" i="16"/>
  <c r="CX62" i="16"/>
  <c r="CX58" i="16"/>
  <c r="CX54" i="16"/>
  <c r="CX50" i="16"/>
  <c r="CX46" i="16"/>
  <c r="CX42" i="16"/>
  <c r="CX61" i="16"/>
  <c r="CX57" i="16"/>
  <c r="CX53" i="16"/>
  <c r="CX49" i="16"/>
  <c r="CX45" i="16"/>
  <c r="CX41" i="16"/>
  <c r="CX60" i="16"/>
  <c r="CX56" i="16"/>
  <c r="CX52" i="16"/>
  <c r="CX48" i="16"/>
  <c r="CX51" i="16"/>
  <c r="CX40" i="16"/>
  <c r="CX39" i="16"/>
  <c r="CX35" i="16"/>
  <c r="CX31" i="16"/>
  <c r="CX55" i="16"/>
  <c r="CX38" i="16"/>
  <c r="CX34" i="16"/>
  <c r="CX30" i="16"/>
  <c r="CX59" i="16"/>
  <c r="CX44" i="16"/>
  <c r="CX43" i="16"/>
  <c r="CX37" i="16"/>
  <c r="CX33" i="16"/>
  <c r="CX29" i="16"/>
  <c r="CX47" i="16"/>
  <c r="CX36" i="16"/>
  <c r="CX24" i="16"/>
  <c r="CX20" i="16"/>
  <c r="CX16" i="16"/>
  <c r="CX12" i="16"/>
  <c r="CX23" i="16"/>
  <c r="CX19" i="16"/>
  <c r="CX15" i="16"/>
  <c r="CX26" i="16"/>
  <c r="CX22" i="16"/>
  <c r="CX18" i="16"/>
  <c r="CX14" i="16"/>
  <c r="BE5" i="16"/>
  <c r="CO5" i="16"/>
  <c r="AD6" i="16"/>
  <c r="CX6" i="16"/>
  <c r="L8" i="16"/>
  <c r="AM11" i="16"/>
  <c r="BN11" i="16"/>
  <c r="BE12" i="16"/>
  <c r="BN13" i="16"/>
  <c r="BW14" i="16"/>
  <c r="DO15" i="16"/>
  <c r="BE16" i="16"/>
  <c r="CX17" i="16"/>
  <c r="DG18" i="16"/>
  <c r="DK19" i="16"/>
  <c r="CO20" i="16"/>
  <c r="DO21" i="16"/>
  <c r="DP21" i="16" s="1"/>
  <c r="L30" i="16"/>
  <c r="CF42" i="16"/>
  <c r="DO44" i="16"/>
  <c r="DP44" i="16" s="1"/>
  <c r="AV46" i="16"/>
  <c r="L61" i="16"/>
  <c r="U61" i="16"/>
  <c r="U57" i="16"/>
  <c r="U53" i="16"/>
  <c r="U49" i="16"/>
  <c r="U45" i="16"/>
  <c r="U41" i="16"/>
  <c r="U60" i="16"/>
  <c r="U56" i="16"/>
  <c r="U52" i="16"/>
  <c r="U48" i="16"/>
  <c r="U44" i="16"/>
  <c r="U59" i="16"/>
  <c r="U55" i="16"/>
  <c r="U51" i="16"/>
  <c r="U47" i="16"/>
  <c r="U62" i="16"/>
  <c r="U42" i="16"/>
  <c r="U38" i="16"/>
  <c r="U34" i="16"/>
  <c r="U30" i="16"/>
  <c r="U50" i="16"/>
  <c r="U43" i="16"/>
  <c r="U37" i="16"/>
  <c r="U33" i="16"/>
  <c r="U29" i="16"/>
  <c r="U54" i="16"/>
  <c r="U46" i="16"/>
  <c r="U40" i="16"/>
  <c r="U36" i="16"/>
  <c r="U32" i="16"/>
  <c r="U28" i="16"/>
  <c r="U31" i="16"/>
  <c r="U23" i="16"/>
  <c r="U19" i="16"/>
  <c r="U15" i="16"/>
  <c r="U35" i="16"/>
  <c r="U26" i="16"/>
  <c r="U22" i="16"/>
  <c r="U18" i="16"/>
  <c r="U14" i="16"/>
  <c r="U58" i="16"/>
  <c r="U39" i="16"/>
  <c r="U27" i="16"/>
  <c r="U25" i="16"/>
  <c r="U21" i="16"/>
  <c r="U17" i="16"/>
  <c r="U13" i="16"/>
  <c r="BE20" i="16"/>
  <c r="AD62" i="16"/>
  <c r="AD58" i="16"/>
  <c r="AD54" i="16"/>
  <c r="AD50" i="16"/>
  <c r="AD46" i="16"/>
  <c r="AD42" i="16"/>
  <c r="AD61" i="16"/>
  <c r="AD57" i="16"/>
  <c r="AD53" i="16"/>
  <c r="AD49" i="16"/>
  <c r="AD45" i="16"/>
  <c r="AD41" i="16"/>
  <c r="AD60" i="16"/>
  <c r="AD56" i="16"/>
  <c r="AD52" i="16"/>
  <c r="AD48" i="16"/>
  <c r="AD59" i="16"/>
  <c r="AD39" i="16"/>
  <c r="AD35" i="16"/>
  <c r="AD31" i="16"/>
  <c r="AD47" i="16"/>
  <c r="AD38" i="16"/>
  <c r="AD34" i="16"/>
  <c r="AD30" i="16"/>
  <c r="AD51" i="16"/>
  <c r="AD44" i="16"/>
  <c r="AD43" i="16"/>
  <c r="AD37" i="16"/>
  <c r="AD33" i="16"/>
  <c r="AD29" i="16"/>
  <c r="AD55" i="16"/>
  <c r="AD24" i="16"/>
  <c r="AD20" i="16"/>
  <c r="AD16" i="16"/>
  <c r="AD12" i="16"/>
  <c r="AD32" i="16"/>
  <c r="AD23" i="16"/>
  <c r="AD19" i="16"/>
  <c r="AD15" i="16"/>
  <c r="AD36" i="16"/>
  <c r="AD26" i="16"/>
  <c r="AD22" i="16"/>
  <c r="AD18" i="16"/>
  <c r="AD14" i="16"/>
  <c r="BN6" i="16"/>
  <c r="AM59" i="16"/>
  <c r="AM55" i="16"/>
  <c r="AM51" i="16"/>
  <c r="AM47" i="16"/>
  <c r="AM43" i="16"/>
  <c r="AM62" i="16"/>
  <c r="AM58" i="16"/>
  <c r="AM54" i="16"/>
  <c r="AM50" i="16"/>
  <c r="AM46" i="16"/>
  <c r="AM42" i="16"/>
  <c r="AM61" i="16"/>
  <c r="AM57" i="16"/>
  <c r="AM53" i="16"/>
  <c r="AM49" i="16"/>
  <c r="AM60" i="16"/>
  <c r="AM45" i="16"/>
  <c r="AM40" i="16"/>
  <c r="AM36" i="16"/>
  <c r="AM32" i="16"/>
  <c r="AM48" i="16"/>
  <c r="AM39" i="16"/>
  <c r="AM35" i="16"/>
  <c r="AM31" i="16"/>
  <c r="AM27" i="16"/>
  <c r="AM52" i="16"/>
  <c r="AM41" i="16"/>
  <c r="AM38" i="16"/>
  <c r="AM34" i="16"/>
  <c r="AM30" i="16"/>
  <c r="AM29" i="16"/>
  <c r="AM28" i="16"/>
  <c r="AM25" i="16"/>
  <c r="AM21" i="16"/>
  <c r="AM17" i="16"/>
  <c r="AM13" i="16"/>
  <c r="AM33" i="16"/>
  <c r="AM24" i="16"/>
  <c r="AM20" i="16"/>
  <c r="AM16" i="16"/>
  <c r="AM37" i="16"/>
  <c r="AM23" i="16"/>
  <c r="AM19" i="16"/>
  <c r="AM15" i="16"/>
  <c r="BE6" i="16"/>
  <c r="BN7" i="16"/>
  <c r="CX7" i="16"/>
  <c r="AM8" i="16"/>
  <c r="U12" i="16"/>
  <c r="DK13" i="16"/>
  <c r="CX13" i="16"/>
  <c r="DK15" i="16"/>
  <c r="DP15" i="16" s="1"/>
  <c r="DO17" i="16"/>
  <c r="DP17" i="16" s="1"/>
  <c r="AD21" i="16"/>
  <c r="AM22" i="16"/>
  <c r="DO23" i="16"/>
  <c r="DP23" i="16" s="1"/>
  <c r="DK24" i="16"/>
  <c r="U24" i="16"/>
  <c r="AD27" i="16"/>
  <c r="AD28" i="16"/>
  <c r="BE31" i="16"/>
  <c r="CO61" i="16"/>
  <c r="CO57" i="16"/>
  <c r="CO53" i="16"/>
  <c r="CO49" i="16"/>
  <c r="CO45" i="16"/>
  <c r="CO41" i="16"/>
  <c r="CO60" i="16"/>
  <c r="CO56" i="16"/>
  <c r="CO52" i="16"/>
  <c r="CO48" i="16"/>
  <c r="CO44" i="16"/>
  <c r="CO40" i="16"/>
  <c r="CO59" i="16"/>
  <c r="CO55" i="16"/>
  <c r="CO51" i="16"/>
  <c r="CO47" i="16"/>
  <c r="CO54" i="16"/>
  <c r="CO42" i="16"/>
  <c r="CO38" i="16"/>
  <c r="CO34" i="16"/>
  <c r="CO30" i="16"/>
  <c r="CO58" i="16"/>
  <c r="CO43" i="16"/>
  <c r="CO37" i="16"/>
  <c r="CO33" i="16"/>
  <c r="CO29" i="16"/>
  <c r="CO62" i="16"/>
  <c r="CO46" i="16"/>
  <c r="CO36" i="16"/>
  <c r="CO32" i="16"/>
  <c r="CO28" i="16"/>
  <c r="CO39" i="16"/>
  <c r="CO23" i="16"/>
  <c r="CO19" i="16"/>
  <c r="CO15" i="16"/>
  <c r="CO11" i="16"/>
  <c r="CO26" i="16"/>
  <c r="CO22" i="16"/>
  <c r="CO18" i="16"/>
  <c r="CO14" i="16"/>
  <c r="CO31" i="16"/>
  <c r="CO27" i="16"/>
  <c r="CO25" i="16"/>
  <c r="CO21" i="16"/>
  <c r="CO17" i="16"/>
  <c r="CO13" i="16"/>
  <c r="U16" i="16"/>
  <c r="CO24" i="16"/>
  <c r="CO35" i="16"/>
  <c r="BN62" i="16"/>
  <c r="BN58" i="16"/>
  <c r="BN54" i="16"/>
  <c r="BN50" i="16"/>
  <c r="BN46" i="16"/>
  <c r="BN42" i="16"/>
  <c r="BN61" i="16"/>
  <c r="BN57" i="16"/>
  <c r="BN53" i="16"/>
  <c r="BN49" i="16"/>
  <c r="BN45" i="16"/>
  <c r="BN41" i="16"/>
  <c r="BN60" i="16"/>
  <c r="BN56" i="16"/>
  <c r="BN52" i="16"/>
  <c r="BN48" i="16"/>
  <c r="BN47" i="16"/>
  <c r="BN44" i="16"/>
  <c r="BN43" i="16"/>
  <c r="BN39" i="16"/>
  <c r="BN35" i="16"/>
  <c r="BN31" i="16"/>
  <c r="BN51" i="16"/>
  <c r="BN38" i="16"/>
  <c r="BN34" i="16"/>
  <c r="BN30" i="16"/>
  <c r="BN55" i="16"/>
  <c r="BN37" i="16"/>
  <c r="BN33" i="16"/>
  <c r="BN29" i="16"/>
  <c r="BN32" i="16"/>
  <c r="BN24" i="16"/>
  <c r="BN20" i="16"/>
  <c r="BN16" i="16"/>
  <c r="BN12" i="16"/>
  <c r="BN59" i="16"/>
  <c r="BN36" i="16"/>
  <c r="BN28" i="16"/>
  <c r="BN27" i="16"/>
  <c r="BN23" i="16"/>
  <c r="BN19" i="16"/>
  <c r="BN15" i="16"/>
  <c r="BN40" i="16"/>
  <c r="BN26" i="16"/>
  <c r="BN22" i="16"/>
  <c r="BN18" i="16"/>
  <c r="BN14" i="16"/>
  <c r="U5" i="16"/>
  <c r="BW59" i="16"/>
  <c r="BW55" i="16"/>
  <c r="BW51" i="16"/>
  <c r="BW47" i="16"/>
  <c r="BW43" i="16"/>
  <c r="BW62" i="16"/>
  <c r="BW58" i="16"/>
  <c r="BW54" i="16"/>
  <c r="BW50" i="16"/>
  <c r="BW46" i="16"/>
  <c r="BW42" i="16"/>
  <c r="BW61" i="16"/>
  <c r="BW57" i="16"/>
  <c r="BW53" i="16"/>
  <c r="BW49" i="16"/>
  <c r="BW48" i="16"/>
  <c r="BW41" i="16"/>
  <c r="BW40" i="16"/>
  <c r="BW36" i="16"/>
  <c r="BW32" i="16"/>
  <c r="BW52" i="16"/>
  <c r="BW44" i="16"/>
  <c r="BW39" i="16"/>
  <c r="BW35" i="16"/>
  <c r="BW31" i="16"/>
  <c r="BW27" i="16"/>
  <c r="BW56" i="16"/>
  <c r="BW45" i="16"/>
  <c r="BW38" i="16"/>
  <c r="BW34" i="16"/>
  <c r="BW30" i="16"/>
  <c r="BW60" i="16"/>
  <c r="BW33" i="16"/>
  <c r="BW25" i="16"/>
  <c r="BW21" i="16"/>
  <c r="BW17" i="16"/>
  <c r="BW13" i="16"/>
  <c r="BW37" i="16"/>
  <c r="BW24" i="16"/>
  <c r="BW20" i="16"/>
  <c r="BW16" i="16"/>
  <c r="BW12" i="16"/>
  <c r="BW28" i="16"/>
  <c r="BW23" i="16"/>
  <c r="BW19" i="16"/>
  <c r="BW15" i="16"/>
  <c r="DG59" i="16"/>
  <c r="DG55" i="16"/>
  <c r="DG51" i="16"/>
  <c r="DG47" i="16"/>
  <c r="DG43" i="16"/>
  <c r="DG62" i="16"/>
  <c r="DG58" i="16"/>
  <c r="DG54" i="16"/>
  <c r="DG50" i="16"/>
  <c r="DG46" i="16"/>
  <c r="DG42" i="16"/>
  <c r="DG61" i="16"/>
  <c r="DG57" i="16"/>
  <c r="DG53" i="16"/>
  <c r="DG49" i="16"/>
  <c r="DG52" i="16"/>
  <c r="DG45" i="16"/>
  <c r="DG36" i="16"/>
  <c r="DG32" i="16"/>
  <c r="DG56" i="16"/>
  <c r="DG40" i="16"/>
  <c r="DG39" i="16"/>
  <c r="DG35" i="16"/>
  <c r="DG31" i="16"/>
  <c r="DG27" i="16"/>
  <c r="DG60" i="16"/>
  <c r="DG41" i="16"/>
  <c r="DG38" i="16"/>
  <c r="DG34" i="16"/>
  <c r="DG30" i="16"/>
  <c r="DG37" i="16"/>
  <c r="DG28" i="16"/>
  <c r="DG25" i="16"/>
  <c r="DG21" i="16"/>
  <c r="DG17" i="16"/>
  <c r="DG13" i="16"/>
  <c r="DG24" i="16"/>
  <c r="DG20" i="16"/>
  <c r="DG16" i="16"/>
  <c r="DG12" i="16"/>
  <c r="DG44" i="16"/>
  <c r="DG29" i="16"/>
  <c r="DG23" i="16"/>
  <c r="DG19" i="16"/>
  <c r="DG15" i="16"/>
  <c r="L5" i="16"/>
  <c r="U6" i="16"/>
  <c r="CO6" i="16"/>
  <c r="AD7" i="16"/>
  <c r="BW8" i="16"/>
  <c r="DG8" i="16"/>
  <c r="AD11" i="16"/>
  <c r="DO12" i="16"/>
  <c r="L60" i="16"/>
  <c r="L56" i="16"/>
  <c r="L52" i="16"/>
  <c r="L48" i="16"/>
  <c r="L44" i="16"/>
  <c r="L59" i="16"/>
  <c r="L55" i="16"/>
  <c r="L51" i="16"/>
  <c r="L47" i="16"/>
  <c r="L43" i="16"/>
  <c r="L62" i="16"/>
  <c r="L58" i="16"/>
  <c r="L54" i="16"/>
  <c r="L50" i="16"/>
  <c r="L49" i="16"/>
  <c r="L37" i="16"/>
  <c r="L33" i="16"/>
  <c r="L29" i="16"/>
  <c r="L53" i="16"/>
  <c r="L46" i="16"/>
  <c r="L41" i="16"/>
  <c r="L40" i="16"/>
  <c r="L36" i="16"/>
  <c r="L32" i="16"/>
  <c r="L28" i="16"/>
  <c r="L57" i="16"/>
  <c r="L39" i="16"/>
  <c r="L35" i="16"/>
  <c r="L31" i="16"/>
  <c r="L27" i="16"/>
  <c r="L42" i="16"/>
  <c r="L34" i="16"/>
  <c r="L26" i="16"/>
  <c r="L22" i="16"/>
  <c r="L18" i="16"/>
  <c r="L14" i="16"/>
  <c r="L38" i="16"/>
  <c r="L25" i="16"/>
  <c r="L21" i="16"/>
  <c r="L17" i="16"/>
  <c r="L13" i="16"/>
  <c r="L24" i="16"/>
  <c r="L20" i="16"/>
  <c r="L16" i="16"/>
  <c r="AV60" i="16"/>
  <c r="AV56" i="16"/>
  <c r="AV52" i="16"/>
  <c r="AV48" i="16"/>
  <c r="AV44" i="16"/>
  <c r="AV59" i="16"/>
  <c r="AV55" i="16"/>
  <c r="AV51" i="16"/>
  <c r="AV47" i="16"/>
  <c r="AV43" i="16"/>
  <c r="AV62" i="16"/>
  <c r="AV58" i="16"/>
  <c r="AV54" i="16"/>
  <c r="AV50" i="16"/>
  <c r="AV53" i="16"/>
  <c r="AV37" i="16"/>
  <c r="AV33" i="16"/>
  <c r="AV29" i="16"/>
  <c r="AV57" i="16"/>
  <c r="AV45" i="16"/>
  <c r="AV42" i="16"/>
  <c r="AV40" i="16"/>
  <c r="AV36" i="16"/>
  <c r="AV32" i="16"/>
  <c r="AV28" i="16"/>
  <c r="AV61" i="16"/>
  <c r="AV39" i="16"/>
  <c r="AV35" i="16"/>
  <c r="AV31" i="16"/>
  <c r="AV27" i="16"/>
  <c r="AV49" i="16"/>
  <c r="AV38" i="16"/>
  <c r="AV26" i="16"/>
  <c r="AV22" i="16"/>
  <c r="AV18" i="16"/>
  <c r="AV14" i="16"/>
  <c r="AV25" i="16"/>
  <c r="AV21" i="16"/>
  <c r="AV17" i="16"/>
  <c r="AV13" i="16"/>
  <c r="AV30" i="16"/>
  <c r="AV24" i="16"/>
  <c r="AV20" i="16"/>
  <c r="AV16" i="16"/>
  <c r="CF60" i="16"/>
  <c r="CF56" i="16"/>
  <c r="CF52" i="16"/>
  <c r="CF48" i="16"/>
  <c r="CF44" i="16"/>
  <c r="CF59" i="16"/>
  <c r="CF55" i="16"/>
  <c r="CF51" i="16"/>
  <c r="CF47" i="16"/>
  <c r="CF43" i="16"/>
  <c r="CF62" i="16"/>
  <c r="CF58" i="16"/>
  <c r="CF54" i="16"/>
  <c r="CF50" i="16"/>
  <c r="CF57" i="16"/>
  <c r="CF37" i="16"/>
  <c r="CF33" i="16"/>
  <c r="CF29" i="16"/>
  <c r="CF61" i="16"/>
  <c r="CF46" i="16"/>
  <c r="CF41" i="16"/>
  <c r="CF40" i="16"/>
  <c r="CF36" i="16"/>
  <c r="CF32" i="16"/>
  <c r="CF28" i="16"/>
  <c r="CF49" i="16"/>
  <c r="CF39" i="16"/>
  <c r="CF35" i="16"/>
  <c r="CF31" i="16"/>
  <c r="CF27" i="16"/>
  <c r="CF26" i="16"/>
  <c r="CF22" i="16"/>
  <c r="CF18" i="16"/>
  <c r="CF14" i="16"/>
  <c r="CF53" i="16"/>
  <c r="CF30" i="16"/>
  <c r="CF25" i="16"/>
  <c r="CF21" i="16"/>
  <c r="CF17" i="16"/>
  <c r="CF13" i="16"/>
  <c r="CF45" i="16"/>
  <c r="CF34" i="16"/>
  <c r="CF24" i="16"/>
  <c r="CF20" i="16"/>
  <c r="CF16" i="16"/>
  <c r="AM5" i="16"/>
  <c r="BW5" i="16"/>
  <c r="DG5" i="16"/>
  <c r="L6" i="16"/>
  <c r="AV6" i="16"/>
  <c r="CF6" i="16"/>
  <c r="U7" i="16"/>
  <c r="BE7" i="16"/>
  <c r="CO7" i="16"/>
  <c r="AD8" i="16"/>
  <c r="BN8" i="16"/>
  <c r="CX8" i="16"/>
  <c r="U11" i="16"/>
  <c r="CF11" i="16"/>
  <c r="DG11" i="16"/>
  <c r="L12" i="16"/>
  <c r="AM12" i="16"/>
  <c r="CO12" i="16"/>
  <c r="DO13" i="16"/>
  <c r="CF15" i="16"/>
  <c r="AD17" i="16"/>
  <c r="AM18" i="16"/>
  <c r="DK20" i="16"/>
  <c r="DP20" i="16" s="1"/>
  <c r="U20" i="16"/>
  <c r="BN21" i="16"/>
  <c r="BW22" i="16"/>
  <c r="L23" i="16"/>
  <c r="DO24" i="16"/>
  <c r="BE24" i="16"/>
  <c r="DK25" i="16"/>
  <c r="DP25" i="16" s="1"/>
  <c r="CX25" i="16"/>
  <c r="DG26" i="16"/>
  <c r="CX27" i="16"/>
  <c r="CX28" i="16"/>
  <c r="CX32" i="16"/>
  <c r="AV34" i="16"/>
  <c r="AD40" i="16"/>
  <c r="CO50" i="16"/>
  <c r="DK34" i="16"/>
  <c r="DO38" i="16"/>
  <c r="DP38" i="16" s="1"/>
  <c r="DK39" i="16"/>
  <c r="DP39" i="16" s="1"/>
  <c r="DO41" i="16"/>
  <c r="DK58" i="16"/>
  <c r="DO27" i="16"/>
  <c r="DP27" i="16" s="1"/>
  <c r="DK28" i="16"/>
  <c r="DP28" i="16" s="1"/>
  <c r="DK30" i="16"/>
  <c r="DO34" i="16"/>
  <c r="DK35" i="16"/>
  <c r="DO36" i="16"/>
  <c r="DO39" i="16"/>
  <c r="DK40" i="16"/>
  <c r="DK46" i="16"/>
  <c r="DP46" i="16" s="1"/>
  <c r="DO30" i="16"/>
  <c r="DK31" i="16"/>
  <c r="DP31" i="16" s="1"/>
  <c r="DO32" i="16"/>
  <c r="DO35" i="16"/>
  <c r="DK36" i="16"/>
  <c r="DP36" i="16" s="1"/>
  <c r="DO40" i="16"/>
  <c r="DO46" i="16"/>
  <c r="DO47" i="16"/>
  <c r="DP47" i="16" s="1"/>
  <c r="DK54" i="16"/>
  <c r="DP54" i="16" s="1"/>
  <c r="DO57" i="16"/>
  <c r="DO58" i="16"/>
  <c r="DK59" i="16"/>
  <c r="DK61" i="16"/>
  <c r="DP61" i="16" s="1"/>
  <c r="DK42" i="16"/>
  <c r="DP42" i="16" s="1"/>
  <c r="DK43" i="16"/>
  <c r="DP43" i="16" s="1"/>
  <c r="DK50" i="16"/>
  <c r="DP50" i="16" s="1"/>
  <c r="DO53" i="16"/>
  <c r="DO54" i="16"/>
  <c r="DK55" i="16"/>
  <c r="DK57" i="16"/>
  <c r="DP57" i="16" s="1"/>
  <c r="DO59" i="16"/>
  <c r="DO50" i="16"/>
  <c r="DK51" i="16"/>
  <c r="DP51" i="16" s="1"/>
  <c r="DK53" i="16"/>
  <c r="DK62" i="16"/>
  <c r="DP62" i="16" s="1"/>
  <c r="F6" i="15"/>
  <c r="L34" i="15"/>
  <c r="G34" i="15"/>
  <c r="K34" i="15"/>
  <c r="F34" i="15"/>
  <c r="F33" i="15" s="1"/>
  <c r="J34" i="15"/>
  <c r="R34" i="15"/>
  <c r="R33" i="15" s="1"/>
  <c r="G47" i="15"/>
  <c r="K47" i="15"/>
  <c r="H34" i="15"/>
  <c r="O12" i="15"/>
  <c r="O11" i="15" s="1"/>
  <c r="P47" i="15"/>
  <c r="W1479" i="14"/>
  <c r="W1478" i="14"/>
  <c r="T1476" i="14"/>
  <c r="T1475" i="14"/>
  <c r="U1475" i="14" s="1"/>
  <c r="J1469" i="14"/>
  <c r="I1469" i="14"/>
  <c r="H1469" i="14"/>
  <c r="J1467" i="14"/>
  <c r="I1467" i="14"/>
  <c r="H1467" i="14"/>
  <c r="E1467" i="14"/>
  <c r="J1465" i="14"/>
  <c r="I1465" i="14"/>
  <c r="H1465" i="14"/>
  <c r="J1463" i="14"/>
  <c r="I1463" i="14"/>
  <c r="H1463" i="14"/>
  <c r="J1457" i="14"/>
  <c r="I1457" i="14"/>
  <c r="H1457" i="14"/>
  <c r="T1457" i="14" s="1"/>
  <c r="U1457" i="14" s="1"/>
  <c r="G1455" i="14"/>
  <c r="J1453" i="14"/>
  <c r="I1453" i="14"/>
  <c r="H1453" i="14"/>
  <c r="V1449" i="14"/>
  <c r="U1449" i="14"/>
  <c r="T1446" i="14"/>
  <c r="V1446" i="14" s="1"/>
  <c r="S1443" i="14"/>
  <c r="R1443" i="14"/>
  <c r="Q1443" i="14"/>
  <c r="P1443" i="14"/>
  <c r="O1443" i="14"/>
  <c r="N1443" i="14"/>
  <c r="M1443" i="14"/>
  <c r="L1443" i="14"/>
  <c r="K1443" i="14"/>
  <c r="H1443" i="14"/>
  <c r="S1442" i="14"/>
  <c r="R1442" i="14"/>
  <c r="Q1442" i="14"/>
  <c r="P1442" i="14"/>
  <c r="O1442" i="14"/>
  <c r="N1442" i="14"/>
  <c r="M1442" i="14"/>
  <c r="L1442" i="14"/>
  <c r="K1442" i="14"/>
  <c r="J1442" i="14"/>
  <c r="I1442" i="14"/>
  <c r="H1442" i="14"/>
  <c r="T1441" i="14"/>
  <c r="T1440" i="14"/>
  <c r="S1439" i="14"/>
  <c r="R1439" i="14"/>
  <c r="Q1439" i="14"/>
  <c r="P1439" i="14"/>
  <c r="O1439" i="14"/>
  <c r="N1439" i="14"/>
  <c r="M1439" i="14"/>
  <c r="L1439" i="14"/>
  <c r="K1439" i="14"/>
  <c r="J1439" i="14"/>
  <c r="I1439" i="14"/>
  <c r="H1439" i="14"/>
  <c r="S1438" i="14"/>
  <c r="R1438" i="14"/>
  <c r="Q1438" i="14"/>
  <c r="P1438" i="14"/>
  <c r="O1438" i="14"/>
  <c r="N1438" i="14"/>
  <c r="M1438" i="14"/>
  <c r="L1438" i="14"/>
  <c r="K1438" i="14"/>
  <c r="J1438" i="14"/>
  <c r="I1438" i="14"/>
  <c r="H1438" i="14"/>
  <c r="T1438" i="14" s="1"/>
  <c r="U1438" i="14" s="1"/>
  <c r="S1437" i="14"/>
  <c r="R1437" i="14"/>
  <c r="Q1437" i="14"/>
  <c r="Q1436" i="14" s="1"/>
  <c r="Q1435" i="14" s="1"/>
  <c r="P1437" i="14"/>
  <c r="P1436" i="14" s="1"/>
  <c r="P1435" i="14" s="1"/>
  <c r="O1437" i="14"/>
  <c r="N1437" i="14"/>
  <c r="M1437" i="14"/>
  <c r="M1436" i="14" s="1"/>
  <c r="L1437" i="14"/>
  <c r="L1436" i="14" s="1"/>
  <c r="K1437" i="14"/>
  <c r="J1437" i="14"/>
  <c r="I1437" i="14"/>
  <c r="I1436" i="14" s="1"/>
  <c r="I1435" i="14" s="1"/>
  <c r="H1437" i="14"/>
  <c r="T1437" i="14" s="1"/>
  <c r="U1437" i="14" s="1"/>
  <c r="S1421" i="14"/>
  <c r="R1421" i="14"/>
  <c r="S1420" i="14"/>
  <c r="R1420" i="14"/>
  <c r="S1419" i="14"/>
  <c r="R1419" i="14"/>
  <c r="Q1418" i="14"/>
  <c r="P1418" i="14"/>
  <c r="O1418" i="14"/>
  <c r="N1418" i="14"/>
  <c r="M1418" i="14"/>
  <c r="L1418" i="14"/>
  <c r="K1418" i="14"/>
  <c r="J1418" i="14"/>
  <c r="I1418" i="14"/>
  <c r="H1418" i="14"/>
  <c r="S1417" i="14"/>
  <c r="R1417" i="14"/>
  <c r="E1416" i="14"/>
  <c r="Q1415" i="14"/>
  <c r="P1415" i="14"/>
  <c r="P1420" i="14" s="1"/>
  <c r="O1415" i="14"/>
  <c r="N1415" i="14"/>
  <c r="N1420" i="14" s="1"/>
  <c r="M1415" i="14"/>
  <c r="L1415" i="14"/>
  <c r="L1420" i="14" s="1"/>
  <c r="K1415" i="14"/>
  <c r="J1415" i="14"/>
  <c r="J1420" i="14" s="1"/>
  <c r="I1415" i="14"/>
  <c r="H1415" i="14"/>
  <c r="H1420" i="14" s="1"/>
  <c r="F1413" i="14"/>
  <c r="E1413" i="14"/>
  <c r="S1411" i="14"/>
  <c r="S1418" i="14" s="1"/>
  <c r="R1411" i="14"/>
  <c r="T1410" i="14"/>
  <c r="S1405" i="14"/>
  <c r="R1405" i="14"/>
  <c r="Q1405" i="14"/>
  <c r="P1405" i="14"/>
  <c r="O1405" i="14"/>
  <c r="N1405" i="14"/>
  <c r="M1405" i="14"/>
  <c r="L1405" i="14"/>
  <c r="K1405" i="14"/>
  <c r="J1405" i="14"/>
  <c r="I1405" i="14"/>
  <c r="H1405" i="14"/>
  <c r="T1402" i="14"/>
  <c r="V1401" i="14"/>
  <c r="U1401" i="14"/>
  <c r="S1400" i="14"/>
  <c r="S1404" i="14" s="1"/>
  <c r="R1400" i="14"/>
  <c r="R1404" i="14" s="1"/>
  <c r="R1406" i="14" s="1"/>
  <c r="Q1400" i="14"/>
  <c r="Q1404" i="14" s="1"/>
  <c r="P1400" i="14"/>
  <c r="P1404" i="14" s="1"/>
  <c r="P1406" i="14" s="1"/>
  <c r="O1400" i="14"/>
  <c r="O1404" i="14" s="1"/>
  <c r="N1400" i="14"/>
  <c r="N1404" i="14" s="1"/>
  <c r="M1400" i="14"/>
  <c r="M1404" i="14" s="1"/>
  <c r="L1400" i="14"/>
  <c r="L1404" i="14" s="1"/>
  <c r="L1406" i="14" s="1"/>
  <c r="K1400" i="14"/>
  <c r="K1404" i="14" s="1"/>
  <c r="J1400" i="14"/>
  <c r="J1404" i="14" s="1"/>
  <c r="I1400" i="14"/>
  <c r="I1404" i="14" s="1"/>
  <c r="H1400" i="14"/>
  <c r="S1395" i="14"/>
  <c r="R1395" i="14"/>
  <c r="R1396" i="14" s="1"/>
  <c r="Q1395" i="14"/>
  <c r="P1395" i="14"/>
  <c r="O1395" i="14"/>
  <c r="N1395" i="14"/>
  <c r="N1396" i="14" s="1"/>
  <c r="M1395" i="14"/>
  <c r="L1395" i="14"/>
  <c r="K1395" i="14"/>
  <c r="S1394" i="14"/>
  <c r="R1394" i="14"/>
  <c r="Q1394" i="14"/>
  <c r="Q1396" i="14" s="1"/>
  <c r="P1394" i="14"/>
  <c r="O1394" i="14"/>
  <c r="N1394" i="14"/>
  <c r="M1394" i="14"/>
  <c r="M1396" i="14" s="1"/>
  <c r="L1394" i="14"/>
  <c r="K1394" i="14"/>
  <c r="S1391" i="14"/>
  <c r="R1391" i="14"/>
  <c r="Q1391" i="14"/>
  <c r="P1391" i="14"/>
  <c r="O1391" i="14"/>
  <c r="N1391" i="14"/>
  <c r="M1391" i="14"/>
  <c r="L1391" i="14"/>
  <c r="K1391" i="14"/>
  <c r="S1390" i="14"/>
  <c r="S1392" i="14" s="1"/>
  <c r="R1390" i="14"/>
  <c r="Q1390" i="14"/>
  <c r="P1390" i="14"/>
  <c r="O1390" i="14"/>
  <c r="O1392" i="14" s="1"/>
  <c r="N1390" i="14"/>
  <c r="M1390" i="14"/>
  <c r="L1390" i="14"/>
  <c r="K1390" i="14"/>
  <c r="K1392" i="14" s="1"/>
  <c r="S1389" i="14"/>
  <c r="R1389" i="14"/>
  <c r="Q1389" i="14"/>
  <c r="P1389" i="14"/>
  <c r="O1389" i="14"/>
  <c r="N1389" i="14"/>
  <c r="M1389" i="14"/>
  <c r="L1389" i="14"/>
  <c r="K1389" i="14"/>
  <c r="S1388" i="14"/>
  <c r="R1388" i="14"/>
  <c r="Q1388" i="14"/>
  <c r="P1388" i="14"/>
  <c r="O1388" i="14"/>
  <c r="N1388" i="14"/>
  <c r="M1388" i="14"/>
  <c r="L1388" i="14"/>
  <c r="K1388" i="14"/>
  <c r="S1387" i="14"/>
  <c r="R1387" i="14"/>
  <c r="Q1387" i="14"/>
  <c r="P1387" i="14"/>
  <c r="O1387" i="14"/>
  <c r="N1387" i="14"/>
  <c r="M1387" i="14"/>
  <c r="L1387" i="14"/>
  <c r="K1387" i="14"/>
  <c r="S1386" i="14"/>
  <c r="R1386" i="14"/>
  <c r="Q1386" i="14"/>
  <c r="P1386" i="14"/>
  <c r="O1386" i="14"/>
  <c r="N1386" i="14"/>
  <c r="M1386" i="14"/>
  <c r="L1386" i="14"/>
  <c r="K1386" i="14"/>
  <c r="J1385" i="14"/>
  <c r="I1385" i="14"/>
  <c r="H1385" i="14"/>
  <c r="J1383" i="14"/>
  <c r="J1387" i="14" s="1"/>
  <c r="I1383" i="14"/>
  <c r="I1387" i="14" s="1"/>
  <c r="H1383" i="14"/>
  <c r="J1382" i="14"/>
  <c r="J1386" i="14" s="1"/>
  <c r="I1382" i="14"/>
  <c r="H1382" i="14"/>
  <c r="H1384" i="14" s="1"/>
  <c r="T1380" i="14"/>
  <c r="V1378" i="14"/>
  <c r="T1378" i="14"/>
  <c r="U1378" i="14" s="1"/>
  <c r="T1377" i="14"/>
  <c r="V1377" i="14" s="1"/>
  <c r="S1376" i="14"/>
  <c r="R1376" i="14"/>
  <c r="Q1376" i="14"/>
  <c r="P1376" i="14"/>
  <c r="O1376" i="14"/>
  <c r="N1376" i="14"/>
  <c r="M1376" i="14"/>
  <c r="L1376" i="14"/>
  <c r="K1376" i="14"/>
  <c r="S1375" i="14"/>
  <c r="R1375" i="14"/>
  <c r="Q1375" i="14"/>
  <c r="P1375" i="14"/>
  <c r="O1375" i="14"/>
  <c r="N1375" i="14"/>
  <c r="M1375" i="14"/>
  <c r="L1375" i="14"/>
  <c r="K1375" i="14"/>
  <c r="S1374" i="14"/>
  <c r="R1374" i="14"/>
  <c r="Q1374" i="14"/>
  <c r="P1374" i="14"/>
  <c r="O1374" i="14"/>
  <c r="N1374" i="14"/>
  <c r="M1374" i="14"/>
  <c r="L1374" i="14"/>
  <c r="K1374" i="14"/>
  <c r="S1373" i="14"/>
  <c r="R1373" i="14"/>
  <c r="Q1373" i="14"/>
  <c r="P1373" i="14"/>
  <c r="O1373" i="14"/>
  <c r="N1373" i="14"/>
  <c r="M1373" i="14"/>
  <c r="L1373" i="14"/>
  <c r="K1373" i="14"/>
  <c r="J1372" i="14"/>
  <c r="I1372" i="14"/>
  <c r="H1372" i="14"/>
  <c r="J1370" i="14"/>
  <c r="J1374" i="14" s="1"/>
  <c r="I1370" i="14"/>
  <c r="H1370" i="14"/>
  <c r="H1374" i="14" s="1"/>
  <c r="J1369" i="14"/>
  <c r="J1373" i="14" s="1"/>
  <c r="I1369" i="14"/>
  <c r="H1369" i="14"/>
  <c r="H1371" i="14" s="1"/>
  <c r="T1367" i="14"/>
  <c r="T1365" i="14"/>
  <c r="V1365" i="14" s="1"/>
  <c r="T1364" i="14"/>
  <c r="S1363" i="14"/>
  <c r="R1363" i="14"/>
  <c r="Q1363" i="14"/>
  <c r="P1363" i="14"/>
  <c r="O1363" i="14"/>
  <c r="N1363" i="14"/>
  <c r="M1363" i="14"/>
  <c r="L1363" i="14"/>
  <c r="K1363" i="14"/>
  <c r="S1362" i="14"/>
  <c r="R1362" i="14"/>
  <c r="Q1362" i="14"/>
  <c r="P1362" i="14"/>
  <c r="O1362" i="14"/>
  <c r="N1362" i="14"/>
  <c r="M1362" i="14"/>
  <c r="L1362" i="14"/>
  <c r="K1362" i="14"/>
  <c r="S1361" i="14"/>
  <c r="R1361" i="14"/>
  <c r="Q1361" i="14"/>
  <c r="P1361" i="14"/>
  <c r="O1361" i="14"/>
  <c r="N1361" i="14"/>
  <c r="M1361" i="14"/>
  <c r="L1361" i="14"/>
  <c r="K1361" i="14"/>
  <c r="S1360" i="14"/>
  <c r="R1360" i="14"/>
  <c r="Q1360" i="14"/>
  <c r="P1360" i="14"/>
  <c r="O1360" i="14"/>
  <c r="N1360" i="14"/>
  <c r="M1360" i="14"/>
  <c r="L1360" i="14"/>
  <c r="K1360" i="14"/>
  <c r="J1359" i="14"/>
  <c r="I1359" i="14"/>
  <c r="H1359" i="14"/>
  <c r="T1359" i="14" s="1"/>
  <c r="J1357" i="14"/>
  <c r="J1361" i="14" s="1"/>
  <c r="I1357" i="14"/>
  <c r="I1361" i="14" s="1"/>
  <c r="H1357" i="14"/>
  <c r="H1361" i="14" s="1"/>
  <c r="J1356" i="14"/>
  <c r="I1356" i="14"/>
  <c r="H1356" i="14"/>
  <c r="H1358" i="14" s="1"/>
  <c r="T1354" i="14"/>
  <c r="T1352" i="14"/>
  <c r="V1352" i="14" s="1"/>
  <c r="T1351" i="14"/>
  <c r="S1348" i="14"/>
  <c r="R1348" i="14"/>
  <c r="Q1348" i="14"/>
  <c r="P1348" i="14"/>
  <c r="O1348" i="14"/>
  <c r="N1348" i="14"/>
  <c r="M1348" i="14"/>
  <c r="L1348" i="14"/>
  <c r="K1348" i="14"/>
  <c r="S1347" i="14"/>
  <c r="R1347" i="14"/>
  <c r="Q1347" i="14"/>
  <c r="Q1349" i="14" s="1"/>
  <c r="P1347" i="14"/>
  <c r="O1347" i="14"/>
  <c r="N1347" i="14"/>
  <c r="N1349" i="14" s="1"/>
  <c r="M1347" i="14"/>
  <c r="M1349" i="14" s="1"/>
  <c r="L1347" i="14"/>
  <c r="K1347" i="14"/>
  <c r="S1346" i="14"/>
  <c r="R1346" i="14"/>
  <c r="Q1346" i="14"/>
  <c r="P1346" i="14"/>
  <c r="O1346" i="14"/>
  <c r="N1346" i="14"/>
  <c r="M1346" i="14"/>
  <c r="L1346" i="14"/>
  <c r="K1346" i="14"/>
  <c r="S1345" i="14"/>
  <c r="R1345" i="14"/>
  <c r="Q1345" i="14"/>
  <c r="P1345" i="14"/>
  <c r="O1345" i="14"/>
  <c r="N1345" i="14"/>
  <c r="M1345" i="14"/>
  <c r="L1345" i="14"/>
  <c r="K1345" i="14"/>
  <c r="S1344" i="14"/>
  <c r="R1344" i="14"/>
  <c r="Q1344" i="14"/>
  <c r="P1344" i="14"/>
  <c r="O1344" i="14"/>
  <c r="N1344" i="14"/>
  <c r="M1344" i="14"/>
  <c r="L1344" i="14"/>
  <c r="K1344" i="14"/>
  <c r="S1343" i="14"/>
  <c r="R1343" i="14"/>
  <c r="Q1343" i="14"/>
  <c r="P1343" i="14"/>
  <c r="O1343" i="14"/>
  <c r="N1343" i="14"/>
  <c r="M1343" i="14"/>
  <c r="L1343" i="14"/>
  <c r="K1343" i="14"/>
  <c r="I1342" i="14"/>
  <c r="H1342" i="14"/>
  <c r="J1340" i="14"/>
  <c r="J1344" i="14" s="1"/>
  <c r="I1340" i="14"/>
  <c r="H1340" i="14"/>
  <c r="H1344" i="14" s="1"/>
  <c r="J1339" i="14"/>
  <c r="J1341" i="14" s="1"/>
  <c r="I1339" i="14"/>
  <c r="T1339" i="14" s="1"/>
  <c r="H1339" i="14"/>
  <c r="H1341" i="14" s="1"/>
  <c r="J1337" i="14"/>
  <c r="J1342" i="14" s="1"/>
  <c r="T1335" i="14"/>
  <c r="T1334" i="14"/>
  <c r="V1334" i="14" s="1"/>
  <c r="S1333" i="14"/>
  <c r="R1333" i="14"/>
  <c r="Q1333" i="14"/>
  <c r="P1333" i="14"/>
  <c r="O1333" i="14"/>
  <c r="N1333" i="14"/>
  <c r="M1333" i="14"/>
  <c r="L1333" i="14"/>
  <c r="K1333" i="14"/>
  <c r="S1332" i="14"/>
  <c r="R1332" i="14"/>
  <c r="Q1332" i="14"/>
  <c r="P1332" i="14"/>
  <c r="O1332" i="14"/>
  <c r="N1332" i="14"/>
  <c r="M1332" i="14"/>
  <c r="L1332" i="14"/>
  <c r="K1332" i="14"/>
  <c r="S1331" i="14"/>
  <c r="R1331" i="14"/>
  <c r="Q1331" i="14"/>
  <c r="P1331" i="14"/>
  <c r="O1331" i="14"/>
  <c r="N1331" i="14"/>
  <c r="M1331" i="14"/>
  <c r="L1331" i="14"/>
  <c r="K1331" i="14"/>
  <c r="S1330" i="14"/>
  <c r="R1330" i="14"/>
  <c r="Q1330" i="14"/>
  <c r="P1330" i="14"/>
  <c r="O1330" i="14"/>
  <c r="N1330" i="14"/>
  <c r="M1330" i="14"/>
  <c r="L1330" i="14"/>
  <c r="K1330" i="14"/>
  <c r="J1329" i="14"/>
  <c r="I1329" i="14"/>
  <c r="H1329" i="14"/>
  <c r="J1327" i="14"/>
  <c r="J1331" i="14" s="1"/>
  <c r="I1327" i="14"/>
  <c r="H1327" i="14"/>
  <c r="H1331" i="14" s="1"/>
  <c r="J1326" i="14"/>
  <c r="I1326" i="14"/>
  <c r="I1328" i="14" s="1"/>
  <c r="H1326" i="14"/>
  <c r="H1328" i="14" s="1"/>
  <c r="T1324" i="14"/>
  <c r="T1322" i="14"/>
  <c r="T1321" i="14"/>
  <c r="S1319" i="14"/>
  <c r="R1319" i="14"/>
  <c r="Q1319" i="14"/>
  <c r="P1319" i="14"/>
  <c r="O1319" i="14"/>
  <c r="N1319" i="14"/>
  <c r="M1319" i="14"/>
  <c r="L1319" i="14"/>
  <c r="K1319" i="14"/>
  <c r="S1318" i="14"/>
  <c r="R1318" i="14"/>
  <c r="Q1318" i="14"/>
  <c r="P1318" i="14"/>
  <c r="O1318" i="14"/>
  <c r="N1318" i="14"/>
  <c r="M1318" i="14"/>
  <c r="L1318" i="14"/>
  <c r="K1318" i="14"/>
  <c r="S1317" i="14"/>
  <c r="R1317" i="14"/>
  <c r="Q1317" i="14"/>
  <c r="P1317" i="14"/>
  <c r="O1317" i="14"/>
  <c r="N1317" i="14"/>
  <c r="M1317" i="14"/>
  <c r="L1317" i="14"/>
  <c r="K1317" i="14"/>
  <c r="S1316" i="14"/>
  <c r="R1316" i="14"/>
  <c r="Q1316" i="14"/>
  <c r="P1316" i="14"/>
  <c r="O1316" i="14"/>
  <c r="N1316" i="14"/>
  <c r="M1316" i="14"/>
  <c r="L1316" i="14"/>
  <c r="K1316" i="14"/>
  <c r="J1315" i="14"/>
  <c r="I1315" i="14"/>
  <c r="H1315" i="14"/>
  <c r="T1315" i="14" s="1"/>
  <c r="J1313" i="14"/>
  <c r="J1317" i="14" s="1"/>
  <c r="I1313" i="14"/>
  <c r="H1313" i="14"/>
  <c r="J1312" i="14"/>
  <c r="I1312" i="14"/>
  <c r="I1316" i="14" s="1"/>
  <c r="H1312" i="14"/>
  <c r="T1310" i="14"/>
  <c r="T1308" i="14"/>
  <c r="T1307" i="14"/>
  <c r="U1307" i="14" s="1"/>
  <c r="S1306" i="14"/>
  <c r="R1306" i="14"/>
  <c r="Q1306" i="14"/>
  <c r="P1306" i="14"/>
  <c r="O1306" i="14"/>
  <c r="N1306" i="14"/>
  <c r="M1306" i="14"/>
  <c r="L1306" i="14"/>
  <c r="K1306" i="14"/>
  <c r="S1305" i="14"/>
  <c r="R1305" i="14"/>
  <c r="Q1305" i="14"/>
  <c r="P1305" i="14"/>
  <c r="O1305" i="14"/>
  <c r="N1305" i="14"/>
  <c r="M1305" i="14"/>
  <c r="L1305" i="14"/>
  <c r="K1305" i="14"/>
  <c r="S1304" i="14"/>
  <c r="R1304" i="14"/>
  <c r="Q1304" i="14"/>
  <c r="P1304" i="14"/>
  <c r="O1304" i="14"/>
  <c r="N1304" i="14"/>
  <c r="M1304" i="14"/>
  <c r="L1304" i="14"/>
  <c r="K1304" i="14"/>
  <c r="S1303" i="14"/>
  <c r="R1303" i="14"/>
  <c r="Q1303" i="14"/>
  <c r="P1303" i="14"/>
  <c r="O1303" i="14"/>
  <c r="N1303" i="14"/>
  <c r="M1303" i="14"/>
  <c r="L1303" i="14"/>
  <c r="K1303" i="14"/>
  <c r="J1302" i="14"/>
  <c r="I1302" i="14"/>
  <c r="H1302" i="14"/>
  <c r="J1300" i="14"/>
  <c r="J1304" i="14" s="1"/>
  <c r="I1300" i="14"/>
  <c r="I1304" i="14" s="1"/>
  <c r="H1300" i="14"/>
  <c r="J1299" i="14"/>
  <c r="I1299" i="14"/>
  <c r="I1301" i="14" s="1"/>
  <c r="I1306" i="14" s="1"/>
  <c r="H1299" i="14"/>
  <c r="T1297" i="14"/>
  <c r="T1295" i="14"/>
  <c r="U1295" i="14" s="1"/>
  <c r="T1294" i="14"/>
  <c r="S1293" i="14"/>
  <c r="R1293" i="14"/>
  <c r="Q1293" i="14"/>
  <c r="P1293" i="14"/>
  <c r="O1293" i="14"/>
  <c r="N1293" i="14"/>
  <c r="M1293" i="14"/>
  <c r="L1293" i="14"/>
  <c r="K1293" i="14"/>
  <c r="S1292" i="14"/>
  <c r="R1292" i="14"/>
  <c r="Q1292" i="14"/>
  <c r="P1292" i="14"/>
  <c r="O1292" i="14"/>
  <c r="N1292" i="14"/>
  <c r="M1292" i="14"/>
  <c r="L1292" i="14"/>
  <c r="K1292" i="14"/>
  <c r="S1291" i="14"/>
  <c r="R1291" i="14"/>
  <c r="Q1291" i="14"/>
  <c r="P1291" i="14"/>
  <c r="O1291" i="14"/>
  <c r="N1291" i="14"/>
  <c r="M1291" i="14"/>
  <c r="L1291" i="14"/>
  <c r="K1291" i="14"/>
  <c r="S1290" i="14"/>
  <c r="R1290" i="14"/>
  <c r="Q1290" i="14"/>
  <c r="P1290" i="14"/>
  <c r="O1290" i="14"/>
  <c r="N1290" i="14"/>
  <c r="M1290" i="14"/>
  <c r="L1290" i="14"/>
  <c r="K1290" i="14"/>
  <c r="J1289" i="14"/>
  <c r="I1289" i="14"/>
  <c r="H1289" i="14"/>
  <c r="J1287" i="14"/>
  <c r="I1287" i="14"/>
  <c r="I1291" i="14" s="1"/>
  <c r="H1287" i="14"/>
  <c r="H1291" i="14" s="1"/>
  <c r="J1286" i="14"/>
  <c r="J1290" i="14" s="1"/>
  <c r="I1286" i="14"/>
  <c r="H1286" i="14"/>
  <c r="T1284" i="14"/>
  <c r="T1282" i="14"/>
  <c r="V1282" i="14" s="1"/>
  <c r="T1281" i="14"/>
  <c r="V1281" i="14" s="1"/>
  <c r="S1280" i="14"/>
  <c r="R1280" i="14"/>
  <c r="Q1280" i="14"/>
  <c r="P1280" i="14"/>
  <c r="O1280" i="14"/>
  <c r="N1280" i="14"/>
  <c r="M1280" i="14"/>
  <c r="L1280" i="14"/>
  <c r="K1280" i="14"/>
  <c r="S1279" i="14"/>
  <c r="R1279" i="14"/>
  <c r="Q1279" i="14"/>
  <c r="P1279" i="14"/>
  <c r="O1279" i="14"/>
  <c r="N1279" i="14"/>
  <c r="M1279" i="14"/>
  <c r="L1279" i="14"/>
  <c r="K1279" i="14"/>
  <c r="S1278" i="14"/>
  <c r="R1278" i="14"/>
  <c r="Q1278" i="14"/>
  <c r="P1278" i="14"/>
  <c r="O1278" i="14"/>
  <c r="N1278" i="14"/>
  <c r="M1278" i="14"/>
  <c r="L1278" i="14"/>
  <c r="K1278" i="14"/>
  <c r="S1277" i="14"/>
  <c r="R1277" i="14"/>
  <c r="Q1277" i="14"/>
  <c r="P1277" i="14"/>
  <c r="O1277" i="14"/>
  <c r="N1277" i="14"/>
  <c r="M1277" i="14"/>
  <c r="L1277" i="14"/>
  <c r="K1277" i="14"/>
  <c r="J1276" i="14"/>
  <c r="I1276" i="14"/>
  <c r="H1276" i="14"/>
  <c r="J1274" i="14"/>
  <c r="J1278" i="14" s="1"/>
  <c r="I1274" i="14"/>
  <c r="H1274" i="14"/>
  <c r="H1278" i="14" s="1"/>
  <c r="J1273" i="14"/>
  <c r="J1277" i="14" s="1"/>
  <c r="I1273" i="14"/>
  <c r="H1273" i="14"/>
  <c r="T1272" i="14"/>
  <c r="T1271" i="14"/>
  <c r="T1270" i="14"/>
  <c r="V1269" i="14"/>
  <c r="T1269" i="14"/>
  <c r="U1269" i="14" s="1"/>
  <c r="T1268" i="14"/>
  <c r="T1248" i="14"/>
  <c r="T1246" i="14"/>
  <c r="G1246" i="14"/>
  <c r="F1246" i="14"/>
  <c r="E1246" i="14"/>
  <c r="J1252" i="14" s="1"/>
  <c r="J1259" i="14" s="1"/>
  <c r="T1245" i="14"/>
  <c r="U1245" i="14" s="1"/>
  <c r="T1244" i="14"/>
  <c r="T1243" i="14"/>
  <c r="G1243" i="14"/>
  <c r="E1243" i="14"/>
  <c r="S1250" i="14" s="1"/>
  <c r="T1225" i="14"/>
  <c r="T1223" i="14"/>
  <c r="G1223" i="14"/>
  <c r="V1223" i="14" s="1"/>
  <c r="F1223" i="14"/>
  <c r="E1223" i="14"/>
  <c r="N1229" i="14" s="1"/>
  <c r="N1236" i="14" s="1"/>
  <c r="T1222" i="14"/>
  <c r="T1221" i="14"/>
  <c r="T1220" i="14"/>
  <c r="G1220" i="14"/>
  <c r="E1220" i="14"/>
  <c r="T1205" i="14"/>
  <c r="T1203" i="14"/>
  <c r="G1203" i="14"/>
  <c r="F1203" i="14"/>
  <c r="E1203" i="14"/>
  <c r="R1209" i="14" s="1"/>
  <c r="R1216" i="14" s="1"/>
  <c r="T1202" i="14"/>
  <c r="T1201" i="14"/>
  <c r="T1200" i="14"/>
  <c r="G1200" i="14"/>
  <c r="V1200" i="14" s="1"/>
  <c r="E1200" i="14"/>
  <c r="R1208" i="14" s="1"/>
  <c r="S1185" i="14"/>
  <c r="R1185" i="14"/>
  <c r="Q1185" i="14"/>
  <c r="P1185" i="14"/>
  <c r="O1185" i="14"/>
  <c r="N1185" i="14"/>
  <c r="M1185" i="14"/>
  <c r="L1185" i="14"/>
  <c r="K1185" i="14"/>
  <c r="J1185" i="14"/>
  <c r="I1185" i="14"/>
  <c r="H1185" i="14"/>
  <c r="S1184" i="14"/>
  <c r="R1184" i="14"/>
  <c r="Q1184" i="14"/>
  <c r="P1184" i="14"/>
  <c r="O1184" i="14"/>
  <c r="N1184" i="14"/>
  <c r="M1184" i="14"/>
  <c r="L1184" i="14"/>
  <c r="K1184" i="14"/>
  <c r="J1184" i="14"/>
  <c r="I1184" i="14"/>
  <c r="H1184" i="14"/>
  <c r="S1175" i="14"/>
  <c r="R1175" i="14"/>
  <c r="Q1175" i="14"/>
  <c r="P1175" i="14"/>
  <c r="O1175" i="14"/>
  <c r="N1175" i="14"/>
  <c r="M1175" i="14"/>
  <c r="L1175" i="14"/>
  <c r="K1175" i="14"/>
  <c r="J1175" i="14"/>
  <c r="I1175" i="14"/>
  <c r="H1175" i="14"/>
  <c r="G1175" i="14"/>
  <c r="E1175" i="14"/>
  <c r="S1179" i="14" s="1"/>
  <c r="S1174" i="14"/>
  <c r="S1178" i="14" s="1"/>
  <c r="R1174" i="14"/>
  <c r="R1178" i="14" s="1"/>
  <c r="Q1174" i="14"/>
  <c r="Q1178" i="14" s="1"/>
  <c r="P1174" i="14"/>
  <c r="P1178" i="14" s="1"/>
  <c r="O1174" i="14"/>
  <c r="O1178" i="14" s="1"/>
  <c r="N1174" i="14"/>
  <c r="N1178" i="14" s="1"/>
  <c r="M1174" i="14"/>
  <c r="M1178" i="14" s="1"/>
  <c r="L1174" i="14"/>
  <c r="L1178" i="14" s="1"/>
  <c r="K1174" i="14"/>
  <c r="K1178" i="14" s="1"/>
  <c r="J1174" i="14"/>
  <c r="J1178" i="14" s="1"/>
  <c r="I1174" i="14"/>
  <c r="I1178" i="14" s="1"/>
  <c r="H1174" i="14"/>
  <c r="H1178" i="14" s="1"/>
  <c r="G1174" i="14"/>
  <c r="T1170" i="14"/>
  <c r="T1169" i="14"/>
  <c r="AC1166" i="14"/>
  <c r="AB1166" i="14"/>
  <c r="AA1166" i="14"/>
  <c r="Z1166" i="14"/>
  <c r="Y1166" i="14"/>
  <c r="X1166" i="14"/>
  <c r="W1166" i="14"/>
  <c r="G1166" i="14"/>
  <c r="T1166" i="14" s="1"/>
  <c r="AC1162" i="14"/>
  <c r="AB1162" i="14"/>
  <c r="AA1162" i="14"/>
  <c r="Z1162" i="14"/>
  <c r="Y1162" i="14"/>
  <c r="X1162" i="14"/>
  <c r="W1162" i="14"/>
  <c r="G1162" i="14"/>
  <c r="AC1161" i="14"/>
  <c r="AB1161" i="14"/>
  <c r="AA1161" i="14"/>
  <c r="Z1161" i="14"/>
  <c r="Y1161" i="14"/>
  <c r="X1161" i="14"/>
  <c r="W1161" i="14"/>
  <c r="G1161" i="14"/>
  <c r="F1161" i="14"/>
  <c r="E1161" i="14"/>
  <c r="S1183" i="14" s="1"/>
  <c r="AC1160" i="14"/>
  <c r="AB1160" i="14"/>
  <c r="AA1160" i="14"/>
  <c r="Z1160" i="14"/>
  <c r="Y1160" i="14"/>
  <c r="X1160" i="14"/>
  <c r="W1160" i="14"/>
  <c r="G1160" i="14"/>
  <c r="F1160" i="14"/>
  <c r="E1160" i="14"/>
  <c r="N1156" i="14"/>
  <c r="J1156" i="14"/>
  <c r="I1156" i="14"/>
  <c r="H1156" i="14"/>
  <c r="J1155" i="14"/>
  <c r="I1155" i="14"/>
  <c r="H1155" i="14"/>
  <c r="J1154" i="14"/>
  <c r="I1154" i="14"/>
  <c r="H1154" i="14"/>
  <c r="J1153" i="14"/>
  <c r="I1153" i="14"/>
  <c r="H1153" i="14"/>
  <c r="J1152" i="14"/>
  <c r="I1152" i="14"/>
  <c r="H1152" i="14"/>
  <c r="J1151" i="14"/>
  <c r="I1151" i="14"/>
  <c r="H1151" i="14"/>
  <c r="J1150" i="14"/>
  <c r="I1150" i="14"/>
  <c r="H1150" i="14"/>
  <c r="S1148" i="14"/>
  <c r="R1148" i="14"/>
  <c r="Q1148" i="14"/>
  <c r="P1148" i="14"/>
  <c r="O1148" i="14"/>
  <c r="N1148" i="14"/>
  <c r="M1148" i="14"/>
  <c r="L1148" i="14"/>
  <c r="K1148" i="14"/>
  <c r="J1148" i="14"/>
  <c r="I1148" i="14"/>
  <c r="H1148" i="14"/>
  <c r="S1147" i="14"/>
  <c r="R1147" i="14"/>
  <c r="Q1147" i="14"/>
  <c r="P1147" i="14"/>
  <c r="O1147" i="14"/>
  <c r="N1147" i="14"/>
  <c r="M1147" i="14"/>
  <c r="L1147" i="14"/>
  <c r="K1147" i="14"/>
  <c r="J1147" i="14"/>
  <c r="I1147" i="14"/>
  <c r="H1147" i="14"/>
  <c r="S1146" i="14"/>
  <c r="R1146" i="14"/>
  <c r="Q1146" i="14"/>
  <c r="P1146" i="14"/>
  <c r="O1146" i="14"/>
  <c r="N1146" i="14"/>
  <c r="M1146" i="14"/>
  <c r="L1146" i="14"/>
  <c r="K1146" i="14"/>
  <c r="J1146" i="14"/>
  <c r="I1146" i="14"/>
  <c r="H1146" i="14"/>
  <c r="S1145" i="14"/>
  <c r="R1145" i="14"/>
  <c r="Q1145" i="14"/>
  <c r="P1145" i="14"/>
  <c r="O1145" i="14"/>
  <c r="N1145" i="14"/>
  <c r="M1145" i="14"/>
  <c r="L1145" i="14"/>
  <c r="K1145" i="14"/>
  <c r="J1145" i="14"/>
  <c r="I1145" i="14"/>
  <c r="H1145" i="14"/>
  <c r="S1144" i="14"/>
  <c r="R1144" i="14"/>
  <c r="Q1144" i="14"/>
  <c r="P1144" i="14"/>
  <c r="O1144" i="14"/>
  <c r="N1144" i="14"/>
  <c r="M1144" i="14"/>
  <c r="L1144" i="14"/>
  <c r="K1144" i="14"/>
  <c r="J1144" i="14"/>
  <c r="I1144" i="14"/>
  <c r="H1144" i="14"/>
  <c r="S1143" i="14"/>
  <c r="R1143" i="14"/>
  <c r="Q1143" i="14"/>
  <c r="P1143" i="14"/>
  <c r="O1143" i="14"/>
  <c r="N1143" i="14"/>
  <c r="M1143" i="14"/>
  <c r="L1143" i="14"/>
  <c r="K1143" i="14"/>
  <c r="J1143" i="14"/>
  <c r="I1143" i="14"/>
  <c r="H1143" i="14"/>
  <c r="S1142" i="14"/>
  <c r="R1142" i="14"/>
  <c r="Q1142" i="14"/>
  <c r="P1142" i="14"/>
  <c r="O1142" i="14"/>
  <c r="N1142" i="14"/>
  <c r="M1142" i="14"/>
  <c r="L1142" i="14"/>
  <c r="K1142" i="14"/>
  <c r="J1142" i="14"/>
  <c r="I1142" i="14"/>
  <c r="H1142" i="14"/>
  <c r="J1139" i="14"/>
  <c r="I1139" i="14"/>
  <c r="H1139" i="14"/>
  <c r="H1140" i="14" s="1"/>
  <c r="I1140" i="14" s="1"/>
  <c r="J1140" i="14" s="1"/>
  <c r="AC1138" i="14"/>
  <c r="Y1138" i="14"/>
  <c r="X1138" i="14"/>
  <c r="W1138" i="14"/>
  <c r="S1138" i="14"/>
  <c r="R1138" i="14"/>
  <c r="R1156" i="14" s="1"/>
  <c r="Q1138" i="14"/>
  <c r="P1138" i="14"/>
  <c r="O1138" i="14"/>
  <c r="N1138" i="14"/>
  <c r="M1138" i="14"/>
  <c r="L1138" i="14"/>
  <c r="K1138" i="14"/>
  <c r="Y1137" i="14"/>
  <c r="X1137" i="14"/>
  <c r="W1137" i="14"/>
  <c r="S1137" i="14"/>
  <c r="R1137" i="14"/>
  <c r="AG1137" i="14" s="1"/>
  <c r="Q1137" i="14"/>
  <c r="P1137" i="14"/>
  <c r="P1155" i="14" s="1"/>
  <c r="O1137" i="14"/>
  <c r="AD1137" i="14" s="1"/>
  <c r="N1137" i="14"/>
  <c r="AC1137" i="14" s="1"/>
  <c r="M1137" i="14"/>
  <c r="L1137" i="14"/>
  <c r="L1155" i="14" s="1"/>
  <c r="K1137" i="14"/>
  <c r="Y1136" i="14"/>
  <c r="X1136" i="14"/>
  <c r="W1136" i="14"/>
  <c r="S1136" i="14"/>
  <c r="S1154" i="14" s="1"/>
  <c r="R1136" i="14"/>
  <c r="Q1136" i="14"/>
  <c r="P1136" i="14"/>
  <c r="P1154" i="14" s="1"/>
  <c r="O1136" i="14"/>
  <c r="AD1136" i="14" s="1"/>
  <c r="N1136" i="14"/>
  <c r="M1136" i="14"/>
  <c r="L1136" i="14"/>
  <c r="AA1136" i="14" s="1"/>
  <c r="K1136" i="14"/>
  <c r="K1154" i="14" s="1"/>
  <c r="AH1135" i="14"/>
  <c r="AC1135" i="14"/>
  <c r="Y1135" i="14"/>
  <c r="X1135" i="14"/>
  <c r="W1135" i="14"/>
  <c r="S1135" i="14"/>
  <c r="S1153" i="14" s="1"/>
  <c r="R1135" i="14"/>
  <c r="R1153" i="14" s="1"/>
  <c r="Q1135" i="14"/>
  <c r="AF1135" i="14" s="1"/>
  <c r="P1135" i="14"/>
  <c r="O1135" i="14"/>
  <c r="O1153" i="14" s="1"/>
  <c r="N1135" i="14"/>
  <c r="N1153" i="14" s="1"/>
  <c r="M1135" i="14"/>
  <c r="L1135" i="14"/>
  <c r="K1135" i="14"/>
  <c r="K1153" i="14" s="1"/>
  <c r="Y1134" i="14"/>
  <c r="X1134" i="14"/>
  <c r="W1134" i="14"/>
  <c r="S1134" i="14"/>
  <c r="R1134" i="14"/>
  <c r="R1152" i="14" s="1"/>
  <c r="Q1134" i="14"/>
  <c r="P1134" i="14"/>
  <c r="O1134" i="14"/>
  <c r="N1134" i="14"/>
  <c r="N1152" i="14" s="1"/>
  <c r="M1134" i="14"/>
  <c r="L1134" i="14"/>
  <c r="K1134" i="14"/>
  <c r="AE1133" i="14"/>
  <c r="Y1133" i="14"/>
  <c r="X1133" i="14"/>
  <c r="W1133" i="14"/>
  <c r="S1133" i="14"/>
  <c r="AH1133" i="14" s="1"/>
  <c r="R1133" i="14"/>
  <c r="Q1133" i="14"/>
  <c r="P1133" i="14"/>
  <c r="P1151" i="14" s="1"/>
  <c r="O1133" i="14"/>
  <c r="AD1133" i="14" s="1"/>
  <c r="N1133" i="14"/>
  <c r="M1133" i="14"/>
  <c r="L1133" i="14"/>
  <c r="L1151" i="14" s="1"/>
  <c r="K1133" i="14"/>
  <c r="Z1133" i="14" s="1"/>
  <c r="Y1132" i="14"/>
  <c r="X1132" i="14"/>
  <c r="W1132" i="14"/>
  <c r="S1132" i="14"/>
  <c r="S1150" i="14" s="1"/>
  <c r="R1132" i="14"/>
  <c r="Q1132" i="14"/>
  <c r="P1132" i="14"/>
  <c r="P1150" i="14" s="1"/>
  <c r="O1132" i="14"/>
  <c r="O1150" i="14" s="1"/>
  <c r="N1132" i="14"/>
  <c r="M1132" i="14"/>
  <c r="L1132" i="14"/>
  <c r="K1132" i="14"/>
  <c r="K1150" i="14" s="1"/>
  <c r="S1129" i="14"/>
  <c r="R1129" i="14"/>
  <c r="Q1129" i="14"/>
  <c r="P1129" i="14"/>
  <c r="O1129" i="14"/>
  <c r="N1129" i="14"/>
  <c r="M1129" i="14"/>
  <c r="L1129" i="14"/>
  <c r="K1129" i="14"/>
  <c r="J1129" i="14"/>
  <c r="I1129" i="14"/>
  <c r="H1129" i="14"/>
  <c r="H1130" i="14" s="1"/>
  <c r="T1128" i="14"/>
  <c r="T1138" i="14" s="1"/>
  <c r="U1138" i="14" s="1"/>
  <c r="T1127" i="14"/>
  <c r="T1137" i="14" s="1"/>
  <c r="U1137" i="14" s="1"/>
  <c r="T1126" i="14"/>
  <c r="T1136" i="14" s="1"/>
  <c r="U1136" i="14" s="1"/>
  <c r="T1125" i="14"/>
  <c r="T1135" i="14" s="1"/>
  <c r="U1135" i="14" s="1"/>
  <c r="T1124" i="14"/>
  <c r="T1134" i="14" s="1"/>
  <c r="U1134" i="14" s="1"/>
  <c r="T1123" i="14"/>
  <c r="T1133" i="14" s="1"/>
  <c r="U1133" i="14" s="1"/>
  <c r="T1122" i="14"/>
  <c r="T1132" i="14" s="1"/>
  <c r="S1119" i="14"/>
  <c r="R1119" i="14"/>
  <c r="Q1119" i="14"/>
  <c r="P1119" i="14"/>
  <c r="O1119" i="14"/>
  <c r="N1119" i="14"/>
  <c r="M1119" i="14"/>
  <c r="L1119" i="14"/>
  <c r="K1119" i="14"/>
  <c r="J1119" i="14"/>
  <c r="J1157" i="14" s="1"/>
  <c r="I1119" i="14"/>
  <c r="H1119" i="14"/>
  <c r="H1157" i="14" s="1"/>
  <c r="T1118" i="14"/>
  <c r="T1148" i="14" s="1"/>
  <c r="T1117" i="14"/>
  <c r="T1116" i="14"/>
  <c r="T1115" i="14"/>
  <c r="T1145" i="14" s="1"/>
  <c r="T1114" i="14"/>
  <c r="T1113" i="14"/>
  <c r="T1112" i="14"/>
  <c r="X1110" i="14"/>
  <c r="X1109" i="14"/>
  <c r="V1107" i="14"/>
  <c r="T1046" i="14"/>
  <c r="T1045" i="14"/>
  <c r="T1044" i="14"/>
  <c r="T1040" i="14"/>
  <c r="T1038" i="14"/>
  <c r="T1032" i="14"/>
  <c r="T1031" i="14"/>
  <c r="T1030" i="14"/>
  <c r="T1026" i="14"/>
  <c r="T1035" i="14" s="1"/>
  <c r="T1024" i="14"/>
  <c r="T1018" i="14"/>
  <c r="T1017" i="14"/>
  <c r="T1016" i="14"/>
  <c r="T1012" i="14"/>
  <c r="T1021" i="14" s="1"/>
  <c r="T1010" i="14"/>
  <c r="T1004" i="14"/>
  <c r="T1003" i="14"/>
  <c r="T1008" i="14" s="1"/>
  <c r="T1002" i="14"/>
  <c r="T998" i="14"/>
  <c r="T996" i="14"/>
  <c r="T990" i="14"/>
  <c r="T989" i="14"/>
  <c r="T988" i="14"/>
  <c r="T984" i="14"/>
  <c r="T982" i="14"/>
  <c r="T978" i="14"/>
  <c r="T976" i="14"/>
  <c r="T975" i="14"/>
  <c r="T980" i="14" s="1"/>
  <c r="T974" i="14"/>
  <c r="T973" i="14"/>
  <c r="T972" i="14"/>
  <c r="T968" i="14"/>
  <c r="T967" i="14"/>
  <c r="T966" i="14"/>
  <c r="T965" i="14"/>
  <c r="T964" i="14"/>
  <c r="T961" i="14"/>
  <c r="E961" i="14"/>
  <c r="T960" i="14"/>
  <c r="E960" i="14"/>
  <c r="T959" i="14"/>
  <c r="E959" i="14"/>
  <c r="T955" i="14"/>
  <c r="T953" i="14"/>
  <c r="E953" i="14"/>
  <c r="T952" i="14"/>
  <c r="E952" i="14"/>
  <c r="T938" i="14"/>
  <c r="T950" i="14" s="1"/>
  <c r="T937" i="14"/>
  <c r="T936" i="14"/>
  <c r="T935" i="14"/>
  <c r="T934" i="14"/>
  <c r="T933" i="14"/>
  <c r="T932" i="14"/>
  <c r="T931" i="14"/>
  <c r="T930" i="14"/>
  <c r="T929" i="14"/>
  <c r="T928" i="14"/>
  <c r="T925" i="14"/>
  <c r="T924" i="14"/>
  <c r="T923" i="14"/>
  <c r="T922" i="14"/>
  <c r="T921" i="14"/>
  <c r="T918" i="14"/>
  <c r="E918" i="14"/>
  <c r="T917" i="14"/>
  <c r="E917" i="14"/>
  <c r="T916" i="14"/>
  <c r="E916" i="14"/>
  <c r="T915" i="14"/>
  <c r="V915" i="14" s="1"/>
  <c r="E915" i="14"/>
  <c r="T912" i="14"/>
  <c r="T945" i="14" s="1"/>
  <c r="T910" i="14"/>
  <c r="E910" i="14"/>
  <c r="T909" i="14"/>
  <c r="E909" i="14"/>
  <c r="T908" i="14"/>
  <c r="E908" i="14"/>
  <c r="T907" i="14"/>
  <c r="E907" i="14"/>
  <c r="T906" i="14"/>
  <c r="E906" i="14"/>
  <c r="T905" i="14"/>
  <c r="E905" i="14"/>
  <c r="T904" i="14"/>
  <c r="E904" i="14"/>
  <c r="T903" i="14"/>
  <c r="T897" i="14"/>
  <c r="T896" i="14"/>
  <c r="T895" i="14"/>
  <c r="T891" i="14"/>
  <c r="T889" i="14"/>
  <c r="T881" i="14"/>
  <c r="T880" i="14"/>
  <c r="T887" i="14" s="1"/>
  <c r="T879" i="14"/>
  <c r="T878" i="14"/>
  <c r="T877" i="14"/>
  <c r="T883" i="14" s="1"/>
  <c r="T874" i="14"/>
  <c r="T873" i="14"/>
  <c r="T870" i="14"/>
  <c r="E870" i="14"/>
  <c r="T867" i="14"/>
  <c r="T865" i="14"/>
  <c r="E865" i="14"/>
  <c r="T864" i="14"/>
  <c r="T857" i="14"/>
  <c r="T853" i="14"/>
  <c r="T852" i="14"/>
  <c r="T862" i="14" s="1"/>
  <c r="T851" i="14"/>
  <c r="T850" i="14"/>
  <c r="T849" i="14"/>
  <c r="T848" i="14"/>
  <c r="T847" i="14"/>
  <c r="T856" i="14" s="1"/>
  <c r="T846" i="14"/>
  <c r="T843" i="14"/>
  <c r="T842" i="14"/>
  <c r="T839" i="14"/>
  <c r="E839" i="14"/>
  <c r="T836" i="14"/>
  <c r="T834" i="14"/>
  <c r="E834" i="14"/>
  <c r="T833" i="14"/>
  <c r="E833" i="14"/>
  <c r="T832" i="14"/>
  <c r="E832" i="14"/>
  <c r="T831" i="14"/>
  <c r="E831" i="14"/>
  <c r="T830" i="14"/>
  <c r="T816" i="14"/>
  <c r="T828" i="14" s="1"/>
  <c r="T815" i="14"/>
  <c r="T814" i="14"/>
  <c r="T813" i="14"/>
  <c r="T812" i="14"/>
  <c r="T811" i="14"/>
  <c r="T810" i="14"/>
  <c r="T809" i="14"/>
  <c r="T808" i="14"/>
  <c r="T820" i="14" s="1"/>
  <c r="T807" i="14"/>
  <c r="T806" i="14"/>
  <c r="T803" i="14"/>
  <c r="T802" i="14"/>
  <c r="T801" i="14"/>
  <c r="T800" i="14"/>
  <c r="T799" i="14"/>
  <c r="T798" i="14"/>
  <c r="T797" i="14"/>
  <c r="T794" i="14"/>
  <c r="E794" i="14"/>
  <c r="T793" i="14"/>
  <c r="E793" i="14"/>
  <c r="T792" i="14"/>
  <c r="E792" i="14"/>
  <c r="T791" i="14"/>
  <c r="E791" i="14"/>
  <c r="T790" i="14"/>
  <c r="E790" i="14"/>
  <c r="V789" i="14"/>
  <c r="T789" i="14"/>
  <c r="E789" i="14"/>
  <c r="U789" i="14" s="1"/>
  <c r="T786" i="14"/>
  <c r="T785" i="14"/>
  <c r="T784" i="14"/>
  <c r="V784" i="14" s="1"/>
  <c r="T782" i="14"/>
  <c r="E782" i="14"/>
  <c r="T781" i="14"/>
  <c r="E781" i="14"/>
  <c r="T780" i="14"/>
  <c r="E780" i="14"/>
  <c r="T779" i="14"/>
  <c r="E779" i="14"/>
  <c r="T778" i="14"/>
  <c r="E778" i="14"/>
  <c r="T777" i="14"/>
  <c r="E777" i="14"/>
  <c r="T776" i="14"/>
  <c r="E776" i="14"/>
  <c r="T775" i="14"/>
  <c r="S767" i="14"/>
  <c r="R767" i="14"/>
  <c r="Q767" i="14"/>
  <c r="P767" i="14"/>
  <c r="O767" i="14"/>
  <c r="N767" i="14"/>
  <c r="M767" i="14"/>
  <c r="L767" i="14"/>
  <c r="K767" i="14"/>
  <c r="J767" i="14"/>
  <c r="S766" i="14"/>
  <c r="R766" i="14"/>
  <c r="Q766" i="14"/>
  <c r="P766" i="14"/>
  <c r="O766" i="14"/>
  <c r="N766" i="14"/>
  <c r="N768" i="14" s="1"/>
  <c r="M766" i="14"/>
  <c r="L766" i="14"/>
  <c r="K766" i="14"/>
  <c r="J766" i="14"/>
  <c r="J768" i="14" s="1"/>
  <c r="T756" i="14"/>
  <c r="V756" i="14" s="1"/>
  <c r="AC755" i="14"/>
  <c r="AB755" i="14"/>
  <c r="AA755" i="14"/>
  <c r="Z755" i="14"/>
  <c r="Y755" i="14"/>
  <c r="X755" i="14"/>
  <c r="W755" i="14"/>
  <c r="T755" i="14"/>
  <c r="G755" i="14"/>
  <c r="V755" i="14" s="1"/>
  <c r="E755" i="14"/>
  <c r="AC754" i="14"/>
  <c r="AB754" i="14"/>
  <c r="AA754" i="14"/>
  <c r="Z754" i="14"/>
  <c r="Y754" i="14"/>
  <c r="X754" i="14"/>
  <c r="W754" i="14"/>
  <c r="T754" i="14"/>
  <c r="G754" i="14"/>
  <c r="E754" i="14"/>
  <c r="J753" i="14"/>
  <c r="I753" i="14"/>
  <c r="H753" i="14"/>
  <c r="T752" i="14"/>
  <c r="T751" i="14"/>
  <c r="T741" i="14"/>
  <c r="V741" i="14" s="1"/>
  <c r="AC740" i="14"/>
  <c r="AB740" i="14"/>
  <c r="AA740" i="14"/>
  <c r="Z740" i="14"/>
  <c r="Y740" i="14"/>
  <c r="X740" i="14"/>
  <c r="W740" i="14"/>
  <c r="T740" i="14"/>
  <c r="G740" i="14"/>
  <c r="E740" i="14"/>
  <c r="AC739" i="14"/>
  <c r="AB739" i="14"/>
  <c r="AA739" i="14"/>
  <c r="Z739" i="14"/>
  <c r="Y739" i="14"/>
  <c r="X739" i="14"/>
  <c r="W739" i="14"/>
  <c r="T739" i="14"/>
  <c r="G739" i="14"/>
  <c r="V739" i="14" s="1"/>
  <c r="E739" i="14"/>
  <c r="J738" i="14"/>
  <c r="I738" i="14"/>
  <c r="H738" i="14"/>
  <c r="T737" i="14"/>
  <c r="T736" i="14"/>
  <c r="S731" i="14"/>
  <c r="S735" i="14" s="1"/>
  <c r="R731" i="14"/>
  <c r="Q731" i="14"/>
  <c r="P731" i="14"/>
  <c r="P735" i="14" s="1"/>
  <c r="O731" i="14"/>
  <c r="N731" i="14"/>
  <c r="M731" i="14"/>
  <c r="L731" i="14"/>
  <c r="L735" i="14" s="1"/>
  <c r="K731" i="14"/>
  <c r="K735" i="14" s="1"/>
  <c r="J731" i="14"/>
  <c r="S730" i="14"/>
  <c r="S734" i="14" s="1"/>
  <c r="R730" i="14"/>
  <c r="Q730" i="14"/>
  <c r="Q735" i="14" s="1"/>
  <c r="P730" i="14"/>
  <c r="P734" i="14" s="1"/>
  <c r="O730" i="14"/>
  <c r="O734" i="14" s="1"/>
  <c r="N730" i="14"/>
  <c r="M730" i="14"/>
  <c r="M735" i="14" s="1"/>
  <c r="L730" i="14"/>
  <c r="L734" i="14" s="1"/>
  <c r="K730" i="14"/>
  <c r="K734" i="14" s="1"/>
  <c r="J730" i="14"/>
  <c r="T726" i="14"/>
  <c r="V726" i="14" s="1"/>
  <c r="AC725" i="14"/>
  <c r="AB725" i="14"/>
  <c r="AA725" i="14"/>
  <c r="Z725" i="14"/>
  <c r="Y725" i="14"/>
  <c r="X725" i="14"/>
  <c r="W725" i="14"/>
  <c r="T725" i="14"/>
  <c r="G725" i="14"/>
  <c r="E725" i="14"/>
  <c r="J759" i="14" s="1"/>
  <c r="J763" i="14" s="1"/>
  <c r="AC724" i="14"/>
  <c r="AB724" i="14"/>
  <c r="AA724" i="14"/>
  <c r="Z724" i="14"/>
  <c r="Y724" i="14"/>
  <c r="X724" i="14"/>
  <c r="W724" i="14"/>
  <c r="T724" i="14"/>
  <c r="G724" i="14"/>
  <c r="E724" i="14"/>
  <c r="R758" i="14" s="1"/>
  <c r="R762" i="14" s="1"/>
  <c r="I721" i="14"/>
  <c r="I767" i="14" s="1"/>
  <c r="H721" i="14"/>
  <c r="T721" i="14" s="1"/>
  <c r="T731" i="14" s="1"/>
  <c r="T720" i="14"/>
  <c r="I720" i="14"/>
  <c r="I730" i="14" s="1"/>
  <c r="I734" i="14" s="1"/>
  <c r="H720" i="14"/>
  <c r="H730" i="14" s="1"/>
  <c r="I719" i="14"/>
  <c r="H719" i="14"/>
  <c r="T718" i="14"/>
  <c r="T717" i="14"/>
  <c r="T719" i="14" s="1"/>
  <c r="I716" i="14"/>
  <c r="H716" i="14"/>
  <c r="T715" i="14"/>
  <c r="T714" i="14"/>
  <c r="T716" i="14" s="1"/>
  <c r="I713" i="14"/>
  <c r="H713" i="14"/>
  <c r="T712" i="14"/>
  <c r="T711" i="14"/>
  <c r="T713" i="14" s="1"/>
  <c r="T698" i="14"/>
  <c r="V698" i="14" s="1"/>
  <c r="S697" i="14"/>
  <c r="R697" i="14"/>
  <c r="Q697" i="14"/>
  <c r="P697" i="14"/>
  <c r="O697" i="14"/>
  <c r="N697" i="14"/>
  <c r="M697" i="14"/>
  <c r="L697" i="14"/>
  <c r="K697" i="14"/>
  <c r="J697" i="14"/>
  <c r="I697" i="14"/>
  <c r="H697" i="14"/>
  <c r="AC696" i="14"/>
  <c r="AB696" i="14"/>
  <c r="AA696" i="14"/>
  <c r="Z696" i="14"/>
  <c r="Y696" i="14"/>
  <c r="X696" i="14"/>
  <c r="W696" i="14"/>
  <c r="T696" i="14"/>
  <c r="G696" i="14"/>
  <c r="V696" i="14" s="1"/>
  <c r="E696" i="14"/>
  <c r="AC695" i="14"/>
  <c r="AB695" i="14"/>
  <c r="AA695" i="14"/>
  <c r="Z695" i="14"/>
  <c r="Y695" i="14"/>
  <c r="X695" i="14"/>
  <c r="W695" i="14"/>
  <c r="T695" i="14"/>
  <c r="G695" i="14"/>
  <c r="F695" i="14"/>
  <c r="E695" i="14"/>
  <c r="AC694" i="14"/>
  <c r="AB694" i="14"/>
  <c r="AA694" i="14"/>
  <c r="Z694" i="14"/>
  <c r="Y694" i="14"/>
  <c r="X694" i="14"/>
  <c r="W694" i="14"/>
  <c r="T694" i="14"/>
  <c r="G694" i="14"/>
  <c r="F694" i="14"/>
  <c r="E694" i="14"/>
  <c r="K700" i="14" s="1"/>
  <c r="K705" i="14" s="1"/>
  <c r="AC693" i="14"/>
  <c r="AB693" i="14"/>
  <c r="AA693" i="14"/>
  <c r="Z693" i="14"/>
  <c r="Y693" i="14"/>
  <c r="X693" i="14"/>
  <c r="W693" i="14"/>
  <c r="T693" i="14"/>
  <c r="G693" i="14"/>
  <c r="V693" i="14" s="1"/>
  <c r="E693" i="14"/>
  <c r="L699" i="14" s="1"/>
  <c r="Q690" i="14"/>
  <c r="P690" i="14"/>
  <c r="O690" i="14"/>
  <c r="N690" i="14"/>
  <c r="M690" i="14"/>
  <c r="L690" i="14"/>
  <c r="K690" i="14"/>
  <c r="Q689" i="14"/>
  <c r="Q691" i="14" s="1"/>
  <c r="P689" i="14"/>
  <c r="O689" i="14"/>
  <c r="N689" i="14"/>
  <c r="M689" i="14"/>
  <c r="M691" i="14" s="1"/>
  <c r="L689" i="14"/>
  <c r="K689" i="14"/>
  <c r="S688" i="14"/>
  <c r="R688" i="14"/>
  <c r="Q688" i="14"/>
  <c r="P688" i="14"/>
  <c r="O688" i="14"/>
  <c r="N688" i="14"/>
  <c r="M688" i="14"/>
  <c r="L688" i="14"/>
  <c r="K688" i="14"/>
  <c r="S687" i="14"/>
  <c r="R687" i="14"/>
  <c r="Q687" i="14"/>
  <c r="P687" i="14"/>
  <c r="O687" i="14"/>
  <c r="N687" i="14"/>
  <c r="M687" i="14"/>
  <c r="L687" i="14"/>
  <c r="K687" i="14"/>
  <c r="S686" i="14"/>
  <c r="R686" i="14"/>
  <c r="Q686" i="14"/>
  <c r="P686" i="14"/>
  <c r="O686" i="14"/>
  <c r="N686" i="14"/>
  <c r="M686" i="14"/>
  <c r="L686" i="14"/>
  <c r="K686" i="14"/>
  <c r="J685" i="14"/>
  <c r="I685" i="14"/>
  <c r="H685" i="14"/>
  <c r="T681" i="14"/>
  <c r="AC679" i="14"/>
  <c r="AB679" i="14"/>
  <c r="AA679" i="14"/>
  <c r="Z679" i="14"/>
  <c r="Y679" i="14"/>
  <c r="X679" i="14"/>
  <c r="W679" i="14"/>
  <c r="T679" i="14"/>
  <c r="G679" i="14"/>
  <c r="E679" i="14"/>
  <c r="I683" i="14" s="1"/>
  <c r="S677" i="14"/>
  <c r="R677" i="14"/>
  <c r="Q677" i="14"/>
  <c r="P677" i="14"/>
  <c r="O677" i="14"/>
  <c r="N677" i="14"/>
  <c r="M677" i="14"/>
  <c r="L677" i="14"/>
  <c r="K677" i="14"/>
  <c r="S676" i="14"/>
  <c r="R676" i="14"/>
  <c r="Q676" i="14"/>
  <c r="P676" i="14"/>
  <c r="O676" i="14"/>
  <c r="N676" i="14"/>
  <c r="M676" i="14"/>
  <c r="L676" i="14"/>
  <c r="K676" i="14"/>
  <c r="S675" i="14"/>
  <c r="R675" i="14"/>
  <c r="Q675" i="14"/>
  <c r="P675" i="14"/>
  <c r="O675" i="14"/>
  <c r="N675" i="14"/>
  <c r="M675" i="14"/>
  <c r="L675" i="14"/>
  <c r="K675" i="14"/>
  <c r="J674" i="14"/>
  <c r="I674" i="14"/>
  <c r="H674" i="14"/>
  <c r="T670" i="14"/>
  <c r="AC668" i="14"/>
  <c r="AB668" i="14"/>
  <c r="AA668" i="14"/>
  <c r="Z668" i="14"/>
  <c r="Y668" i="14"/>
  <c r="X668" i="14"/>
  <c r="W668" i="14"/>
  <c r="T668" i="14"/>
  <c r="G668" i="14"/>
  <c r="E668" i="14"/>
  <c r="J672" i="14" s="1"/>
  <c r="R666" i="14"/>
  <c r="Q666" i="14"/>
  <c r="P666" i="14"/>
  <c r="O666" i="14"/>
  <c r="N666" i="14"/>
  <c r="M666" i="14"/>
  <c r="L666" i="14"/>
  <c r="K666" i="14"/>
  <c r="S665" i="14"/>
  <c r="S666" i="14" s="1"/>
  <c r="R665" i="14"/>
  <c r="Q665" i="14"/>
  <c r="P665" i="14"/>
  <c r="O665" i="14"/>
  <c r="N665" i="14"/>
  <c r="M665" i="14"/>
  <c r="L665" i="14"/>
  <c r="K665" i="14"/>
  <c r="J663" i="14"/>
  <c r="I663" i="14"/>
  <c r="H663" i="14"/>
  <c r="T659" i="14"/>
  <c r="AC657" i="14"/>
  <c r="AB657" i="14"/>
  <c r="AA657" i="14"/>
  <c r="Z657" i="14"/>
  <c r="Y657" i="14"/>
  <c r="X657" i="14"/>
  <c r="W657" i="14"/>
  <c r="T657" i="14"/>
  <c r="G657" i="14"/>
  <c r="V657" i="14" s="1"/>
  <c r="V658" i="14" s="1"/>
  <c r="E657" i="14"/>
  <c r="S655" i="14"/>
  <c r="R655" i="14"/>
  <c r="Q655" i="14"/>
  <c r="P655" i="14"/>
  <c r="O655" i="14"/>
  <c r="N655" i="14"/>
  <c r="M655" i="14"/>
  <c r="L655" i="14"/>
  <c r="K655" i="14"/>
  <c r="S654" i="14"/>
  <c r="R654" i="14"/>
  <c r="Q654" i="14"/>
  <c r="P654" i="14"/>
  <c r="O654" i="14"/>
  <c r="N654" i="14"/>
  <c r="M654" i="14"/>
  <c r="L654" i="14"/>
  <c r="K654" i="14"/>
  <c r="S653" i="14"/>
  <c r="R653" i="14"/>
  <c r="Q653" i="14"/>
  <c r="P653" i="14"/>
  <c r="O653" i="14"/>
  <c r="N653" i="14"/>
  <c r="M653" i="14"/>
  <c r="L653" i="14"/>
  <c r="K653" i="14"/>
  <c r="T652" i="14"/>
  <c r="J652" i="14"/>
  <c r="I652" i="14"/>
  <c r="H652" i="14"/>
  <c r="T648" i="14"/>
  <c r="T647" i="14"/>
  <c r="AC646" i="14"/>
  <c r="AB646" i="14"/>
  <c r="AA646" i="14"/>
  <c r="Z646" i="14"/>
  <c r="Y646" i="14"/>
  <c r="X646" i="14"/>
  <c r="W646" i="14"/>
  <c r="T646" i="14"/>
  <c r="G646" i="14"/>
  <c r="E646" i="14"/>
  <c r="S645" i="14"/>
  <c r="R645" i="14"/>
  <c r="Q645" i="14"/>
  <c r="P645" i="14"/>
  <c r="O645" i="14"/>
  <c r="N645" i="14"/>
  <c r="M645" i="14"/>
  <c r="L645" i="14"/>
  <c r="K645" i="14"/>
  <c r="S644" i="14"/>
  <c r="R644" i="14"/>
  <c r="Q644" i="14"/>
  <c r="P644" i="14"/>
  <c r="O644" i="14"/>
  <c r="N644" i="14"/>
  <c r="M644" i="14"/>
  <c r="L644" i="14"/>
  <c r="K644" i="14"/>
  <c r="S643" i="14"/>
  <c r="R643" i="14"/>
  <c r="Q643" i="14"/>
  <c r="P643" i="14"/>
  <c r="O643" i="14"/>
  <c r="N643" i="14"/>
  <c r="M643" i="14"/>
  <c r="L643" i="14"/>
  <c r="K643" i="14"/>
  <c r="S642" i="14"/>
  <c r="R642" i="14"/>
  <c r="Q642" i="14"/>
  <c r="P642" i="14"/>
  <c r="O642" i="14"/>
  <c r="N642" i="14"/>
  <c r="M642" i="14"/>
  <c r="L642" i="14"/>
  <c r="K642" i="14"/>
  <c r="S641" i="14"/>
  <c r="R641" i="14"/>
  <c r="Q641" i="14"/>
  <c r="P641" i="14"/>
  <c r="O641" i="14"/>
  <c r="N641" i="14"/>
  <c r="M641" i="14"/>
  <c r="L641" i="14"/>
  <c r="K641" i="14"/>
  <c r="J640" i="14"/>
  <c r="I640" i="14"/>
  <c r="H640" i="14"/>
  <c r="T640" i="14" s="1"/>
  <c r="J638" i="14"/>
  <c r="I638" i="14"/>
  <c r="I642" i="14" s="1"/>
  <c r="H638" i="14"/>
  <c r="H642" i="14" s="1"/>
  <c r="T635" i="14"/>
  <c r="T634" i="14"/>
  <c r="AC633" i="14"/>
  <c r="AB633" i="14"/>
  <c r="AA633" i="14"/>
  <c r="Z633" i="14"/>
  <c r="Y633" i="14"/>
  <c r="X633" i="14"/>
  <c r="W633" i="14"/>
  <c r="T633" i="14"/>
  <c r="G633" i="14"/>
  <c r="E633" i="14"/>
  <c r="J637" i="14" s="1"/>
  <c r="S632" i="14"/>
  <c r="R632" i="14"/>
  <c r="Q632" i="14"/>
  <c r="P632" i="14"/>
  <c r="O632" i="14"/>
  <c r="N632" i="14"/>
  <c r="M632" i="14"/>
  <c r="L632" i="14"/>
  <c r="K632" i="14"/>
  <c r="S631" i="14"/>
  <c r="R631" i="14"/>
  <c r="Q631" i="14"/>
  <c r="P631" i="14"/>
  <c r="O631" i="14"/>
  <c r="N631" i="14"/>
  <c r="M631" i="14"/>
  <c r="L631" i="14"/>
  <c r="K631" i="14"/>
  <c r="S630" i="14"/>
  <c r="R630" i="14"/>
  <c r="Q630" i="14"/>
  <c r="P630" i="14"/>
  <c r="O630" i="14"/>
  <c r="N630" i="14"/>
  <c r="M630" i="14"/>
  <c r="L630" i="14"/>
  <c r="K630" i="14"/>
  <c r="S629" i="14"/>
  <c r="R629" i="14"/>
  <c r="Q629" i="14"/>
  <c r="P629" i="14"/>
  <c r="O629" i="14"/>
  <c r="N629" i="14"/>
  <c r="M629" i="14"/>
  <c r="L629" i="14"/>
  <c r="K629" i="14"/>
  <c r="J628" i="14"/>
  <c r="I628" i="14"/>
  <c r="H628" i="14"/>
  <c r="J626" i="14"/>
  <c r="J630" i="14" s="1"/>
  <c r="I626" i="14"/>
  <c r="I630" i="14" s="1"/>
  <c r="H626" i="14"/>
  <c r="T623" i="14"/>
  <c r="T622" i="14"/>
  <c r="AC621" i="14"/>
  <c r="AB621" i="14"/>
  <c r="AA621" i="14"/>
  <c r="Z621" i="14"/>
  <c r="Y621" i="14"/>
  <c r="X621" i="14"/>
  <c r="W621" i="14"/>
  <c r="T621" i="14"/>
  <c r="G621" i="14"/>
  <c r="V621" i="14" s="1"/>
  <c r="V622" i="14" s="1"/>
  <c r="E621" i="14"/>
  <c r="H618" i="14"/>
  <c r="J616" i="14"/>
  <c r="I616" i="14"/>
  <c r="H616" i="14"/>
  <c r="J614" i="14"/>
  <c r="I614" i="14"/>
  <c r="I618" i="14" s="1"/>
  <c r="H614" i="14"/>
  <c r="T611" i="14"/>
  <c r="T610" i="14"/>
  <c r="AC609" i="14"/>
  <c r="AB609" i="14"/>
  <c r="AA609" i="14"/>
  <c r="Z609" i="14"/>
  <c r="Y609" i="14"/>
  <c r="X609" i="14"/>
  <c r="W609" i="14"/>
  <c r="T609" i="14"/>
  <c r="G609" i="14"/>
  <c r="E609" i="14"/>
  <c r="S607" i="14"/>
  <c r="R607" i="14"/>
  <c r="Q607" i="14"/>
  <c r="P607" i="14"/>
  <c r="O607" i="14"/>
  <c r="N607" i="14"/>
  <c r="M607" i="14"/>
  <c r="L607" i="14"/>
  <c r="K607" i="14"/>
  <c r="S606" i="14"/>
  <c r="R606" i="14"/>
  <c r="Q606" i="14"/>
  <c r="P606" i="14"/>
  <c r="O606" i="14"/>
  <c r="N606" i="14"/>
  <c r="M606" i="14"/>
  <c r="L606" i="14"/>
  <c r="K606" i="14"/>
  <c r="S605" i="14"/>
  <c r="R605" i="14"/>
  <c r="Q605" i="14"/>
  <c r="P605" i="14"/>
  <c r="O605" i="14"/>
  <c r="N605" i="14"/>
  <c r="M605" i="14"/>
  <c r="L605" i="14"/>
  <c r="K605" i="14"/>
  <c r="S604" i="14"/>
  <c r="R604" i="14"/>
  <c r="Q604" i="14"/>
  <c r="P604" i="14"/>
  <c r="O604" i="14"/>
  <c r="N604" i="14"/>
  <c r="M604" i="14"/>
  <c r="L604" i="14"/>
  <c r="K604" i="14"/>
  <c r="S603" i="14"/>
  <c r="R603" i="14"/>
  <c r="Q603" i="14"/>
  <c r="P603" i="14"/>
  <c r="O603" i="14"/>
  <c r="N603" i="14"/>
  <c r="M603" i="14"/>
  <c r="L603" i="14"/>
  <c r="K603" i="14"/>
  <c r="S602" i="14"/>
  <c r="R602" i="14"/>
  <c r="Q602" i="14"/>
  <c r="P602" i="14"/>
  <c r="O602" i="14"/>
  <c r="N602" i="14"/>
  <c r="M602" i="14"/>
  <c r="L602" i="14"/>
  <c r="K602" i="14"/>
  <c r="S601" i="14"/>
  <c r="R601" i="14"/>
  <c r="Q601" i="14"/>
  <c r="P601" i="14"/>
  <c r="O601" i="14"/>
  <c r="N601" i="14"/>
  <c r="M601" i="14"/>
  <c r="L601" i="14"/>
  <c r="K601" i="14"/>
  <c r="J600" i="14"/>
  <c r="I600" i="14"/>
  <c r="H600" i="14"/>
  <c r="T600" i="14" s="1"/>
  <c r="J598" i="14"/>
  <c r="J605" i="14" s="1"/>
  <c r="I598" i="14"/>
  <c r="I605" i="14" s="1"/>
  <c r="H598" i="14"/>
  <c r="H605" i="14" s="1"/>
  <c r="J597" i="14"/>
  <c r="J604" i="14" s="1"/>
  <c r="I597" i="14"/>
  <c r="I604" i="14" s="1"/>
  <c r="H597" i="14"/>
  <c r="H604" i="14" s="1"/>
  <c r="J596" i="14"/>
  <c r="J603" i="14" s="1"/>
  <c r="I596" i="14"/>
  <c r="I603" i="14" s="1"/>
  <c r="H596" i="14"/>
  <c r="H603" i="14" s="1"/>
  <c r="T592" i="14"/>
  <c r="T591" i="14"/>
  <c r="AC587" i="14"/>
  <c r="AB587" i="14"/>
  <c r="AA587" i="14"/>
  <c r="Z587" i="14"/>
  <c r="Y587" i="14"/>
  <c r="X587" i="14"/>
  <c r="W587" i="14"/>
  <c r="I587" i="14"/>
  <c r="H587" i="14"/>
  <c r="G587" i="14"/>
  <c r="E587" i="14"/>
  <c r="AC586" i="14"/>
  <c r="AB586" i="14"/>
  <c r="AA586" i="14"/>
  <c r="Z586" i="14"/>
  <c r="Y586" i="14"/>
  <c r="X586" i="14"/>
  <c r="W586" i="14"/>
  <c r="T586" i="14"/>
  <c r="G586" i="14"/>
  <c r="V586" i="14" s="1"/>
  <c r="E586" i="14"/>
  <c r="I594" i="14" s="1"/>
  <c r="S582" i="14"/>
  <c r="R582" i="14"/>
  <c r="Q582" i="14"/>
  <c r="P582" i="14"/>
  <c r="O582" i="14"/>
  <c r="N582" i="14"/>
  <c r="M582" i="14"/>
  <c r="L582" i="14"/>
  <c r="K582" i="14"/>
  <c r="S581" i="14"/>
  <c r="R581" i="14"/>
  <c r="R583" i="14" s="1"/>
  <c r="Q581" i="14"/>
  <c r="P581" i="14"/>
  <c r="P583" i="14" s="1"/>
  <c r="O581" i="14"/>
  <c r="N581" i="14"/>
  <c r="N583" i="14" s="1"/>
  <c r="M581" i="14"/>
  <c r="M583" i="14" s="1"/>
  <c r="L581" i="14"/>
  <c r="L583" i="14" s="1"/>
  <c r="K581" i="14"/>
  <c r="S574" i="14"/>
  <c r="R574" i="14"/>
  <c r="Q574" i="14"/>
  <c r="P574" i="14"/>
  <c r="O574" i="14"/>
  <c r="N574" i="14"/>
  <c r="M574" i="14"/>
  <c r="L574" i="14"/>
  <c r="K574" i="14"/>
  <c r="J574" i="14"/>
  <c r="I574" i="14"/>
  <c r="H574" i="14"/>
  <c r="S565" i="14"/>
  <c r="S567" i="14" s="1"/>
  <c r="S568" i="14" s="1"/>
  <c r="R565" i="14"/>
  <c r="R567" i="14" s="1"/>
  <c r="R568" i="14" s="1"/>
  <c r="Q565" i="14"/>
  <c r="Q567" i="14" s="1"/>
  <c r="Q568" i="14" s="1"/>
  <c r="P565" i="14"/>
  <c r="P567" i="14" s="1"/>
  <c r="P568" i="14" s="1"/>
  <c r="O565" i="14"/>
  <c r="O567" i="14" s="1"/>
  <c r="O568" i="14" s="1"/>
  <c r="N565" i="14"/>
  <c r="N567" i="14" s="1"/>
  <c r="N568" i="14" s="1"/>
  <c r="M565" i="14"/>
  <c r="M567" i="14" s="1"/>
  <c r="M568" i="14" s="1"/>
  <c r="L565" i="14"/>
  <c r="L567" i="14" s="1"/>
  <c r="L568" i="14" s="1"/>
  <c r="K565" i="14"/>
  <c r="K567" i="14" s="1"/>
  <c r="K568" i="14" s="1"/>
  <c r="J565" i="14"/>
  <c r="J567" i="14" s="1"/>
  <c r="J568" i="14" s="1"/>
  <c r="I565" i="14"/>
  <c r="I567" i="14" s="1"/>
  <c r="I568" i="14" s="1"/>
  <c r="H565" i="14"/>
  <c r="H567" i="14" s="1"/>
  <c r="G565" i="14"/>
  <c r="T563" i="14"/>
  <c r="T574" i="14" s="1"/>
  <c r="AC561" i="14"/>
  <c r="AB561" i="14"/>
  <c r="AA561" i="14"/>
  <c r="Z561" i="14"/>
  <c r="Y561" i="14"/>
  <c r="X561" i="14"/>
  <c r="W561" i="14"/>
  <c r="T561" i="14"/>
  <c r="G561" i="14"/>
  <c r="E561" i="14"/>
  <c r="N571" i="14" s="1"/>
  <c r="N577" i="14" s="1"/>
  <c r="AC560" i="14"/>
  <c r="AB560" i="14"/>
  <c r="AA560" i="14"/>
  <c r="Z560" i="14"/>
  <c r="Y560" i="14"/>
  <c r="X560" i="14"/>
  <c r="W560" i="14"/>
  <c r="T560" i="14"/>
  <c r="G560" i="14"/>
  <c r="V560" i="14" s="1"/>
  <c r="F560" i="14"/>
  <c r="E560" i="14"/>
  <c r="O570" i="14" s="1"/>
  <c r="AC559" i="14"/>
  <c r="AB559" i="14"/>
  <c r="AA559" i="14"/>
  <c r="Z559" i="14"/>
  <c r="Y559" i="14"/>
  <c r="X559" i="14"/>
  <c r="W559" i="14"/>
  <c r="T559" i="14"/>
  <c r="G559" i="14"/>
  <c r="E559" i="14"/>
  <c r="L569" i="14" s="1"/>
  <c r="J554" i="14"/>
  <c r="I554" i="14"/>
  <c r="H554" i="14"/>
  <c r="J552" i="14"/>
  <c r="J555" i="14" s="1"/>
  <c r="T551" i="14"/>
  <c r="AC549" i="14"/>
  <c r="AB549" i="14"/>
  <c r="AA549" i="14"/>
  <c r="Z549" i="14"/>
  <c r="Y549" i="14"/>
  <c r="X549" i="14"/>
  <c r="W549" i="14"/>
  <c r="T549" i="14"/>
  <c r="G549" i="14"/>
  <c r="E549" i="14"/>
  <c r="H552" i="14" s="1"/>
  <c r="J544" i="14"/>
  <c r="I544" i="14"/>
  <c r="H544" i="14"/>
  <c r="T540" i="14"/>
  <c r="AC538" i="14"/>
  <c r="AB538" i="14"/>
  <c r="AA538" i="14"/>
  <c r="Z538" i="14"/>
  <c r="Y538" i="14"/>
  <c r="X538" i="14"/>
  <c r="W538" i="14"/>
  <c r="T538" i="14"/>
  <c r="G538" i="14"/>
  <c r="E538" i="14"/>
  <c r="J533" i="14"/>
  <c r="I533" i="14"/>
  <c r="H533" i="14"/>
  <c r="T529" i="14"/>
  <c r="T533" i="14" s="1"/>
  <c r="AC527" i="14"/>
  <c r="AB527" i="14"/>
  <c r="AA527" i="14"/>
  <c r="Z527" i="14"/>
  <c r="Y527" i="14"/>
  <c r="X527" i="14"/>
  <c r="W527" i="14"/>
  <c r="T527" i="14"/>
  <c r="G527" i="14"/>
  <c r="E527" i="14"/>
  <c r="H531" i="14" s="1"/>
  <c r="J522" i="14"/>
  <c r="I522" i="14"/>
  <c r="H522" i="14"/>
  <c r="T518" i="14"/>
  <c r="AC516" i="14"/>
  <c r="AB516" i="14"/>
  <c r="AA516" i="14"/>
  <c r="Z516" i="14"/>
  <c r="Y516" i="14"/>
  <c r="X516" i="14"/>
  <c r="W516" i="14"/>
  <c r="T516" i="14"/>
  <c r="G516" i="14"/>
  <c r="E516" i="14"/>
  <c r="H520" i="14" s="1"/>
  <c r="S510" i="14"/>
  <c r="R510" i="14"/>
  <c r="Q510" i="14"/>
  <c r="P510" i="14"/>
  <c r="O510" i="14"/>
  <c r="N510" i="14"/>
  <c r="S509" i="14"/>
  <c r="S511" i="14" s="1"/>
  <c r="R509" i="14"/>
  <c r="Q509" i="14"/>
  <c r="P509" i="14"/>
  <c r="O509" i="14"/>
  <c r="O511" i="14" s="1"/>
  <c r="N509" i="14"/>
  <c r="M509" i="14"/>
  <c r="L509" i="14"/>
  <c r="K509" i="14"/>
  <c r="J509" i="14"/>
  <c r="I509" i="14"/>
  <c r="H509" i="14"/>
  <c r="H508" i="14"/>
  <c r="I508" i="14" s="1"/>
  <c r="S500" i="14"/>
  <c r="R500" i="14"/>
  <c r="Q500" i="14"/>
  <c r="P500" i="14"/>
  <c r="O500" i="14"/>
  <c r="N500" i="14"/>
  <c r="M500" i="14"/>
  <c r="L500" i="14"/>
  <c r="K500" i="14"/>
  <c r="S499" i="14"/>
  <c r="R499" i="14"/>
  <c r="R505" i="14" s="1"/>
  <c r="Q499" i="14"/>
  <c r="Q505" i="14" s="1"/>
  <c r="P499" i="14"/>
  <c r="O499" i="14"/>
  <c r="O506" i="14" s="1"/>
  <c r="N499" i="14"/>
  <c r="M499" i="14"/>
  <c r="M505" i="14" s="1"/>
  <c r="L499" i="14"/>
  <c r="K499" i="14"/>
  <c r="K506" i="14" s="1"/>
  <c r="T493" i="14"/>
  <c r="AC491" i="14"/>
  <c r="AB491" i="14"/>
  <c r="AA491" i="14"/>
  <c r="Z491" i="14"/>
  <c r="Y491" i="14"/>
  <c r="X491" i="14"/>
  <c r="W491" i="14"/>
  <c r="G491" i="14"/>
  <c r="F491" i="14"/>
  <c r="E491" i="14"/>
  <c r="P498" i="14" s="1"/>
  <c r="P504" i="14" s="1"/>
  <c r="AC490" i="14"/>
  <c r="AB490" i="14"/>
  <c r="AA490" i="14"/>
  <c r="Z490" i="14"/>
  <c r="Y490" i="14"/>
  <c r="X490" i="14"/>
  <c r="W490" i="14"/>
  <c r="G490" i="14"/>
  <c r="E490" i="14"/>
  <c r="AC489" i="14"/>
  <c r="AB489" i="14"/>
  <c r="AA489" i="14"/>
  <c r="Z489" i="14"/>
  <c r="Y489" i="14"/>
  <c r="X489" i="14"/>
  <c r="W489" i="14"/>
  <c r="G489" i="14"/>
  <c r="E489" i="14"/>
  <c r="Q496" i="14" s="1"/>
  <c r="Q502" i="14" s="1"/>
  <c r="AC488" i="14"/>
  <c r="AB488" i="14"/>
  <c r="AA488" i="14"/>
  <c r="Z488" i="14"/>
  <c r="Y488" i="14"/>
  <c r="X488" i="14"/>
  <c r="W488" i="14"/>
  <c r="J488" i="14"/>
  <c r="G488" i="14"/>
  <c r="E488" i="14"/>
  <c r="S495" i="14" s="1"/>
  <c r="S501" i="14" s="1"/>
  <c r="J485" i="14"/>
  <c r="I485" i="14"/>
  <c r="I500" i="14" s="1"/>
  <c r="H485" i="14"/>
  <c r="H500" i="14" s="1"/>
  <c r="J484" i="14"/>
  <c r="I484" i="14"/>
  <c r="I499" i="14" s="1"/>
  <c r="H484" i="14"/>
  <c r="G484" i="14"/>
  <c r="I482" i="14"/>
  <c r="H482" i="14"/>
  <c r="T481" i="14"/>
  <c r="T480" i="14"/>
  <c r="T482" i="14" s="1"/>
  <c r="T479" i="14"/>
  <c r="I477" i="14"/>
  <c r="H477" i="14"/>
  <c r="T476" i="14"/>
  <c r="T475" i="14"/>
  <c r="T474" i="14"/>
  <c r="I472" i="14"/>
  <c r="H472" i="14"/>
  <c r="T471" i="14"/>
  <c r="T470" i="14"/>
  <c r="T469" i="14"/>
  <c r="N465" i="14"/>
  <c r="S460" i="14"/>
  <c r="R460" i="14"/>
  <c r="Q460" i="14"/>
  <c r="P460" i="14"/>
  <c r="O460" i="14"/>
  <c r="N460" i="14"/>
  <c r="M460" i="14"/>
  <c r="L460" i="14"/>
  <c r="K460" i="14"/>
  <c r="S459" i="14"/>
  <c r="S465" i="14" s="1"/>
  <c r="R459" i="14"/>
  <c r="R465" i="14" s="1"/>
  <c r="Q459" i="14"/>
  <c r="P459" i="14"/>
  <c r="O459" i="14"/>
  <c r="O465" i="14" s="1"/>
  <c r="N459" i="14"/>
  <c r="N466" i="14" s="1"/>
  <c r="M459" i="14"/>
  <c r="L459" i="14"/>
  <c r="K459" i="14"/>
  <c r="K465" i="14" s="1"/>
  <c r="T453" i="14"/>
  <c r="AC451" i="14"/>
  <c r="AB451" i="14"/>
  <c r="AA451" i="14"/>
  <c r="Z451" i="14"/>
  <c r="Y451" i="14"/>
  <c r="X451" i="14"/>
  <c r="W451" i="14"/>
  <c r="T451" i="14"/>
  <c r="G451" i="14"/>
  <c r="F451" i="14"/>
  <c r="E451" i="14"/>
  <c r="AC450" i="14"/>
  <c r="AB450" i="14"/>
  <c r="AA450" i="14"/>
  <c r="Z450" i="14"/>
  <c r="Y450" i="14"/>
  <c r="X450" i="14"/>
  <c r="W450" i="14"/>
  <c r="T450" i="14"/>
  <c r="G450" i="14"/>
  <c r="E450" i="14"/>
  <c r="R457" i="14" s="1"/>
  <c r="R463" i="14" s="1"/>
  <c r="AC449" i="14"/>
  <c r="AB449" i="14"/>
  <c r="AA449" i="14"/>
  <c r="Z449" i="14"/>
  <c r="Y449" i="14"/>
  <c r="X449" i="14"/>
  <c r="W449" i="14"/>
  <c r="T449" i="14"/>
  <c r="G449" i="14"/>
  <c r="E449" i="14"/>
  <c r="N456" i="14" s="1"/>
  <c r="N462" i="14" s="1"/>
  <c r="AC448" i="14"/>
  <c r="AB448" i="14"/>
  <c r="AA448" i="14"/>
  <c r="Z448" i="14"/>
  <c r="Y448" i="14"/>
  <c r="X448" i="14"/>
  <c r="W448" i="14"/>
  <c r="T448" i="14"/>
  <c r="G448" i="14"/>
  <c r="V448" i="14" s="1"/>
  <c r="E448" i="14"/>
  <c r="P455" i="14" s="1"/>
  <c r="P461" i="14" s="1"/>
  <c r="J443" i="14"/>
  <c r="J459" i="14" s="1"/>
  <c r="J441" i="14"/>
  <c r="S440" i="14"/>
  <c r="S441" i="14" s="1"/>
  <c r="R440" i="14"/>
  <c r="R441" i="14" s="1"/>
  <c r="I440" i="14"/>
  <c r="I444" i="14" s="1"/>
  <c r="I460" i="14" s="1"/>
  <c r="H440" i="14"/>
  <c r="H444" i="14" s="1"/>
  <c r="Q439" i="14"/>
  <c r="P439" i="14"/>
  <c r="O439" i="14"/>
  <c r="N439" i="14"/>
  <c r="M439" i="14"/>
  <c r="L439" i="14"/>
  <c r="K439" i="14"/>
  <c r="I439" i="14"/>
  <c r="I441" i="14" s="1"/>
  <c r="H439" i="14"/>
  <c r="Q438" i="14"/>
  <c r="Q440" i="14" s="1"/>
  <c r="P438" i="14"/>
  <c r="P440" i="14" s="1"/>
  <c r="O438" i="14"/>
  <c r="O440" i="14" s="1"/>
  <c r="O441" i="14" s="1"/>
  <c r="N438" i="14"/>
  <c r="N440" i="14" s="1"/>
  <c r="M438" i="14"/>
  <c r="M440" i="14" s="1"/>
  <c r="L438" i="14"/>
  <c r="L440" i="14" s="1"/>
  <c r="K438" i="14"/>
  <c r="K440" i="14" s="1"/>
  <c r="K441" i="14" s="1"/>
  <c r="J438" i="14"/>
  <c r="I438" i="14"/>
  <c r="H438" i="14"/>
  <c r="G436" i="14"/>
  <c r="T435" i="14" s="1"/>
  <c r="J435" i="14"/>
  <c r="J436" i="14" s="1"/>
  <c r="T434" i="14"/>
  <c r="T433" i="14"/>
  <c r="Q430" i="14"/>
  <c r="P430" i="14"/>
  <c r="O430" i="14"/>
  <c r="N430" i="14"/>
  <c r="M430" i="14"/>
  <c r="L430" i="14"/>
  <c r="K430" i="14"/>
  <c r="Q429" i="14"/>
  <c r="P429" i="14"/>
  <c r="O429" i="14"/>
  <c r="N429" i="14"/>
  <c r="M429" i="14"/>
  <c r="L429" i="14"/>
  <c r="K429" i="14"/>
  <c r="S428" i="14"/>
  <c r="R428" i="14"/>
  <c r="Q428" i="14"/>
  <c r="P428" i="14"/>
  <c r="O428" i="14"/>
  <c r="N428" i="14"/>
  <c r="M428" i="14"/>
  <c r="L428" i="14"/>
  <c r="K428" i="14"/>
  <c r="S427" i="14"/>
  <c r="R427" i="14"/>
  <c r="Q427" i="14"/>
  <c r="P427" i="14"/>
  <c r="O427" i="14"/>
  <c r="N427" i="14"/>
  <c r="M427" i="14"/>
  <c r="L427" i="14"/>
  <c r="K427" i="14"/>
  <c r="I427" i="14"/>
  <c r="S426" i="14"/>
  <c r="R426" i="14"/>
  <c r="Q426" i="14"/>
  <c r="P426" i="14"/>
  <c r="O426" i="14"/>
  <c r="N426" i="14"/>
  <c r="M426" i="14"/>
  <c r="L426" i="14"/>
  <c r="K426" i="14"/>
  <c r="J426" i="14"/>
  <c r="S425" i="14"/>
  <c r="R425" i="14"/>
  <c r="Q425" i="14"/>
  <c r="P425" i="14"/>
  <c r="O425" i="14"/>
  <c r="N425" i="14"/>
  <c r="M425" i="14"/>
  <c r="L425" i="14"/>
  <c r="K425" i="14"/>
  <c r="J425" i="14"/>
  <c r="S424" i="14"/>
  <c r="R424" i="14"/>
  <c r="Q424" i="14"/>
  <c r="P424" i="14"/>
  <c r="O424" i="14"/>
  <c r="N424" i="14"/>
  <c r="M424" i="14"/>
  <c r="L424" i="14"/>
  <c r="K424" i="14"/>
  <c r="J424" i="14"/>
  <c r="S423" i="14"/>
  <c r="R423" i="14"/>
  <c r="Q423" i="14"/>
  <c r="P423" i="14"/>
  <c r="O423" i="14"/>
  <c r="N423" i="14"/>
  <c r="M423" i="14"/>
  <c r="L423" i="14"/>
  <c r="K423" i="14"/>
  <c r="J423" i="14"/>
  <c r="I422" i="14"/>
  <c r="H422" i="14"/>
  <c r="J421" i="14"/>
  <c r="J428" i="14" s="1"/>
  <c r="H418" i="14"/>
  <c r="H424" i="14" s="1"/>
  <c r="T416" i="14"/>
  <c r="V416" i="14" s="1"/>
  <c r="AC415" i="14"/>
  <c r="AB415" i="14"/>
  <c r="AA415" i="14"/>
  <c r="Z415" i="14"/>
  <c r="Y415" i="14"/>
  <c r="X415" i="14"/>
  <c r="W415" i="14"/>
  <c r="G415" i="14"/>
  <c r="E415" i="14"/>
  <c r="I415" i="14" s="1"/>
  <c r="AC414" i="14"/>
  <c r="AB414" i="14"/>
  <c r="AA414" i="14"/>
  <c r="Z414" i="14"/>
  <c r="Y414" i="14"/>
  <c r="X414" i="14"/>
  <c r="W414" i="14"/>
  <c r="G414" i="14"/>
  <c r="E414" i="14"/>
  <c r="I414" i="14" s="1"/>
  <c r="AC413" i="14"/>
  <c r="AB413" i="14"/>
  <c r="AA413" i="14"/>
  <c r="Z413" i="14"/>
  <c r="Y413" i="14"/>
  <c r="X413" i="14"/>
  <c r="W413" i="14"/>
  <c r="J413" i="14"/>
  <c r="I413" i="14"/>
  <c r="AC412" i="14"/>
  <c r="AB412" i="14"/>
  <c r="AA412" i="14"/>
  <c r="Z412" i="14"/>
  <c r="Y412" i="14"/>
  <c r="X412" i="14"/>
  <c r="W412" i="14"/>
  <c r="J412" i="14"/>
  <c r="I412" i="14"/>
  <c r="G412" i="14"/>
  <c r="E412" i="14"/>
  <c r="S411" i="14"/>
  <c r="R411" i="14"/>
  <c r="Q411" i="14"/>
  <c r="P411" i="14"/>
  <c r="O411" i="14"/>
  <c r="N411" i="14"/>
  <c r="M411" i="14"/>
  <c r="L411" i="14"/>
  <c r="K411" i="14"/>
  <c r="S410" i="14"/>
  <c r="R410" i="14"/>
  <c r="Q410" i="14"/>
  <c r="P410" i="14"/>
  <c r="O410" i="14"/>
  <c r="N410" i="14"/>
  <c r="M410" i="14"/>
  <c r="L410" i="14"/>
  <c r="K410" i="14"/>
  <c r="S409" i="14"/>
  <c r="R409" i="14"/>
  <c r="Q409" i="14"/>
  <c r="P409" i="14"/>
  <c r="O409" i="14"/>
  <c r="N409" i="14"/>
  <c r="M409" i="14"/>
  <c r="L409" i="14"/>
  <c r="K409" i="14"/>
  <c r="S408" i="14"/>
  <c r="R408" i="14"/>
  <c r="Q408" i="14"/>
  <c r="P408" i="14"/>
  <c r="O408" i="14"/>
  <c r="N408" i="14"/>
  <c r="M408" i="14"/>
  <c r="L408" i="14"/>
  <c r="K408" i="14"/>
  <c r="S407" i="14"/>
  <c r="R407" i="14"/>
  <c r="Q407" i="14"/>
  <c r="P407" i="14"/>
  <c r="O407" i="14"/>
  <c r="N407" i="14"/>
  <c r="M407" i="14"/>
  <c r="L407" i="14"/>
  <c r="K407" i="14"/>
  <c r="S406" i="14"/>
  <c r="R406" i="14"/>
  <c r="Q406" i="14"/>
  <c r="P406" i="14"/>
  <c r="O406" i="14"/>
  <c r="N406" i="14"/>
  <c r="M406" i="14"/>
  <c r="L406" i="14"/>
  <c r="K406" i="14"/>
  <c r="J405" i="14"/>
  <c r="I405" i="14"/>
  <c r="H405" i="14"/>
  <c r="T399" i="14"/>
  <c r="V399" i="14" s="1"/>
  <c r="AC398" i="14"/>
  <c r="AB398" i="14"/>
  <c r="AA398" i="14"/>
  <c r="Z398" i="14"/>
  <c r="Y398" i="14"/>
  <c r="X398" i="14"/>
  <c r="W398" i="14"/>
  <c r="I398" i="14"/>
  <c r="G398" i="14"/>
  <c r="E398" i="14"/>
  <c r="H403" i="14" s="1"/>
  <c r="H409" i="14" s="1"/>
  <c r="AC397" i="14"/>
  <c r="AB397" i="14"/>
  <c r="AA397" i="14"/>
  <c r="Z397" i="14"/>
  <c r="Y397" i="14"/>
  <c r="X397" i="14"/>
  <c r="W397" i="14"/>
  <c r="T397" i="14"/>
  <c r="G397" i="14"/>
  <c r="V397" i="14" s="1"/>
  <c r="F397" i="14"/>
  <c r="E397" i="14"/>
  <c r="H402" i="14" s="1"/>
  <c r="H408" i="14" s="1"/>
  <c r="AC396" i="14"/>
  <c r="AB396" i="14"/>
  <c r="AA396" i="14"/>
  <c r="Z396" i="14"/>
  <c r="Y396" i="14"/>
  <c r="X396" i="14"/>
  <c r="W396" i="14"/>
  <c r="T396" i="14"/>
  <c r="G396" i="14"/>
  <c r="E396" i="14"/>
  <c r="AC395" i="14"/>
  <c r="AB395" i="14"/>
  <c r="AA395" i="14"/>
  <c r="Z395" i="14"/>
  <c r="Y395" i="14"/>
  <c r="X395" i="14"/>
  <c r="W395" i="14"/>
  <c r="T395" i="14"/>
  <c r="G395" i="14"/>
  <c r="E395" i="14"/>
  <c r="H400" i="14" s="1"/>
  <c r="AC394" i="14"/>
  <c r="AB394" i="14"/>
  <c r="AA394" i="14"/>
  <c r="Z394" i="14"/>
  <c r="Y394" i="14"/>
  <c r="X394" i="14"/>
  <c r="W394" i="14"/>
  <c r="S394" i="14"/>
  <c r="R394" i="14"/>
  <c r="Q394" i="14"/>
  <c r="P394" i="14"/>
  <c r="O394" i="14"/>
  <c r="N394" i="14"/>
  <c r="M394" i="14"/>
  <c r="L394" i="14"/>
  <c r="K394" i="14"/>
  <c r="AC393" i="14"/>
  <c r="AB393" i="14"/>
  <c r="AA393" i="14"/>
  <c r="Z393" i="14"/>
  <c r="Y393" i="14"/>
  <c r="X393" i="14"/>
  <c r="W393" i="14"/>
  <c r="S393" i="14"/>
  <c r="S1434" i="14" s="1"/>
  <c r="R393" i="14"/>
  <c r="R1434" i="14" s="1"/>
  <c r="Q393" i="14"/>
  <c r="Q1434" i="14" s="1"/>
  <c r="P393" i="14"/>
  <c r="P1434" i="14" s="1"/>
  <c r="O393" i="14"/>
  <c r="O1434" i="14" s="1"/>
  <c r="N393" i="14"/>
  <c r="N1434" i="14" s="1"/>
  <c r="M393" i="14"/>
  <c r="M1434" i="14" s="1"/>
  <c r="L393" i="14"/>
  <c r="L1434" i="14" s="1"/>
  <c r="K393" i="14"/>
  <c r="K1434" i="14" s="1"/>
  <c r="S392" i="14"/>
  <c r="R392" i="14"/>
  <c r="Q392" i="14"/>
  <c r="P392" i="14"/>
  <c r="O392" i="14"/>
  <c r="N392" i="14"/>
  <c r="M392" i="14"/>
  <c r="L392" i="14"/>
  <c r="K392" i="14"/>
  <c r="S391" i="14"/>
  <c r="R391" i="14"/>
  <c r="Q391" i="14"/>
  <c r="P391" i="14"/>
  <c r="O391" i="14"/>
  <c r="N391" i="14"/>
  <c r="M391" i="14"/>
  <c r="L391" i="14"/>
  <c r="K391" i="14"/>
  <c r="S390" i="14"/>
  <c r="R390" i="14"/>
  <c r="Q390" i="14"/>
  <c r="P390" i="14"/>
  <c r="O390" i="14"/>
  <c r="N390" i="14"/>
  <c r="M390" i="14"/>
  <c r="L390" i="14"/>
  <c r="K390" i="14"/>
  <c r="S389" i="14"/>
  <c r="R389" i="14"/>
  <c r="Q389" i="14"/>
  <c r="P389" i="14"/>
  <c r="O389" i="14"/>
  <c r="N389" i="14"/>
  <c r="M389" i="14"/>
  <c r="L389" i="14"/>
  <c r="K389" i="14"/>
  <c r="J388" i="14"/>
  <c r="I388" i="14"/>
  <c r="H388" i="14"/>
  <c r="V382" i="14"/>
  <c r="T382" i="14"/>
  <c r="T381" i="14"/>
  <c r="G381" i="14"/>
  <c r="E381" i="14"/>
  <c r="I386" i="14" s="1"/>
  <c r="I392" i="14" s="1"/>
  <c r="T380" i="14"/>
  <c r="G380" i="14"/>
  <c r="F380" i="14"/>
  <c r="E380" i="14"/>
  <c r="H385" i="14" s="1"/>
  <c r="T379" i="14"/>
  <c r="G379" i="14"/>
  <c r="E379" i="14"/>
  <c r="J384" i="14" s="1"/>
  <c r="J390" i="14" s="1"/>
  <c r="T378" i="14"/>
  <c r="G378" i="14"/>
  <c r="E378" i="14"/>
  <c r="I383" i="14" s="1"/>
  <c r="G375" i="14"/>
  <c r="J370" i="14"/>
  <c r="I370" i="14"/>
  <c r="H370" i="14"/>
  <c r="T370" i="14" s="1"/>
  <c r="T364" i="14"/>
  <c r="V364" i="14" s="1"/>
  <c r="AC363" i="14"/>
  <c r="AB363" i="14"/>
  <c r="AA363" i="14"/>
  <c r="Z363" i="14"/>
  <c r="Y363" i="14"/>
  <c r="X363" i="14"/>
  <c r="W363" i="14"/>
  <c r="T363" i="14"/>
  <c r="I363" i="14"/>
  <c r="H363" i="14"/>
  <c r="G363" i="14"/>
  <c r="E363" i="14"/>
  <c r="J368" i="14" s="1"/>
  <c r="J374" i="14" s="1"/>
  <c r="AC362" i="14"/>
  <c r="AB362" i="14"/>
  <c r="AA362" i="14"/>
  <c r="Z362" i="14"/>
  <c r="Y362" i="14"/>
  <c r="X362" i="14"/>
  <c r="W362" i="14"/>
  <c r="I362" i="14"/>
  <c r="H362" i="14"/>
  <c r="G362" i="14"/>
  <c r="F362" i="14"/>
  <c r="E362" i="14"/>
  <c r="AC361" i="14"/>
  <c r="AB361" i="14"/>
  <c r="AA361" i="14"/>
  <c r="Z361" i="14"/>
  <c r="Y361" i="14"/>
  <c r="X361" i="14"/>
  <c r="W361" i="14"/>
  <c r="T361" i="14"/>
  <c r="G361" i="14"/>
  <c r="E361" i="14"/>
  <c r="L366" i="14" s="1"/>
  <c r="L372" i="14" s="1"/>
  <c r="AC360" i="14"/>
  <c r="AB360" i="14"/>
  <c r="AA360" i="14"/>
  <c r="Z360" i="14"/>
  <c r="Y360" i="14"/>
  <c r="X360" i="14"/>
  <c r="W360" i="14"/>
  <c r="T360" i="14"/>
  <c r="G360" i="14"/>
  <c r="V360" i="14" s="1"/>
  <c r="E360" i="14"/>
  <c r="I365" i="14" s="1"/>
  <c r="S359" i="14"/>
  <c r="R359" i="14"/>
  <c r="Q359" i="14"/>
  <c r="P359" i="14"/>
  <c r="O359" i="14"/>
  <c r="N359" i="14"/>
  <c r="M359" i="14"/>
  <c r="L359" i="14"/>
  <c r="K359" i="14"/>
  <c r="S358" i="14"/>
  <c r="R358" i="14"/>
  <c r="Q358" i="14"/>
  <c r="P358" i="14"/>
  <c r="O358" i="14"/>
  <c r="N358" i="14"/>
  <c r="M358" i="14"/>
  <c r="L358" i="14"/>
  <c r="K358" i="14"/>
  <c r="G358" i="14"/>
  <c r="G359" i="14" s="1"/>
  <c r="F358" i="14"/>
  <c r="S357" i="14"/>
  <c r="R357" i="14"/>
  <c r="Q357" i="14"/>
  <c r="P357" i="14"/>
  <c r="O357" i="14"/>
  <c r="N357" i="14"/>
  <c r="M357" i="14"/>
  <c r="L357" i="14"/>
  <c r="K357" i="14"/>
  <c r="S356" i="14"/>
  <c r="R356" i="14"/>
  <c r="Q356" i="14"/>
  <c r="P356" i="14"/>
  <c r="O356" i="14"/>
  <c r="N356" i="14"/>
  <c r="M356" i="14"/>
  <c r="L356" i="14"/>
  <c r="K356" i="14"/>
  <c r="S355" i="14"/>
  <c r="R355" i="14"/>
  <c r="Q355" i="14"/>
  <c r="P355" i="14"/>
  <c r="O355" i="14"/>
  <c r="N355" i="14"/>
  <c r="M355" i="14"/>
  <c r="L355" i="14"/>
  <c r="K355" i="14"/>
  <c r="S354" i="14"/>
  <c r="R354" i="14"/>
  <c r="Q354" i="14"/>
  <c r="P354" i="14"/>
  <c r="O354" i="14"/>
  <c r="N354" i="14"/>
  <c r="M354" i="14"/>
  <c r="L354" i="14"/>
  <c r="K354" i="14"/>
  <c r="J353" i="14"/>
  <c r="I353" i="14"/>
  <c r="H353" i="14"/>
  <c r="T353" i="14" s="1"/>
  <c r="T347" i="14"/>
  <c r="V347" i="14" s="1"/>
  <c r="AC346" i="14"/>
  <c r="AB346" i="14"/>
  <c r="AA346" i="14"/>
  <c r="Z346" i="14"/>
  <c r="Y346" i="14"/>
  <c r="X346" i="14"/>
  <c r="W346" i="14"/>
  <c r="J346" i="14"/>
  <c r="I346" i="14"/>
  <c r="H346" i="14"/>
  <c r="G346" i="14"/>
  <c r="E346" i="14"/>
  <c r="J351" i="14" s="1"/>
  <c r="J357" i="14" s="1"/>
  <c r="AC345" i="14"/>
  <c r="AB345" i="14"/>
  <c r="AA345" i="14"/>
  <c r="Z345" i="14"/>
  <c r="Y345" i="14"/>
  <c r="X345" i="14"/>
  <c r="W345" i="14"/>
  <c r="J345" i="14"/>
  <c r="I345" i="14"/>
  <c r="H345" i="14"/>
  <c r="G345" i="14"/>
  <c r="F345" i="14"/>
  <c r="E345" i="14"/>
  <c r="AC344" i="14"/>
  <c r="AB344" i="14"/>
  <c r="AA344" i="14"/>
  <c r="Z344" i="14"/>
  <c r="Y344" i="14"/>
  <c r="X344" i="14"/>
  <c r="W344" i="14"/>
  <c r="T344" i="14"/>
  <c r="G344" i="14"/>
  <c r="E344" i="14"/>
  <c r="AC343" i="14"/>
  <c r="AB343" i="14"/>
  <c r="AA343" i="14"/>
  <c r="Z343" i="14"/>
  <c r="Y343" i="14"/>
  <c r="X343" i="14"/>
  <c r="W343" i="14"/>
  <c r="T343" i="14"/>
  <c r="G343" i="14"/>
  <c r="E343" i="14"/>
  <c r="I339" i="14"/>
  <c r="H339" i="14"/>
  <c r="J337" i="14"/>
  <c r="I337" i="14"/>
  <c r="H337" i="14"/>
  <c r="J336" i="14"/>
  <c r="I336" i="14"/>
  <c r="H336" i="14"/>
  <c r="J335" i="14"/>
  <c r="J334" i="14"/>
  <c r="J333" i="14"/>
  <c r="J332" i="14"/>
  <c r="S331" i="14"/>
  <c r="R331" i="14"/>
  <c r="Q331" i="14"/>
  <c r="P331" i="14"/>
  <c r="O331" i="14"/>
  <c r="N331" i="14"/>
  <c r="M331" i="14"/>
  <c r="L331" i="14"/>
  <c r="K331" i="14"/>
  <c r="T324" i="14"/>
  <c r="T331" i="14" s="1"/>
  <c r="AC322" i="14"/>
  <c r="AB322" i="14"/>
  <c r="AA322" i="14"/>
  <c r="Z322" i="14"/>
  <c r="Y322" i="14"/>
  <c r="X322" i="14"/>
  <c r="W322" i="14"/>
  <c r="T322" i="14"/>
  <c r="G322" i="14"/>
  <c r="E322" i="14"/>
  <c r="M329" i="14" s="1"/>
  <c r="M335" i="14" s="1"/>
  <c r="AC321" i="14"/>
  <c r="AB321" i="14"/>
  <c r="AA321" i="14"/>
  <c r="Z321" i="14"/>
  <c r="Y321" i="14"/>
  <c r="X321" i="14"/>
  <c r="W321" i="14"/>
  <c r="T321" i="14"/>
  <c r="G321" i="14"/>
  <c r="F321" i="14"/>
  <c r="E321" i="14"/>
  <c r="M328" i="14" s="1"/>
  <c r="M334" i="14" s="1"/>
  <c r="AC320" i="14"/>
  <c r="AB320" i="14"/>
  <c r="AA320" i="14"/>
  <c r="Z320" i="14"/>
  <c r="Y320" i="14"/>
  <c r="X320" i="14"/>
  <c r="W320" i="14"/>
  <c r="T320" i="14"/>
  <c r="G320" i="14"/>
  <c r="E320" i="14"/>
  <c r="I327" i="14" s="1"/>
  <c r="I333" i="14" s="1"/>
  <c r="AH319" i="14"/>
  <c r="AG319" i="14"/>
  <c r="AF319" i="14"/>
  <c r="AE319" i="14"/>
  <c r="AD319" i="14"/>
  <c r="AC319" i="14"/>
  <c r="AB319" i="14"/>
  <c r="AA319" i="14"/>
  <c r="Z319" i="14"/>
  <c r="Y319" i="14"/>
  <c r="W319" i="14"/>
  <c r="J319" i="14"/>
  <c r="J1443" i="14" s="1"/>
  <c r="I319" i="14"/>
  <c r="G319" i="14"/>
  <c r="E319" i="14"/>
  <c r="S326" i="14" s="1"/>
  <c r="S332" i="14" s="1"/>
  <c r="J318" i="14"/>
  <c r="I318" i="14"/>
  <c r="H318" i="14"/>
  <c r="J317" i="14"/>
  <c r="I317" i="14"/>
  <c r="H317" i="14"/>
  <c r="T315" i="14"/>
  <c r="T311" i="14"/>
  <c r="V311" i="14" s="1"/>
  <c r="AH310" i="14"/>
  <c r="AG310" i="14"/>
  <c r="AF310" i="14"/>
  <c r="AE310" i="14"/>
  <c r="AD310" i="14"/>
  <c r="AC310" i="14"/>
  <c r="AB310" i="14"/>
  <c r="AA310" i="14"/>
  <c r="Z310" i="14"/>
  <c r="Y310" i="14"/>
  <c r="X310" i="14"/>
  <c r="W310" i="14"/>
  <c r="T310" i="14"/>
  <c r="G310" i="14"/>
  <c r="E310" i="14"/>
  <c r="R313" i="14" s="1"/>
  <c r="J308" i="14"/>
  <c r="I308" i="14"/>
  <c r="H308" i="14"/>
  <c r="J302" i="14"/>
  <c r="J309" i="14" s="1"/>
  <c r="I302" i="14"/>
  <c r="H302" i="14"/>
  <c r="H309" i="14" s="1"/>
  <c r="S299" i="14"/>
  <c r="S306" i="14" s="1"/>
  <c r="R299" i="14"/>
  <c r="R306" i="14" s="1"/>
  <c r="Q299" i="14"/>
  <c r="Q306" i="14" s="1"/>
  <c r="P299" i="14"/>
  <c r="P306" i="14" s="1"/>
  <c r="O299" i="14"/>
  <c r="O306" i="14" s="1"/>
  <c r="N299" i="14"/>
  <c r="N306" i="14" s="1"/>
  <c r="M299" i="14"/>
  <c r="M306" i="14" s="1"/>
  <c r="L299" i="14"/>
  <c r="L306" i="14" s="1"/>
  <c r="K299" i="14"/>
  <c r="K306" i="14" s="1"/>
  <c r="J299" i="14"/>
  <c r="J306" i="14" s="1"/>
  <c r="I299" i="14"/>
  <c r="I306" i="14" s="1"/>
  <c r="H299" i="14"/>
  <c r="H306" i="14" s="1"/>
  <c r="T295" i="14"/>
  <c r="V295" i="14" s="1"/>
  <c r="T294" i="14"/>
  <c r="E294" i="14"/>
  <c r="R300" i="14" s="1"/>
  <c r="R307" i="14" s="1"/>
  <c r="AC292" i="14"/>
  <c r="AB292" i="14"/>
  <c r="AA292" i="14"/>
  <c r="Z292" i="14"/>
  <c r="Y292" i="14"/>
  <c r="X292" i="14"/>
  <c r="W292" i="14"/>
  <c r="T292" i="14"/>
  <c r="G292" i="14"/>
  <c r="E292" i="14"/>
  <c r="Q298" i="14" s="1"/>
  <c r="Q305" i="14" s="1"/>
  <c r="AC291" i="14"/>
  <c r="AB291" i="14"/>
  <c r="AA291" i="14"/>
  <c r="Z291" i="14"/>
  <c r="Y291" i="14"/>
  <c r="X291" i="14"/>
  <c r="W291" i="14"/>
  <c r="T291" i="14"/>
  <c r="G291" i="14"/>
  <c r="E291" i="14"/>
  <c r="I297" i="14" s="1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T290" i="14"/>
  <c r="G290" i="14"/>
  <c r="E290" i="14"/>
  <c r="S296" i="14" s="1"/>
  <c r="S303" i="14" s="1"/>
  <c r="J289" i="14"/>
  <c r="I289" i="14"/>
  <c r="H289" i="14"/>
  <c r="J288" i="14"/>
  <c r="I288" i="14"/>
  <c r="AC283" i="14"/>
  <c r="AB283" i="14"/>
  <c r="AA283" i="14"/>
  <c r="Z283" i="14"/>
  <c r="Y283" i="14"/>
  <c r="X283" i="14"/>
  <c r="W283" i="14"/>
  <c r="T282" i="14"/>
  <c r="H274" i="14"/>
  <c r="T274" i="14" s="1"/>
  <c r="J273" i="14"/>
  <c r="T273" i="14" s="1"/>
  <c r="T272" i="14"/>
  <c r="T270" i="14"/>
  <c r="E270" i="14"/>
  <c r="M280" i="14" s="1"/>
  <c r="M287" i="14" s="1"/>
  <c r="AC269" i="14"/>
  <c r="AB269" i="14"/>
  <c r="AA269" i="14"/>
  <c r="Z269" i="14"/>
  <c r="Y269" i="14"/>
  <c r="X269" i="14"/>
  <c r="W269" i="14"/>
  <c r="T269" i="14"/>
  <c r="G269" i="14"/>
  <c r="E269" i="14"/>
  <c r="Q279" i="14" s="1"/>
  <c r="Q286" i="14" s="1"/>
  <c r="AC268" i="14"/>
  <c r="AB268" i="14"/>
  <c r="AA268" i="14"/>
  <c r="Z268" i="14"/>
  <c r="Y268" i="14"/>
  <c r="X268" i="14"/>
  <c r="W268" i="14"/>
  <c r="T268" i="14"/>
  <c r="G268" i="14"/>
  <c r="F268" i="14"/>
  <c r="E268" i="14"/>
  <c r="P278" i="14" s="1"/>
  <c r="P285" i="14" s="1"/>
  <c r="AC267" i="14"/>
  <c r="AB267" i="14"/>
  <c r="AA267" i="14"/>
  <c r="Z267" i="14"/>
  <c r="Y267" i="14"/>
  <c r="X267" i="14"/>
  <c r="W267" i="14"/>
  <c r="T267" i="14"/>
  <c r="G267" i="14"/>
  <c r="E267" i="14"/>
  <c r="O277" i="14" s="1"/>
  <c r="O284" i="14" s="1"/>
  <c r="AH266" i="14"/>
  <c r="AG266" i="14"/>
  <c r="AF266" i="14"/>
  <c r="AE266" i="14"/>
  <c r="AD266" i="14"/>
  <c r="AC266" i="14"/>
  <c r="AB266" i="14"/>
  <c r="AA266" i="14"/>
  <c r="Z266" i="14"/>
  <c r="Y266" i="14"/>
  <c r="X266" i="14"/>
  <c r="W266" i="14"/>
  <c r="T266" i="14"/>
  <c r="G266" i="14"/>
  <c r="E266" i="14"/>
  <c r="L276" i="14" s="1"/>
  <c r="I264" i="14"/>
  <c r="H264" i="14"/>
  <c r="J260" i="14"/>
  <c r="J340" i="14" s="1"/>
  <c r="I260" i="14"/>
  <c r="H260" i="14"/>
  <c r="T254" i="14"/>
  <c r="T253" i="14"/>
  <c r="H253" i="14"/>
  <c r="AC252" i="14"/>
  <c r="AB252" i="14"/>
  <c r="AA252" i="14"/>
  <c r="Z252" i="14"/>
  <c r="Y252" i="14"/>
  <c r="X252" i="14"/>
  <c r="W252" i="14"/>
  <c r="T252" i="14"/>
  <c r="G252" i="14"/>
  <c r="F252" i="14"/>
  <c r="E252" i="14"/>
  <c r="O258" i="14" s="1"/>
  <c r="O263" i="14" s="1"/>
  <c r="AC251" i="14"/>
  <c r="AB251" i="14"/>
  <c r="AA251" i="14"/>
  <c r="Z251" i="14"/>
  <c r="Y251" i="14"/>
  <c r="X251" i="14"/>
  <c r="W251" i="14"/>
  <c r="T251" i="14"/>
  <c r="G251" i="14"/>
  <c r="E251" i="14"/>
  <c r="Q257" i="14" s="1"/>
  <c r="Q262" i="14" s="1"/>
  <c r="AH250" i="14"/>
  <c r="AG250" i="14"/>
  <c r="AF250" i="14"/>
  <c r="AE250" i="14"/>
  <c r="AD250" i="14"/>
  <c r="AC250" i="14"/>
  <c r="AB250" i="14"/>
  <c r="AA250" i="14"/>
  <c r="Z250" i="14"/>
  <c r="Y250" i="14"/>
  <c r="X250" i="14"/>
  <c r="W250" i="14"/>
  <c r="T250" i="14"/>
  <c r="G250" i="14"/>
  <c r="E250" i="14"/>
  <c r="R256" i="14" s="1"/>
  <c r="R261" i="14" s="1"/>
  <c r="S248" i="14"/>
  <c r="R248" i="14"/>
  <c r="Q248" i="14"/>
  <c r="P248" i="14"/>
  <c r="O248" i="14"/>
  <c r="N248" i="14"/>
  <c r="M248" i="14"/>
  <c r="L248" i="14"/>
  <c r="K248" i="14"/>
  <c r="S247" i="14"/>
  <c r="R247" i="14"/>
  <c r="Q247" i="14"/>
  <c r="P247" i="14"/>
  <c r="P249" i="14" s="1"/>
  <c r="O247" i="14"/>
  <c r="N247" i="14"/>
  <c r="M247" i="14"/>
  <c r="L247" i="14"/>
  <c r="L249" i="14" s="1"/>
  <c r="K247" i="14"/>
  <c r="K249" i="14" s="1"/>
  <c r="S246" i="14"/>
  <c r="R246" i="14"/>
  <c r="Q246" i="14"/>
  <c r="P246" i="14"/>
  <c r="O246" i="14"/>
  <c r="N246" i="14"/>
  <c r="M246" i="14"/>
  <c r="L246" i="14"/>
  <c r="K246" i="14"/>
  <c r="S245" i="14"/>
  <c r="R245" i="14"/>
  <c r="Q245" i="14"/>
  <c r="P245" i="14"/>
  <c r="O245" i="14"/>
  <c r="N245" i="14"/>
  <c r="M245" i="14"/>
  <c r="L245" i="14"/>
  <c r="K245" i="14"/>
  <c r="S244" i="14"/>
  <c r="R244" i="14"/>
  <c r="Q244" i="14"/>
  <c r="P244" i="14"/>
  <c r="O244" i="14"/>
  <c r="N244" i="14"/>
  <c r="M244" i="14"/>
  <c r="L244" i="14"/>
  <c r="K244" i="14"/>
  <c r="S243" i="14"/>
  <c r="R243" i="14"/>
  <c r="Q243" i="14"/>
  <c r="P243" i="14"/>
  <c r="O243" i="14"/>
  <c r="N243" i="14"/>
  <c r="M243" i="14"/>
  <c r="L243" i="14"/>
  <c r="K243" i="14"/>
  <c r="S242" i="14"/>
  <c r="R242" i="14"/>
  <c r="Q242" i="14"/>
  <c r="P242" i="14"/>
  <c r="O242" i="14"/>
  <c r="N242" i="14"/>
  <c r="M242" i="14"/>
  <c r="L242" i="14"/>
  <c r="K242" i="14"/>
  <c r="S241" i="14"/>
  <c r="R241" i="14"/>
  <c r="Q241" i="14"/>
  <c r="P241" i="14"/>
  <c r="O241" i="14"/>
  <c r="N241" i="14"/>
  <c r="M241" i="14"/>
  <c r="L241" i="14"/>
  <c r="K241" i="14"/>
  <c r="S240" i="14"/>
  <c r="R240" i="14"/>
  <c r="Q240" i="14"/>
  <c r="P240" i="14"/>
  <c r="O240" i="14"/>
  <c r="N240" i="14"/>
  <c r="M240" i="14"/>
  <c r="L240" i="14"/>
  <c r="K240" i="14"/>
  <c r="J239" i="14"/>
  <c r="I239" i="14"/>
  <c r="H239" i="14"/>
  <c r="T231" i="14"/>
  <c r="V231" i="14" s="1"/>
  <c r="T230" i="14"/>
  <c r="G230" i="14"/>
  <c r="F230" i="14"/>
  <c r="AC230" i="14" s="1"/>
  <c r="E230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T229" i="14"/>
  <c r="G229" i="14"/>
  <c r="E229" i="14"/>
  <c r="J236" i="14" s="1"/>
  <c r="J243" i="14" s="1"/>
  <c r="T228" i="14"/>
  <c r="G228" i="14"/>
  <c r="F228" i="14"/>
  <c r="AF228" i="14" s="1"/>
  <c r="E228" i="14"/>
  <c r="I235" i="14" s="1"/>
  <c r="I242" i="14" s="1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T227" i="14"/>
  <c r="G227" i="14"/>
  <c r="E227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T226" i="14"/>
  <c r="G226" i="14"/>
  <c r="V226" i="14" s="1"/>
  <c r="E226" i="14"/>
  <c r="J233" i="14" s="1"/>
  <c r="J219" i="14"/>
  <c r="I219" i="14"/>
  <c r="H219" i="14"/>
  <c r="J217" i="14"/>
  <c r="J223" i="14" s="1"/>
  <c r="I217" i="14"/>
  <c r="I223" i="14" s="1"/>
  <c r="H217" i="14"/>
  <c r="H223" i="14" s="1"/>
  <c r="T213" i="14"/>
  <c r="AC211" i="14"/>
  <c r="AB211" i="14"/>
  <c r="AA211" i="14"/>
  <c r="Z211" i="14"/>
  <c r="Y211" i="14"/>
  <c r="X211" i="14"/>
  <c r="W211" i="14"/>
  <c r="U211" i="14"/>
  <c r="T211" i="14"/>
  <c r="G211" i="14"/>
  <c r="AC210" i="14"/>
  <c r="AB210" i="14"/>
  <c r="AA210" i="14"/>
  <c r="Z210" i="14"/>
  <c r="Y210" i="14"/>
  <c r="X210" i="14"/>
  <c r="W210" i="14"/>
  <c r="T210" i="14"/>
  <c r="G210" i="14"/>
  <c r="F210" i="14"/>
  <c r="E210" i="14"/>
  <c r="H216" i="14" s="1"/>
  <c r="H222" i="14" s="1"/>
  <c r="AC209" i="14"/>
  <c r="AB209" i="14"/>
  <c r="AA209" i="14"/>
  <c r="Z209" i="14"/>
  <c r="Y209" i="14"/>
  <c r="X209" i="14"/>
  <c r="W209" i="14"/>
  <c r="T209" i="14"/>
  <c r="G209" i="14"/>
  <c r="E209" i="14"/>
  <c r="H215" i="14" s="1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T208" i="14"/>
  <c r="G208" i="14"/>
  <c r="E208" i="14"/>
  <c r="H214" i="14" s="1"/>
  <c r="I207" i="14"/>
  <c r="H207" i="14"/>
  <c r="I206" i="14"/>
  <c r="H206" i="14"/>
  <c r="I205" i="14"/>
  <c r="H205" i="14"/>
  <c r="S201" i="14"/>
  <c r="R201" i="14"/>
  <c r="Q201" i="14"/>
  <c r="P201" i="14"/>
  <c r="O201" i="14"/>
  <c r="N201" i="14"/>
  <c r="M201" i="14"/>
  <c r="L201" i="14"/>
  <c r="K201" i="14"/>
  <c r="H195" i="14"/>
  <c r="T195" i="14" s="1"/>
  <c r="AC193" i="14"/>
  <c r="AB193" i="14"/>
  <c r="AA193" i="14"/>
  <c r="Z193" i="14"/>
  <c r="Y193" i="14"/>
  <c r="X193" i="14"/>
  <c r="W193" i="14"/>
  <c r="I193" i="14"/>
  <c r="G193" i="14"/>
  <c r="E193" i="14"/>
  <c r="R199" i="14" s="1"/>
  <c r="R204" i="14" s="1"/>
  <c r="AC192" i="14"/>
  <c r="AB192" i="14"/>
  <c r="AA192" i="14"/>
  <c r="Z192" i="14"/>
  <c r="Y192" i="14"/>
  <c r="X192" i="14"/>
  <c r="W192" i="14"/>
  <c r="T192" i="14"/>
  <c r="G192" i="14"/>
  <c r="E192" i="14"/>
  <c r="P198" i="14" s="1"/>
  <c r="P203" i="14" s="1"/>
  <c r="AC191" i="14"/>
  <c r="AB191" i="14"/>
  <c r="AA191" i="14"/>
  <c r="Z191" i="14"/>
  <c r="Y191" i="14"/>
  <c r="X191" i="14"/>
  <c r="W191" i="14"/>
  <c r="T191" i="14"/>
  <c r="G191" i="14"/>
  <c r="E191" i="14"/>
  <c r="L197" i="14" s="1"/>
  <c r="V190" i="14"/>
  <c r="V1241" i="14" s="1"/>
  <c r="U190" i="14"/>
  <c r="U1241" i="14" s="1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J180" i="14"/>
  <c r="I180" i="14"/>
  <c r="H180" i="14"/>
  <c r="J176" i="14"/>
  <c r="I176" i="14"/>
  <c r="H176" i="14"/>
  <c r="T171" i="14"/>
  <c r="T169" i="14"/>
  <c r="G169" i="14"/>
  <c r="F169" i="14"/>
  <c r="E169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T168" i="14"/>
  <c r="G168" i="14"/>
  <c r="E168" i="14"/>
  <c r="H173" i="14" s="1"/>
  <c r="H177" i="14" s="1"/>
  <c r="J163" i="14"/>
  <c r="I163" i="14"/>
  <c r="H163" i="14"/>
  <c r="T163" i="14" s="1"/>
  <c r="T159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T157" i="14"/>
  <c r="G157" i="14"/>
  <c r="E157" i="14"/>
  <c r="U157" i="14" s="1"/>
  <c r="J152" i="14"/>
  <c r="I152" i="14"/>
  <c r="H152" i="14"/>
  <c r="G152" i="14"/>
  <c r="T148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T146" i="14"/>
  <c r="G146" i="14"/>
  <c r="E146" i="14"/>
  <c r="J150" i="14" s="1"/>
  <c r="J141" i="14"/>
  <c r="I141" i="14"/>
  <c r="H141" i="14"/>
  <c r="T137" i="14"/>
  <c r="T136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T135" i="14"/>
  <c r="G135" i="14"/>
  <c r="E135" i="14"/>
  <c r="H139" i="14" s="1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AC123" i="14"/>
  <c r="AB123" i="14"/>
  <c r="AA123" i="14"/>
  <c r="Z123" i="14"/>
  <c r="Y123" i="14"/>
  <c r="X123" i="14"/>
  <c r="W123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E118" i="14"/>
  <c r="L120" i="14" s="1"/>
  <c r="L121" i="14" s="1"/>
  <c r="G116" i="14"/>
  <c r="T115" i="14"/>
  <c r="T128" i="14" s="1"/>
  <c r="G113" i="14"/>
  <c r="AC112" i="14"/>
  <c r="AB112" i="14"/>
  <c r="AA112" i="14"/>
  <c r="Z112" i="14"/>
  <c r="Y112" i="14"/>
  <c r="X112" i="14"/>
  <c r="W112" i="14"/>
  <c r="T112" i="14"/>
  <c r="G112" i="14"/>
  <c r="F112" i="14"/>
  <c r="E112" i="14"/>
  <c r="I124" i="14" s="1"/>
  <c r="I130" i="14" s="1"/>
  <c r="AC111" i="14"/>
  <c r="AB111" i="14"/>
  <c r="AA111" i="14"/>
  <c r="Z111" i="14"/>
  <c r="Y111" i="14"/>
  <c r="X111" i="14"/>
  <c r="W111" i="14"/>
  <c r="T111" i="14"/>
  <c r="G111" i="14"/>
  <c r="E111" i="14"/>
  <c r="S109" i="14"/>
  <c r="R109" i="14"/>
  <c r="Q109" i="14"/>
  <c r="P109" i="14"/>
  <c r="O109" i="14"/>
  <c r="N109" i="14"/>
  <c r="M109" i="14"/>
  <c r="L109" i="14"/>
  <c r="K109" i="14"/>
  <c r="S108" i="14"/>
  <c r="R108" i="14"/>
  <c r="Q108" i="14"/>
  <c r="P108" i="14"/>
  <c r="O108" i="14"/>
  <c r="N108" i="14"/>
  <c r="M108" i="14"/>
  <c r="L108" i="14"/>
  <c r="K108" i="14"/>
  <c r="J106" i="14"/>
  <c r="I106" i="14"/>
  <c r="H106" i="14"/>
  <c r="T102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T100" i="14"/>
  <c r="G100" i="14"/>
  <c r="E100" i="14"/>
  <c r="Q104" i="14" s="1"/>
  <c r="Q107" i="14" s="1"/>
  <c r="S98" i="14"/>
  <c r="R98" i="14"/>
  <c r="Q98" i="14"/>
  <c r="P98" i="14"/>
  <c r="O98" i="14"/>
  <c r="N98" i="14"/>
  <c r="M98" i="14"/>
  <c r="L98" i="14"/>
  <c r="K98" i="14"/>
  <c r="S97" i="14"/>
  <c r="R97" i="14"/>
  <c r="Q97" i="14"/>
  <c r="P97" i="14"/>
  <c r="O97" i="14"/>
  <c r="N97" i="14"/>
  <c r="M97" i="14"/>
  <c r="L97" i="14"/>
  <c r="K97" i="14"/>
  <c r="J95" i="14"/>
  <c r="I95" i="14"/>
  <c r="H95" i="14"/>
  <c r="T91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T89" i="14"/>
  <c r="G89" i="14"/>
  <c r="E89" i="14"/>
  <c r="Q93" i="14" s="1"/>
  <c r="Q96" i="14" s="1"/>
  <c r="J84" i="14"/>
  <c r="I84" i="14"/>
  <c r="H84" i="14"/>
  <c r="T80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T78" i="14"/>
  <c r="G78" i="14"/>
  <c r="E78" i="14"/>
  <c r="J73" i="14"/>
  <c r="I73" i="14"/>
  <c r="H73" i="14"/>
  <c r="T68" i="14"/>
  <c r="T66" i="14"/>
  <c r="G66" i="14"/>
  <c r="F66" i="14"/>
  <c r="E66" i="14"/>
  <c r="L71" i="14" s="1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T65" i="14"/>
  <c r="G65" i="14"/>
  <c r="E65" i="14"/>
  <c r="Q70" i="14" s="1"/>
  <c r="N63" i="14"/>
  <c r="J62" i="14"/>
  <c r="I62" i="14"/>
  <c r="H62" i="14"/>
  <c r="S61" i="14"/>
  <c r="S64" i="14" s="1"/>
  <c r="R61" i="14"/>
  <c r="R64" i="14" s="1"/>
  <c r="Q61" i="14"/>
  <c r="Q63" i="14" s="1"/>
  <c r="P61" i="14"/>
  <c r="O61" i="14"/>
  <c r="O64" i="14" s="1"/>
  <c r="N61" i="14"/>
  <c r="N64" i="14" s="1"/>
  <c r="M61" i="14"/>
  <c r="M63" i="14" s="1"/>
  <c r="L61" i="14"/>
  <c r="K61" i="14"/>
  <c r="K64" i="14" s="1"/>
  <c r="J61" i="14"/>
  <c r="J63" i="14" s="1"/>
  <c r="I61" i="14"/>
  <c r="I63" i="14" s="1"/>
  <c r="T59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T57" i="14"/>
  <c r="T58" i="14" s="1"/>
  <c r="G57" i="14"/>
  <c r="E57" i="14"/>
  <c r="H61" i="14" s="1"/>
  <c r="J52" i="14"/>
  <c r="S49" i="14"/>
  <c r="R49" i="14"/>
  <c r="R53" i="14" s="1"/>
  <c r="Q49" i="14"/>
  <c r="Q53" i="14" s="1"/>
  <c r="P49" i="14"/>
  <c r="O49" i="14"/>
  <c r="N49" i="14"/>
  <c r="N53" i="14" s="1"/>
  <c r="M49" i="14"/>
  <c r="M53" i="14" s="1"/>
  <c r="L49" i="14"/>
  <c r="K49" i="14"/>
  <c r="I49" i="14"/>
  <c r="I47" i="14"/>
  <c r="I52" i="14" s="1"/>
  <c r="H47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T45" i="14"/>
  <c r="G45" i="14"/>
  <c r="E45" i="14"/>
  <c r="K50" i="14" s="1"/>
  <c r="K54" i="14" s="1"/>
  <c r="AH44" i="14"/>
  <c r="AG44" i="14"/>
  <c r="AF44" i="14"/>
  <c r="AE44" i="14"/>
  <c r="AD44" i="14"/>
  <c r="AC44" i="14"/>
  <c r="AB44" i="14"/>
  <c r="AA44" i="14"/>
  <c r="Z44" i="14"/>
  <c r="X44" i="14"/>
  <c r="W44" i="14"/>
  <c r="J44" i="14"/>
  <c r="G44" i="14"/>
  <c r="E44" i="14"/>
  <c r="H49" i="14" s="1"/>
  <c r="J39" i="14"/>
  <c r="I39" i="14"/>
  <c r="H39" i="14"/>
  <c r="T35" i="14"/>
  <c r="T34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T32" i="14"/>
  <c r="G32" i="14"/>
  <c r="E32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T31" i="14"/>
  <c r="G31" i="14"/>
  <c r="E31" i="14"/>
  <c r="T30" i="14"/>
  <c r="U30" i="14" s="1"/>
  <c r="AH29" i="14"/>
  <c r="AG29" i="14"/>
  <c r="AF29" i="14"/>
  <c r="AE29" i="14"/>
  <c r="AD29" i="14"/>
  <c r="AC29" i="14"/>
  <c r="AB29" i="14"/>
  <c r="AA29" i="14"/>
  <c r="Z29" i="14"/>
  <c r="W29" i="14"/>
  <c r="J29" i="14"/>
  <c r="I29" i="14"/>
  <c r="X29" i="14" s="1"/>
  <c r="H29" i="14"/>
  <c r="G29" i="14"/>
  <c r="E29" i="14"/>
  <c r="S25" i="14"/>
  <c r="R25" i="14"/>
  <c r="Q25" i="14"/>
  <c r="P25" i="14"/>
  <c r="Q24" i="14"/>
  <c r="O16" i="14"/>
  <c r="O25" i="14" s="1"/>
  <c r="N16" i="14"/>
  <c r="N25" i="14" s="1"/>
  <c r="M16" i="14"/>
  <c r="M25" i="14" s="1"/>
  <c r="L16" i="14"/>
  <c r="L25" i="14" s="1"/>
  <c r="K16" i="14"/>
  <c r="K25" i="14" s="1"/>
  <c r="J16" i="14"/>
  <c r="I16" i="14"/>
  <c r="H16" i="14"/>
  <c r="S15" i="14"/>
  <c r="S24" i="14" s="1"/>
  <c r="R15" i="14"/>
  <c r="R24" i="14" s="1"/>
  <c r="Q15" i="14"/>
  <c r="P15" i="14"/>
  <c r="P24" i="14" s="1"/>
  <c r="O15" i="14"/>
  <c r="O24" i="14" s="1"/>
  <c r="N15" i="14"/>
  <c r="N24" i="14" s="1"/>
  <c r="M15" i="14"/>
  <c r="M24" i="14" s="1"/>
  <c r="L15" i="14"/>
  <c r="L24" i="14" s="1"/>
  <c r="K15" i="14"/>
  <c r="K24" i="14" s="1"/>
  <c r="J15" i="14"/>
  <c r="J24" i="14" s="1"/>
  <c r="I15" i="14"/>
  <c r="I24" i="14" s="1"/>
  <c r="H15" i="14"/>
  <c r="H13" i="14"/>
  <c r="T13" i="14" s="1"/>
  <c r="T12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T10" i="14"/>
  <c r="U10" i="14" s="1"/>
  <c r="G10" i="14"/>
  <c r="AH7" i="14"/>
  <c r="AG7" i="14"/>
  <c r="AF7" i="14"/>
  <c r="AE7" i="14"/>
  <c r="AD7" i="14"/>
  <c r="AC7" i="14"/>
  <c r="AB7" i="14"/>
  <c r="AA7" i="14"/>
  <c r="Z7" i="14"/>
  <c r="Y7" i="14"/>
  <c r="X7" i="14"/>
  <c r="W7" i="14"/>
  <c r="T7" i="14"/>
  <c r="U7" i="14" s="1"/>
  <c r="G7" i="14"/>
  <c r="AH5" i="14"/>
  <c r="AG5" i="14"/>
  <c r="AF5" i="14"/>
  <c r="AE5" i="14"/>
  <c r="AD5" i="14"/>
  <c r="AC5" i="14"/>
  <c r="AB5" i="14"/>
  <c r="AA5" i="14"/>
  <c r="Z5" i="14"/>
  <c r="Y5" i="14"/>
  <c r="X5" i="14"/>
  <c r="W5" i="14"/>
  <c r="T5" i="14"/>
  <c r="G5" i="14"/>
  <c r="E5" i="14"/>
  <c r="R14" i="14" s="1"/>
  <c r="N5" i="15" l="1"/>
  <c r="N34" i="15"/>
  <c r="N33" i="15" s="1"/>
  <c r="N4" i="15" s="1"/>
  <c r="O34" i="15"/>
  <c r="P34" i="15"/>
  <c r="P33" i="15" s="1"/>
  <c r="M5" i="15"/>
  <c r="J1384" i="14"/>
  <c r="H24" i="14"/>
  <c r="H25" i="14"/>
  <c r="H21" i="14"/>
  <c r="R63" i="14"/>
  <c r="T73" i="14"/>
  <c r="V111" i="14"/>
  <c r="O249" i="14"/>
  <c r="S249" i="14"/>
  <c r="H340" i="14"/>
  <c r="H341" i="14" s="1"/>
  <c r="Q734" i="14"/>
  <c r="T753" i="14"/>
  <c r="AC1134" i="14"/>
  <c r="L1154" i="14"/>
  <c r="H1288" i="14"/>
  <c r="H1293" i="14" s="1"/>
  <c r="V1295" i="14"/>
  <c r="J1345" i="14"/>
  <c r="T1342" i="14"/>
  <c r="H1391" i="14"/>
  <c r="DP53" i="16"/>
  <c r="DP59" i="16"/>
  <c r="DP35" i="16"/>
  <c r="DP13" i="16"/>
  <c r="L11" i="15"/>
  <c r="T141" i="14"/>
  <c r="T152" i="14"/>
  <c r="J248" i="14"/>
  <c r="T239" i="14"/>
  <c r="J350" i="14"/>
  <c r="J356" i="14" s="1"/>
  <c r="V361" i="14"/>
  <c r="T436" i="14"/>
  <c r="N441" i="14"/>
  <c r="R466" i="14"/>
  <c r="T472" i="14"/>
  <c r="T616" i="14"/>
  <c r="V646" i="14"/>
  <c r="V647" i="14" s="1"/>
  <c r="V754" i="14"/>
  <c r="R768" i="14"/>
  <c r="T884" i="14"/>
  <c r="T940" i="14"/>
  <c r="T944" i="14"/>
  <c r="T948" i="14"/>
  <c r="AE1136" i="14"/>
  <c r="I1157" i="14"/>
  <c r="I1288" i="14"/>
  <c r="I1305" i="14"/>
  <c r="V1307" i="14"/>
  <c r="T1337" i="14"/>
  <c r="J1346" i="14"/>
  <c r="U1365" i="14"/>
  <c r="U1377" i="14"/>
  <c r="U1379" i="14" s="1"/>
  <c r="T1385" i="14"/>
  <c r="T1453" i="14"/>
  <c r="T1463" i="14"/>
  <c r="O5" i="15"/>
  <c r="DP55" i="16"/>
  <c r="DP32" i="16"/>
  <c r="DP40" i="16"/>
  <c r="DP58" i="16"/>
  <c r="DP34" i="16"/>
  <c r="DP24" i="16"/>
  <c r="H12" i="15"/>
  <c r="H11" i="15" s="1"/>
  <c r="V30" i="14"/>
  <c r="V229" i="14"/>
  <c r="V230" i="14"/>
  <c r="N249" i="14"/>
  <c r="R249" i="14"/>
  <c r="V266" i="14"/>
  <c r="V269" i="14"/>
  <c r="V322" i="14"/>
  <c r="M431" i="14"/>
  <c r="Q431" i="14"/>
  <c r="L441" i="14"/>
  <c r="P441" i="14"/>
  <c r="V449" i="14"/>
  <c r="V561" i="14"/>
  <c r="I722" i="14"/>
  <c r="V725" i="14"/>
  <c r="U755" i="14"/>
  <c r="O768" i="14"/>
  <c r="T855" i="14"/>
  <c r="T859" i="14"/>
  <c r="T885" i="14"/>
  <c r="T900" i="14"/>
  <c r="T979" i="14"/>
  <c r="AE1132" i="14"/>
  <c r="Z1135" i="14"/>
  <c r="AE1137" i="14"/>
  <c r="V1220" i="14"/>
  <c r="U1282" i="14"/>
  <c r="R1349" i="14"/>
  <c r="H1360" i="14"/>
  <c r="J1371" i="14"/>
  <c r="H1373" i="14"/>
  <c r="V1402" i="14"/>
  <c r="T1465" i="14"/>
  <c r="T1467" i="14"/>
  <c r="J33" i="15"/>
  <c r="DP30" i="16"/>
  <c r="DP19" i="16"/>
  <c r="G5" i="15"/>
  <c r="M34" i="15"/>
  <c r="M33" i="15" s="1"/>
  <c r="M4" i="15" s="1"/>
  <c r="K1444" i="14"/>
  <c r="O1444" i="14"/>
  <c r="S1444" i="14"/>
  <c r="I114" i="14"/>
  <c r="U290" i="14"/>
  <c r="U378" i="14"/>
  <c r="V740" i="14"/>
  <c r="Z33" i="14"/>
  <c r="AD33" i="14"/>
  <c r="U694" i="14"/>
  <c r="O33" i="15"/>
  <c r="O4" i="15" s="1"/>
  <c r="R5" i="15"/>
  <c r="R4" i="15" s="1"/>
  <c r="AA46" i="14"/>
  <c r="AE46" i="14"/>
  <c r="S120" i="14"/>
  <c r="S121" i="14" s="1"/>
  <c r="AI229" i="14"/>
  <c r="L24" i="15"/>
  <c r="I33" i="15"/>
  <c r="I4" i="15" s="1"/>
  <c r="W46" i="14"/>
  <c r="U226" i="14"/>
  <c r="I489" i="14"/>
  <c r="I496" i="14" s="1"/>
  <c r="I502" i="14" s="1"/>
  <c r="M1229" i="14"/>
  <c r="M1236" i="14" s="1"/>
  <c r="L33" i="15"/>
  <c r="H24" i="15"/>
  <c r="H5" i="15" s="1"/>
  <c r="J5" i="15"/>
  <c r="J4" i="15" s="1"/>
  <c r="K5" i="15"/>
  <c r="O120" i="14"/>
  <c r="O121" i="14" s="1"/>
  <c r="V396" i="14"/>
  <c r="U381" i="14"/>
  <c r="H488" i="14"/>
  <c r="H495" i="14" s="1"/>
  <c r="H683" i="14"/>
  <c r="H684" i="14" s="1"/>
  <c r="F5" i="15"/>
  <c r="Q24" i="15"/>
  <c r="Q5" i="15" s="1"/>
  <c r="Q4" i="15" s="1"/>
  <c r="P5" i="15"/>
  <c r="P4" i="15" s="1"/>
  <c r="I197" i="14"/>
  <c r="I202" i="14" s="1"/>
  <c r="N326" i="14"/>
  <c r="N332" i="14" s="1"/>
  <c r="U395" i="14"/>
  <c r="J400" i="14"/>
  <c r="J406" i="14" s="1"/>
  <c r="F406" i="14" s="1"/>
  <c r="H1436" i="14"/>
  <c r="T1436" i="14" s="1"/>
  <c r="U1436" i="14" s="1"/>
  <c r="I14" i="14"/>
  <c r="I20" i="14" s="1"/>
  <c r="I27" i="14" s="1"/>
  <c r="N199" i="14"/>
  <c r="N204" i="14" s="1"/>
  <c r="M296" i="14"/>
  <c r="J415" i="14"/>
  <c r="J1459" i="14" s="1"/>
  <c r="H298" i="14"/>
  <c r="H305" i="14" s="1"/>
  <c r="M495" i="14"/>
  <c r="M501" i="14" s="1"/>
  <c r="S700" i="14"/>
  <c r="S705" i="14" s="1"/>
  <c r="H120" i="14"/>
  <c r="H510" i="14"/>
  <c r="H511" i="14" s="1"/>
  <c r="K33" i="15"/>
  <c r="F4" i="15"/>
  <c r="H33" i="15"/>
  <c r="G33" i="15"/>
  <c r="S506" i="14"/>
  <c r="S505" i="14"/>
  <c r="I1371" i="14"/>
  <c r="T1369" i="14"/>
  <c r="T1373" i="14" s="1"/>
  <c r="I1373" i="14"/>
  <c r="I64" i="14"/>
  <c r="I443" i="14"/>
  <c r="M1155" i="14"/>
  <c r="AB1137" i="14"/>
  <c r="T39" i="14"/>
  <c r="U57" i="14"/>
  <c r="O63" i="14"/>
  <c r="M64" i="14"/>
  <c r="S104" i="14"/>
  <c r="S107" i="14" s="1"/>
  <c r="P120" i="14"/>
  <c r="P121" i="14" s="1"/>
  <c r="T176" i="14"/>
  <c r="V208" i="14"/>
  <c r="T217" i="14"/>
  <c r="T223" i="14" s="1"/>
  <c r="U250" i="14"/>
  <c r="V267" i="14"/>
  <c r="U268" i="14"/>
  <c r="Q296" i="14"/>
  <c r="Q303" i="14" s="1"/>
  <c r="V344" i="14"/>
  <c r="N431" i="14"/>
  <c r="H661" i="14"/>
  <c r="H662" i="14" s="1"/>
  <c r="I661" i="14"/>
  <c r="I662" i="14" s="1"/>
  <c r="I666" i="14" s="1"/>
  <c r="S699" i="14"/>
  <c r="I699" i="14"/>
  <c r="I704" i="14" s="1"/>
  <c r="P699" i="14"/>
  <c r="P704" i="14" s="1"/>
  <c r="R702" i="14"/>
  <c r="R707" i="14" s="1"/>
  <c r="M702" i="14"/>
  <c r="M707" i="14" s="1"/>
  <c r="H1120" i="14"/>
  <c r="T1153" i="14"/>
  <c r="M1151" i="14"/>
  <c r="AB1133" i="14"/>
  <c r="Q1151" i="14"/>
  <c r="AF1133" i="14"/>
  <c r="M1156" i="14"/>
  <c r="AB1138" i="14"/>
  <c r="Q1156" i="14"/>
  <c r="AF1138" i="14"/>
  <c r="K1208" i="14"/>
  <c r="K1215" i="14" s="1"/>
  <c r="K1207" i="14"/>
  <c r="K1210" i="14" s="1"/>
  <c r="K1217" i="14" s="1"/>
  <c r="U1202" i="14"/>
  <c r="V1202" i="14"/>
  <c r="J1375" i="14"/>
  <c r="J1376" i="14"/>
  <c r="I1384" i="14"/>
  <c r="I1386" i="14"/>
  <c r="L104" i="14"/>
  <c r="L107" i="14" s="1"/>
  <c r="H1275" i="14"/>
  <c r="H1277" i="14"/>
  <c r="V1294" i="14"/>
  <c r="U1294" i="14"/>
  <c r="U1296" i="14" s="1"/>
  <c r="T61" i="14"/>
  <c r="H248" i="14"/>
  <c r="K257" i="14"/>
  <c r="K262" i="14" s="1"/>
  <c r="K278" i="14"/>
  <c r="K285" i="14" s="1"/>
  <c r="T388" i="14"/>
  <c r="H420" i="14"/>
  <c r="H426" i="14" s="1"/>
  <c r="S497" i="14"/>
  <c r="S503" i="14" s="1"/>
  <c r="N497" i="14"/>
  <c r="N503" i="14" s="1"/>
  <c r="J490" i="14"/>
  <c r="J497" i="14" s="1"/>
  <c r="J503" i="14" s="1"/>
  <c r="T614" i="14"/>
  <c r="T618" i="14" s="1"/>
  <c r="J618" i="14"/>
  <c r="V959" i="14"/>
  <c r="U959" i="14"/>
  <c r="M1152" i="14"/>
  <c r="AB1134" i="14"/>
  <c r="Q1152" i="14"/>
  <c r="AF1134" i="14"/>
  <c r="AE1135" i="14"/>
  <c r="P1153" i="14"/>
  <c r="V1268" i="14"/>
  <c r="U1268" i="14"/>
  <c r="U1270" i="14" s="1"/>
  <c r="I1290" i="14"/>
  <c r="J1301" i="14"/>
  <c r="J1303" i="14"/>
  <c r="V1322" i="14"/>
  <c r="U1322" i="14"/>
  <c r="V1335" i="14"/>
  <c r="U1335" i="14"/>
  <c r="T21" i="14"/>
  <c r="H21" i="9"/>
  <c r="Q1155" i="14"/>
  <c r="AF1137" i="14"/>
  <c r="AG11" i="14"/>
  <c r="M14" i="14"/>
  <c r="M20" i="14" s="1"/>
  <c r="M26" i="14" s="1"/>
  <c r="U34" i="14"/>
  <c r="I53" i="14"/>
  <c r="K63" i="14"/>
  <c r="S63" i="14"/>
  <c r="Q64" i="14"/>
  <c r="J139" i="14"/>
  <c r="J142" i="14" s="1"/>
  <c r="P197" i="14"/>
  <c r="P202" i="14" s="1"/>
  <c r="M249" i="14"/>
  <c r="Q249" i="14"/>
  <c r="P257" i="14"/>
  <c r="P262" i="14" s="1"/>
  <c r="R278" i="14"/>
  <c r="R285" i="14" s="1"/>
  <c r="V291" i="14"/>
  <c r="V320" i="14"/>
  <c r="R329" i="14"/>
  <c r="R335" i="14" s="1"/>
  <c r="V343" i="14"/>
  <c r="V379" i="14"/>
  <c r="V380" i="14"/>
  <c r="H384" i="14"/>
  <c r="H390" i="14" s="1"/>
  <c r="J403" i="14"/>
  <c r="J409" i="14" s="1"/>
  <c r="F409" i="14" s="1"/>
  <c r="T412" i="14"/>
  <c r="V412" i="14" s="1"/>
  <c r="L431" i="14"/>
  <c r="P431" i="14"/>
  <c r="K466" i="14"/>
  <c r="H486" i="14"/>
  <c r="H499" i="14"/>
  <c r="N506" i="14"/>
  <c r="N505" i="14"/>
  <c r="O569" i="14"/>
  <c r="O572" i="14" s="1"/>
  <c r="O578" i="14" s="1"/>
  <c r="V648" i="14"/>
  <c r="J690" i="14"/>
  <c r="J430" i="14" s="1"/>
  <c r="T685" i="14"/>
  <c r="K691" i="14"/>
  <c r="T1370" i="14"/>
  <c r="T1374" i="14" s="1"/>
  <c r="I1374" i="14"/>
  <c r="V1379" i="14"/>
  <c r="Q511" i="14"/>
  <c r="Q571" i="14"/>
  <c r="Q577" i="14" s="1"/>
  <c r="O691" i="14"/>
  <c r="H766" i="14"/>
  <c r="L768" i="14"/>
  <c r="P768" i="14"/>
  <c r="H767" i="14"/>
  <c r="T767" i="14" s="1"/>
  <c r="I1120" i="14"/>
  <c r="T1139" i="14"/>
  <c r="T1140" i="14" s="1"/>
  <c r="Z1132" i="14"/>
  <c r="AH1132" i="14"/>
  <c r="Z1136" i="14"/>
  <c r="AH1136" i="14"/>
  <c r="K1151" i="14"/>
  <c r="O1154" i="14"/>
  <c r="S1180" i="14"/>
  <c r="S1171" i="14" s="1"/>
  <c r="S1193" i="14" s="1"/>
  <c r="V1204" i="14"/>
  <c r="T1273" i="14"/>
  <c r="T1277" i="14" s="1"/>
  <c r="V1283" i="14"/>
  <c r="J1314" i="14"/>
  <c r="H1330" i="14"/>
  <c r="I1391" i="14"/>
  <c r="T1372" i="14"/>
  <c r="T1391" i="14" s="1"/>
  <c r="L1396" i="14"/>
  <c r="P1396" i="14"/>
  <c r="M1408" i="14"/>
  <c r="O466" i="14"/>
  <c r="S466" i="14"/>
  <c r="L496" i="14"/>
  <c r="L502" i="14" s="1"/>
  <c r="M506" i="14"/>
  <c r="Q506" i="14"/>
  <c r="N511" i="14"/>
  <c r="R511" i="14"/>
  <c r="T522" i="14"/>
  <c r="Q583" i="14"/>
  <c r="T628" i="14"/>
  <c r="U668" i="14"/>
  <c r="L691" i="14"/>
  <c r="P691" i="14"/>
  <c r="T697" i="14"/>
  <c r="I700" i="14"/>
  <c r="I705" i="14" s="1"/>
  <c r="H731" i="14"/>
  <c r="H735" i="14" s="1"/>
  <c r="O735" i="14"/>
  <c r="U739" i="14"/>
  <c r="I766" i="14"/>
  <c r="I768" i="14" s="1"/>
  <c r="M768" i="14"/>
  <c r="Q768" i="14"/>
  <c r="T861" i="14"/>
  <c r="T886" i="14"/>
  <c r="T901" i="14"/>
  <c r="T993" i="14"/>
  <c r="T1049" i="14"/>
  <c r="L1139" i="14"/>
  <c r="L1157" i="14" s="1"/>
  <c r="P1139" i="14"/>
  <c r="AA1132" i="14"/>
  <c r="AA1133" i="14"/>
  <c r="AG1134" i="14"/>
  <c r="AD1135" i="14"/>
  <c r="AA1137" i="14"/>
  <c r="AG1138" i="14"/>
  <c r="L1150" i="14"/>
  <c r="O1151" i="14"/>
  <c r="L1183" i="14"/>
  <c r="V1243" i="14"/>
  <c r="V1245" i="14"/>
  <c r="J1275" i="14"/>
  <c r="U1281" i="14"/>
  <c r="U1283" i="14" s="1"/>
  <c r="T1289" i="14"/>
  <c r="T1302" i="14"/>
  <c r="T1343" i="14"/>
  <c r="H1343" i="14"/>
  <c r="N1392" i="14"/>
  <c r="R1392" i="14"/>
  <c r="L1392" i="14"/>
  <c r="P1392" i="14"/>
  <c r="T477" i="14"/>
  <c r="R506" i="14"/>
  <c r="K583" i="14"/>
  <c r="O583" i="14"/>
  <c r="S583" i="14"/>
  <c r="V633" i="14"/>
  <c r="V634" i="14" s="1"/>
  <c r="V635" i="14" s="1"/>
  <c r="M700" i="14"/>
  <c r="M705" i="14" s="1"/>
  <c r="H722" i="14"/>
  <c r="T738" i="14"/>
  <c r="U754" i="14"/>
  <c r="K768" i="14"/>
  <c r="S768" i="14"/>
  <c r="T858" i="14"/>
  <c r="T899" i="14"/>
  <c r="T1007" i="14"/>
  <c r="T1036" i="14"/>
  <c r="T1152" i="14"/>
  <c r="T1156" i="14"/>
  <c r="AD1132" i="14"/>
  <c r="AG1135" i="14"/>
  <c r="T1144" i="14"/>
  <c r="S1151" i="14"/>
  <c r="Q1153" i="14"/>
  <c r="N1155" i="14"/>
  <c r="T1175" i="14"/>
  <c r="R1183" i="14"/>
  <c r="I1277" i="14"/>
  <c r="V1336" i="14"/>
  <c r="I1343" i="14"/>
  <c r="K1349" i="14"/>
  <c r="O1349" i="14"/>
  <c r="S1349" i="14"/>
  <c r="T1469" i="14"/>
  <c r="V1475" i="14"/>
  <c r="N50" i="14"/>
  <c r="N51" i="14" s="1"/>
  <c r="N55" i="14" s="1"/>
  <c r="O728" i="14"/>
  <c r="O732" i="14" s="1"/>
  <c r="O745" i="14" s="1"/>
  <c r="O749" i="14" s="1"/>
  <c r="R1436" i="14"/>
  <c r="R1445" i="14" s="1"/>
  <c r="L14" i="14"/>
  <c r="L23" i="14" s="1"/>
  <c r="I23" i="14"/>
  <c r="R50" i="14"/>
  <c r="R51" i="14" s="1"/>
  <c r="H93" i="14"/>
  <c r="H94" i="14" s="1"/>
  <c r="S93" i="14"/>
  <c r="S96" i="14" s="1"/>
  <c r="U100" i="14"/>
  <c r="O104" i="14"/>
  <c r="O107" i="14" s="1"/>
  <c r="L123" i="14"/>
  <c r="M124" i="14"/>
  <c r="M130" i="14" s="1"/>
  <c r="I139" i="14"/>
  <c r="I140" i="14" s="1"/>
  <c r="I144" i="14" s="1"/>
  <c r="U168" i="14"/>
  <c r="AI184" i="14"/>
  <c r="AJ184" i="14" s="1"/>
  <c r="K199" i="14"/>
  <c r="K204" i="14" s="1"/>
  <c r="J215" i="14"/>
  <c r="J221" i="14" s="1"/>
  <c r="L256" i="14"/>
  <c r="L261" i="14" s="1"/>
  <c r="O257" i="14"/>
  <c r="O262" i="14" s="1"/>
  <c r="AI266" i="14"/>
  <c r="O278" i="14"/>
  <c r="O285" i="14" s="1"/>
  <c r="P280" i="14"/>
  <c r="P287" i="14" s="1"/>
  <c r="N296" i="14"/>
  <c r="N303" i="14" s="1"/>
  <c r="O298" i="14"/>
  <c r="O305" i="14" s="1"/>
  <c r="V321" i="14"/>
  <c r="Q326" i="14"/>
  <c r="V378" i="14"/>
  <c r="U379" i="14"/>
  <c r="V381" i="14"/>
  <c r="H383" i="14"/>
  <c r="H389" i="14" s="1"/>
  <c r="V395" i="14"/>
  <c r="I488" i="14"/>
  <c r="I495" i="14" s="1"/>
  <c r="I501" i="14" s="1"/>
  <c r="J489" i="14"/>
  <c r="J496" i="14" s="1"/>
  <c r="J502" i="14" s="1"/>
  <c r="F502" i="14" s="1"/>
  <c r="P495" i="14"/>
  <c r="P501" i="14" s="1"/>
  <c r="P496" i="14"/>
  <c r="P502" i="14" s="1"/>
  <c r="M498" i="14"/>
  <c r="M504" i="14" s="1"/>
  <c r="J531" i="14"/>
  <c r="J534" i="14" s="1"/>
  <c r="J571" i="14"/>
  <c r="J577" i="14" s="1"/>
  <c r="J699" i="14"/>
  <c r="J704" i="14" s="1"/>
  <c r="Q699" i="14"/>
  <c r="Q704" i="14" s="1"/>
  <c r="P700" i="14"/>
  <c r="P705" i="14" s="1"/>
  <c r="L743" i="14"/>
  <c r="L747" i="14" s="1"/>
  <c r="L760" i="14" s="1"/>
  <c r="J758" i="14"/>
  <c r="J762" i="14" s="1"/>
  <c r="T1161" i="14"/>
  <c r="U1161" i="14" s="1"/>
  <c r="M1183" i="14"/>
  <c r="R1229" i="14"/>
  <c r="R1236" i="14" s="1"/>
  <c r="K1436" i="14"/>
  <c r="K1435" i="14" s="1"/>
  <c r="O1436" i="14"/>
  <c r="O1445" i="14" s="1"/>
  <c r="S1436" i="14"/>
  <c r="S1435" i="14" s="1"/>
  <c r="P93" i="14"/>
  <c r="P96" i="14" s="1"/>
  <c r="AA11" i="14"/>
  <c r="Y11" i="14"/>
  <c r="M23" i="14"/>
  <c r="U45" i="14"/>
  <c r="K93" i="14"/>
  <c r="K96" i="14" s="1"/>
  <c r="Q124" i="14"/>
  <c r="Q130" i="14" s="1"/>
  <c r="H233" i="14"/>
  <c r="M256" i="14"/>
  <c r="M261" i="14" s="1"/>
  <c r="Q280" i="14"/>
  <c r="Q287" i="14" s="1"/>
  <c r="P298" i="14"/>
  <c r="P305" i="14" s="1"/>
  <c r="J313" i="14"/>
  <c r="J316" i="14" s="1"/>
  <c r="J1444" i="14"/>
  <c r="Q328" i="14"/>
  <c r="Q334" i="14" s="1"/>
  <c r="U450" i="14"/>
  <c r="J495" i="14"/>
  <c r="J501" i="14" s="1"/>
  <c r="F501" i="14" s="1"/>
  <c r="Q495" i="14"/>
  <c r="Q501" i="14" s="1"/>
  <c r="K569" i="14"/>
  <c r="K575" i="14" s="1"/>
  <c r="U724" i="14"/>
  <c r="H728" i="14"/>
  <c r="H732" i="14" s="1"/>
  <c r="H745" i="14" s="1"/>
  <c r="N743" i="14"/>
  <c r="N747" i="14" s="1"/>
  <c r="N760" i="14" s="1"/>
  <c r="N764" i="14" s="1"/>
  <c r="O758" i="14"/>
  <c r="O762" i="14" s="1"/>
  <c r="H1183" i="14"/>
  <c r="N1183" i="14"/>
  <c r="S1229" i="14"/>
  <c r="S1236" i="14" s="1"/>
  <c r="W11" i="14"/>
  <c r="AE11" i="14"/>
  <c r="Q14" i="14"/>
  <c r="Q23" i="14" s="1"/>
  <c r="R37" i="14"/>
  <c r="R41" i="14" s="1"/>
  <c r="U89" i="14"/>
  <c r="L93" i="14"/>
  <c r="L96" i="14" s="1"/>
  <c r="K104" i="14"/>
  <c r="K107" i="14" s="1"/>
  <c r="K120" i="14"/>
  <c r="K121" i="14" s="1"/>
  <c r="V192" i="14"/>
  <c r="V209" i="14"/>
  <c r="V211" i="14"/>
  <c r="U229" i="14"/>
  <c r="I233" i="14"/>
  <c r="I240" i="14" s="1"/>
  <c r="V251" i="14"/>
  <c r="H257" i="14"/>
  <c r="H262" i="14" s="1"/>
  <c r="S257" i="14"/>
  <c r="S262" i="14" s="1"/>
  <c r="J278" i="14"/>
  <c r="J285" i="14" s="1"/>
  <c r="S278" i="14"/>
  <c r="S285" i="14" s="1"/>
  <c r="I296" i="14"/>
  <c r="I303" i="14" s="1"/>
  <c r="Q313" i="14"/>
  <c r="Q314" i="14" s="1"/>
  <c r="M326" i="14"/>
  <c r="M332" i="14" s="1"/>
  <c r="I329" i="14"/>
  <c r="I335" i="14" s="1"/>
  <c r="H386" i="14"/>
  <c r="H392" i="14" s="1"/>
  <c r="O457" i="14"/>
  <c r="O463" i="14" s="1"/>
  <c r="L495" i="14"/>
  <c r="L501" i="14" s="1"/>
  <c r="R495" i="14"/>
  <c r="R501" i="14" s="1"/>
  <c r="K497" i="14"/>
  <c r="K503" i="14" s="1"/>
  <c r="R571" i="14"/>
  <c r="R577" i="14" s="1"/>
  <c r="U657" i="14"/>
  <c r="U693" i="14"/>
  <c r="N699" i="14"/>
  <c r="N704" i="14" s="1"/>
  <c r="J702" i="14"/>
  <c r="J707" i="14" s="1"/>
  <c r="M728" i="14"/>
  <c r="M732" i="14" s="1"/>
  <c r="M745" i="14" s="1"/>
  <c r="S743" i="14"/>
  <c r="S747" i="14" s="1"/>
  <c r="S760" i="14" s="1"/>
  <c r="S764" i="14" s="1"/>
  <c r="Q758" i="14"/>
  <c r="Q762" i="14" s="1"/>
  <c r="U915" i="14"/>
  <c r="I1183" i="14"/>
  <c r="Q1183" i="14"/>
  <c r="M1209" i="14"/>
  <c r="M1216" i="14" s="1"/>
  <c r="V1224" i="14"/>
  <c r="K1229" i="14"/>
  <c r="K1236" i="14" s="1"/>
  <c r="T1400" i="14"/>
  <c r="T1404" i="14" s="1"/>
  <c r="T1406" i="14" s="1"/>
  <c r="L1435" i="14"/>
  <c r="L1445" i="14"/>
  <c r="J216" i="14"/>
  <c r="J222" i="14" s="1"/>
  <c r="H417" i="14"/>
  <c r="H423" i="14" s="1"/>
  <c r="I417" i="14"/>
  <c r="I423" i="14" s="1"/>
  <c r="J729" i="14"/>
  <c r="J733" i="14" s="1"/>
  <c r="J746" i="14" s="1"/>
  <c r="N744" i="14"/>
  <c r="N748" i="14" s="1"/>
  <c r="N761" i="14" s="1"/>
  <c r="R123" i="14"/>
  <c r="Q123" i="14"/>
  <c r="I123" i="14"/>
  <c r="I129" i="14" s="1"/>
  <c r="M114" i="14"/>
  <c r="L114" i="14"/>
  <c r="M123" i="14"/>
  <c r="O198" i="14"/>
  <c r="O203" i="14" s="1"/>
  <c r="R297" i="14"/>
  <c r="R304" i="14" s="1"/>
  <c r="P297" i="14"/>
  <c r="P304" i="14" s="1"/>
  <c r="H297" i="14"/>
  <c r="H304" i="14" s="1"/>
  <c r="M297" i="14"/>
  <c r="M304" i="14" s="1"/>
  <c r="S300" i="14"/>
  <c r="S307" i="14" s="1"/>
  <c r="Q300" i="14"/>
  <c r="Q307" i="14" s="1"/>
  <c r="I300" i="14"/>
  <c r="I307" i="14" s="1"/>
  <c r="U294" i="14"/>
  <c r="N300" i="14"/>
  <c r="N307" i="14" s="1"/>
  <c r="L297" i="14"/>
  <c r="L304" i="14" s="1"/>
  <c r="M327" i="14"/>
  <c r="M333" i="14" s="1"/>
  <c r="U363" i="14"/>
  <c r="N458" i="14"/>
  <c r="N464" i="14" s="1"/>
  <c r="R458" i="14"/>
  <c r="R464" i="14" s="1"/>
  <c r="Q458" i="14"/>
  <c r="Q464" i="14" s="1"/>
  <c r="J458" i="14"/>
  <c r="J464" i="14" s="1"/>
  <c r="F464" i="14" s="1"/>
  <c r="H542" i="14"/>
  <c r="J542" i="14"/>
  <c r="K570" i="14"/>
  <c r="K576" i="14" s="1"/>
  <c r="H613" i="14"/>
  <c r="H617" i="14" s="1"/>
  <c r="J613" i="14"/>
  <c r="I613" i="14"/>
  <c r="O701" i="14"/>
  <c r="O706" i="14" s="1"/>
  <c r="R701" i="14"/>
  <c r="R706" i="14" s="1"/>
  <c r="N701" i="14"/>
  <c r="N706" i="14" s="1"/>
  <c r="O729" i="14"/>
  <c r="O733" i="14" s="1"/>
  <c r="O746" i="14" s="1"/>
  <c r="O750" i="14" s="1"/>
  <c r="Q744" i="14"/>
  <c r="Q748" i="14" s="1"/>
  <c r="Q761" i="14" s="1"/>
  <c r="I759" i="14"/>
  <c r="I763" i="14" s="1"/>
  <c r="V1166" i="14"/>
  <c r="U1166" i="14"/>
  <c r="S1192" i="14"/>
  <c r="R1228" i="14"/>
  <c r="R1235" i="14" s="1"/>
  <c r="K1228" i="14"/>
  <c r="H1227" i="14"/>
  <c r="H1234" i="14" s="1"/>
  <c r="H1237" i="14" s="1"/>
  <c r="P1227" i="14"/>
  <c r="P1234" i="14" s="1"/>
  <c r="P1237" i="14" s="1"/>
  <c r="S1228" i="14"/>
  <c r="K1227" i="14"/>
  <c r="K1230" i="14" s="1"/>
  <c r="S1227" i="14"/>
  <c r="S1230" i="14" s="1"/>
  <c r="H1435" i="14"/>
  <c r="T1435" i="14" s="1"/>
  <c r="W33" i="14"/>
  <c r="AB33" i="14"/>
  <c r="AF33" i="14"/>
  <c r="U31" i="14"/>
  <c r="H37" i="14"/>
  <c r="H41" i="14" s="1"/>
  <c r="P50" i="14"/>
  <c r="P54" i="14" s="1"/>
  <c r="O50" i="14"/>
  <c r="O54" i="14" s="1"/>
  <c r="X46" i="14"/>
  <c r="AB46" i="14"/>
  <c r="AF46" i="14"/>
  <c r="J50" i="14"/>
  <c r="J54" i="14" s="1"/>
  <c r="S50" i="14"/>
  <c r="S54" i="14" s="1"/>
  <c r="M71" i="14"/>
  <c r="P114" i="14"/>
  <c r="J120" i="14"/>
  <c r="J121" i="14" s="1"/>
  <c r="N120" i="14"/>
  <c r="N121" i="14" s="1"/>
  <c r="R120" i="14"/>
  <c r="R121" i="14" s="1"/>
  <c r="P123" i="14"/>
  <c r="U135" i="14"/>
  <c r="R197" i="14"/>
  <c r="R202" i="14" s="1"/>
  <c r="M197" i="14"/>
  <c r="M202" i="14" s="1"/>
  <c r="H197" i="14"/>
  <c r="H202" i="14" s="1"/>
  <c r="Q197" i="14"/>
  <c r="AI208" i="14"/>
  <c r="J214" i="14"/>
  <c r="J220" i="14" s="1"/>
  <c r="U228" i="14"/>
  <c r="M279" i="14"/>
  <c r="M286" i="14" s="1"/>
  <c r="I279" i="14"/>
  <c r="I286" i="14" s="1"/>
  <c r="N279" i="14"/>
  <c r="N286" i="14" s="1"/>
  <c r="Q297" i="14"/>
  <c r="Q304" i="14" s="1"/>
  <c r="J300" i="14"/>
  <c r="J307" i="14" s="1"/>
  <c r="R327" i="14"/>
  <c r="R333" i="14" s="1"/>
  <c r="H401" i="14"/>
  <c r="H407" i="14" s="1"/>
  <c r="J401" i="14"/>
  <c r="J407" i="14" s="1"/>
  <c r="F407" i="14" s="1"/>
  <c r="J594" i="14"/>
  <c r="J601" i="14" s="1"/>
  <c r="H594" i="14"/>
  <c r="H601" i="14" s="1"/>
  <c r="J701" i="14"/>
  <c r="J706" i="14" s="1"/>
  <c r="R729" i="14"/>
  <c r="R733" i="14" s="1"/>
  <c r="R746" i="14" s="1"/>
  <c r="N1208" i="14"/>
  <c r="P1207" i="14"/>
  <c r="P1214" i="14" s="1"/>
  <c r="J1208" i="14"/>
  <c r="J1215" i="14" s="1"/>
  <c r="H1207" i="14"/>
  <c r="S1208" i="14"/>
  <c r="S1215" i="14" s="1"/>
  <c r="S1207" i="14"/>
  <c r="O1207" i="14"/>
  <c r="O1214" i="14" s="1"/>
  <c r="K1214" i="14"/>
  <c r="N1228" i="14"/>
  <c r="N1235" i="14" s="1"/>
  <c r="I70" i="14"/>
  <c r="Q198" i="14"/>
  <c r="Q203" i="14" s="1"/>
  <c r="S198" i="14"/>
  <c r="S203" i="14" s="1"/>
  <c r="K198" i="14"/>
  <c r="K203" i="14" s="1"/>
  <c r="L198" i="14"/>
  <c r="L203" i="14" s="1"/>
  <c r="J234" i="14"/>
  <c r="J241" i="14" s="1"/>
  <c r="I234" i="14"/>
  <c r="I241" i="14" s="1"/>
  <c r="AH228" i="14"/>
  <c r="AB228" i="14"/>
  <c r="Y228" i="14"/>
  <c r="H234" i="14"/>
  <c r="P258" i="14"/>
  <c r="P263" i="14" s="1"/>
  <c r="S258" i="14"/>
  <c r="S263" i="14" s="1"/>
  <c r="K258" i="14"/>
  <c r="K263" i="14" s="1"/>
  <c r="R258" i="14"/>
  <c r="R263" i="14" s="1"/>
  <c r="J258" i="14"/>
  <c r="J263" i="14" s="1"/>
  <c r="U412" i="14"/>
  <c r="T415" i="14"/>
  <c r="U415" i="14" s="1"/>
  <c r="I420" i="14"/>
  <c r="I426" i="14" s="1"/>
  <c r="P570" i="14"/>
  <c r="N570" i="14"/>
  <c r="N576" i="14" s="1"/>
  <c r="S570" i="14"/>
  <c r="S576" i="14" s="1"/>
  <c r="J570" i="14"/>
  <c r="J576" i="14" s="1"/>
  <c r="R570" i="14"/>
  <c r="R576" i="14" s="1"/>
  <c r="H650" i="14"/>
  <c r="H651" i="14" s="1"/>
  <c r="J650" i="14"/>
  <c r="J653" i="14" s="1"/>
  <c r="I650" i="14"/>
  <c r="R759" i="14"/>
  <c r="R763" i="14" s="1"/>
  <c r="Q759" i="14"/>
  <c r="Q763" i="14" s="1"/>
  <c r="L759" i="14"/>
  <c r="L763" i="14" s="1"/>
  <c r="O744" i="14"/>
  <c r="O748" i="14" s="1"/>
  <c r="O761" i="14" s="1"/>
  <c r="J744" i="14"/>
  <c r="J748" i="14" s="1"/>
  <c r="J761" i="14" s="1"/>
  <c r="P729" i="14"/>
  <c r="P733" i="14" s="1"/>
  <c r="P746" i="14" s="1"/>
  <c r="K729" i="14"/>
  <c r="K733" i="14" s="1"/>
  <c r="K746" i="14" s="1"/>
  <c r="N759" i="14"/>
  <c r="N763" i="14" s="1"/>
  <c r="H759" i="14"/>
  <c r="H763" i="14" s="1"/>
  <c r="S744" i="14"/>
  <c r="S748" i="14" s="1"/>
  <c r="S761" i="14" s="1"/>
  <c r="S765" i="14" s="1"/>
  <c r="M744" i="14"/>
  <c r="M748" i="14" s="1"/>
  <c r="M761" i="14" s="1"/>
  <c r="N729" i="14"/>
  <c r="N733" i="14" s="1"/>
  <c r="N746" i="14" s="1"/>
  <c r="M759" i="14"/>
  <c r="M763" i="14" s="1"/>
  <c r="R744" i="14"/>
  <c r="R748" i="14" s="1"/>
  <c r="R761" i="14" s="1"/>
  <c r="K744" i="14"/>
  <c r="K748" i="14" s="1"/>
  <c r="K761" i="14" s="1"/>
  <c r="S729" i="14"/>
  <c r="S733" i="14" s="1"/>
  <c r="S746" i="14" s="1"/>
  <c r="L729" i="14"/>
  <c r="L733" i="14" s="1"/>
  <c r="L746" i="14" s="1"/>
  <c r="M1179" i="14"/>
  <c r="M1180" i="14" s="1"/>
  <c r="M1171" i="14" s="1"/>
  <c r="Q1179" i="14"/>
  <c r="Q1180" i="14" s="1"/>
  <c r="Q1171" i="14" s="1"/>
  <c r="H1179" i="14"/>
  <c r="J1179" i="14"/>
  <c r="J1180" i="14" s="1"/>
  <c r="J1171" i="14" s="1"/>
  <c r="N1179" i="14"/>
  <c r="N1180" i="14" s="1"/>
  <c r="N1171" i="14" s="1"/>
  <c r="R1179" i="14"/>
  <c r="R1180" i="14" s="1"/>
  <c r="R1171" i="14" s="1"/>
  <c r="H1404" i="14"/>
  <c r="H1408" i="14" s="1"/>
  <c r="V1437" i="14"/>
  <c r="K1445" i="14"/>
  <c r="AI10" i="14"/>
  <c r="V10" i="14" s="1"/>
  <c r="I161" i="14"/>
  <c r="I164" i="14" s="1"/>
  <c r="AC228" i="14"/>
  <c r="AC231" i="14" s="1"/>
  <c r="N258" i="14"/>
  <c r="N263" i="14" s="1"/>
  <c r="Q277" i="14"/>
  <c r="Q284" i="14" s="1"/>
  <c r="S277" i="14"/>
  <c r="S284" i="14" s="1"/>
  <c r="K277" i="14"/>
  <c r="K284" i="14" s="1"/>
  <c r="P277" i="14"/>
  <c r="P284" i="14" s="1"/>
  <c r="H277" i="14"/>
  <c r="H284" i="14" s="1"/>
  <c r="AI290" i="14"/>
  <c r="J553" i="14"/>
  <c r="J556" i="14" s="1"/>
  <c r="AC11" i="14"/>
  <c r="X33" i="14"/>
  <c r="P37" i="14"/>
  <c r="P41" i="14" s="1"/>
  <c r="L37" i="14"/>
  <c r="L41" i="14" s="1"/>
  <c r="AC46" i="14"/>
  <c r="AG46" i="14"/>
  <c r="U111" i="14"/>
  <c r="R124" i="14"/>
  <c r="R130" i="14" s="1"/>
  <c r="P124" i="14"/>
  <c r="P130" i="14" s="1"/>
  <c r="H124" i="14"/>
  <c r="H130" i="14" s="1"/>
  <c r="H114" i="14"/>
  <c r="Q114" i="14"/>
  <c r="H123" i="14"/>
  <c r="H129" i="14" s="1"/>
  <c r="L124" i="14"/>
  <c r="L130" i="14" s="1"/>
  <c r="U192" i="14"/>
  <c r="P199" i="14"/>
  <c r="P204" i="14" s="1"/>
  <c r="O199" i="14"/>
  <c r="O204" i="14" s="1"/>
  <c r="H198" i="14"/>
  <c r="H203" i="14" s="1"/>
  <c r="J199" i="14"/>
  <c r="J204" i="14" s="1"/>
  <c r="S199" i="14"/>
  <c r="S204" i="14" s="1"/>
  <c r="U210" i="14"/>
  <c r="J235" i="14"/>
  <c r="J242" i="14" s="1"/>
  <c r="H235" i="14"/>
  <c r="H242" i="14" s="1"/>
  <c r="X228" i="14"/>
  <c r="AG228" i="14"/>
  <c r="L277" i="14"/>
  <c r="L284" i="14" s="1"/>
  <c r="M300" i="14"/>
  <c r="M307" i="14" s="1"/>
  <c r="S313" i="14"/>
  <c r="S316" i="14" s="1"/>
  <c r="N313" i="14"/>
  <c r="N314" i="14" s="1"/>
  <c r="M313" i="14"/>
  <c r="I313" i="14"/>
  <c r="I316" i="14" s="1"/>
  <c r="R368" i="14"/>
  <c r="R374" i="14" s="1"/>
  <c r="I458" i="14"/>
  <c r="I464" i="14" s="1"/>
  <c r="R498" i="14"/>
  <c r="R504" i="14" s="1"/>
  <c r="Q498" i="14"/>
  <c r="Q504" i="14" s="1"/>
  <c r="J491" i="14"/>
  <c r="J498" i="14" s="1"/>
  <c r="J504" i="14" s="1"/>
  <c r="F504" i="14" s="1"/>
  <c r="L498" i="14"/>
  <c r="L504" i="14" s="1"/>
  <c r="J675" i="14"/>
  <c r="J673" i="14"/>
  <c r="J676" i="14" s="1"/>
  <c r="H729" i="14"/>
  <c r="H733" i="14" s="1"/>
  <c r="H746" i="14" s="1"/>
  <c r="I744" i="14"/>
  <c r="I748" i="14" s="1"/>
  <c r="I761" i="14" s="1"/>
  <c r="P759" i="14"/>
  <c r="P763" i="14" s="1"/>
  <c r="I1179" i="14"/>
  <c r="I1180" i="14" s="1"/>
  <c r="I1171" i="14" s="1"/>
  <c r="X11" i="14"/>
  <c r="AB11" i="14"/>
  <c r="AF11" i="14"/>
  <c r="Z11" i="14"/>
  <c r="AD11" i="14"/>
  <c r="AH11" i="14"/>
  <c r="H14" i="14"/>
  <c r="H23" i="14" s="1"/>
  <c r="P14" i="14"/>
  <c r="P23" i="14" s="1"/>
  <c r="AA33" i="14"/>
  <c r="AE33" i="14"/>
  <c r="U32" i="14"/>
  <c r="AH33" i="14"/>
  <c r="Z46" i="14"/>
  <c r="AD46" i="14"/>
  <c r="AH46" i="14"/>
  <c r="K51" i="14"/>
  <c r="K56" i="14" s="1"/>
  <c r="S51" i="14"/>
  <c r="S56" i="14" s="1"/>
  <c r="U65" i="14"/>
  <c r="U66" i="14"/>
  <c r="AI89" i="14"/>
  <c r="O93" i="14"/>
  <c r="O96" i="14" s="1"/>
  <c r="H104" i="14"/>
  <c r="H105" i="14" s="1"/>
  <c r="P104" i="14"/>
  <c r="P107" i="14" s="1"/>
  <c r="U112" i="14"/>
  <c r="I120" i="14"/>
  <c r="I121" i="14" s="1"/>
  <c r="M120" i="14"/>
  <c r="M121" i="14" s="1"/>
  <c r="Q120" i="14"/>
  <c r="Q121" i="14" s="1"/>
  <c r="AI135" i="14"/>
  <c r="V135" i="14" s="1"/>
  <c r="I199" i="14"/>
  <c r="I204" i="14" s="1"/>
  <c r="T201" i="14"/>
  <c r="U208" i="14"/>
  <c r="V210" i="14"/>
  <c r="AI250" i="14"/>
  <c r="H256" i="14"/>
  <c r="H261" i="14" s="1"/>
  <c r="P256" i="14"/>
  <c r="P261" i="14" s="1"/>
  <c r="L257" i="14"/>
  <c r="L262" i="14" s="1"/>
  <c r="U267" i="14"/>
  <c r="N278" i="14"/>
  <c r="N285" i="14" s="1"/>
  <c r="H280" i="14"/>
  <c r="J296" i="14"/>
  <c r="J303" i="14" s="1"/>
  <c r="R296" i="14"/>
  <c r="R303" i="14" s="1"/>
  <c r="K298" i="14"/>
  <c r="K305" i="14" s="1"/>
  <c r="S298" i="14"/>
  <c r="S305" i="14" s="1"/>
  <c r="V310" i="14"/>
  <c r="H326" i="14"/>
  <c r="H332" i="14" s="1"/>
  <c r="R326" i="14"/>
  <c r="H328" i="14"/>
  <c r="H334" i="14" s="1"/>
  <c r="I384" i="14"/>
  <c r="I390" i="14" s="1"/>
  <c r="U397" i="14"/>
  <c r="V451" i="14"/>
  <c r="J457" i="14"/>
  <c r="J463" i="14" s="1"/>
  <c r="F463" i="14" s="1"/>
  <c r="R497" i="14"/>
  <c r="R503" i="14" s="1"/>
  <c r="I520" i="14"/>
  <c r="Q569" i="14"/>
  <c r="Q575" i="14" s="1"/>
  <c r="P569" i="14"/>
  <c r="P575" i="14" s="1"/>
  <c r="H569" i="14"/>
  <c r="H575" i="14" s="1"/>
  <c r="S569" i="14"/>
  <c r="U586" i="14"/>
  <c r="J595" i="14"/>
  <c r="J602" i="14" s="1"/>
  <c r="I595" i="14"/>
  <c r="I602" i="14" s="1"/>
  <c r="I672" i="14"/>
  <c r="I675" i="14" s="1"/>
  <c r="H672" i="14"/>
  <c r="H673" i="14" s="1"/>
  <c r="H677" i="14" s="1"/>
  <c r="R700" i="14"/>
  <c r="R705" i="14" s="1"/>
  <c r="Q700" i="14"/>
  <c r="Q705" i="14" s="1"/>
  <c r="L700" i="14"/>
  <c r="L705" i="14" s="1"/>
  <c r="V695" i="14"/>
  <c r="H700" i="14"/>
  <c r="H705" i="14" s="1"/>
  <c r="O700" i="14"/>
  <c r="O705" i="14" s="1"/>
  <c r="I728" i="14"/>
  <c r="I732" i="14" s="1"/>
  <c r="I745" i="14" s="1"/>
  <c r="I749" i="14" s="1"/>
  <c r="P728" i="14"/>
  <c r="P732" i="14" s="1"/>
  <c r="P745" i="14" s="1"/>
  <c r="P750" i="14" s="1"/>
  <c r="H743" i="14"/>
  <c r="H747" i="14" s="1"/>
  <c r="H760" i="14" s="1"/>
  <c r="O743" i="14"/>
  <c r="O747" i="14" s="1"/>
  <c r="O760" i="14" s="1"/>
  <c r="K758" i="14"/>
  <c r="K762" i="14" s="1"/>
  <c r="V1161" i="14"/>
  <c r="K1179" i="14"/>
  <c r="K1180" i="14" s="1"/>
  <c r="K1171" i="14" s="1"/>
  <c r="K1193" i="14" s="1"/>
  <c r="O1179" i="14"/>
  <c r="O1180" i="14" s="1"/>
  <c r="O1171" i="14" s="1"/>
  <c r="M1406" i="14"/>
  <c r="Q1445" i="14"/>
  <c r="H1444" i="14"/>
  <c r="L1444" i="14"/>
  <c r="P1444" i="14"/>
  <c r="R1444" i="14"/>
  <c r="U252" i="14"/>
  <c r="I256" i="14"/>
  <c r="I261" i="14" s="1"/>
  <c r="Q256" i="14"/>
  <c r="V268" i="14"/>
  <c r="U269" i="14"/>
  <c r="I280" i="14"/>
  <c r="I287" i="14" s="1"/>
  <c r="L298" i="14"/>
  <c r="L305" i="14" s="1"/>
  <c r="U320" i="14"/>
  <c r="N328" i="14"/>
  <c r="N334" i="14" s="1"/>
  <c r="H351" i="14"/>
  <c r="H357" i="14" s="1"/>
  <c r="J402" i="14"/>
  <c r="J408" i="14" s="1"/>
  <c r="F408" i="14" s="1"/>
  <c r="N457" i="14"/>
  <c r="N463" i="14" s="1"/>
  <c r="T509" i="14"/>
  <c r="J520" i="14"/>
  <c r="P758" i="14"/>
  <c r="P762" i="14" s="1"/>
  <c r="S758" i="14"/>
  <c r="S762" i="14" s="1"/>
  <c r="N758" i="14"/>
  <c r="N762" i="14" s="1"/>
  <c r="I758" i="14"/>
  <c r="I762" i="14" s="1"/>
  <c r="P743" i="14"/>
  <c r="P747" i="14" s="1"/>
  <c r="P760" i="14" s="1"/>
  <c r="P764" i="14" s="1"/>
  <c r="K743" i="14"/>
  <c r="K747" i="14" s="1"/>
  <c r="K760" i="14" s="1"/>
  <c r="Q728" i="14"/>
  <c r="Q732" i="14" s="1"/>
  <c r="Q745" i="14" s="1"/>
  <c r="L728" i="14"/>
  <c r="L732" i="14" s="1"/>
  <c r="L745" i="14" s="1"/>
  <c r="L749" i="14" s="1"/>
  <c r="U725" i="14"/>
  <c r="K728" i="14"/>
  <c r="K732" i="14" s="1"/>
  <c r="K745" i="14" s="1"/>
  <c r="S728" i="14"/>
  <c r="S732" i="14" s="1"/>
  <c r="S745" i="14" s="1"/>
  <c r="J743" i="14"/>
  <c r="J747" i="14" s="1"/>
  <c r="J760" i="14" s="1"/>
  <c r="J765" i="14" s="1"/>
  <c r="R743" i="14"/>
  <c r="R747" i="14" s="1"/>
  <c r="R760" i="14" s="1"/>
  <c r="R764" i="14" s="1"/>
  <c r="M758" i="14"/>
  <c r="M762" i="14" s="1"/>
  <c r="U1220" i="14"/>
  <c r="P1229" i="14"/>
  <c r="P1236" i="14" s="1"/>
  <c r="O1229" i="14"/>
  <c r="O1236" i="14" s="1"/>
  <c r="J1229" i="14"/>
  <c r="J1236" i="14" s="1"/>
  <c r="I1229" i="14"/>
  <c r="I1236" i="14" s="1"/>
  <c r="Q1229" i="14"/>
  <c r="Q1236" i="14" s="1"/>
  <c r="N495" i="14"/>
  <c r="N501" i="14" s="1"/>
  <c r="P511" i="14"/>
  <c r="I571" i="14"/>
  <c r="I577" i="14" s="1"/>
  <c r="U609" i="14"/>
  <c r="J661" i="14"/>
  <c r="J662" i="14" s="1"/>
  <c r="J666" i="14" s="1"/>
  <c r="H699" i="14"/>
  <c r="H704" i="14" s="1"/>
  <c r="M699" i="14"/>
  <c r="R699" i="14"/>
  <c r="S1191" i="14"/>
  <c r="L1179" i="14"/>
  <c r="L1180" i="14" s="1"/>
  <c r="L1171" i="14" s="1"/>
  <c r="L1193" i="14" s="1"/>
  <c r="P1179" i="14"/>
  <c r="P1180" i="14" s="1"/>
  <c r="P1171" i="14" s="1"/>
  <c r="J1183" i="14"/>
  <c r="P1183" i="14"/>
  <c r="U1200" i="14"/>
  <c r="U1204" i="14" s="1"/>
  <c r="N1209" i="14"/>
  <c r="N1216" i="14" s="1"/>
  <c r="U1223" i="14"/>
  <c r="J1436" i="14"/>
  <c r="J1445" i="14" s="1"/>
  <c r="N1436" i="14"/>
  <c r="N1435" i="14" s="1"/>
  <c r="T63" i="14"/>
  <c r="F503" i="14"/>
  <c r="R23" i="14"/>
  <c r="R20" i="14"/>
  <c r="S36" i="14"/>
  <c r="O36" i="14"/>
  <c r="K36" i="14"/>
  <c r="P36" i="14"/>
  <c r="L36" i="14"/>
  <c r="R36" i="14"/>
  <c r="N36" i="14"/>
  <c r="Y29" i="14"/>
  <c r="J36" i="14"/>
  <c r="T29" i="14"/>
  <c r="U29" i="14" s="1"/>
  <c r="U33" i="14" s="1"/>
  <c r="Q36" i="14"/>
  <c r="S55" i="14"/>
  <c r="L63" i="14"/>
  <c r="L64" i="14"/>
  <c r="AE169" i="14"/>
  <c r="AE170" i="14" s="1"/>
  <c r="AA169" i="14"/>
  <c r="AA170" i="14" s="1"/>
  <c r="W169" i="14"/>
  <c r="AH66" i="14"/>
  <c r="AH67" i="14" s="1"/>
  <c r="AD66" i="14"/>
  <c r="AD67" i="14" s="1"/>
  <c r="Z66" i="14"/>
  <c r="Z67" i="14" s="1"/>
  <c r="AF169" i="14"/>
  <c r="AF170" i="14" s="1"/>
  <c r="AB169" i="14"/>
  <c r="AB170" i="14" s="1"/>
  <c r="X169" i="14"/>
  <c r="X170" i="14" s="1"/>
  <c r="AE66" i="14"/>
  <c r="AE67" i="14" s="1"/>
  <c r="AA66" i="14"/>
  <c r="AA67" i="14" s="1"/>
  <c r="W66" i="14"/>
  <c r="AH169" i="14"/>
  <c r="AH170" i="14" s="1"/>
  <c r="Z169" i="14"/>
  <c r="Z170" i="14" s="1"/>
  <c r="AB66" i="14"/>
  <c r="AB67" i="14" s="1"/>
  <c r="Y169" i="14"/>
  <c r="Y170" i="14" s="1"/>
  <c r="AG66" i="14"/>
  <c r="AG67" i="14" s="1"/>
  <c r="Y66" i="14"/>
  <c r="Y67" i="14" s="1"/>
  <c r="AC169" i="14"/>
  <c r="AC170" i="14" s="1"/>
  <c r="AC66" i="14"/>
  <c r="AC67" i="14" s="1"/>
  <c r="AG169" i="14"/>
  <c r="AG170" i="14" s="1"/>
  <c r="R82" i="14"/>
  <c r="N82" i="14"/>
  <c r="J82" i="14"/>
  <c r="S82" i="14"/>
  <c r="O82" i="14"/>
  <c r="K82" i="14"/>
  <c r="L82" i="14"/>
  <c r="I82" i="14"/>
  <c r="M82" i="14"/>
  <c r="U78" i="14"/>
  <c r="Q82" i="14"/>
  <c r="H221" i="14"/>
  <c r="V227" i="14"/>
  <c r="U227" i="14"/>
  <c r="J237" i="14"/>
  <c r="J244" i="14" s="1"/>
  <c r="I237" i="14"/>
  <c r="I244" i="14" s="1"/>
  <c r="P259" i="14"/>
  <c r="I459" i="14"/>
  <c r="I445" i="14"/>
  <c r="J1461" i="14"/>
  <c r="J25" i="14"/>
  <c r="I182" i="14"/>
  <c r="T125" i="14"/>
  <c r="H140" i="14"/>
  <c r="H142" i="14"/>
  <c r="AD169" i="14"/>
  <c r="AD170" i="14" s="1"/>
  <c r="L283" i="14"/>
  <c r="T316" i="14"/>
  <c r="I1443" i="14"/>
  <c r="I1445" i="14" s="1"/>
  <c r="X319" i="14"/>
  <c r="AI319" i="14" s="1"/>
  <c r="T319" i="14"/>
  <c r="U319" i="14" s="1"/>
  <c r="I326" i="14"/>
  <c r="I332" i="14" s="1"/>
  <c r="H349" i="14"/>
  <c r="I349" i="14"/>
  <c r="I355" i="14" s="1"/>
  <c r="U344" i="14"/>
  <c r="P367" i="14"/>
  <c r="P373" i="14" s="1"/>
  <c r="L367" i="14"/>
  <c r="L373" i="14" s="1"/>
  <c r="Q367" i="14"/>
  <c r="Q373" i="14" s="1"/>
  <c r="M367" i="14"/>
  <c r="M373" i="14" s="1"/>
  <c r="S367" i="14"/>
  <c r="S373" i="14" s="1"/>
  <c r="K367" i="14"/>
  <c r="K373" i="14" s="1"/>
  <c r="R367" i="14"/>
  <c r="R373" i="14" s="1"/>
  <c r="N367" i="14"/>
  <c r="N373" i="14" s="1"/>
  <c r="J367" i="14"/>
  <c r="J373" i="14" s="1"/>
  <c r="I367" i="14"/>
  <c r="I373" i="14" s="1"/>
  <c r="T422" i="14"/>
  <c r="I428" i="14"/>
  <c r="K431" i="14"/>
  <c r="O431" i="14"/>
  <c r="H532" i="14"/>
  <c r="H534" i="14"/>
  <c r="U549" i="14"/>
  <c r="V549" i="14"/>
  <c r="V550" i="14" s="1"/>
  <c r="L575" i="14"/>
  <c r="J641" i="14"/>
  <c r="J639" i="14"/>
  <c r="M27" i="14"/>
  <c r="H36" i="14"/>
  <c r="AG33" i="14"/>
  <c r="O53" i="14"/>
  <c r="AI57" i="14"/>
  <c r="P82" i="14"/>
  <c r="AJ250" i="14"/>
  <c r="T260" i="14"/>
  <c r="I340" i="14"/>
  <c r="I341" i="14" s="1"/>
  <c r="I265" i="14"/>
  <c r="H348" i="14"/>
  <c r="I348" i="14"/>
  <c r="J348" i="14"/>
  <c r="U343" i="14"/>
  <c r="Q366" i="14"/>
  <c r="Q372" i="14" s="1"/>
  <c r="M366" i="14"/>
  <c r="M372" i="14" s="1"/>
  <c r="I366" i="14"/>
  <c r="I372" i="14" s="1"/>
  <c r="R366" i="14"/>
  <c r="R372" i="14" s="1"/>
  <c r="N366" i="14"/>
  <c r="N372" i="14" s="1"/>
  <c r="J366" i="14"/>
  <c r="J372" i="14" s="1"/>
  <c r="P366" i="14"/>
  <c r="P372" i="14" s="1"/>
  <c r="H366" i="14"/>
  <c r="O366" i="14"/>
  <c r="O372" i="14" s="1"/>
  <c r="S366" i="14"/>
  <c r="S372" i="14" s="1"/>
  <c r="K366" i="14"/>
  <c r="K372" i="14" s="1"/>
  <c r="U361" i="14"/>
  <c r="I371" i="14"/>
  <c r="O367" i="14"/>
  <c r="O373" i="14" s="1"/>
  <c r="H391" i="14"/>
  <c r="AI7" i="14"/>
  <c r="T15" i="14"/>
  <c r="AI31" i="14"/>
  <c r="AI32" i="14"/>
  <c r="M36" i="14"/>
  <c r="Y44" i="14"/>
  <c r="Y46" i="14" s="1"/>
  <c r="J49" i="14"/>
  <c r="T44" i="14"/>
  <c r="U44" i="14" s="1"/>
  <c r="U46" i="14" s="1"/>
  <c r="AI45" i="14"/>
  <c r="T47" i="14"/>
  <c r="H52" i="14"/>
  <c r="T52" i="14" s="1"/>
  <c r="N56" i="14"/>
  <c r="S53" i="14"/>
  <c r="J64" i="14"/>
  <c r="T62" i="14"/>
  <c r="T64" i="14" s="1"/>
  <c r="S70" i="14"/>
  <c r="O70" i="14"/>
  <c r="K70" i="14"/>
  <c r="P70" i="14"/>
  <c r="L70" i="14"/>
  <c r="L72" i="14" s="1"/>
  <c r="H70" i="14"/>
  <c r="M70" i="14"/>
  <c r="R70" i="14"/>
  <c r="J70" i="14"/>
  <c r="N70" i="14"/>
  <c r="AI65" i="14"/>
  <c r="X66" i="14"/>
  <c r="X67" i="14" s="1"/>
  <c r="H237" i="14"/>
  <c r="R276" i="14"/>
  <c r="N276" i="14"/>
  <c r="J276" i="14"/>
  <c r="J283" i="14" s="1"/>
  <c r="S276" i="14"/>
  <c r="O276" i="14"/>
  <c r="K276" i="14"/>
  <c r="P276" i="14"/>
  <c r="H276" i="14"/>
  <c r="Q276" i="14"/>
  <c r="I276" i="14"/>
  <c r="I283" i="14" s="1"/>
  <c r="M276" i="14"/>
  <c r="H287" i="14"/>
  <c r="J349" i="14"/>
  <c r="J355" i="14" s="1"/>
  <c r="R365" i="14"/>
  <c r="N365" i="14"/>
  <c r="J365" i="14"/>
  <c r="S365" i="14"/>
  <c r="O365" i="14"/>
  <c r="K365" i="14"/>
  <c r="M365" i="14"/>
  <c r="P365" i="14"/>
  <c r="H365" i="14"/>
  <c r="U360" i="14"/>
  <c r="L365" i="14"/>
  <c r="Q365" i="14"/>
  <c r="I389" i="14"/>
  <c r="T439" i="14"/>
  <c r="Q456" i="14"/>
  <c r="Q462" i="14" s="1"/>
  <c r="M456" i="14"/>
  <c r="M462" i="14" s="1"/>
  <c r="I456" i="14"/>
  <c r="I462" i="14" s="1"/>
  <c r="R456" i="14"/>
  <c r="R462" i="14" s="1"/>
  <c r="O456" i="14"/>
  <c r="O462" i="14" s="1"/>
  <c r="J456" i="14"/>
  <c r="J462" i="14" s="1"/>
  <c r="F462" i="14" s="1"/>
  <c r="P456" i="14"/>
  <c r="P462" i="14" s="1"/>
  <c r="K456" i="14"/>
  <c r="K462" i="14" s="1"/>
  <c r="H456" i="14"/>
  <c r="L456" i="14"/>
  <c r="L462" i="14" s="1"/>
  <c r="S456" i="14"/>
  <c r="S462" i="14" s="1"/>
  <c r="I505" i="14"/>
  <c r="I506" i="14"/>
  <c r="J500" i="14"/>
  <c r="T485" i="14"/>
  <c r="T500" i="14" s="1"/>
  <c r="J508" i="14"/>
  <c r="I510" i="14"/>
  <c r="V516" i="14"/>
  <c r="V517" i="14" s="1"/>
  <c r="U516" i="14"/>
  <c r="U517" i="14" s="1"/>
  <c r="T587" i="14"/>
  <c r="H595" i="14"/>
  <c r="J615" i="14"/>
  <c r="J617" i="14"/>
  <c r="H63" i="14"/>
  <c r="H64" i="14"/>
  <c r="P63" i="14"/>
  <c r="P64" i="14"/>
  <c r="AF66" i="14"/>
  <c r="AF67" i="14" s="1"/>
  <c r="U230" i="14"/>
  <c r="I304" i="14"/>
  <c r="I350" i="14"/>
  <c r="I356" i="14" s="1"/>
  <c r="J532" i="14"/>
  <c r="R56" i="14"/>
  <c r="R55" i="14"/>
  <c r="K53" i="14"/>
  <c r="H82" i="14"/>
  <c r="H121" i="14"/>
  <c r="P129" i="14"/>
  <c r="V191" i="14"/>
  <c r="U191" i="14"/>
  <c r="P200" i="14"/>
  <c r="AI226" i="14"/>
  <c r="H240" i="14"/>
  <c r="V292" i="14"/>
  <c r="U292" i="14"/>
  <c r="T398" i="14"/>
  <c r="I403" i="14"/>
  <c r="O576" i="14"/>
  <c r="U5" i="14"/>
  <c r="U11" i="14" s="1"/>
  <c r="AC33" i="14"/>
  <c r="I36" i="14"/>
  <c r="R54" i="14"/>
  <c r="J153" i="14"/>
  <c r="J151" i="14"/>
  <c r="AI146" i="14"/>
  <c r="I162" i="14"/>
  <c r="I165" i="14" s="1"/>
  <c r="I166" i="14" s="1"/>
  <c r="L466" i="14"/>
  <c r="L465" i="14"/>
  <c r="P466" i="14"/>
  <c r="P465" i="14"/>
  <c r="T567" i="14"/>
  <c r="H568" i="14"/>
  <c r="T568" i="14" s="1"/>
  <c r="T565" i="14"/>
  <c r="T722" i="14"/>
  <c r="T730" i="14"/>
  <c r="Q749" i="14"/>
  <c r="T1020" i="14"/>
  <c r="T1162" i="14"/>
  <c r="U1162" i="14" s="1"/>
  <c r="V1225" i="14"/>
  <c r="P1230" i="14"/>
  <c r="I37" i="14"/>
  <c r="M37" i="14"/>
  <c r="M41" i="14" s="1"/>
  <c r="Q37" i="14"/>
  <c r="Q41" i="14" s="1"/>
  <c r="J182" i="14"/>
  <c r="T49" i="14"/>
  <c r="T53" i="14" s="1"/>
  <c r="H53" i="14"/>
  <c r="L53" i="14"/>
  <c r="P53" i="14"/>
  <c r="J161" i="14"/>
  <c r="J158" i="14"/>
  <c r="J240" i="14"/>
  <c r="AE230" i="14"/>
  <c r="AA230" i="14"/>
  <c r="W230" i="14"/>
  <c r="AF230" i="14"/>
  <c r="AF231" i="14" s="1"/>
  <c r="AB230" i="14"/>
  <c r="X230" i="14"/>
  <c r="AD230" i="14"/>
  <c r="H288" i="14"/>
  <c r="Q332" i="14"/>
  <c r="S368" i="14"/>
  <c r="S374" i="14" s="1"/>
  <c r="O368" i="14"/>
  <c r="O374" i="14" s="1"/>
  <c r="K368" i="14"/>
  <c r="K374" i="14" s="1"/>
  <c r="P368" i="14"/>
  <c r="P374" i="14" s="1"/>
  <c r="L368" i="14"/>
  <c r="L374" i="14" s="1"/>
  <c r="M368" i="14"/>
  <c r="M374" i="14" s="1"/>
  <c r="H404" i="14"/>
  <c r="J427" i="14"/>
  <c r="T438" i="14"/>
  <c r="T440" i="14" s="1"/>
  <c r="H460" i="14"/>
  <c r="R455" i="14"/>
  <c r="R461" i="14" s="1"/>
  <c r="N455" i="14"/>
  <c r="N461" i="14" s="1"/>
  <c r="J455" i="14"/>
  <c r="J461" i="14" s="1"/>
  <c r="F461" i="14" s="1"/>
  <c r="Q455" i="14"/>
  <c r="Q461" i="14" s="1"/>
  <c r="L455" i="14"/>
  <c r="L461" i="14" s="1"/>
  <c r="S455" i="14"/>
  <c r="S461" i="14" s="1"/>
  <c r="M455" i="14"/>
  <c r="M461" i="14" s="1"/>
  <c r="H455" i="14"/>
  <c r="J499" i="14"/>
  <c r="T484" i="14"/>
  <c r="J486" i="14"/>
  <c r="V623" i="14"/>
  <c r="S704" i="14"/>
  <c r="M704" i="14"/>
  <c r="R1154" i="14"/>
  <c r="AG1136" i="14"/>
  <c r="U1351" i="14"/>
  <c r="V1351" i="14"/>
  <c r="V1353" i="14" s="1"/>
  <c r="AI5" i="14"/>
  <c r="K14" i="14"/>
  <c r="O14" i="14"/>
  <c r="S14" i="14"/>
  <c r="K37" i="14"/>
  <c r="K41" i="14" s="1"/>
  <c r="O37" i="14"/>
  <c r="O41" i="14" s="1"/>
  <c r="S37" i="14"/>
  <c r="S41" i="14" s="1"/>
  <c r="I50" i="14"/>
  <c r="M50" i="14"/>
  <c r="Q50" i="14"/>
  <c r="R71" i="14"/>
  <c r="N71" i="14"/>
  <c r="J71" i="14"/>
  <c r="S71" i="14"/>
  <c r="S72" i="14" s="1"/>
  <c r="O71" i="14"/>
  <c r="K71" i="14"/>
  <c r="I71" i="14"/>
  <c r="Q71" i="14"/>
  <c r="Q72" i="14" s="1"/>
  <c r="T106" i="14"/>
  <c r="V112" i="14"/>
  <c r="V114" i="14" s="1"/>
  <c r="M129" i="14"/>
  <c r="J140" i="14"/>
  <c r="U146" i="14"/>
  <c r="J147" i="14"/>
  <c r="I158" i="14"/>
  <c r="H161" i="14"/>
  <c r="AI168" i="14"/>
  <c r="I174" i="14"/>
  <c r="I178" i="14" s="1"/>
  <c r="J174" i="14"/>
  <c r="J178" i="14" s="1"/>
  <c r="U169" i="14"/>
  <c r="H174" i="14"/>
  <c r="T193" i="14"/>
  <c r="U193" i="14" s="1"/>
  <c r="L202" i="14"/>
  <c r="H218" i="14"/>
  <c r="H220" i="14"/>
  <c r="U209" i="14"/>
  <c r="I248" i="14"/>
  <c r="T248" i="14" s="1"/>
  <c r="T219" i="14"/>
  <c r="Z230" i="14"/>
  <c r="AH230" i="14"/>
  <c r="I236" i="14"/>
  <c r="I243" i="14" s="1"/>
  <c r="V250" i="14"/>
  <c r="V252" i="14"/>
  <c r="S279" i="14"/>
  <c r="S286" i="14" s="1"/>
  <c r="O279" i="14"/>
  <c r="O286" i="14" s="1"/>
  <c r="K279" i="14"/>
  <c r="K286" i="14" s="1"/>
  <c r="P279" i="14"/>
  <c r="P286" i="14" s="1"/>
  <c r="L279" i="14"/>
  <c r="L286" i="14" s="1"/>
  <c r="H279" i="14"/>
  <c r="U270" i="14"/>
  <c r="V270" i="14"/>
  <c r="J279" i="14"/>
  <c r="J286" i="14" s="1"/>
  <c r="R279" i="14"/>
  <c r="R286" i="14" s="1"/>
  <c r="V290" i="14"/>
  <c r="AI310" i="14"/>
  <c r="Q316" i="14"/>
  <c r="S327" i="14"/>
  <c r="O327" i="14"/>
  <c r="O333" i="14" s="1"/>
  <c r="K327" i="14"/>
  <c r="K333" i="14" s="1"/>
  <c r="P327" i="14"/>
  <c r="P333" i="14" s="1"/>
  <c r="L327" i="14"/>
  <c r="L333" i="14" s="1"/>
  <c r="S329" i="14"/>
  <c r="S335" i="14" s="1"/>
  <c r="O329" i="14"/>
  <c r="O335" i="14" s="1"/>
  <c r="K329" i="14"/>
  <c r="K335" i="14" s="1"/>
  <c r="P329" i="14"/>
  <c r="P335" i="14" s="1"/>
  <c r="L329" i="14"/>
  <c r="L335" i="14" s="1"/>
  <c r="H327" i="14"/>
  <c r="Q327" i="14"/>
  <c r="Q333" i="14" s="1"/>
  <c r="H329" i="14"/>
  <c r="Q329" i="14"/>
  <c r="Q335" i="14" s="1"/>
  <c r="H350" i="14"/>
  <c r="T345" i="14"/>
  <c r="H367" i="14"/>
  <c r="T362" i="14"/>
  <c r="H368" i="14"/>
  <c r="I368" i="14"/>
  <c r="I374" i="14" s="1"/>
  <c r="Q368" i="14"/>
  <c r="Q374" i="14" s="1"/>
  <c r="I385" i="14"/>
  <c r="I391" i="14" s="1"/>
  <c r="J385" i="14"/>
  <c r="J391" i="14" s="1"/>
  <c r="U380" i="14"/>
  <c r="U396" i="14"/>
  <c r="J414" i="14"/>
  <c r="T417" i="14"/>
  <c r="T423" i="14" s="1"/>
  <c r="H441" i="14"/>
  <c r="H443" i="14"/>
  <c r="M441" i="14"/>
  <c r="Q441" i="14"/>
  <c r="J444" i="14"/>
  <c r="T444" i="14" s="1"/>
  <c r="T460" i="14" s="1"/>
  <c r="V450" i="14"/>
  <c r="O455" i="14"/>
  <c r="O461" i="14" s="1"/>
  <c r="J582" i="14"/>
  <c r="U538" i="14"/>
  <c r="V538" i="14"/>
  <c r="V539" i="14" s="1"/>
  <c r="J557" i="14"/>
  <c r="S575" i="14"/>
  <c r="H630" i="14"/>
  <c r="T626" i="14"/>
  <c r="T630" i="14" s="1"/>
  <c r="V659" i="14"/>
  <c r="T663" i="14"/>
  <c r="O765" i="14"/>
  <c r="O764" i="14"/>
  <c r="J764" i="14"/>
  <c r="T826" i="14"/>
  <c r="T822" i="14"/>
  <c r="T818" i="14"/>
  <c r="T821" i="14"/>
  <c r="T825" i="14"/>
  <c r="T824" i="14"/>
  <c r="T1048" i="14"/>
  <c r="J1120" i="14"/>
  <c r="I1158" i="14"/>
  <c r="T1129" i="14"/>
  <c r="I1130" i="14"/>
  <c r="J1130" i="14" s="1"/>
  <c r="K1130" i="14" s="1"/>
  <c r="L1130" i="14" s="1"/>
  <c r="M1130" i="14" s="1"/>
  <c r="N1130" i="14" s="1"/>
  <c r="O1130" i="14" s="1"/>
  <c r="P1130" i="14" s="1"/>
  <c r="Q1130" i="14" s="1"/>
  <c r="R1130" i="14" s="1"/>
  <c r="S1130" i="14" s="1"/>
  <c r="H1214" i="14"/>
  <c r="R1215" i="14"/>
  <c r="R1211" i="14"/>
  <c r="R1218" i="14" s="1"/>
  <c r="H1210" i="14"/>
  <c r="W67" i="14"/>
  <c r="AI78" i="14"/>
  <c r="V89" i="14"/>
  <c r="H96" i="14"/>
  <c r="Q129" i="14"/>
  <c r="H150" i="14"/>
  <c r="H147" i="14"/>
  <c r="Q317" i="14"/>
  <c r="Q318" i="14"/>
  <c r="I1452" i="14"/>
  <c r="I419" i="14"/>
  <c r="I425" i="14" s="1"/>
  <c r="J465" i="14"/>
  <c r="F465" i="14" s="1"/>
  <c r="I455" i="14"/>
  <c r="I461" i="14" s="1"/>
  <c r="N1154" i="14"/>
  <c r="AC1136" i="14"/>
  <c r="S1182" i="14"/>
  <c r="O1182" i="14"/>
  <c r="K1182" i="14"/>
  <c r="P1182" i="14"/>
  <c r="L1182" i="14"/>
  <c r="Q1182" i="14"/>
  <c r="R1182" i="14"/>
  <c r="J1182" i="14"/>
  <c r="M1182" i="14"/>
  <c r="N1182" i="14"/>
  <c r="U1463" i="14"/>
  <c r="V1463" i="14"/>
  <c r="W1463" i="14"/>
  <c r="U1469" i="14"/>
  <c r="V1469" i="14"/>
  <c r="J14" i="14"/>
  <c r="N14" i="14"/>
  <c r="T16" i="14"/>
  <c r="I25" i="14"/>
  <c r="J37" i="14"/>
  <c r="J41" i="14" s="1"/>
  <c r="F41" i="14" s="1"/>
  <c r="N37" i="14"/>
  <c r="N41" i="14" s="1"/>
  <c r="H50" i="14"/>
  <c r="H51" i="14" s="1"/>
  <c r="L50" i="14"/>
  <c r="L54" i="14" s="1"/>
  <c r="H71" i="14"/>
  <c r="P71" i="14"/>
  <c r="T84" i="14"/>
  <c r="T95" i="14"/>
  <c r="AI100" i="14"/>
  <c r="L129" i="14"/>
  <c r="I147" i="14"/>
  <c r="I150" i="14"/>
  <c r="AI157" i="14"/>
  <c r="H158" i="14"/>
  <c r="I173" i="14"/>
  <c r="J173" i="14"/>
  <c r="Q202" i="14"/>
  <c r="AI227" i="14"/>
  <c r="AJ227" i="14" s="1"/>
  <c r="Y230" i="14"/>
  <c r="AG230" i="14"/>
  <c r="H241" i="14"/>
  <c r="H236" i="14"/>
  <c r="U251" i="14"/>
  <c r="Q261" i="14"/>
  <c r="U266" i="14"/>
  <c r="R280" i="14"/>
  <c r="R287" i="14" s="1"/>
  <c r="N280" i="14"/>
  <c r="N287" i="14" s="1"/>
  <c r="J280" i="14"/>
  <c r="J287" i="14" s="1"/>
  <c r="S280" i="14"/>
  <c r="S287" i="14" s="1"/>
  <c r="O280" i="14"/>
  <c r="O287" i="14" s="1"/>
  <c r="K280" i="14"/>
  <c r="K287" i="14" s="1"/>
  <c r="L280" i="14"/>
  <c r="L287" i="14" s="1"/>
  <c r="U291" i="14"/>
  <c r="I309" i="14"/>
  <c r="T302" i="14"/>
  <c r="M303" i="14"/>
  <c r="U310" i="14"/>
  <c r="R316" i="14"/>
  <c r="R314" i="14"/>
  <c r="S328" i="14"/>
  <c r="S334" i="14" s="1"/>
  <c r="O328" i="14"/>
  <c r="O334" i="14" s="1"/>
  <c r="K328" i="14"/>
  <c r="K334" i="14" s="1"/>
  <c r="P328" i="14"/>
  <c r="P334" i="14" s="1"/>
  <c r="L328" i="14"/>
  <c r="L334" i="14" s="1"/>
  <c r="U321" i="14"/>
  <c r="U322" i="14"/>
  <c r="N327" i="14"/>
  <c r="N333" i="14" s="1"/>
  <c r="I328" i="14"/>
  <c r="I334" i="14" s="1"/>
  <c r="R328" i="14"/>
  <c r="R334" i="14" s="1"/>
  <c r="N329" i="14"/>
  <c r="N335" i="14" s="1"/>
  <c r="T346" i="14"/>
  <c r="I351" i="14"/>
  <c r="I357" i="14" s="1"/>
  <c r="V363" i="14"/>
  <c r="N368" i="14"/>
  <c r="N374" i="14" s="1"/>
  <c r="T405" i="14"/>
  <c r="F405" i="14"/>
  <c r="H406" i="14"/>
  <c r="I418" i="14"/>
  <c r="T413" i="14"/>
  <c r="H419" i="14"/>
  <c r="K455" i="14"/>
  <c r="K461" i="14" s="1"/>
  <c r="H505" i="14"/>
  <c r="H506" i="14"/>
  <c r="I511" i="14"/>
  <c r="I582" i="14"/>
  <c r="J625" i="14"/>
  <c r="I625" i="14"/>
  <c r="H625" i="14"/>
  <c r="U621" i="14"/>
  <c r="I637" i="14"/>
  <c r="H637" i="14"/>
  <c r="U633" i="14"/>
  <c r="J642" i="14"/>
  <c r="T638" i="14"/>
  <c r="T642" i="14" s="1"/>
  <c r="I653" i="14"/>
  <c r="I651" i="14"/>
  <c r="H749" i="14"/>
  <c r="T947" i="14"/>
  <c r="T943" i="14"/>
  <c r="T946" i="14"/>
  <c r="T942" i="14"/>
  <c r="T941" i="14"/>
  <c r="T949" i="14"/>
  <c r="U1132" i="14"/>
  <c r="U1139" i="14" s="1"/>
  <c r="AC1133" i="14"/>
  <c r="N1151" i="14"/>
  <c r="N1139" i="14"/>
  <c r="N1157" i="14" s="1"/>
  <c r="AG1133" i="14"/>
  <c r="R1151" i="14"/>
  <c r="AB1135" i="14"/>
  <c r="M1153" i="14"/>
  <c r="M1139" i="14"/>
  <c r="V1175" i="14"/>
  <c r="U1175" i="14"/>
  <c r="T1178" i="14"/>
  <c r="H1395" i="14"/>
  <c r="T1276" i="14"/>
  <c r="H1348" i="14"/>
  <c r="J1330" i="14"/>
  <c r="J1328" i="14"/>
  <c r="I1332" i="14"/>
  <c r="I1333" i="14"/>
  <c r="J93" i="14"/>
  <c r="N93" i="14"/>
  <c r="N96" i="14" s="1"/>
  <c r="R93" i="14"/>
  <c r="R96" i="14" s="1"/>
  <c r="J104" i="14"/>
  <c r="N104" i="14"/>
  <c r="N107" i="14" s="1"/>
  <c r="R104" i="14"/>
  <c r="R107" i="14" s="1"/>
  <c r="K114" i="14"/>
  <c r="O114" i="14"/>
  <c r="S114" i="14"/>
  <c r="K123" i="14"/>
  <c r="O123" i="14"/>
  <c r="S123" i="14"/>
  <c r="K124" i="14"/>
  <c r="K130" i="14" s="1"/>
  <c r="O124" i="14"/>
  <c r="O130" i="14" s="1"/>
  <c r="S124" i="14"/>
  <c r="S130" i="14" s="1"/>
  <c r="K197" i="14"/>
  <c r="O197" i="14"/>
  <c r="S197" i="14"/>
  <c r="J198" i="14"/>
  <c r="J203" i="14" s="1"/>
  <c r="N198" i="14"/>
  <c r="N203" i="14" s="1"/>
  <c r="R198" i="14"/>
  <c r="R203" i="14" s="1"/>
  <c r="M199" i="14"/>
  <c r="M204" i="14" s="1"/>
  <c r="Q199" i="14"/>
  <c r="Q204" i="14" s="1"/>
  <c r="I214" i="14"/>
  <c r="I215" i="14"/>
  <c r="I221" i="14" s="1"/>
  <c r="I216" i="14"/>
  <c r="I222" i="14" s="1"/>
  <c r="W228" i="14"/>
  <c r="AA228" i="14"/>
  <c r="AA231" i="14" s="1"/>
  <c r="AE228" i="14"/>
  <c r="K256" i="14"/>
  <c r="O256" i="14"/>
  <c r="S256" i="14"/>
  <c r="J257" i="14"/>
  <c r="J262" i="14" s="1"/>
  <c r="N257" i="14"/>
  <c r="N262" i="14" s="1"/>
  <c r="R257" i="14"/>
  <c r="R262" i="14" s="1"/>
  <c r="I258" i="14"/>
  <c r="I263" i="14" s="1"/>
  <c r="M258" i="14"/>
  <c r="M263" i="14" s="1"/>
  <c r="Q258" i="14"/>
  <c r="Q263" i="14" s="1"/>
  <c r="H265" i="14"/>
  <c r="J277" i="14"/>
  <c r="J284" i="14" s="1"/>
  <c r="N277" i="14"/>
  <c r="N284" i="14" s="1"/>
  <c r="R277" i="14"/>
  <c r="R284" i="14" s="1"/>
  <c r="I278" i="14"/>
  <c r="I285" i="14" s="1"/>
  <c r="M278" i="14"/>
  <c r="M285" i="14" s="1"/>
  <c r="Q278" i="14"/>
  <c r="Q285" i="14" s="1"/>
  <c r="H296" i="14"/>
  <c r="L296" i="14"/>
  <c r="P296" i="14"/>
  <c r="K297" i="14"/>
  <c r="K304" i="14" s="1"/>
  <c r="O297" i="14"/>
  <c r="O304" i="14" s="1"/>
  <c r="S297" i="14"/>
  <c r="S304" i="14" s="1"/>
  <c r="J298" i="14"/>
  <c r="J305" i="14" s="1"/>
  <c r="N298" i="14"/>
  <c r="N305" i="14" s="1"/>
  <c r="R298" i="14"/>
  <c r="R305" i="14" s="1"/>
  <c r="H300" i="14"/>
  <c r="L300" i="14"/>
  <c r="L307" i="14" s="1"/>
  <c r="P300" i="14"/>
  <c r="P307" i="14" s="1"/>
  <c r="H313" i="14"/>
  <c r="L313" i="14"/>
  <c r="P313" i="14"/>
  <c r="L326" i="14"/>
  <c r="P326" i="14"/>
  <c r="I1459" i="14"/>
  <c r="J383" i="14"/>
  <c r="J386" i="14"/>
  <c r="J392" i="14" s="1"/>
  <c r="I400" i="14"/>
  <c r="I401" i="14"/>
  <c r="I407" i="14" s="1"/>
  <c r="I402" i="14"/>
  <c r="U448" i="14"/>
  <c r="P457" i="14"/>
  <c r="P463" i="14" s="1"/>
  <c r="L457" i="14"/>
  <c r="L463" i="14" s="1"/>
  <c r="H457" i="14"/>
  <c r="Q457" i="14"/>
  <c r="Q463" i="14" s="1"/>
  <c r="M457" i="14"/>
  <c r="M463" i="14" s="1"/>
  <c r="I457" i="14"/>
  <c r="I463" i="14" s="1"/>
  <c r="K457" i="14"/>
  <c r="K463" i="14" s="1"/>
  <c r="S457" i="14"/>
  <c r="S463" i="14" s="1"/>
  <c r="R496" i="14"/>
  <c r="R502" i="14" s="1"/>
  <c r="N496" i="14"/>
  <c r="N502" i="14" s="1"/>
  <c r="S496" i="14"/>
  <c r="S502" i="14" s="1"/>
  <c r="O496" i="14"/>
  <c r="O502" i="14" s="1"/>
  <c r="K496" i="14"/>
  <c r="K502" i="14" s="1"/>
  <c r="H489" i="14"/>
  <c r="P497" i="14"/>
  <c r="P503" i="14" s="1"/>
  <c r="L497" i="14"/>
  <c r="L503" i="14" s="1"/>
  <c r="H490" i="14"/>
  <c r="Q497" i="14"/>
  <c r="Q503" i="14" s="1"/>
  <c r="M497" i="14"/>
  <c r="M503" i="14" s="1"/>
  <c r="I490" i="14"/>
  <c r="I497" i="14" s="1"/>
  <c r="I503" i="14" s="1"/>
  <c r="M496" i="14"/>
  <c r="M502" i="14" s="1"/>
  <c r="E497" i="14"/>
  <c r="O497" i="14"/>
  <c r="O503" i="14" s="1"/>
  <c r="L505" i="14"/>
  <c r="L506" i="14"/>
  <c r="P505" i="14"/>
  <c r="P506" i="14"/>
  <c r="K505" i="14"/>
  <c r="U527" i="14"/>
  <c r="V527" i="14"/>
  <c r="V528" i="14" s="1"/>
  <c r="H553" i="14"/>
  <c r="H555" i="14"/>
  <c r="T554" i="14"/>
  <c r="J599" i="14"/>
  <c r="V609" i="14"/>
  <c r="V610" i="14" s="1"/>
  <c r="H686" i="14"/>
  <c r="V694" i="14"/>
  <c r="L704" i="14"/>
  <c r="M749" i="14"/>
  <c r="J734" i="14"/>
  <c r="J735" i="14"/>
  <c r="N734" i="14"/>
  <c r="N735" i="14"/>
  <c r="R734" i="14"/>
  <c r="R735" i="14"/>
  <c r="U1107" i="14"/>
  <c r="U1108" i="14" s="1"/>
  <c r="T860" i="14"/>
  <c r="K1139" i="14"/>
  <c r="K1140" i="14" s="1"/>
  <c r="L1140" i="14" s="1"/>
  <c r="O1139" i="14"/>
  <c r="O1157" i="14" s="1"/>
  <c r="S1139" i="14"/>
  <c r="S1157" i="14" s="1"/>
  <c r="AA1135" i="14"/>
  <c r="L1153" i="14"/>
  <c r="M1154" i="14"/>
  <c r="AB1136" i="14"/>
  <c r="Q1154" i="14"/>
  <c r="AF1136" i="14"/>
  <c r="L1156" i="14"/>
  <c r="AA1138" i="14"/>
  <c r="P1156" i="14"/>
  <c r="AE1138" i="14"/>
  <c r="K1234" i="14"/>
  <c r="K1237" i="14" s="1"/>
  <c r="N1231" i="14"/>
  <c r="N1238" i="14" s="1"/>
  <c r="J1347" i="14"/>
  <c r="J1280" i="14"/>
  <c r="J1279" i="14"/>
  <c r="H1303" i="14"/>
  <c r="T1299" i="14"/>
  <c r="T1303" i="14" s="1"/>
  <c r="H1301" i="14"/>
  <c r="I93" i="14"/>
  <c r="M93" i="14"/>
  <c r="M96" i="14" s="1"/>
  <c r="I104" i="14"/>
  <c r="M104" i="14"/>
  <c r="M107" i="14" s="1"/>
  <c r="J114" i="14"/>
  <c r="N114" i="14"/>
  <c r="R114" i="14"/>
  <c r="J123" i="14"/>
  <c r="N123" i="14"/>
  <c r="J124" i="14"/>
  <c r="N124" i="14"/>
  <c r="N130" i="14" s="1"/>
  <c r="J197" i="14"/>
  <c r="N197" i="14"/>
  <c r="I198" i="14"/>
  <c r="I203" i="14" s="1"/>
  <c r="M198" i="14"/>
  <c r="M203" i="14" s="1"/>
  <c r="H199" i="14"/>
  <c r="L199" i="14"/>
  <c r="L204" i="14" s="1"/>
  <c r="V228" i="14"/>
  <c r="Z228" i="14"/>
  <c r="AD228" i="14"/>
  <c r="J256" i="14"/>
  <c r="N256" i="14"/>
  <c r="I257" i="14"/>
  <c r="I262" i="14" s="1"/>
  <c r="M257" i="14"/>
  <c r="M262" i="14" s="1"/>
  <c r="H258" i="14"/>
  <c r="L258" i="14"/>
  <c r="L263" i="14" s="1"/>
  <c r="I277" i="14"/>
  <c r="I284" i="14" s="1"/>
  <c r="M277" i="14"/>
  <c r="M284" i="14" s="1"/>
  <c r="H278" i="14"/>
  <c r="L278" i="14"/>
  <c r="L285" i="14" s="1"/>
  <c r="K296" i="14"/>
  <c r="O296" i="14"/>
  <c r="J297" i="14"/>
  <c r="J304" i="14" s="1"/>
  <c r="N297" i="14"/>
  <c r="N304" i="14" s="1"/>
  <c r="I298" i="14"/>
  <c r="M298" i="14"/>
  <c r="M305" i="14" s="1"/>
  <c r="T299" i="14"/>
  <c r="T306" i="14" s="1"/>
  <c r="K300" i="14"/>
  <c r="K307" i="14" s="1"/>
  <c r="O300" i="14"/>
  <c r="O307" i="14" s="1"/>
  <c r="K313" i="14"/>
  <c r="O313" i="14"/>
  <c r="K326" i="14"/>
  <c r="O326" i="14"/>
  <c r="H1459" i="14"/>
  <c r="U449" i="14"/>
  <c r="S458" i="14"/>
  <c r="S464" i="14" s="1"/>
  <c r="O458" i="14"/>
  <c r="O464" i="14" s="1"/>
  <c r="K458" i="14"/>
  <c r="K464" i="14" s="1"/>
  <c r="P458" i="14"/>
  <c r="P464" i="14" s="1"/>
  <c r="L458" i="14"/>
  <c r="L464" i="14" s="1"/>
  <c r="H458" i="14"/>
  <c r="U451" i="14"/>
  <c r="M458" i="14"/>
  <c r="M464" i="14" s="1"/>
  <c r="M465" i="14"/>
  <c r="M466" i="14"/>
  <c r="Q465" i="14"/>
  <c r="Q466" i="14"/>
  <c r="O505" i="14"/>
  <c r="H521" i="14"/>
  <c r="H523" i="14"/>
  <c r="H543" i="14"/>
  <c r="H545" i="14"/>
  <c r="T544" i="14"/>
  <c r="U559" i="14"/>
  <c r="V559" i="14"/>
  <c r="V562" i="14" s="1"/>
  <c r="S571" i="14"/>
  <c r="S577" i="14" s="1"/>
  <c r="O571" i="14"/>
  <c r="O577" i="14" s="1"/>
  <c r="K571" i="14"/>
  <c r="K577" i="14" s="1"/>
  <c r="P571" i="14"/>
  <c r="L571" i="14"/>
  <c r="L577" i="14" s="1"/>
  <c r="H571" i="14"/>
  <c r="U561" i="14"/>
  <c r="O575" i="14"/>
  <c r="M571" i="14"/>
  <c r="M577" i="14" s="1"/>
  <c r="I599" i="14"/>
  <c r="I601" i="14"/>
  <c r="I665" i="14"/>
  <c r="V679" i="14"/>
  <c r="V680" i="14" s="1"/>
  <c r="U679" i="14"/>
  <c r="H690" i="14"/>
  <c r="H430" i="14" s="1"/>
  <c r="S750" i="14"/>
  <c r="L764" i="14"/>
  <c r="S749" i="14"/>
  <c r="T766" i="14"/>
  <c r="T992" i="14"/>
  <c r="T1151" i="14"/>
  <c r="T1143" i="14"/>
  <c r="T1155" i="14"/>
  <c r="T1147" i="14"/>
  <c r="Z1137" i="14"/>
  <c r="K1155" i="14"/>
  <c r="AH1137" i="14"/>
  <c r="S1155" i="14"/>
  <c r="K1156" i="14"/>
  <c r="Z1138" i="14"/>
  <c r="O1156" i="14"/>
  <c r="AD1138" i="14"/>
  <c r="S1156" i="14"/>
  <c r="AH1138" i="14"/>
  <c r="O1155" i="14"/>
  <c r="V1205" i="14"/>
  <c r="S1253" i="14"/>
  <c r="S1257" i="14"/>
  <c r="I486" i="14"/>
  <c r="I491" i="14"/>
  <c r="I498" i="14" s="1"/>
  <c r="I504" i="14" s="1"/>
  <c r="E498" i="14"/>
  <c r="K498" i="14"/>
  <c r="K504" i="14" s="1"/>
  <c r="O498" i="14"/>
  <c r="O504" i="14" s="1"/>
  <c r="S498" i="14"/>
  <c r="S504" i="14" s="1"/>
  <c r="I531" i="14"/>
  <c r="I542" i="14"/>
  <c r="I552" i="14"/>
  <c r="U560" i="14"/>
  <c r="J569" i="14"/>
  <c r="N569" i="14"/>
  <c r="R569" i="14"/>
  <c r="I570" i="14"/>
  <c r="I576" i="14" s="1"/>
  <c r="M570" i="14"/>
  <c r="M576" i="14" s="1"/>
  <c r="Q570" i="14"/>
  <c r="Q576" i="14" s="1"/>
  <c r="H582" i="14"/>
  <c r="T582" i="14" s="1"/>
  <c r="U646" i="14"/>
  <c r="T674" i="14"/>
  <c r="I684" i="14"/>
  <c r="I686" i="14"/>
  <c r="S702" i="14"/>
  <c r="S707" i="14" s="1"/>
  <c r="O702" i="14"/>
  <c r="O707" i="14" s="1"/>
  <c r="K702" i="14"/>
  <c r="K707" i="14" s="1"/>
  <c r="P702" i="14"/>
  <c r="P707" i="14" s="1"/>
  <c r="L702" i="14"/>
  <c r="L707" i="14" s="1"/>
  <c r="H702" i="14"/>
  <c r="I702" i="14"/>
  <c r="I707" i="14" s="1"/>
  <c r="Q702" i="14"/>
  <c r="Q707" i="14" s="1"/>
  <c r="V724" i="14"/>
  <c r="H734" i="14"/>
  <c r="U740" i="14"/>
  <c r="T819" i="14"/>
  <c r="T823" i="14"/>
  <c r="T827" i="14"/>
  <c r="T994" i="14"/>
  <c r="T1006" i="14"/>
  <c r="T1022" i="14"/>
  <c r="T1034" i="14"/>
  <c r="T1050" i="14"/>
  <c r="T1142" i="14"/>
  <c r="T1146" i="14"/>
  <c r="M1157" i="14"/>
  <c r="N1150" i="14"/>
  <c r="AC1132" i="14"/>
  <c r="R1150" i="14"/>
  <c r="AG1132" i="14"/>
  <c r="L1152" i="14"/>
  <c r="AA1134" i="14"/>
  <c r="P1152" i="14"/>
  <c r="AE1134" i="14"/>
  <c r="R1139" i="14"/>
  <c r="R1157" i="14" s="1"/>
  <c r="T1150" i="14"/>
  <c r="T1154" i="14"/>
  <c r="H1180" i="14"/>
  <c r="T1174" i="14"/>
  <c r="H1230" i="14"/>
  <c r="P1251" i="14"/>
  <c r="L1251" i="14"/>
  <c r="H1251" i="14"/>
  <c r="Q1250" i="14"/>
  <c r="M1250" i="14"/>
  <c r="I1250" i="14"/>
  <c r="Q1251" i="14"/>
  <c r="M1251" i="14"/>
  <c r="I1251" i="14"/>
  <c r="R1250" i="14"/>
  <c r="N1250" i="14"/>
  <c r="J1250" i="14"/>
  <c r="R1251" i="14"/>
  <c r="J1251" i="14"/>
  <c r="O1250" i="14"/>
  <c r="S1251" i="14"/>
  <c r="K1251" i="14"/>
  <c r="P1250" i="14"/>
  <c r="H1250" i="14"/>
  <c r="N1251" i="14"/>
  <c r="K1250" i="14"/>
  <c r="O1251" i="14"/>
  <c r="L1250" i="14"/>
  <c r="V1284" i="14"/>
  <c r="T1286" i="14"/>
  <c r="T1290" i="14" s="1"/>
  <c r="J1288" i="14"/>
  <c r="T1312" i="14"/>
  <c r="T1316" i="14" s="1"/>
  <c r="H1316" i="14"/>
  <c r="H1314" i="14"/>
  <c r="H1394" i="14" s="1"/>
  <c r="I1317" i="14"/>
  <c r="I1314" i="14"/>
  <c r="H1406" i="14"/>
  <c r="P1408" i="14"/>
  <c r="O1413" i="14"/>
  <c r="K1413" i="14"/>
  <c r="P1413" i="14"/>
  <c r="P1416" i="14" s="1"/>
  <c r="P1421" i="14" s="1"/>
  <c r="L1413" i="14"/>
  <c r="L1416" i="14" s="1"/>
  <c r="L1421" i="14" s="1"/>
  <c r="H1413" i="14"/>
  <c r="H1417" i="14" s="1"/>
  <c r="Q1413" i="14"/>
  <c r="Q1416" i="14" s="1"/>
  <c r="Q1421" i="14" s="1"/>
  <c r="I1413" i="14"/>
  <c r="I1416" i="14" s="1"/>
  <c r="I1421" i="14" s="1"/>
  <c r="J1413" i="14"/>
  <c r="J1416" i="14" s="1"/>
  <c r="M1413" i="14"/>
  <c r="M1416" i="14" s="1"/>
  <c r="M1421" i="14" s="1"/>
  <c r="N1413" i="14"/>
  <c r="H491" i="14"/>
  <c r="H1455" i="14" s="1"/>
  <c r="K495" i="14"/>
  <c r="K501" i="14" s="1"/>
  <c r="O495" i="14"/>
  <c r="O501" i="14" s="1"/>
  <c r="N498" i="14"/>
  <c r="N504" i="14" s="1"/>
  <c r="I569" i="14"/>
  <c r="M569" i="14"/>
  <c r="H570" i="14"/>
  <c r="L570" i="14"/>
  <c r="L576" i="14" s="1"/>
  <c r="V668" i="14"/>
  <c r="V669" i="14" s="1"/>
  <c r="N691" i="14"/>
  <c r="I690" i="14"/>
  <c r="I430" i="14" s="1"/>
  <c r="P701" i="14"/>
  <c r="L701" i="14"/>
  <c r="L706" i="14" s="1"/>
  <c r="H701" i="14"/>
  <c r="Q701" i="14"/>
  <c r="Q706" i="14" s="1"/>
  <c r="M701" i="14"/>
  <c r="M706" i="14" s="1"/>
  <c r="I701" i="14"/>
  <c r="I706" i="14" s="1"/>
  <c r="U695" i="14"/>
  <c r="U696" i="14"/>
  <c r="K701" i="14"/>
  <c r="K706" i="14" s="1"/>
  <c r="S701" i="14"/>
  <c r="S706" i="14" s="1"/>
  <c r="N702" i="14"/>
  <c r="N707" i="14" s="1"/>
  <c r="M734" i="14"/>
  <c r="T1119" i="14"/>
  <c r="P1157" i="14"/>
  <c r="H1158" i="14"/>
  <c r="M1150" i="14"/>
  <c r="AB1132" i="14"/>
  <c r="Q1150" i="14"/>
  <c r="AF1132" i="14"/>
  <c r="K1152" i="14"/>
  <c r="Z1134" i="14"/>
  <c r="O1152" i="14"/>
  <c r="AD1134" i="14"/>
  <c r="S1152" i="14"/>
  <c r="AH1134" i="14"/>
  <c r="Q1139" i="14"/>
  <c r="Q1157" i="14" s="1"/>
  <c r="R1155" i="14"/>
  <c r="H1160" i="14"/>
  <c r="H1182" i="14" s="1"/>
  <c r="I1160" i="14"/>
  <c r="I1182" i="14" s="1"/>
  <c r="T1184" i="14"/>
  <c r="T1192" i="14" s="1"/>
  <c r="S1234" i="14"/>
  <c r="S1237" i="14" s="1"/>
  <c r="S1252" i="14"/>
  <c r="S1259" i="14" s="1"/>
  <c r="O1252" i="14"/>
  <c r="O1259" i="14" s="1"/>
  <c r="K1252" i="14"/>
  <c r="K1259" i="14" s="1"/>
  <c r="P1252" i="14"/>
  <c r="P1259" i="14" s="1"/>
  <c r="L1252" i="14"/>
  <c r="L1259" i="14" s="1"/>
  <c r="H1252" i="14"/>
  <c r="M1252" i="14"/>
  <c r="M1259" i="14" s="1"/>
  <c r="N1252" i="14"/>
  <c r="N1259" i="14" s="1"/>
  <c r="Q1252" i="14"/>
  <c r="Q1259" i="14" s="1"/>
  <c r="R1252" i="14"/>
  <c r="R1259" i="14" s="1"/>
  <c r="I1252" i="14"/>
  <c r="I1259" i="14" s="1"/>
  <c r="H1317" i="14"/>
  <c r="T1313" i="14"/>
  <c r="T1317" i="14" s="1"/>
  <c r="H1345" i="14"/>
  <c r="H1346" i="14"/>
  <c r="I1344" i="14"/>
  <c r="T1340" i="14"/>
  <c r="T1344" i="14" s="1"/>
  <c r="I1417" i="14"/>
  <c r="T1415" i="14"/>
  <c r="I1420" i="14"/>
  <c r="M1417" i="14"/>
  <c r="M1420" i="14"/>
  <c r="Q1420" i="14"/>
  <c r="U1440" i="14"/>
  <c r="V1440" i="14"/>
  <c r="J683" i="14"/>
  <c r="K699" i="14"/>
  <c r="O699" i="14"/>
  <c r="J700" i="14"/>
  <c r="N700" i="14"/>
  <c r="N705" i="14" s="1"/>
  <c r="J728" i="14"/>
  <c r="N728" i="14"/>
  <c r="N732" i="14" s="1"/>
  <c r="N745" i="14" s="1"/>
  <c r="R728" i="14"/>
  <c r="R732" i="14" s="1"/>
  <c r="R745" i="14" s="1"/>
  <c r="I729" i="14"/>
  <c r="I733" i="14" s="1"/>
  <c r="I746" i="14" s="1"/>
  <c r="I750" i="14" s="1"/>
  <c r="M729" i="14"/>
  <c r="M733" i="14" s="1"/>
  <c r="M746" i="14" s="1"/>
  <c r="Q729" i="14"/>
  <c r="Q733" i="14" s="1"/>
  <c r="Q746" i="14" s="1"/>
  <c r="Q750" i="14" s="1"/>
  <c r="I743" i="14"/>
  <c r="I747" i="14" s="1"/>
  <c r="I760" i="14" s="1"/>
  <c r="M743" i="14"/>
  <c r="M747" i="14" s="1"/>
  <c r="M760" i="14" s="1"/>
  <c r="Q743" i="14"/>
  <c r="Q747" i="14" s="1"/>
  <c r="Q760" i="14" s="1"/>
  <c r="H744" i="14"/>
  <c r="L744" i="14"/>
  <c r="L748" i="14" s="1"/>
  <c r="L761" i="14" s="1"/>
  <c r="L765" i="14" s="1"/>
  <c r="P744" i="14"/>
  <c r="P748" i="14" s="1"/>
  <c r="P761" i="14" s="1"/>
  <c r="H758" i="14"/>
  <c r="L758" i="14"/>
  <c r="L762" i="14" s="1"/>
  <c r="K759" i="14"/>
  <c r="K763" i="14" s="1"/>
  <c r="O759" i="14"/>
  <c r="O763" i="14" s="1"/>
  <c r="S759" i="14"/>
  <c r="S763" i="14" s="1"/>
  <c r="T1185" i="14"/>
  <c r="T1193" i="14" s="1"/>
  <c r="P1208" i="14"/>
  <c r="L1208" i="14"/>
  <c r="H1208" i="14"/>
  <c r="Q1207" i="14"/>
  <c r="M1207" i="14"/>
  <c r="I1207" i="14"/>
  <c r="Q1208" i="14"/>
  <c r="M1208" i="14"/>
  <c r="I1208" i="14"/>
  <c r="R1207" i="14"/>
  <c r="N1207" i="14"/>
  <c r="J1207" i="14"/>
  <c r="L1207" i="14"/>
  <c r="O1208" i="14"/>
  <c r="J1209" i="14"/>
  <c r="J1216" i="14" s="1"/>
  <c r="O1227" i="14"/>
  <c r="J1228" i="14"/>
  <c r="I1292" i="14"/>
  <c r="I1293" i="14"/>
  <c r="J1291" i="14"/>
  <c r="T1287" i="14"/>
  <c r="T1291" i="14" s="1"/>
  <c r="J1395" i="14"/>
  <c r="H1304" i="14"/>
  <c r="T1300" i="14"/>
  <c r="T1304" i="14" s="1"/>
  <c r="U1308" i="14"/>
  <c r="U1309" i="14" s="1"/>
  <c r="V1308" i="14"/>
  <c r="V1309" i="14" s="1"/>
  <c r="T1326" i="14"/>
  <c r="T1330" i="14" s="1"/>
  <c r="I1330" i="14"/>
  <c r="J1360" i="14"/>
  <c r="J1358" i="14"/>
  <c r="H1390" i="14"/>
  <c r="H1362" i="14"/>
  <c r="H1363" i="14"/>
  <c r="H1376" i="14"/>
  <c r="T1371" i="14"/>
  <c r="I1375" i="14"/>
  <c r="I1376" i="14"/>
  <c r="H1375" i="14"/>
  <c r="H1387" i="14"/>
  <c r="T1383" i="14"/>
  <c r="T1387" i="14" s="1"/>
  <c r="J1388" i="14"/>
  <c r="J1389" i="14"/>
  <c r="I731" i="14"/>
  <c r="I735" i="14" s="1"/>
  <c r="S1209" i="14"/>
  <c r="S1216" i="14" s="1"/>
  <c r="O1209" i="14"/>
  <c r="O1216" i="14" s="1"/>
  <c r="K1209" i="14"/>
  <c r="P1209" i="14"/>
  <c r="P1216" i="14" s="1"/>
  <c r="L1209" i="14"/>
  <c r="L1216" i="14" s="1"/>
  <c r="H1209" i="14"/>
  <c r="I1209" i="14"/>
  <c r="I1216" i="14" s="1"/>
  <c r="Q1209" i="14"/>
  <c r="Q1216" i="14" s="1"/>
  <c r="P1228" i="14"/>
  <c r="L1228" i="14"/>
  <c r="H1228" i="14"/>
  <c r="Q1227" i="14"/>
  <c r="M1227" i="14"/>
  <c r="I1227" i="14"/>
  <c r="Q1228" i="14"/>
  <c r="M1228" i="14"/>
  <c r="I1228" i="14"/>
  <c r="R1227" i="14"/>
  <c r="N1227" i="14"/>
  <c r="J1227" i="14"/>
  <c r="L1227" i="14"/>
  <c r="O1228" i="14"/>
  <c r="H1279" i="14"/>
  <c r="H1280" i="14"/>
  <c r="H1347" i="14"/>
  <c r="I1278" i="14"/>
  <c r="T1274" i="14"/>
  <c r="T1278" i="14" s="1"/>
  <c r="V1384" i="14"/>
  <c r="V1380" i="14"/>
  <c r="H1389" i="14"/>
  <c r="T1384" i="14"/>
  <c r="H1388" i="14"/>
  <c r="R1435" i="14"/>
  <c r="J1435" i="14"/>
  <c r="V1441" i="14"/>
  <c r="U1441" i="14"/>
  <c r="K1183" i="14"/>
  <c r="O1183" i="14"/>
  <c r="H1229" i="14"/>
  <c r="L1229" i="14"/>
  <c r="L1236" i="14" s="1"/>
  <c r="U1243" i="14"/>
  <c r="U1247" i="14" s="1"/>
  <c r="I1275" i="14"/>
  <c r="J1348" i="14"/>
  <c r="H1292" i="14"/>
  <c r="H1332" i="14"/>
  <c r="T1328" i="14"/>
  <c r="H1333" i="14"/>
  <c r="I1331" i="14"/>
  <c r="T1327" i="14"/>
  <c r="T1331" i="14" s="1"/>
  <c r="T1329" i="14"/>
  <c r="U1334" i="14"/>
  <c r="U1336" i="14" s="1"/>
  <c r="J1343" i="14"/>
  <c r="I1341" i="14"/>
  <c r="T1341" i="14" s="1"/>
  <c r="I1360" i="14"/>
  <c r="I1358" i="14"/>
  <c r="L1417" i="14"/>
  <c r="P1417" i="14"/>
  <c r="V1435" i="14"/>
  <c r="U1435" i="14"/>
  <c r="M1445" i="14"/>
  <c r="M1435" i="14"/>
  <c r="V1270" i="14"/>
  <c r="I1395" i="14"/>
  <c r="I1348" i="14"/>
  <c r="V1296" i="14"/>
  <c r="J1305" i="14"/>
  <c r="J1306" i="14"/>
  <c r="U1321" i="14"/>
  <c r="U1323" i="14" s="1"/>
  <c r="V1321" i="14"/>
  <c r="V1323" i="14" s="1"/>
  <c r="V1337" i="14"/>
  <c r="L1349" i="14"/>
  <c r="P1349" i="14"/>
  <c r="V1364" i="14"/>
  <c r="V1366" i="14" s="1"/>
  <c r="U1364" i="14"/>
  <c r="U1366" i="14" s="1"/>
  <c r="H1386" i="14"/>
  <c r="T1382" i="14"/>
  <c r="T1386" i="14" s="1"/>
  <c r="U1410" i="14"/>
  <c r="U1412" i="14" s="1"/>
  <c r="V1410" i="14"/>
  <c r="V1412" i="14" s="1"/>
  <c r="U1453" i="14"/>
  <c r="V1453" i="14"/>
  <c r="W1453" i="14"/>
  <c r="V1465" i="14"/>
  <c r="W1465" i="14"/>
  <c r="U1465" i="14"/>
  <c r="V1467" i="14"/>
  <c r="U1467" i="14"/>
  <c r="H1290" i="14"/>
  <c r="I1303" i="14"/>
  <c r="J1316" i="14"/>
  <c r="U1352" i="14"/>
  <c r="T1356" i="14"/>
  <c r="T1360" i="14" s="1"/>
  <c r="J1391" i="14"/>
  <c r="J1408" i="14"/>
  <c r="N1408" i="14"/>
  <c r="N1406" i="14"/>
  <c r="R1408" i="14"/>
  <c r="J1406" i="14"/>
  <c r="V1438" i="14"/>
  <c r="N1444" i="14"/>
  <c r="U1476" i="14"/>
  <c r="V1476" i="14"/>
  <c r="T1357" i="14"/>
  <c r="T1361" i="14" s="1"/>
  <c r="M1392" i="14"/>
  <c r="Q1392" i="14"/>
  <c r="I1408" i="14"/>
  <c r="I1406" i="14"/>
  <c r="Q1408" i="14"/>
  <c r="Q1406" i="14"/>
  <c r="K1406" i="14"/>
  <c r="K1408" i="14"/>
  <c r="S1406" i="14"/>
  <c r="S1408" i="14"/>
  <c r="T1411" i="14"/>
  <c r="R1418" i="14"/>
  <c r="W1436" i="14"/>
  <c r="V1436" i="14"/>
  <c r="O1435" i="14"/>
  <c r="K1396" i="14"/>
  <c r="O1396" i="14"/>
  <c r="S1396" i="14"/>
  <c r="O1406" i="14"/>
  <c r="O1408" i="14"/>
  <c r="T1405" i="14"/>
  <c r="L1408" i="14"/>
  <c r="I1444" i="14"/>
  <c r="M1444" i="14"/>
  <c r="Q1444" i="14"/>
  <c r="T1442" i="14"/>
  <c r="H1445" i="14"/>
  <c r="T1445" i="14" s="1"/>
  <c r="P1445" i="14"/>
  <c r="U1446" i="14"/>
  <c r="J1417" i="14"/>
  <c r="T1439" i="14"/>
  <c r="V1457" i="14"/>
  <c r="W1457" i="14"/>
  <c r="L1419" i="14"/>
  <c r="P1419" i="14"/>
  <c r="K1420" i="14"/>
  <c r="O1420" i="14"/>
  <c r="AJ135" i="14" l="1"/>
  <c r="K750" i="14"/>
  <c r="M127" i="14"/>
  <c r="M132" i="14" s="1"/>
  <c r="M133" i="14" s="1"/>
  <c r="S1231" i="14"/>
  <c r="S1238" i="14" s="1"/>
  <c r="Q20" i="14"/>
  <c r="I143" i="14"/>
  <c r="N54" i="14"/>
  <c r="G4" i="15"/>
  <c r="L5" i="15"/>
  <c r="H768" i="14"/>
  <c r="Z231" i="14"/>
  <c r="N316" i="14"/>
  <c r="R1231" i="14"/>
  <c r="R1238" i="14" s="1"/>
  <c r="I72" i="14"/>
  <c r="AJ290" i="14"/>
  <c r="T1408" i="14"/>
  <c r="O1210" i="14"/>
  <c r="N72" i="14"/>
  <c r="S1235" i="14"/>
  <c r="K55" i="14"/>
  <c r="P20" i="14"/>
  <c r="R1191" i="14"/>
  <c r="AJ319" i="14"/>
  <c r="V1162" i="14"/>
  <c r="T613" i="14"/>
  <c r="T617" i="14" s="1"/>
  <c r="L126" i="14"/>
  <c r="S1445" i="14"/>
  <c r="L750" i="14"/>
  <c r="H615" i="14"/>
  <c r="H620" i="14" s="1"/>
  <c r="R1192" i="14"/>
  <c r="J677" i="14"/>
  <c r="U271" i="14"/>
  <c r="T234" i="14"/>
  <c r="T241" i="14" s="1"/>
  <c r="T594" i="14"/>
  <c r="T601" i="14" s="1"/>
  <c r="M72" i="14"/>
  <c r="M74" i="14" s="1"/>
  <c r="V212" i="14"/>
  <c r="V213" i="14" s="1"/>
  <c r="O51" i="14"/>
  <c r="H750" i="14"/>
  <c r="I142" i="14"/>
  <c r="N765" i="14"/>
  <c r="K4" i="15"/>
  <c r="L4" i="15"/>
  <c r="N1445" i="14"/>
  <c r="E463" i="14"/>
  <c r="AG231" i="14"/>
  <c r="T420" i="14"/>
  <c r="T426" i="14" s="1"/>
  <c r="T384" i="14"/>
  <c r="T390" i="14" s="1"/>
  <c r="H387" i="14"/>
  <c r="I26" i="14"/>
  <c r="T139" i="14"/>
  <c r="T142" i="14" s="1"/>
  <c r="U67" i="14"/>
  <c r="AJ229" i="14"/>
  <c r="H4" i="15"/>
  <c r="Q1191" i="14"/>
  <c r="Q1193" i="14"/>
  <c r="Q1192" i="14"/>
  <c r="R1193" i="14"/>
  <c r="T173" i="14"/>
  <c r="T177" i="14" s="1"/>
  <c r="T768" i="14"/>
  <c r="I1389" i="14"/>
  <c r="I1388" i="14"/>
  <c r="K1157" i="14"/>
  <c r="V1471" i="14"/>
  <c r="T1130" i="14"/>
  <c r="AI44" i="14"/>
  <c r="AI46" i="14" s="1"/>
  <c r="M750" i="14"/>
  <c r="AJ89" i="14"/>
  <c r="V1247" i="14"/>
  <c r="V1248" i="14" s="1"/>
  <c r="P126" i="14"/>
  <c r="P116" i="14" s="1"/>
  <c r="P117" i="14" s="1"/>
  <c r="J1319" i="14"/>
  <c r="J1318" i="14"/>
  <c r="T441" i="14"/>
  <c r="N1192" i="14"/>
  <c r="N1191" i="14"/>
  <c r="N1193" i="14"/>
  <c r="M1193" i="14"/>
  <c r="M1191" i="14"/>
  <c r="M1192" i="14"/>
  <c r="P1193" i="14"/>
  <c r="P1191" i="14"/>
  <c r="U1459" i="14"/>
  <c r="T197" i="14"/>
  <c r="T202" i="14" s="1"/>
  <c r="T488" i="14"/>
  <c r="V488" i="14" s="1"/>
  <c r="H703" i="14"/>
  <c r="L127" i="14"/>
  <c r="L132" i="14" s="1"/>
  <c r="L133" i="14" s="1"/>
  <c r="S572" i="14"/>
  <c r="S578" i="14" s="1"/>
  <c r="V452" i="14"/>
  <c r="V453" i="14" s="1"/>
  <c r="V253" i="14"/>
  <c r="I126" i="14"/>
  <c r="I116" i="14" s="1"/>
  <c r="I117" i="14" s="1"/>
  <c r="I369" i="14"/>
  <c r="I375" i="14" s="1"/>
  <c r="S573" i="14"/>
  <c r="S579" i="14" s="1"/>
  <c r="S580" i="14" s="1"/>
  <c r="I127" i="14"/>
  <c r="I132" i="14" s="1"/>
  <c r="I133" i="14" s="1"/>
  <c r="H126" i="14"/>
  <c r="H116" i="14" s="1"/>
  <c r="H117" i="14" s="1"/>
  <c r="T650" i="14"/>
  <c r="T653" i="14" s="1"/>
  <c r="AB231" i="14"/>
  <c r="AJ208" i="14"/>
  <c r="R127" i="14"/>
  <c r="R132" i="14" s="1"/>
  <c r="R133" i="14" s="1"/>
  <c r="R330" i="14"/>
  <c r="R337" i="14" s="1"/>
  <c r="H676" i="14"/>
  <c r="K127" i="14"/>
  <c r="K132" i="14" s="1"/>
  <c r="K133" i="14" s="1"/>
  <c r="H107" i="14"/>
  <c r="I238" i="14"/>
  <c r="I245" i="14" s="1"/>
  <c r="R72" i="14"/>
  <c r="R75" i="14" s="1"/>
  <c r="J238" i="14"/>
  <c r="T233" i="14"/>
  <c r="T240" i="14" s="1"/>
  <c r="L20" i="14"/>
  <c r="L26" i="14" s="1"/>
  <c r="P51" i="14"/>
  <c r="P55" i="14" s="1"/>
  <c r="T215" i="14"/>
  <c r="T221" i="14" s="1"/>
  <c r="V415" i="14"/>
  <c r="P572" i="14"/>
  <c r="P578" i="14" s="1"/>
  <c r="AH231" i="14"/>
  <c r="J651" i="14"/>
  <c r="AE231" i="14"/>
  <c r="Y231" i="14"/>
  <c r="Q126" i="14"/>
  <c r="Q116" i="14" s="1"/>
  <c r="Q117" i="14" s="1"/>
  <c r="T386" i="14"/>
  <c r="T392" i="14" s="1"/>
  <c r="M126" i="14"/>
  <c r="M116" i="14" s="1"/>
  <c r="M117" i="14" s="1"/>
  <c r="K749" i="14"/>
  <c r="Q127" i="14"/>
  <c r="Q132" i="14" s="1"/>
  <c r="Q133" i="14" s="1"/>
  <c r="K1192" i="14"/>
  <c r="O1192" i="14"/>
  <c r="O1193" i="14"/>
  <c r="J1192" i="14"/>
  <c r="J1193" i="14"/>
  <c r="O1191" i="14"/>
  <c r="I703" i="14"/>
  <c r="I708" i="14" s="1"/>
  <c r="N703" i="14"/>
  <c r="N708" i="14" s="1"/>
  <c r="T661" i="14"/>
  <c r="T664" i="14" s="1"/>
  <c r="P749" i="14"/>
  <c r="H653" i="14"/>
  <c r="J1211" i="14"/>
  <c r="J1218" i="14" s="1"/>
  <c r="E503" i="14"/>
  <c r="J1191" i="14"/>
  <c r="J521" i="14"/>
  <c r="J523" i="14"/>
  <c r="I521" i="14"/>
  <c r="I523" i="14"/>
  <c r="T520" i="14"/>
  <c r="T523" i="14" s="1"/>
  <c r="T1179" i="14"/>
  <c r="K1191" i="14"/>
  <c r="T1227" i="14"/>
  <c r="T1234" i="14" s="1"/>
  <c r="P1210" i="14"/>
  <c r="P1217" i="14" s="1"/>
  <c r="I673" i="14"/>
  <c r="T673" i="14" s="1"/>
  <c r="V673" i="14" s="1"/>
  <c r="T93" i="14"/>
  <c r="T96" i="14" s="1"/>
  <c r="J665" i="14"/>
  <c r="P576" i="14"/>
  <c r="T256" i="14"/>
  <c r="T261" i="14" s="1"/>
  <c r="R332" i="14"/>
  <c r="T351" i="14"/>
  <c r="T357" i="14" s="1"/>
  <c r="K572" i="14"/>
  <c r="K578" i="14" s="1"/>
  <c r="M330" i="14"/>
  <c r="M336" i="14" s="1"/>
  <c r="O72" i="14"/>
  <c r="Q301" i="14"/>
  <c r="Q309" i="14" s="1"/>
  <c r="T235" i="14"/>
  <c r="T242" i="14" s="1"/>
  <c r="I1455" i="14"/>
  <c r="H20" i="14"/>
  <c r="H20" i="9" s="1"/>
  <c r="U1224" i="14"/>
  <c r="M314" i="14"/>
  <c r="M316" i="14"/>
  <c r="S1210" i="14"/>
  <c r="S1217" i="14" s="1"/>
  <c r="S1214" i="14"/>
  <c r="H675" i="14"/>
  <c r="R765" i="14"/>
  <c r="T672" i="14"/>
  <c r="T675" i="14" s="1"/>
  <c r="T326" i="14"/>
  <c r="T332" i="14" s="1"/>
  <c r="W231" i="14"/>
  <c r="X231" i="14"/>
  <c r="R703" i="14"/>
  <c r="R708" i="14" s="1"/>
  <c r="R704" i="14"/>
  <c r="P127" i="14"/>
  <c r="P132" i="14" s="1"/>
  <c r="P133" i="14" s="1"/>
  <c r="N1211" i="14"/>
  <c r="N1218" i="14" s="1"/>
  <c r="N1215" i="14"/>
  <c r="I615" i="14"/>
  <c r="I617" i="14"/>
  <c r="J545" i="14"/>
  <c r="J543" i="14"/>
  <c r="P765" i="14"/>
  <c r="I1419" i="14"/>
  <c r="J1455" i="14"/>
  <c r="AD231" i="14"/>
  <c r="S314" i="14"/>
  <c r="S317" i="14" s="1"/>
  <c r="M301" i="14"/>
  <c r="M309" i="14" s="1"/>
  <c r="V271" i="14"/>
  <c r="V274" i="14" s="1"/>
  <c r="U212" i="14"/>
  <c r="T120" i="14"/>
  <c r="M259" i="14"/>
  <c r="M264" i="14" s="1"/>
  <c r="K765" i="14"/>
  <c r="K764" i="14"/>
  <c r="P1192" i="14"/>
  <c r="J218" i="14"/>
  <c r="J247" i="14" s="1"/>
  <c r="J249" i="14" s="1"/>
  <c r="J404" i="14"/>
  <c r="K1231" i="14"/>
  <c r="K1238" i="14" s="1"/>
  <c r="K1235" i="14"/>
  <c r="R126" i="14"/>
  <c r="R129" i="14"/>
  <c r="H55" i="14"/>
  <c r="H56" i="14"/>
  <c r="M75" i="14"/>
  <c r="V1310" i="14"/>
  <c r="V1371" i="14"/>
  <c r="V1367" i="14"/>
  <c r="I1390" i="14"/>
  <c r="I1392" i="14" s="1"/>
  <c r="I1363" i="14"/>
  <c r="I1362" i="14"/>
  <c r="H1396" i="14"/>
  <c r="H1397" i="14" s="1"/>
  <c r="N1230" i="14"/>
  <c r="N1234" i="14"/>
  <c r="N1237" i="14" s="1"/>
  <c r="J1363" i="14"/>
  <c r="J1362" i="14"/>
  <c r="J1390" i="14"/>
  <c r="J1392" i="14" s="1"/>
  <c r="R1210" i="14"/>
  <c r="R1214" i="14"/>
  <c r="I1214" i="14"/>
  <c r="I1210" i="14"/>
  <c r="T758" i="14"/>
  <c r="T762" i="14" s="1"/>
  <c r="H762" i="14"/>
  <c r="T1345" i="14"/>
  <c r="T1346" i="14"/>
  <c r="P703" i="14"/>
  <c r="P708" i="14" s="1"/>
  <c r="P706" i="14"/>
  <c r="N1416" i="14"/>
  <c r="N1417" i="14"/>
  <c r="K1416" i="14"/>
  <c r="K1417" i="14"/>
  <c r="L1257" i="14"/>
  <c r="L1253" i="14"/>
  <c r="O1253" i="14"/>
  <c r="O1257" i="14"/>
  <c r="N1253" i="14"/>
  <c r="N1257" i="14"/>
  <c r="Q1254" i="14"/>
  <c r="Q1261" i="14" s="1"/>
  <c r="Q1258" i="14"/>
  <c r="J1349" i="14"/>
  <c r="V529" i="14"/>
  <c r="H307" i="14"/>
  <c r="T300" i="14"/>
  <c r="T307" i="14" s="1"/>
  <c r="O261" i="14"/>
  <c r="O259" i="14"/>
  <c r="O126" i="14"/>
  <c r="O129" i="14"/>
  <c r="H641" i="14"/>
  <c r="H639" i="14"/>
  <c r="T637" i="14"/>
  <c r="T641" i="14" s="1"/>
  <c r="Q200" i="14"/>
  <c r="N23" i="14"/>
  <c r="N20" i="14"/>
  <c r="AJ226" i="14"/>
  <c r="N259" i="14"/>
  <c r="N261" i="14"/>
  <c r="J654" i="14"/>
  <c r="J655" i="14"/>
  <c r="T495" i="14"/>
  <c r="T501" i="14" s="1"/>
  <c r="H501" i="14"/>
  <c r="I406" i="14"/>
  <c r="I404" i="14"/>
  <c r="T400" i="14"/>
  <c r="T406" i="14" s="1"/>
  <c r="T313" i="14"/>
  <c r="H316" i="14"/>
  <c r="H303" i="14"/>
  <c r="T296" i="14"/>
  <c r="T303" i="14" s="1"/>
  <c r="K126" i="14"/>
  <c r="K129" i="14"/>
  <c r="I1193" i="14"/>
  <c r="I1192" i="14"/>
  <c r="I639" i="14"/>
  <c r="I641" i="14"/>
  <c r="T419" i="14"/>
  <c r="T425" i="14" s="1"/>
  <c r="H425" i="14"/>
  <c r="J175" i="14"/>
  <c r="J179" i="14" s="1"/>
  <c r="J177" i="14"/>
  <c r="Q1190" i="14"/>
  <c r="Q1186" i="14"/>
  <c r="H708" i="14"/>
  <c r="T1207" i="14"/>
  <c r="T1214" i="14" s="1"/>
  <c r="P281" i="14"/>
  <c r="P283" i="14"/>
  <c r="V1341" i="14"/>
  <c r="J1230" i="14"/>
  <c r="J1234" i="14"/>
  <c r="J1237" i="14" s="1"/>
  <c r="M1235" i="14"/>
  <c r="M1231" i="14"/>
  <c r="M1238" i="14" s="1"/>
  <c r="Q1234" i="14"/>
  <c r="Q1237" i="14" s="1"/>
  <c r="Q1230" i="14"/>
  <c r="T1209" i="14"/>
  <c r="T1216" i="14" s="1"/>
  <c r="H1216" i="14"/>
  <c r="Q1393" i="14"/>
  <c r="M1393" i="14"/>
  <c r="N1393" i="14"/>
  <c r="J1393" i="14"/>
  <c r="K1393" i="14"/>
  <c r="P1393" i="14"/>
  <c r="H1392" i="14"/>
  <c r="H1393" i="14" s="1"/>
  <c r="N1210" i="14"/>
  <c r="N1214" i="14"/>
  <c r="Q1211" i="14"/>
  <c r="Q1218" i="14" s="1"/>
  <c r="Q1215" i="14"/>
  <c r="H1211" i="14"/>
  <c r="T1208" i="14"/>
  <c r="T1215" i="14" s="1"/>
  <c r="H1215" i="14"/>
  <c r="L1191" i="14"/>
  <c r="I764" i="14"/>
  <c r="I765" i="14"/>
  <c r="J684" i="14"/>
  <c r="T684" i="14" s="1"/>
  <c r="V684" i="14" s="1"/>
  <c r="J686" i="14"/>
  <c r="T683" i="14"/>
  <c r="T686" i="14" s="1"/>
  <c r="Q1419" i="14"/>
  <c r="M1419" i="14"/>
  <c r="O1217" i="14"/>
  <c r="I1190" i="14"/>
  <c r="I1186" i="14"/>
  <c r="T729" i="14"/>
  <c r="T733" i="14" s="1"/>
  <c r="T746" i="14" s="1"/>
  <c r="V670" i="14"/>
  <c r="I573" i="14"/>
  <c r="I579" i="14" s="1"/>
  <c r="I580" i="14" s="1"/>
  <c r="I572" i="14"/>
  <c r="I578" i="14" s="1"/>
  <c r="I575" i="14"/>
  <c r="T569" i="14"/>
  <c r="T575" i="14" s="1"/>
  <c r="H498" i="14"/>
  <c r="T491" i="14"/>
  <c r="I1319" i="14"/>
  <c r="I1318" i="14"/>
  <c r="N1258" i="14"/>
  <c r="N1254" i="14"/>
  <c r="N1261" i="14" s="1"/>
  <c r="S1258" i="14"/>
  <c r="S1254" i="14"/>
  <c r="S1261" i="14" s="1"/>
  <c r="J1253" i="14"/>
  <c r="J1257" i="14"/>
  <c r="M1254" i="14"/>
  <c r="M1261" i="14" s="1"/>
  <c r="M1258" i="14"/>
  <c r="Q1257" i="14"/>
  <c r="Q1253" i="14"/>
  <c r="V1174" i="14"/>
  <c r="U1174" i="14"/>
  <c r="T702" i="14"/>
  <c r="T707" i="14" s="1"/>
  <c r="H707" i="14"/>
  <c r="R575" i="14"/>
  <c r="R572" i="14"/>
  <c r="R578" i="14" s="1"/>
  <c r="R573" i="14"/>
  <c r="R579" i="14" s="1"/>
  <c r="R580" i="14" s="1"/>
  <c r="I553" i="14"/>
  <c r="T553" i="14" s="1"/>
  <c r="I555" i="14"/>
  <c r="T552" i="14"/>
  <c r="T555" i="14" s="1"/>
  <c r="V681" i="14"/>
  <c r="P577" i="14"/>
  <c r="P573" i="14"/>
  <c r="P579" i="14" s="1"/>
  <c r="P580" i="14" s="1"/>
  <c r="V563" i="14"/>
  <c r="H547" i="14"/>
  <c r="H546" i="14"/>
  <c r="H464" i="14"/>
  <c r="T458" i="14"/>
  <c r="T464" i="14" s="1"/>
  <c r="K316" i="14"/>
  <c r="K314" i="14"/>
  <c r="O303" i="14"/>
  <c r="O301" i="14"/>
  <c r="T199" i="14"/>
  <c r="T204" i="14" s="1"/>
  <c r="H204" i="14"/>
  <c r="J202" i="14"/>
  <c r="J200" i="14"/>
  <c r="J126" i="14"/>
  <c r="J129" i="14"/>
  <c r="H1306" i="14"/>
  <c r="T1301" i="14"/>
  <c r="H1305" i="14"/>
  <c r="Q703" i="14"/>
  <c r="Q708" i="14" s="1"/>
  <c r="J606" i="14"/>
  <c r="J607" i="14"/>
  <c r="H557" i="14"/>
  <c r="H556" i="14"/>
  <c r="H497" i="14"/>
  <c r="T490" i="14"/>
  <c r="T457" i="14"/>
  <c r="T463" i="14" s="1"/>
  <c r="H463" i="14"/>
  <c r="I408" i="14"/>
  <c r="T402" i="14"/>
  <c r="T408" i="14" s="1"/>
  <c r="J387" i="14"/>
  <c r="J389" i="14"/>
  <c r="T383" i="14"/>
  <c r="T389" i="14" s="1"/>
  <c r="P316" i="14"/>
  <c r="P314" i="14"/>
  <c r="P207" i="14" s="1"/>
  <c r="P303" i="14"/>
  <c r="P301" i="14"/>
  <c r="S261" i="14"/>
  <c r="S259" i="14"/>
  <c r="I218" i="14"/>
  <c r="I220" i="14"/>
  <c r="K202" i="14"/>
  <c r="K200" i="14"/>
  <c r="S129" i="14"/>
  <c r="S126" i="14"/>
  <c r="J107" i="14"/>
  <c r="J105" i="14"/>
  <c r="I654" i="14"/>
  <c r="I655" i="14"/>
  <c r="T625" i="14"/>
  <c r="T629" i="14" s="1"/>
  <c r="H627" i="14"/>
  <c r="H629" i="14"/>
  <c r="V413" i="14"/>
  <c r="U413" i="14"/>
  <c r="U346" i="14"/>
  <c r="V346" i="14"/>
  <c r="R301" i="14"/>
  <c r="Q259" i="14"/>
  <c r="T158" i="14"/>
  <c r="L131" i="14"/>
  <c r="L116" i="14"/>
  <c r="L117" i="14" s="1"/>
  <c r="V100" i="14"/>
  <c r="AJ100" i="14"/>
  <c r="H72" i="14"/>
  <c r="T71" i="14"/>
  <c r="H1461" i="14"/>
  <c r="T1183" i="14"/>
  <c r="T1191" i="14" s="1"/>
  <c r="J1186" i="14"/>
  <c r="J1190" i="14"/>
  <c r="P1190" i="14"/>
  <c r="P1186" i="14"/>
  <c r="T150" i="14"/>
  <c r="T153" i="14" s="1"/>
  <c r="H151" i="14"/>
  <c r="H153" i="14"/>
  <c r="AJ78" i="14"/>
  <c r="V78" i="14"/>
  <c r="V79" i="14" s="1"/>
  <c r="T759" i="14"/>
  <c r="T763" i="14" s="1"/>
  <c r="J460" i="14"/>
  <c r="J466" i="14" s="1"/>
  <c r="J445" i="14"/>
  <c r="T368" i="14"/>
  <c r="T374" i="14" s="1"/>
  <c r="H374" i="14"/>
  <c r="H356" i="14"/>
  <c r="T350" i="14"/>
  <c r="T356" i="14" s="1"/>
  <c r="T329" i="14"/>
  <c r="T335" i="14" s="1"/>
  <c r="H335" i="14"/>
  <c r="S318" i="14"/>
  <c r="S301" i="14"/>
  <c r="H286" i="14"/>
  <c r="T279" i="14"/>
  <c r="T286" i="14" s="1"/>
  <c r="V254" i="14"/>
  <c r="T214" i="14"/>
  <c r="T220" i="14" s="1"/>
  <c r="H178" i="14"/>
  <c r="T174" i="14"/>
  <c r="T178" i="14" s="1"/>
  <c r="AJ168" i="14"/>
  <c r="V168" i="14"/>
  <c r="K72" i="14"/>
  <c r="N75" i="14"/>
  <c r="N74" i="14"/>
  <c r="I54" i="14"/>
  <c r="I51" i="14"/>
  <c r="K23" i="14"/>
  <c r="K20" i="14"/>
  <c r="I1191" i="14"/>
  <c r="J505" i="14"/>
  <c r="F505" i="14" s="1"/>
  <c r="J506" i="14"/>
  <c r="H411" i="14"/>
  <c r="H410" i="14"/>
  <c r="T328" i="14"/>
  <c r="T334" i="14" s="1"/>
  <c r="H175" i="14"/>
  <c r="J162" i="14"/>
  <c r="J165" i="14" s="1"/>
  <c r="J166" i="14" s="1"/>
  <c r="J164" i="14"/>
  <c r="I41" i="14"/>
  <c r="T37" i="14"/>
  <c r="T41" i="14" s="1"/>
  <c r="V565" i="14"/>
  <c r="U565" i="14"/>
  <c r="J155" i="14"/>
  <c r="J154" i="14"/>
  <c r="I38" i="14"/>
  <c r="I40" i="14"/>
  <c r="O573" i="14"/>
  <c r="O579" i="14" s="1"/>
  <c r="O580" i="14" s="1"/>
  <c r="T403" i="14"/>
  <c r="T409" i="14" s="1"/>
  <c r="I409" i="14"/>
  <c r="U194" i="14"/>
  <c r="H26" i="14"/>
  <c r="H27" i="14"/>
  <c r="H602" i="14"/>
  <c r="T595" i="14"/>
  <c r="T602" i="14" s="1"/>
  <c r="H462" i="14"/>
  <c r="T456" i="14"/>
  <c r="T462" i="14" s="1"/>
  <c r="K369" i="14"/>
  <c r="K371" i="14"/>
  <c r="N369" i="14"/>
  <c r="N371" i="14"/>
  <c r="T280" i="14"/>
  <c r="T287" i="14" s="1"/>
  <c r="Q283" i="14"/>
  <c r="Q281" i="14"/>
  <c r="O281" i="14"/>
  <c r="O283" i="14"/>
  <c r="R283" i="14"/>
  <c r="R281" i="14"/>
  <c r="V45" i="14"/>
  <c r="AJ45" i="14"/>
  <c r="I352" i="14"/>
  <c r="I377" i="14" s="1"/>
  <c r="I354" i="14"/>
  <c r="P85" i="14"/>
  <c r="P83" i="14"/>
  <c r="AJ57" i="14"/>
  <c r="AI58" i="14"/>
  <c r="V57" i="14"/>
  <c r="T36" i="14"/>
  <c r="T40" i="14" s="1"/>
  <c r="H38" i="14"/>
  <c r="H40" i="14"/>
  <c r="J643" i="14"/>
  <c r="J644" i="14"/>
  <c r="H355" i="14"/>
  <c r="T349" i="14"/>
  <c r="T355" i="14" s="1"/>
  <c r="N317" i="14"/>
  <c r="N318" i="14"/>
  <c r="L281" i="14"/>
  <c r="L200" i="14"/>
  <c r="T123" i="14"/>
  <c r="T129" i="14" s="1"/>
  <c r="V319" i="14"/>
  <c r="V323" i="14" s="1"/>
  <c r="P264" i="14"/>
  <c r="P265" i="14"/>
  <c r="Q83" i="14"/>
  <c r="Q85" i="14"/>
  <c r="L85" i="14"/>
  <c r="L83" i="14"/>
  <c r="J83" i="14"/>
  <c r="J85" i="14"/>
  <c r="AI66" i="14"/>
  <c r="N40" i="14"/>
  <c r="N38" i="14"/>
  <c r="K40" i="14"/>
  <c r="K38" i="14"/>
  <c r="T1229" i="14"/>
  <c r="T1236" i="14" s="1"/>
  <c r="H1236" i="14"/>
  <c r="H1349" i="14"/>
  <c r="H1350" i="14" s="1"/>
  <c r="H1231" i="14"/>
  <c r="T1228" i="14"/>
  <c r="T1235" i="14" s="1"/>
  <c r="H1235" i="14"/>
  <c r="O1215" i="14"/>
  <c r="O1211" i="14"/>
  <c r="O1218" i="14" s="1"/>
  <c r="L1211" i="14"/>
  <c r="L1218" i="14" s="1"/>
  <c r="L1215" i="14"/>
  <c r="R749" i="14"/>
  <c r="R750" i="14"/>
  <c r="T1157" i="14"/>
  <c r="T1120" i="14"/>
  <c r="T1158" i="14" s="1"/>
  <c r="H1257" i="14"/>
  <c r="E1255" i="14"/>
  <c r="H1253" i="14"/>
  <c r="T1250" i="14"/>
  <c r="T1257" i="14" s="1"/>
  <c r="H1254" i="14"/>
  <c r="T1251" i="14"/>
  <c r="T1258" i="14" s="1"/>
  <c r="H1258" i="14"/>
  <c r="H666" i="14"/>
  <c r="T662" i="14"/>
  <c r="H665" i="14"/>
  <c r="N575" i="14"/>
  <c r="N572" i="14"/>
  <c r="N578" i="14" s="1"/>
  <c r="N573" i="14"/>
  <c r="N579" i="14" s="1"/>
  <c r="N580" i="14" s="1"/>
  <c r="I607" i="14"/>
  <c r="I606" i="14"/>
  <c r="O332" i="14"/>
  <c r="O330" i="14"/>
  <c r="K303" i="14"/>
  <c r="K301" i="14"/>
  <c r="I629" i="14"/>
  <c r="I627" i="14"/>
  <c r="T418" i="14"/>
  <c r="T424" i="14" s="1"/>
  <c r="I424" i="14"/>
  <c r="K1186" i="14"/>
  <c r="K1190" i="14"/>
  <c r="K1120" i="14"/>
  <c r="J1158" i="14"/>
  <c r="K573" i="14"/>
  <c r="K579" i="14" s="1"/>
  <c r="K580" i="14" s="1"/>
  <c r="M308" i="14"/>
  <c r="T161" i="14"/>
  <c r="T164" i="14" s="1"/>
  <c r="H162" i="14"/>
  <c r="H164" i="14"/>
  <c r="I1461" i="14"/>
  <c r="H461" i="14"/>
  <c r="T455" i="14"/>
  <c r="T461" i="14" s="1"/>
  <c r="J246" i="14"/>
  <c r="J245" i="14"/>
  <c r="I131" i="14"/>
  <c r="H85" i="14"/>
  <c r="T82" i="14"/>
  <c r="T85" i="14" s="1"/>
  <c r="H83" i="14"/>
  <c r="U587" i="14"/>
  <c r="V587" i="14"/>
  <c r="V591" i="14" s="1"/>
  <c r="I387" i="14"/>
  <c r="O369" i="14"/>
  <c r="O371" i="14"/>
  <c r="R369" i="14"/>
  <c r="R371" i="14"/>
  <c r="H283" i="14"/>
  <c r="T276" i="14"/>
  <c r="T283" i="14" s="1"/>
  <c r="M38" i="14"/>
  <c r="M40" i="14"/>
  <c r="H352" i="14"/>
  <c r="H354" i="14"/>
  <c r="T348" i="14"/>
  <c r="T354" i="14" s="1"/>
  <c r="V551" i="14"/>
  <c r="T140" i="14"/>
  <c r="V140" i="14" s="1"/>
  <c r="H144" i="14"/>
  <c r="H143" i="14"/>
  <c r="L51" i="14"/>
  <c r="T257" i="14"/>
  <c r="T262" i="14" s="1"/>
  <c r="K85" i="14"/>
  <c r="K83" i="14"/>
  <c r="N83" i="14"/>
  <c r="N85" i="14"/>
  <c r="AI169" i="14"/>
  <c r="W170" i="14"/>
  <c r="AI170" i="14" s="1"/>
  <c r="J40" i="14"/>
  <c r="F40" i="14" s="1"/>
  <c r="J38" i="14"/>
  <c r="R40" i="14"/>
  <c r="R38" i="14"/>
  <c r="O40" i="14"/>
  <c r="O38" i="14"/>
  <c r="R27" i="14"/>
  <c r="R26" i="14"/>
  <c r="U1445" i="14"/>
  <c r="V1445" i="14"/>
  <c r="V1324" i="14"/>
  <c r="V1328" i="14"/>
  <c r="T1332" i="14"/>
  <c r="T1333" i="14"/>
  <c r="I1394" i="14"/>
  <c r="I1396" i="14" s="1"/>
  <c r="I1279" i="14"/>
  <c r="I1280" i="14"/>
  <c r="I1347" i="14"/>
  <c r="I1349" i="14" s="1"/>
  <c r="O1235" i="14"/>
  <c r="O1231" i="14"/>
  <c r="O1238" i="14" s="1"/>
  <c r="I1234" i="14"/>
  <c r="I1237" i="14" s="1"/>
  <c r="I1230" i="14"/>
  <c r="L1214" i="14"/>
  <c r="L1210" i="14"/>
  <c r="M1214" i="14"/>
  <c r="M1210" i="14"/>
  <c r="P1211" i="14"/>
  <c r="P1218" i="14" s="1"/>
  <c r="P1215" i="14"/>
  <c r="Q764" i="14"/>
  <c r="Q765" i="14"/>
  <c r="Q1417" i="14"/>
  <c r="T1252" i="14"/>
  <c r="T1259" i="14" s="1"/>
  <c r="H1259" i="14"/>
  <c r="T743" i="14"/>
  <c r="T747" i="14" s="1"/>
  <c r="T760" i="14" s="1"/>
  <c r="H1416" i="14"/>
  <c r="T1413" i="14"/>
  <c r="T1417" i="14" s="1"/>
  <c r="H1318" i="14"/>
  <c r="T1314" i="14"/>
  <c r="H1319" i="14"/>
  <c r="O1258" i="14"/>
  <c r="O1254" i="14"/>
  <c r="O1261" i="14" s="1"/>
  <c r="J1254" i="14"/>
  <c r="J1261" i="14" s="1"/>
  <c r="J1258" i="14"/>
  <c r="R1253" i="14"/>
  <c r="R1257" i="14"/>
  <c r="I1257" i="14"/>
  <c r="I1253" i="14"/>
  <c r="L1254" i="14"/>
  <c r="L1261" i="14" s="1"/>
  <c r="L1258" i="14"/>
  <c r="T1180" i="14"/>
  <c r="H1171" i="14"/>
  <c r="H1190" i="14" s="1"/>
  <c r="J575" i="14"/>
  <c r="J572" i="14"/>
  <c r="J578" i="14" s="1"/>
  <c r="J573" i="14"/>
  <c r="J579" i="14" s="1"/>
  <c r="J580" i="14" s="1"/>
  <c r="H577" i="14"/>
  <c r="T571" i="14"/>
  <c r="T577" i="14" s="1"/>
  <c r="K330" i="14"/>
  <c r="K332" i="14"/>
  <c r="J130" i="14"/>
  <c r="T124" i="14"/>
  <c r="T130" i="14" s="1"/>
  <c r="S202" i="14"/>
  <c r="S200" i="14"/>
  <c r="J1332" i="14"/>
  <c r="J1333" i="14"/>
  <c r="R317" i="14"/>
  <c r="R318" i="14"/>
  <c r="R259" i="14"/>
  <c r="I153" i="14"/>
  <c r="I151" i="14"/>
  <c r="N1186" i="14"/>
  <c r="N1190" i="14"/>
  <c r="T367" i="14"/>
  <c r="T373" i="14" s="1"/>
  <c r="H373" i="14"/>
  <c r="H333" i="14"/>
  <c r="T327" i="14"/>
  <c r="T333" i="14" s="1"/>
  <c r="S333" i="14"/>
  <c r="S330" i="14"/>
  <c r="Q75" i="14"/>
  <c r="Q74" i="14"/>
  <c r="V1354" i="14"/>
  <c r="H421" i="14"/>
  <c r="V730" i="14"/>
  <c r="T734" i="14"/>
  <c r="T735" i="14"/>
  <c r="N127" i="14"/>
  <c r="N132" i="14" s="1"/>
  <c r="N133" i="14" s="1"/>
  <c r="Q371" i="14"/>
  <c r="Q369" i="14"/>
  <c r="P371" i="14"/>
  <c r="P369" i="14"/>
  <c r="S369" i="14"/>
  <c r="S371" i="14"/>
  <c r="M283" i="14"/>
  <c r="M281" i="14"/>
  <c r="S127" i="14"/>
  <c r="S132" i="14" s="1"/>
  <c r="S133" i="14" s="1"/>
  <c r="AJ65" i="14"/>
  <c r="V65" i="14"/>
  <c r="AJ32" i="14"/>
  <c r="V32" i="14"/>
  <c r="H372" i="14"/>
  <c r="T366" i="14"/>
  <c r="T372" i="14" s="1"/>
  <c r="M200" i="14"/>
  <c r="L27" i="14"/>
  <c r="L572" i="14"/>
  <c r="L578" i="14" s="1"/>
  <c r="T198" i="14"/>
  <c r="T203" i="14" s="1"/>
  <c r="V137" i="14"/>
  <c r="V136" i="14"/>
  <c r="M83" i="14"/>
  <c r="M85" i="14"/>
  <c r="O85" i="14"/>
  <c r="O83" i="14"/>
  <c r="R83" i="14"/>
  <c r="R86" i="14" s="1"/>
  <c r="R87" i="14" s="1"/>
  <c r="R85" i="14"/>
  <c r="Y33" i="14"/>
  <c r="AI29" i="14"/>
  <c r="L38" i="14"/>
  <c r="L40" i="14"/>
  <c r="S40" i="14"/>
  <c r="S38" i="14"/>
  <c r="T1444" i="14"/>
  <c r="U1439" i="14"/>
  <c r="V1439" i="14"/>
  <c r="W1439" i="14"/>
  <c r="V1271" i="14"/>
  <c r="Q1235" i="14"/>
  <c r="Q1231" i="14"/>
  <c r="Q1238" i="14" s="1"/>
  <c r="T744" i="14"/>
  <c r="T748" i="14" s="1"/>
  <c r="T761" i="14" s="1"/>
  <c r="H748" i="14"/>
  <c r="H761" i="14" s="1"/>
  <c r="H765" i="14" s="1"/>
  <c r="T700" i="14"/>
  <c r="T705" i="14" s="1"/>
  <c r="J705" i="14"/>
  <c r="H1186" i="14"/>
  <c r="T1182" i="14"/>
  <c r="T1190" i="14" s="1"/>
  <c r="J1292" i="14"/>
  <c r="J1293" i="14"/>
  <c r="T1288" i="14"/>
  <c r="I543" i="14"/>
  <c r="T543" i="14" s="1"/>
  <c r="V543" i="14" s="1"/>
  <c r="I545" i="14"/>
  <c r="I305" i="14"/>
  <c r="T298" i="14"/>
  <c r="T305" i="14" s="1"/>
  <c r="I105" i="14"/>
  <c r="I107" i="14"/>
  <c r="T104" i="14"/>
  <c r="T107" i="14" s="1"/>
  <c r="H687" i="14"/>
  <c r="H688" i="14"/>
  <c r="L316" i="14"/>
  <c r="L314" i="14"/>
  <c r="L303" i="14"/>
  <c r="L301" i="14"/>
  <c r="AI228" i="14"/>
  <c r="AJ228" i="14" s="1"/>
  <c r="T1395" i="14"/>
  <c r="T1348" i="14"/>
  <c r="AJ157" i="14"/>
  <c r="V157" i="14"/>
  <c r="T1160" i="14"/>
  <c r="R1190" i="14"/>
  <c r="R1186" i="14"/>
  <c r="Q572" i="14"/>
  <c r="Q578" i="14" s="1"/>
  <c r="H98" i="14"/>
  <c r="H97" i="14"/>
  <c r="V540" i="14"/>
  <c r="U362" i="14"/>
  <c r="V362" i="14"/>
  <c r="T277" i="14"/>
  <c r="T284" i="14" s="1"/>
  <c r="J144" i="14"/>
  <c r="J143" i="14"/>
  <c r="O74" i="14"/>
  <c r="O75" i="14"/>
  <c r="AI11" i="14"/>
  <c r="V5" i="14"/>
  <c r="AJ5" i="14"/>
  <c r="M1140" i="14"/>
  <c r="N1140" i="14" s="1"/>
  <c r="O1140" i="14" s="1"/>
  <c r="P1140" i="14" s="1"/>
  <c r="Q1140" i="14" s="1"/>
  <c r="R1140" i="14" s="1"/>
  <c r="S1140" i="14" s="1"/>
  <c r="U398" i="14"/>
  <c r="V398" i="14"/>
  <c r="J510" i="14"/>
  <c r="J511" i="14" s="1"/>
  <c r="K508" i="14"/>
  <c r="H371" i="14"/>
  <c r="H369" i="14"/>
  <c r="T365" i="14"/>
  <c r="T371" i="14" s="1"/>
  <c r="S283" i="14"/>
  <c r="S281" i="14"/>
  <c r="T237" i="14"/>
  <c r="T244" i="14" s="1"/>
  <c r="H244" i="14"/>
  <c r="AJ44" i="14"/>
  <c r="AJ7" i="14"/>
  <c r="V7" i="14"/>
  <c r="L74" i="14"/>
  <c r="L75" i="14"/>
  <c r="H536" i="14"/>
  <c r="H535" i="14"/>
  <c r="N330" i="14"/>
  <c r="V1301" i="14"/>
  <c r="V1297" i="14"/>
  <c r="T1389" i="14"/>
  <c r="T1388" i="14"/>
  <c r="R1230" i="14"/>
  <c r="R1234" i="14"/>
  <c r="R1237" i="14" s="1"/>
  <c r="L1235" i="14"/>
  <c r="L1231" i="14"/>
  <c r="L1238" i="14" s="1"/>
  <c r="T1358" i="14"/>
  <c r="V1358" i="14" s="1"/>
  <c r="J1235" i="14"/>
  <c r="J1231" i="14"/>
  <c r="J1238" i="14" s="1"/>
  <c r="I1211" i="14"/>
  <c r="I1218" i="14" s="1"/>
  <c r="I1215" i="14"/>
  <c r="H764" i="14"/>
  <c r="N749" i="14"/>
  <c r="N750" i="14"/>
  <c r="O703" i="14"/>
  <c r="O708" i="14" s="1"/>
  <c r="O704" i="14"/>
  <c r="L1192" i="14"/>
  <c r="T570" i="14"/>
  <c r="T576" i="14" s="1"/>
  <c r="H572" i="14"/>
  <c r="H576" i="14"/>
  <c r="H573" i="14"/>
  <c r="O1416" i="14"/>
  <c r="O1417" i="14"/>
  <c r="P1257" i="14"/>
  <c r="P1253" i="14"/>
  <c r="I532" i="14"/>
  <c r="T532" i="14" s="1"/>
  <c r="V532" i="14" s="1"/>
  <c r="I534" i="14"/>
  <c r="S1260" i="14"/>
  <c r="H581" i="14"/>
  <c r="H525" i="14"/>
  <c r="H524" i="14"/>
  <c r="J1394" i="14"/>
  <c r="J1396" i="14" s="1"/>
  <c r="L703" i="14"/>
  <c r="L708" i="14" s="1"/>
  <c r="P332" i="14"/>
  <c r="P330" i="14"/>
  <c r="K261" i="14"/>
  <c r="K259" i="14"/>
  <c r="J627" i="14"/>
  <c r="J629" i="14"/>
  <c r="H54" i="14"/>
  <c r="T50" i="14"/>
  <c r="T54" i="14" s="1"/>
  <c r="J23" i="14"/>
  <c r="J20" i="14"/>
  <c r="O1186" i="14"/>
  <c r="O1190" i="14"/>
  <c r="Q573" i="14"/>
  <c r="Q579" i="14" s="1"/>
  <c r="Q580" i="14" s="1"/>
  <c r="V90" i="14"/>
  <c r="V91" i="14"/>
  <c r="AI67" i="14"/>
  <c r="S74" i="14"/>
  <c r="S75" i="14"/>
  <c r="Q54" i="14"/>
  <c r="Q51" i="14"/>
  <c r="S23" i="14"/>
  <c r="S20" i="14"/>
  <c r="S703" i="14"/>
  <c r="S708" i="14" s="1"/>
  <c r="Q330" i="14"/>
  <c r="N301" i="14"/>
  <c r="U1442" i="14"/>
  <c r="V1442" i="14"/>
  <c r="I1345" i="14"/>
  <c r="I1346" i="14"/>
  <c r="T1275" i="14"/>
  <c r="V1275" i="14" s="1"/>
  <c r="L1234" i="14"/>
  <c r="L1237" i="14" s="1"/>
  <c r="L1230" i="14"/>
  <c r="I1231" i="14"/>
  <c r="I1238" i="14" s="1"/>
  <c r="I1235" i="14"/>
  <c r="M1234" i="14"/>
  <c r="M1237" i="14" s="1"/>
  <c r="M1230" i="14"/>
  <c r="P1231" i="14"/>
  <c r="P1238" i="14" s="1"/>
  <c r="P1235" i="14"/>
  <c r="K1216" i="14"/>
  <c r="K1211" i="14"/>
  <c r="T1376" i="14"/>
  <c r="T1375" i="14"/>
  <c r="O1230" i="14"/>
  <c r="O1234" i="14"/>
  <c r="O1237" i="14" s="1"/>
  <c r="J1210" i="14"/>
  <c r="J1214" i="14"/>
  <c r="M1211" i="14"/>
  <c r="M1218" i="14" s="1"/>
  <c r="M1215" i="14"/>
  <c r="Q1214" i="14"/>
  <c r="Q1210" i="14"/>
  <c r="M764" i="14"/>
  <c r="M765" i="14"/>
  <c r="J732" i="14"/>
  <c r="J745" i="14" s="1"/>
  <c r="T728" i="14"/>
  <c r="T732" i="14" s="1"/>
  <c r="T745" i="14" s="1"/>
  <c r="K703" i="14"/>
  <c r="K708" i="14" s="1"/>
  <c r="K704" i="14"/>
  <c r="T701" i="14"/>
  <c r="T706" i="14" s="1"/>
  <c r="H706" i="14"/>
  <c r="M573" i="14"/>
  <c r="M579" i="14" s="1"/>
  <c r="M580" i="14" s="1"/>
  <c r="M575" i="14"/>
  <c r="M572" i="14"/>
  <c r="M578" i="14" s="1"/>
  <c r="J1421" i="14"/>
  <c r="J1419" i="14"/>
  <c r="K1253" i="14"/>
  <c r="K1257" i="14"/>
  <c r="K1258" i="14"/>
  <c r="K1254" i="14"/>
  <c r="K1261" i="14" s="1"/>
  <c r="R1254" i="14"/>
  <c r="R1261" i="14" s="1"/>
  <c r="R1258" i="14"/>
  <c r="I1254" i="14"/>
  <c r="I1261" i="14" s="1"/>
  <c r="I1258" i="14"/>
  <c r="M1257" i="14"/>
  <c r="M1253" i="14"/>
  <c r="P1254" i="14"/>
  <c r="P1261" i="14" s="1"/>
  <c r="P1258" i="14"/>
  <c r="J703" i="14"/>
  <c r="J708" i="14" s="1"/>
  <c r="I688" i="14"/>
  <c r="I687" i="14"/>
  <c r="T1459" i="14"/>
  <c r="O316" i="14"/>
  <c r="O314" i="14"/>
  <c r="H285" i="14"/>
  <c r="T278" i="14"/>
  <c r="T285" i="14" s="1"/>
  <c r="T258" i="14"/>
  <c r="T263" i="14" s="1"/>
  <c r="H263" i="14"/>
  <c r="J259" i="14"/>
  <c r="J261" i="14"/>
  <c r="N202" i="14"/>
  <c r="N200" i="14"/>
  <c r="N129" i="14"/>
  <c r="N126" i="14"/>
  <c r="T114" i="14"/>
  <c r="I94" i="14"/>
  <c r="I96" i="14"/>
  <c r="H654" i="14"/>
  <c r="H655" i="14"/>
  <c r="T651" i="14"/>
  <c r="V611" i="14"/>
  <c r="H1452" i="14"/>
  <c r="T489" i="14"/>
  <c r="H496" i="14"/>
  <c r="U452" i="14"/>
  <c r="L330" i="14"/>
  <c r="L332" i="14"/>
  <c r="O200" i="14"/>
  <c r="O202" i="14"/>
  <c r="J96" i="14"/>
  <c r="J94" i="14"/>
  <c r="L259" i="14"/>
  <c r="T236" i="14"/>
  <c r="T243" i="14" s="1"/>
  <c r="H243" i="14"/>
  <c r="R200" i="14"/>
  <c r="I175" i="14"/>
  <c r="I179" i="14" s="1"/>
  <c r="I177" i="14"/>
  <c r="T105" i="14"/>
  <c r="H109" i="14"/>
  <c r="H108" i="14"/>
  <c r="P72" i="14"/>
  <c r="U1471" i="14"/>
  <c r="M1190" i="14"/>
  <c r="M1186" i="14"/>
  <c r="L1190" i="14"/>
  <c r="L1186" i="14"/>
  <c r="S1186" i="14"/>
  <c r="S1190" i="14"/>
  <c r="T699" i="14"/>
  <c r="T704" i="14" s="1"/>
  <c r="T542" i="14"/>
  <c r="T545" i="14" s="1"/>
  <c r="T147" i="14"/>
  <c r="H1217" i="14"/>
  <c r="E1212" i="14"/>
  <c r="H599" i="14"/>
  <c r="H459" i="14"/>
  <c r="H445" i="14"/>
  <c r="T443" i="14"/>
  <c r="J1452" i="14"/>
  <c r="T414" i="14"/>
  <c r="U345" i="14"/>
  <c r="V345" i="14"/>
  <c r="AJ310" i="14"/>
  <c r="T216" i="14"/>
  <c r="T222" i="14" s="1"/>
  <c r="H225" i="14"/>
  <c r="H224" i="14"/>
  <c r="H182" i="14"/>
  <c r="I75" i="14"/>
  <c r="I74" i="14"/>
  <c r="J72" i="14"/>
  <c r="M54" i="14"/>
  <c r="M51" i="14"/>
  <c r="O23" i="14"/>
  <c r="O20" i="14"/>
  <c r="U1353" i="14"/>
  <c r="M703" i="14"/>
  <c r="M708" i="14" s="1"/>
  <c r="T499" i="14"/>
  <c r="T486" i="14"/>
  <c r="AI230" i="14"/>
  <c r="AJ230" i="14" s="1"/>
  <c r="V193" i="14"/>
  <c r="V194" i="14" s="1"/>
  <c r="S1211" i="14"/>
  <c r="T401" i="14"/>
  <c r="T407" i="14" s="1"/>
  <c r="AJ146" i="14"/>
  <c r="V146" i="14"/>
  <c r="H238" i="14"/>
  <c r="H247" i="14" s="1"/>
  <c r="P205" i="14"/>
  <c r="P206" i="14" s="1"/>
  <c r="T121" i="14"/>
  <c r="H127" i="14"/>
  <c r="J535" i="14"/>
  <c r="J536" i="14"/>
  <c r="T297" i="14"/>
  <c r="T304" i="14" s="1"/>
  <c r="J620" i="14"/>
  <c r="J619" i="14"/>
  <c r="V518" i="14"/>
  <c r="H394" i="14"/>
  <c r="H1451" i="14" s="1"/>
  <c r="H393" i="14"/>
  <c r="H1434" i="14" s="1"/>
  <c r="L371" i="14"/>
  <c r="L369" i="14"/>
  <c r="M371" i="14"/>
  <c r="M369" i="14"/>
  <c r="J369" i="14"/>
  <c r="J371" i="14"/>
  <c r="K283" i="14"/>
  <c r="K281" i="14"/>
  <c r="N283" i="14"/>
  <c r="N281" i="14"/>
  <c r="J127" i="14"/>
  <c r="J132" i="14" s="1"/>
  <c r="J133" i="14" s="1"/>
  <c r="T70" i="14"/>
  <c r="J53" i="14"/>
  <c r="J51" i="14"/>
  <c r="AJ31" i="14"/>
  <c r="V31" i="14"/>
  <c r="J352" i="14"/>
  <c r="J354" i="14"/>
  <c r="L573" i="14"/>
  <c r="L579" i="14" s="1"/>
  <c r="L580" i="14" s="1"/>
  <c r="T531" i="14"/>
  <c r="T534" i="14" s="1"/>
  <c r="T385" i="14"/>
  <c r="T391" i="14" s="1"/>
  <c r="I465" i="14"/>
  <c r="I466" i="14"/>
  <c r="O127" i="14"/>
  <c r="O132" i="14" s="1"/>
  <c r="O133" i="14" s="1"/>
  <c r="I83" i="14"/>
  <c r="I85" i="14"/>
  <c r="S85" i="14"/>
  <c r="S83" i="14"/>
  <c r="S86" i="14" s="1"/>
  <c r="S87" i="14" s="1"/>
  <c r="Q38" i="14"/>
  <c r="Q40" i="14"/>
  <c r="P38" i="14"/>
  <c r="P40" i="14"/>
  <c r="P26" i="14"/>
  <c r="P27" i="14"/>
  <c r="AJ266" i="14"/>
  <c r="T14" i="14"/>
  <c r="T23" i="14" s="1"/>
  <c r="T404" i="14" l="1"/>
  <c r="Q26" i="14"/>
  <c r="Q27" i="14"/>
  <c r="U488" i="14"/>
  <c r="T615" i="14"/>
  <c r="V615" i="14" s="1"/>
  <c r="Q308" i="14"/>
  <c r="T126" i="14"/>
  <c r="H131" i="14"/>
  <c r="O55" i="14"/>
  <c r="O56" i="14"/>
  <c r="P131" i="14"/>
  <c r="H619" i="14"/>
  <c r="V44" i="14"/>
  <c r="V46" i="14" s="1"/>
  <c r="V47" i="14" s="1"/>
  <c r="R336" i="14"/>
  <c r="M265" i="14"/>
  <c r="M131" i="14"/>
  <c r="I246" i="14"/>
  <c r="I376" i="14"/>
  <c r="H1448" i="14"/>
  <c r="J1350" i="14"/>
  <c r="I1350" i="14"/>
  <c r="J1397" i="14"/>
  <c r="P1350" i="14"/>
  <c r="M1350" i="14"/>
  <c r="S1350" i="14"/>
  <c r="V1413" i="14"/>
  <c r="M1397" i="14"/>
  <c r="V11" i="14"/>
  <c r="V12" i="14" s="1"/>
  <c r="T1455" i="14"/>
  <c r="W1455" i="14" s="1"/>
  <c r="T25" i="14"/>
  <c r="I677" i="14"/>
  <c r="R74" i="14"/>
  <c r="Q131" i="14"/>
  <c r="P56" i="14"/>
  <c r="H689" i="14"/>
  <c r="H691" i="14" s="1"/>
  <c r="AJ231" i="14"/>
  <c r="T1210" i="14"/>
  <c r="V1210" i="14" s="1"/>
  <c r="T1237" i="14"/>
  <c r="R116" i="14"/>
  <c r="R117" i="14" s="1"/>
  <c r="R131" i="14"/>
  <c r="J224" i="14"/>
  <c r="J225" i="14"/>
  <c r="M317" i="14"/>
  <c r="M318" i="14"/>
  <c r="J524" i="14"/>
  <c r="J525" i="14"/>
  <c r="J581" i="14"/>
  <c r="J583" i="14" s="1"/>
  <c r="M337" i="14"/>
  <c r="T20" i="14"/>
  <c r="T27" i="14" s="1"/>
  <c r="T521" i="14"/>
  <c r="V521" i="14" s="1"/>
  <c r="I676" i="14"/>
  <c r="I620" i="14"/>
  <c r="I619" i="14"/>
  <c r="J410" i="14"/>
  <c r="F410" i="14" s="1"/>
  <c r="J411" i="14"/>
  <c r="I689" i="14"/>
  <c r="I691" i="14" s="1"/>
  <c r="T24" i="14"/>
  <c r="J547" i="14"/>
  <c r="J546" i="14"/>
  <c r="I524" i="14"/>
  <c r="I525" i="14"/>
  <c r="V195" i="14"/>
  <c r="P43" i="14"/>
  <c r="P42" i="14"/>
  <c r="H245" i="14"/>
  <c r="H246" i="14"/>
  <c r="T238" i="14"/>
  <c r="M56" i="14"/>
  <c r="M55" i="14"/>
  <c r="U414" i="14"/>
  <c r="V414" i="14"/>
  <c r="H466" i="14"/>
  <c r="H465" i="14"/>
  <c r="S1187" i="14"/>
  <c r="S1195" i="14" s="1"/>
  <c r="S1194" i="14"/>
  <c r="L264" i="14"/>
  <c r="L265" i="14"/>
  <c r="O205" i="14"/>
  <c r="O206" i="14" s="1"/>
  <c r="O207" i="14"/>
  <c r="H502" i="14"/>
  <c r="T496" i="14"/>
  <c r="T502" i="14" s="1"/>
  <c r="N131" i="14"/>
  <c r="N116" i="14"/>
  <c r="N117" i="14" s="1"/>
  <c r="W1459" i="14"/>
  <c r="V1459" i="14"/>
  <c r="T750" i="14"/>
  <c r="V745" i="14"/>
  <c r="T749" i="14"/>
  <c r="Q1217" i="14"/>
  <c r="Q1263" i="14"/>
  <c r="T1279" i="14"/>
  <c r="T1394" i="14"/>
  <c r="T1396" i="14" s="1"/>
  <c r="T1280" i="14"/>
  <c r="T1347" i="14"/>
  <c r="T1349" i="14" s="1"/>
  <c r="S27" i="14"/>
  <c r="S26" i="14"/>
  <c r="O1194" i="14"/>
  <c r="O1187" i="14"/>
  <c r="O1195" i="14" s="1"/>
  <c r="H583" i="14"/>
  <c r="H584" i="14" s="1"/>
  <c r="O1421" i="14"/>
  <c r="O1419" i="14"/>
  <c r="T1390" i="14"/>
  <c r="T1392" i="14" s="1"/>
  <c r="T1362" i="14"/>
  <c r="T1363" i="14"/>
  <c r="V159" i="14"/>
  <c r="V158" i="14"/>
  <c r="L309" i="14"/>
  <c r="L308" i="14"/>
  <c r="I109" i="14"/>
  <c r="I108" i="14"/>
  <c r="I546" i="14"/>
  <c r="I547" i="14"/>
  <c r="V1444" i="14"/>
  <c r="S42" i="14"/>
  <c r="S43" i="14"/>
  <c r="V29" i="14"/>
  <c r="V33" i="14" s="1"/>
  <c r="AI33" i="14"/>
  <c r="AJ29" i="14"/>
  <c r="O86" i="14"/>
  <c r="O87" i="14"/>
  <c r="S375" i="14"/>
  <c r="S376" i="14"/>
  <c r="S377" i="14"/>
  <c r="S337" i="14"/>
  <c r="S336" i="14"/>
  <c r="I155" i="14"/>
  <c r="I154" i="14"/>
  <c r="T1318" i="14"/>
  <c r="T1319" i="14"/>
  <c r="T764" i="14"/>
  <c r="V760" i="14"/>
  <c r="T765" i="14"/>
  <c r="M1217" i="14"/>
  <c r="M1263" i="14"/>
  <c r="AJ169" i="14"/>
  <c r="V169" i="14"/>
  <c r="V170" i="14" s="1"/>
  <c r="T144" i="14"/>
  <c r="T143" i="14"/>
  <c r="AI136" i="14"/>
  <c r="I632" i="14"/>
  <c r="I631" i="14"/>
  <c r="O336" i="14"/>
  <c r="O337" i="14"/>
  <c r="T666" i="14"/>
  <c r="T665" i="14"/>
  <c r="V662" i="14"/>
  <c r="H1261" i="14"/>
  <c r="T1254" i="14"/>
  <c r="T1261" i="14" s="1"/>
  <c r="E1256" i="14"/>
  <c r="K1350" i="14"/>
  <c r="N1350" i="14"/>
  <c r="R1350" i="14"/>
  <c r="N42" i="14"/>
  <c r="N43" i="14"/>
  <c r="J86" i="14"/>
  <c r="J87" i="14"/>
  <c r="Q87" i="14"/>
  <c r="Q86" i="14"/>
  <c r="L289" i="14"/>
  <c r="L288" i="14"/>
  <c r="R288" i="14"/>
  <c r="R289" i="14"/>
  <c r="Q288" i="14"/>
  <c r="Q289" i="14"/>
  <c r="N376" i="14"/>
  <c r="N377" i="14"/>
  <c r="N375" i="14"/>
  <c r="I56" i="14"/>
  <c r="I55" i="14"/>
  <c r="K74" i="14"/>
  <c r="K75" i="14"/>
  <c r="P1194" i="14"/>
  <c r="P1187" i="14"/>
  <c r="P1195" i="14" s="1"/>
  <c r="H74" i="14"/>
  <c r="H75" i="14"/>
  <c r="T72" i="14"/>
  <c r="R308" i="14"/>
  <c r="R309" i="14"/>
  <c r="S131" i="14"/>
  <c r="S116" i="14"/>
  <c r="S117" i="14" s="1"/>
  <c r="P308" i="14"/>
  <c r="P309" i="14"/>
  <c r="H503" i="14"/>
  <c r="T497" i="14"/>
  <c r="T503" i="14" s="1"/>
  <c r="T1306" i="14"/>
  <c r="T1305" i="14"/>
  <c r="J205" i="14"/>
  <c r="J206" i="14" s="1"/>
  <c r="T200" i="14"/>
  <c r="V200" i="14" s="1"/>
  <c r="J207" i="14"/>
  <c r="J339" i="14"/>
  <c r="J341" i="14" s="1"/>
  <c r="O308" i="14"/>
  <c r="O309" i="14"/>
  <c r="O1263" i="14"/>
  <c r="J688" i="14"/>
  <c r="J689" i="14"/>
  <c r="J687" i="14"/>
  <c r="S1393" i="14"/>
  <c r="L1393" i="14"/>
  <c r="I1393" i="14"/>
  <c r="P289" i="14"/>
  <c r="P288" i="14"/>
  <c r="Q1187" i="14"/>
  <c r="Q1195" i="14" s="1"/>
  <c r="Q1194" i="14"/>
  <c r="N264" i="14"/>
  <c r="N265" i="14"/>
  <c r="N1260" i="14"/>
  <c r="N1421" i="14"/>
  <c r="N1419" i="14"/>
  <c r="P1397" i="14"/>
  <c r="Q1397" i="14"/>
  <c r="S1397" i="14"/>
  <c r="T51" i="14"/>
  <c r="J56" i="14"/>
  <c r="J55" i="14"/>
  <c r="N288" i="14"/>
  <c r="N289" i="14"/>
  <c r="L375" i="14"/>
  <c r="L377" i="14"/>
  <c r="L376" i="14"/>
  <c r="H607" i="14"/>
  <c r="H606" i="14"/>
  <c r="T599" i="14"/>
  <c r="V599" i="14" s="1"/>
  <c r="L1194" i="14"/>
  <c r="L1187" i="14"/>
  <c r="L1195" i="14" s="1"/>
  <c r="J97" i="14"/>
  <c r="J98" i="14"/>
  <c r="U489" i="14"/>
  <c r="V489" i="14"/>
  <c r="J749" i="14"/>
  <c r="J750" i="14"/>
  <c r="N308" i="14"/>
  <c r="N309" i="14"/>
  <c r="T524" i="14"/>
  <c r="H375" i="14"/>
  <c r="H376" i="14"/>
  <c r="H377" i="14"/>
  <c r="T369" i="14"/>
  <c r="R1187" i="14"/>
  <c r="R1195" i="14" s="1"/>
  <c r="R1194" i="14"/>
  <c r="T330" i="14"/>
  <c r="V330" i="14" s="1"/>
  <c r="K337" i="14"/>
  <c r="K336" i="14"/>
  <c r="O42" i="14"/>
  <c r="O43" i="14"/>
  <c r="O375" i="14"/>
  <c r="O376" i="14"/>
  <c r="O377" i="14"/>
  <c r="H87" i="14"/>
  <c r="T83" i="14"/>
  <c r="V83" i="14" s="1"/>
  <c r="H86" i="14"/>
  <c r="K1187" i="14"/>
  <c r="K1195" i="14" s="1"/>
  <c r="K1194" i="14"/>
  <c r="L86" i="14"/>
  <c r="L87" i="14"/>
  <c r="H43" i="14"/>
  <c r="T38" i="14"/>
  <c r="H42" i="14"/>
  <c r="I358" i="14"/>
  <c r="I359" i="14"/>
  <c r="I247" i="14"/>
  <c r="I249" i="14" s="1"/>
  <c r="I224" i="14"/>
  <c r="I225" i="14"/>
  <c r="T557" i="14"/>
  <c r="T556" i="14"/>
  <c r="I557" i="14"/>
  <c r="I556" i="14"/>
  <c r="Q207" i="14"/>
  <c r="Q205" i="14"/>
  <c r="Q206" i="14" s="1"/>
  <c r="J376" i="14"/>
  <c r="J377" i="14"/>
  <c r="J375" i="14"/>
  <c r="S1218" i="14"/>
  <c r="S1263" i="14"/>
  <c r="O27" i="14"/>
  <c r="O26" i="14"/>
  <c r="R1212" i="14"/>
  <c r="N1212" i="14"/>
  <c r="J1212" i="14"/>
  <c r="O1212" i="14"/>
  <c r="K1212" i="14"/>
  <c r="P1212" i="14"/>
  <c r="H1212" i="14"/>
  <c r="Q1212" i="14"/>
  <c r="I1212" i="14"/>
  <c r="M1212" i="14"/>
  <c r="L1212" i="14"/>
  <c r="T109" i="14"/>
  <c r="T108" i="14"/>
  <c r="L337" i="14"/>
  <c r="L336" i="14"/>
  <c r="O317" i="14"/>
  <c r="O318" i="14"/>
  <c r="M1260" i="14"/>
  <c r="K1218" i="14"/>
  <c r="K1263" i="14"/>
  <c r="Q336" i="14"/>
  <c r="Q337" i="14"/>
  <c r="Q56" i="14"/>
  <c r="Q55" i="14"/>
  <c r="V67" i="14"/>
  <c r="J632" i="14"/>
  <c r="J631" i="14"/>
  <c r="T677" i="14"/>
  <c r="T676" i="14"/>
  <c r="T536" i="14"/>
  <c r="T535" i="14"/>
  <c r="S289" i="14"/>
  <c r="S288" i="14"/>
  <c r="L318" i="14"/>
  <c r="L317" i="14"/>
  <c r="T687" i="14"/>
  <c r="T688" i="14"/>
  <c r="R265" i="14"/>
  <c r="R264" i="14"/>
  <c r="R1260" i="14"/>
  <c r="L1263" i="14"/>
  <c r="L1217" i="14"/>
  <c r="N86" i="14"/>
  <c r="N87" i="14"/>
  <c r="L55" i="14"/>
  <c r="L56" i="14"/>
  <c r="V553" i="14"/>
  <c r="I394" i="14"/>
  <c r="I1451" i="14" s="1"/>
  <c r="I1448" i="14" s="1"/>
  <c r="I393" i="14"/>
  <c r="I1434" i="14" s="1"/>
  <c r="T162" i="14"/>
  <c r="V162" i="14" s="1"/>
  <c r="H165" i="14"/>
  <c r="H166" i="14" s="1"/>
  <c r="K308" i="14"/>
  <c r="K309" i="14"/>
  <c r="T301" i="14"/>
  <c r="T1253" i="14"/>
  <c r="H1260" i="14"/>
  <c r="K42" i="14"/>
  <c r="K43" i="14"/>
  <c r="V66" i="14"/>
  <c r="AJ66" i="14"/>
  <c r="J645" i="14"/>
  <c r="P87" i="14"/>
  <c r="P86" i="14"/>
  <c r="K375" i="14"/>
  <c r="K376" i="14"/>
  <c r="K377" i="14"/>
  <c r="H179" i="14"/>
  <c r="T175" i="14"/>
  <c r="AI171" i="14" s="1"/>
  <c r="K27" i="14"/>
  <c r="K26" i="14"/>
  <c r="S308" i="14"/>
  <c r="S309" i="14"/>
  <c r="V80" i="14"/>
  <c r="T151" i="14"/>
  <c r="V151" i="14" s="1"/>
  <c r="H154" i="14"/>
  <c r="H155" i="14"/>
  <c r="T1461" i="14"/>
  <c r="V105" i="14"/>
  <c r="V101" i="14"/>
  <c r="V102" i="14"/>
  <c r="T627" i="14"/>
  <c r="H631" i="14"/>
  <c r="H632" i="14"/>
  <c r="J108" i="14"/>
  <c r="J109" i="14"/>
  <c r="K205" i="14"/>
  <c r="K206" i="14" s="1"/>
  <c r="K207" i="14"/>
  <c r="S265" i="14"/>
  <c r="S264" i="14"/>
  <c r="P318" i="14"/>
  <c r="P317" i="14"/>
  <c r="J393" i="14"/>
  <c r="J1434" i="14" s="1"/>
  <c r="J394" i="14"/>
  <c r="J1451" i="14" s="1"/>
  <c r="J1448" i="14" s="1"/>
  <c r="K318" i="14"/>
  <c r="T314" i="14"/>
  <c r="K317" i="14"/>
  <c r="T547" i="14"/>
  <c r="T546" i="14"/>
  <c r="Q1260" i="14"/>
  <c r="U491" i="14"/>
  <c r="V491" i="14"/>
  <c r="H1218" i="14"/>
  <c r="T1211" i="14"/>
  <c r="T1218" i="14" s="1"/>
  <c r="E1213" i="14"/>
  <c r="N1263" i="14"/>
  <c r="N1217" i="14"/>
  <c r="T703" i="14"/>
  <c r="AI231" i="14"/>
  <c r="O131" i="14"/>
  <c r="O116" i="14"/>
  <c r="O117" i="14" s="1"/>
  <c r="T1230" i="14"/>
  <c r="O1260" i="14"/>
  <c r="K1421" i="14"/>
  <c r="K1419" i="14"/>
  <c r="R1263" i="14"/>
  <c r="R1217" i="14"/>
  <c r="L1397" i="14"/>
  <c r="K1397" i="14"/>
  <c r="N1397" i="14"/>
  <c r="V1314" i="14"/>
  <c r="R205" i="14"/>
  <c r="R206" i="14" s="1"/>
  <c r="R207" i="14"/>
  <c r="T654" i="14"/>
  <c r="T655" i="14"/>
  <c r="V651" i="14"/>
  <c r="T259" i="14"/>
  <c r="J265" i="14"/>
  <c r="J264" i="14"/>
  <c r="T619" i="14"/>
  <c r="J1263" i="14"/>
  <c r="J1217" i="14"/>
  <c r="J183" i="14"/>
  <c r="J181" i="14"/>
  <c r="J27" i="14"/>
  <c r="J26" i="14"/>
  <c r="P337" i="14"/>
  <c r="P336" i="14"/>
  <c r="P1260" i="14"/>
  <c r="H579" i="14"/>
  <c r="H580" i="14" s="1"/>
  <c r="T573" i="14"/>
  <c r="N336" i="14"/>
  <c r="N337" i="14"/>
  <c r="K510" i="14"/>
  <c r="K511" i="14" s="1"/>
  <c r="L508" i="14"/>
  <c r="U1434" i="14"/>
  <c r="T1293" i="14"/>
  <c r="T1292" i="14"/>
  <c r="V1288" i="14"/>
  <c r="H1194" i="14"/>
  <c r="T1186" i="14"/>
  <c r="H1187" i="14"/>
  <c r="H1195" i="14" s="1"/>
  <c r="U1444" i="14"/>
  <c r="M207" i="14"/>
  <c r="M205" i="14"/>
  <c r="M206" i="14" s="1"/>
  <c r="M288" i="14"/>
  <c r="M289" i="14"/>
  <c r="P375" i="14"/>
  <c r="P376" i="14"/>
  <c r="P377" i="14"/>
  <c r="H427" i="14"/>
  <c r="H428" i="14"/>
  <c r="T421" i="14"/>
  <c r="J42" i="14"/>
  <c r="F42" i="14" s="1"/>
  <c r="J43" i="14"/>
  <c r="T131" i="14"/>
  <c r="T116" i="14"/>
  <c r="T117" i="14" s="1"/>
  <c r="H358" i="14"/>
  <c r="T352" i="14"/>
  <c r="H359" i="14"/>
  <c r="K1158" i="14"/>
  <c r="L1120" i="14"/>
  <c r="I43" i="14"/>
  <c r="I42" i="14"/>
  <c r="I181" i="14"/>
  <c r="I183" i="14"/>
  <c r="T411" i="14"/>
  <c r="V404" i="14"/>
  <c r="T410" i="14"/>
  <c r="I410" i="14"/>
  <c r="I411" i="14"/>
  <c r="Q43" i="14"/>
  <c r="Q42" i="14"/>
  <c r="I87" i="14"/>
  <c r="I86" i="14"/>
  <c r="J359" i="14"/>
  <c r="J358" i="14"/>
  <c r="F359" i="14" s="1"/>
  <c r="T127" i="14"/>
  <c r="H132" i="14"/>
  <c r="H133" i="14" s="1"/>
  <c r="J75" i="14"/>
  <c r="J74" i="14"/>
  <c r="T218" i="14"/>
  <c r="T445" i="14"/>
  <c r="T459" i="14"/>
  <c r="I98" i="14"/>
  <c r="I97" i="14"/>
  <c r="N205" i="14"/>
  <c r="N206" i="14" s="1"/>
  <c r="N207" i="14"/>
  <c r="T281" i="14"/>
  <c r="K289" i="14"/>
  <c r="K288" i="14"/>
  <c r="M377" i="14"/>
  <c r="M375" i="14"/>
  <c r="M376" i="14"/>
  <c r="T387" i="14"/>
  <c r="V148" i="14"/>
  <c r="V147" i="14"/>
  <c r="T505" i="14"/>
  <c r="T506" i="14"/>
  <c r="H249" i="14"/>
  <c r="H1263" i="14"/>
  <c r="M1187" i="14"/>
  <c r="M1195" i="14" s="1"/>
  <c r="M1194" i="14"/>
  <c r="P74" i="14"/>
  <c r="P75" i="14"/>
  <c r="K1260" i="14"/>
  <c r="K265" i="14"/>
  <c r="K264" i="14"/>
  <c r="I535" i="14"/>
  <c r="I536" i="14"/>
  <c r="I581" i="14"/>
  <c r="I583" i="14" s="1"/>
  <c r="H578" i="14"/>
  <c r="T572" i="14"/>
  <c r="T578" i="14" s="1"/>
  <c r="P1263" i="14"/>
  <c r="T94" i="14"/>
  <c r="U1160" i="14"/>
  <c r="V1160" i="14"/>
  <c r="V1167" i="14" s="1"/>
  <c r="L43" i="14"/>
  <c r="L42" i="14"/>
  <c r="M87" i="14"/>
  <c r="M86" i="14"/>
  <c r="Q377" i="14"/>
  <c r="Q376" i="14"/>
  <c r="Q375" i="14"/>
  <c r="N1187" i="14"/>
  <c r="N1195" i="14" s="1"/>
  <c r="N1194" i="14"/>
  <c r="S205" i="14"/>
  <c r="S206" i="14" s="1"/>
  <c r="S207" i="14"/>
  <c r="T1171" i="14"/>
  <c r="H1193" i="14"/>
  <c r="H1192" i="14"/>
  <c r="H1191" i="14"/>
  <c r="I1260" i="14"/>
  <c r="H1421" i="14"/>
  <c r="T1416" i="14"/>
  <c r="H1419" i="14"/>
  <c r="R42" i="14"/>
  <c r="R43" i="14"/>
  <c r="K86" i="14"/>
  <c r="K87" i="14"/>
  <c r="M43" i="14"/>
  <c r="M42" i="14"/>
  <c r="R376" i="14"/>
  <c r="R377" i="14"/>
  <c r="R375" i="14"/>
  <c r="V592" i="14"/>
  <c r="R1255" i="14"/>
  <c r="N1255" i="14"/>
  <c r="J1255" i="14"/>
  <c r="O1255" i="14"/>
  <c r="K1255" i="14"/>
  <c r="L1255" i="14"/>
  <c r="M1255" i="14"/>
  <c r="H1255" i="14"/>
  <c r="I1255" i="14"/>
  <c r="P1255" i="14"/>
  <c r="Q1255" i="14"/>
  <c r="H1238" i="14"/>
  <c r="T1231" i="14"/>
  <c r="T1238" i="14" s="1"/>
  <c r="E1233" i="14"/>
  <c r="O1350" i="14"/>
  <c r="L1350" i="14"/>
  <c r="Q1350" i="14"/>
  <c r="V324" i="14"/>
  <c r="L207" i="14"/>
  <c r="L205" i="14"/>
  <c r="L206" i="14" s="1"/>
  <c r="V59" i="14"/>
  <c r="V61" i="14"/>
  <c r="O288" i="14"/>
  <c r="O289" i="14"/>
  <c r="H183" i="14"/>
  <c r="H181" i="14"/>
  <c r="J1187" i="14"/>
  <c r="J1195" i="14" s="1"/>
  <c r="J1194" i="14"/>
  <c r="AI101" i="14"/>
  <c r="Q264" i="14"/>
  <c r="Q265" i="14"/>
  <c r="U490" i="14"/>
  <c r="V490" i="14"/>
  <c r="J131" i="14"/>
  <c r="J116" i="14"/>
  <c r="J117" i="14" s="1"/>
  <c r="J1260" i="14"/>
  <c r="H504" i="14"/>
  <c r="T498" i="14"/>
  <c r="T504" i="14" s="1"/>
  <c r="I1187" i="14"/>
  <c r="I1195" i="14" s="1"/>
  <c r="I1194" i="14"/>
  <c r="O1393" i="14"/>
  <c r="R1393" i="14"/>
  <c r="I644" i="14"/>
  <c r="I645" i="14"/>
  <c r="I643" i="14"/>
  <c r="K131" i="14"/>
  <c r="K116" i="14"/>
  <c r="K117" i="14" s="1"/>
  <c r="N27" i="14"/>
  <c r="N26" i="14"/>
  <c r="H645" i="14"/>
  <c r="H644" i="14"/>
  <c r="H643" i="14"/>
  <c r="T639" i="14"/>
  <c r="O265" i="14"/>
  <c r="O264" i="14"/>
  <c r="E1232" i="14"/>
  <c r="L1260" i="14"/>
  <c r="I1217" i="14"/>
  <c r="I1263" i="14"/>
  <c r="I1397" i="14"/>
  <c r="O1397" i="14"/>
  <c r="R1397" i="14"/>
  <c r="V51" i="14" l="1"/>
  <c r="U1455" i="14"/>
  <c r="T620" i="14"/>
  <c r="V1455" i="14"/>
  <c r="V1434" i="14"/>
  <c r="U492" i="14"/>
  <c r="AI12" i="14"/>
  <c r="H429" i="14"/>
  <c r="AI47" i="14"/>
  <c r="T26" i="14"/>
  <c r="T1217" i="14"/>
  <c r="T247" i="14"/>
  <c r="T249" i="14" s="1"/>
  <c r="T1448" i="14"/>
  <c r="V1448" i="14" s="1"/>
  <c r="V1479" i="14" s="1"/>
  <c r="Q584" i="14"/>
  <c r="I429" i="14"/>
  <c r="I431" i="14" s="1"/>
  <c r="V492" i="14"/>
  <c r="V499" i="14" s="1"/>
  <c r="V183" i="14"/>
  <c r="V1109" i="14" s="1"/>
  <c r="T525" i="14"/>
  <c r="V20" i="14"/>
  <c r="O584" i="14"/>
  <c r="T183" i="14"/>
  <c r="R584" i="14"/>
  <c r="V171" i="14"/>
  <c r="V175" i="14"/>
  <c r="U1448" i="14"/>
  <c r="U1479" i="14" s="1"/>
  <c r="T1422" i="14"/>
  <c r="T1419" i="14"/>
  <c r="T225" i="14"/>
  <c r="T224" i="14"/>
  <c r="V218" i="14"/>
  <c r="V122" i="14"/>
  <c r="T132" i="14"/>
  <c r="L1158" i="14"/>
  <c r="M1120" i="14"/>
  <c r="T579" i="14"/>
  <c r="T580" i="14" s="1"/>
  <c r="V573" i="14"/>
  <c r="V301" i="14"/>
  <c r="T309" i="14"/>
  <c r="T308" i="14"/>
  <c r="T165" i="14"/>
  <c r="T166" i="14"/>
  <c r="AI158" i="14"/>
  <c r="T55" i="14"/>
  <c r="T56" i="14"/>
  <c r="Q1256" i="14"/>
  <c r="Q1262" i="14" s="1"/>
  <c r="M1256" i="14"/>
  <c r="M1262" i="14" s="1"/>
  <c r="I1256" i="14"/>
  <c r="I1262" i="14" s="1"/>
  <c r="R1256" i="14"/>
  <c r="R1262" i="14" s="1"/>
  <c r="N1256" i="14"/>
  <c r="N1262" i="14" s="1"/>
  <c r="J1256" i="14"/>
  <c r="J1262" i="14" s="1"/>
  <c r="O1256" i="14"/>
  <c r="O1262" i="14" s="1"/>
  <c r="P1256" i="14"/>
  <c r="P1262" i="14" s="1"/>
  <c r="H1256" i="14"/>
  <c r="K1256" i="14"/>
  <c r="K1262" i="14" s="1"/>
  <c r="L1256" i="14"/>
  <c r="L1262" i="14" s="1"/>
  <c r="S1256" i="14"/>
  <c r="S1262" i="14" s="1"/>
  <c r="V38" i="14"/>
  <c r="V34" i="14"/>
  <c r="P584" i="14"/>
  <c r="N584" i="14"/>
  <c r="M584" i="14"/>
  <c r="T245" i="14"/>
  <c r="T246" i="14"/>
  <c r="V238" i="14"/>
  <c r="Q1233" i="14"/>
  <c r="M1233" i="14"/>
  <c r="I1233" i="14"/>
  <c r="R1233" i="14"/>
  <c r="N1233" i="14"/>
  <c r="J1233" i="14"/>
  <c r="O1233" i="14"/>
  <c r="P1233" i="14"/>
  <c r="H1233" i="14"/>
  <c r="L1233" i="14"/>
  <c r="S1233" i="14"/>
  <c r="S1239" i="14" s="1"/>
  <c r="K1233" i="14"/>
  <c r="T394" i="14"/>
  <c r="T393" i="14"/>
  <c r="V387" i="14"/>
  <c r="T427" i="14"/>
  <c r="V421" i="14"/>
  <c r="T428" i="14"/>
  <c r="T1212" i="14"/>
  <c r="T74" i="14"/>
  <c r="T75" i="14"/>
  <c r="U183" i="14"/>
  <c r="U1109" i="14" s="1"/>
  <c r="T645" i="14"/>
  <c r="T643" i="14"/>
  <c r="T644" i="14"/>
  <c r="V639" i="14"/>
  <c r="T466" i="14"/>
  <c r="T465" i="14"/>
  <c r="V459" i="14"/>
  <c r="T264" i="14"/>
  <c r="T265" i="14"/>
  <c r="V259" i="14"/>
  <c r="T154" i="14"/>
  <c r="T155" i="14"/>
  <c r="AI147" i="14"/>
  <c r="V1253" i="14"/>
  <c r="AI68" i="14"/>
  <c r="T86" i="14"/>
  <c r="T87" i="14"/>
  <c r="AI79" i="14"/>
  <c r="T375" i="14"/>
  <c r="T377" i="14"/>
  <c r="V369" i="14"/>
  <c r="T376" i="14"/>
  <c r="T606" i="14"/>
  <c r="T607" i="14"/>
  <c r="J691" i="14"/>
  <c r="J429" i="14"/>
  <c r="J431" i="14" s="1"/>
  <c r="S584" i="14"/>
  <c r="L584" i="14"/>
  <c r="T581" i="14"/>
  <c r="I1422" i="14"/>
  <c r="J1422" i="14"/>
  <c r="H1422" i="14"/>
  <c r="O1422" i="14"/>
  <c r="R1422" i="14"/>
  <c r="N1422" i="14"/>
  <c r="K1422" i="14"/>
  <c r="Q1422" i="14"/>
  <c r="L1422" i="14"/>
  <c r="P1422" i="14"/>
  <c r="S1422" i="14"/>
  <c r="M1422" i="14"/>
  <c r="T97" i="14"/>
  <c r="T98" i="14"/>
  <c r="AI90" i="14"/>
  <c r="V94" i="14"/>
  <c r="V1230" i="14"/>
  <c r="T708" i="14"/>
  <c r="V703" i="14"/>
  <c r="T318" i="14"/>
  <c r="V314" i="14"/>
  <c r="T317" i="14"/>
  <c r="T180" i="14"/>
  <c r="T179" i="14"/>
  <c r="T1260" i="14"/>
  <c r="V72" i="14"/>
  <c r="V68" i="14"/>
  <c r="T1263" i="14"/>
  <c r="T207" i="14"/>
  <c r="T206" i="14"/>
  <c r="T205" i="14"/>
  <c r="T341" i="14"/>
  <c r="R1232" i="14"/>
  <c r="N1232" i="14"/>
  <c r="J1232" i="14"/>
  <c r="O1232" i="14"/>
  <c r="K1232" i="14"/>
  <c r="L1232" i="14"/>
  <c r="M1232" i="14"/>
  <c r="I1232" i="14"/>
  <c r="P1232" i="14"/>
  <c r="Q1232" i="14"/>
  <c r="H1232" i="14"/>
  <c r="T1255" i="14"/>
  <c r="V1168" i="14"/>
  <c r="V1186" i="14"/>
  <c r="T289" i="14"/>
  <c r="T288" i="14"/>
  <c r="V281" i="14"/>
  <c r="V352" i="14"/>
  <c r="T359" i="14"/>
  <c r="T358" i="14"/>
  <c r="T1194" i="14"/>
  <c r="T1187" i="14"/>
  <c r="T1195" i="14" s="1"/>
  <c r="L510" i="14"/>
  <c r="L511" i="14" s="1"/>
  <c r="M508" i="14"/>
  <c r="Q1213" i="14"/>
  <c r="M1213" i="14"/>
  <c r="M1219" i="14" s="1"/>
  <c r="I1213" i="14"/>
  <c r="R1213" i="14"/>
  <c r="N1213" i="14"/>
  <c r="J1213" i="14"/>
  <c r="J1219" i="14" s="1"/>
  <c r="S1213" i="14"/>
  <c r="K1213" i="14"/>
  <c r="L1213" i="14"/>
  <c r="H1213" i="14"/>
  <c r="O1213" i="14"/>
  <c r="O1219" i="14" s="1"/>
  <c r="P1213" i="14"/>
  <c r="T632" i="14"/>
  <c r="T631" i="14"/>
  <c r="V627" i="14"/>
  <c r="U1461" i="14"/>
  <c r="V1461" i="14"/>
  <c r="W1461" i="14"/>
  <c r="T43" i="14"/>
  <c r="T42" i="14"/>
  <c r="T337" i="14"/>
  <c r="T336" i="14"/>
  <c r="AI34" i="14"/>
  <c r="K584" i="14"/>
  <c r="J584" i="14"/>
  <c r="I584" i="14"/>
  <c r="U1110" i="14" l="1"/>
  <c r="I432" i="14"/>
  <c r="W1448" i="14"/>
  <c r="H431" i="14"/>
  <c r="H432" i="14" s="1"/>
  <c r="V493" i="14"/>
  <c r="V1473" i="14"/>
  <c r="K1264" i="14"/>
  <c r="K1265" i="14" s="1"/>
  <c r="R1264" i="14"/>
  <c r="R1265" i="14" s="1"/>
  <c r="H1240" i="14"/>
  <c r="J1264" i="14"/>
  <c r="J1265" i="14" s="1"/>
  <c r="I1264" i="14"/>
  <c r="I1265" i="14" s="1"/>
  <c r="L432" i="14"/>
  <c r="S432" i="14"/>
  <c r="L1264" i="14"/>
  <c r="L1265" i="14" s="1"/>
  <c r="Q1264" i="14"/>
  <c r="Q1265" i="14" s="1"/>
  <c r="J1239" i="14"/>
  <c r="M1239" i="14"/>
  <c r="M1240" i="14"/>
  <c r="T1213" i="14"/>
  <c r="H1219" i="14"/>
  <c r="T1232" i="14"/>
  <c r="M1264" i="14"/>
  <c r="M1265" i="14" s="1"/>
  <c r="R432" i="14"/>
  <c r="K432" i="14"/>
  <c r="Q432" i="14"/>
  <c r="O1239" i="14"/>
  <c r="I1239" i="14"/>
  <c r="O1240" i="14"/>
  <c r="M1158" i="14"/>
  <c r="N1120" i="14"/>
  <c r="V1478" i="14"/>
  <c r="N1219" i="14"/>
  <c r="N1240" i="14"/>
  <c r="L1239" i="14"/>
  <c r="U1473" i="14"/>
  <c r="U1481" i="14"/>
  <c r="U1478" i="14"/>
  <c r="P1219" i="14"/>
  <c r="P1240" i="14"/>
  <c r="K1240" i="14"/>
  <c r="K1219" i="14"/>
  <c r="R1240" i="14"/>
  <c r="R1219" i="14"/>
  <c r="M510" i="14"/>
  <c r="M511" i="14" s="1"/>
  <c r="T508" i="14"/>
  <c r="T510" i="14" s="1"/>
  <c r="T511" i="14" s="1"/>
  <c r="N1264" i="14"/>
  <c r="N1265" i="14" s="1"/>
  <c r="N432" i="14"/>
  <c r="P432" i="14"/>
  <c r="T1233" i="14"/>
  <c r="T1239" i="14" s="1"/>
  <c r="H1239" i="14"/>
  <c r="N1239" i="14"/>
  <c r="Q1239" i="14"/>
  <c r="T133" i="14"/>
  <c r="T1434" i="14"/>
  <c r="T1473" i="14" s="1"/>
  <c r="L1219" i="14"/>
  <c r="L1240" i="14"/>
  <c r="Q1219" i="14"/>
  <c r="Q1240" i="14"/>
  <c r="O1264" i="14"/>
  <c r="O1265" i="14" s="1"/>
  <c r="S1264" i="14"/>
  <c r="S1265" i="14" s="1"/>
  <c r="S1240" i="14"/>
  <c r="S1219" i="14"/>
  <c r="I1219" i="14"/>
  <c r="I1240" i="14"/>
  <c r="T584" i="14"/>
  <c r="T583" i="14"/>
  <c r="P1264" i="14"/>
  <c r="P1265" i="14" s="1"/>
  <c r="O432" i="14"/>
  <c r="J432" i="14"/>
  <c r="M432" i="14"/>
  <c r="H1264" i="14"/>
  <c r="H1265" i="14" s="1"/>
  <c r="K1239" i="14"/>
  <c r="P1239" i="14"/>
  <c r="R1239" i="14"/>
  <c r="T1256" i="14"/>
  <c r="T1262" i="14" s="1"/>
  <c r="H1262" i="14"/>
  <c r="V115" i="14"/>
  <c r="V127" i="14"/>
  <c r="J1240" i="14"/>
  <c r="T1264" i="14" l="1"/>
  <c r="T1265" i="14" s="1"/>
  <c r="N1158" i="14"/>
  <c r="O1120" i="14"/>
  <c r="T1219" i="14"/>
  <c r="T1240" i="14"/>
  <c r="P1120" i="14" l="1"/>
  <c r="O1158" i="14"/>
  <c r="P1158" i="14" l="1"/>
  <c r="Q1120" i="14"/>
  <c r="R1120" i="14" l="1"/>
  <c r="Q1158" i="14"/>
  <c r="R1158" i="14" l="1"/>
  <c r="S1120" i="14"/>
  <c r="S1158" i="14" s="1"/>
  <c r="W1458" i="9" l="1"/>
  <c r="W1457" i="9"/>
  <c r="T1455" i="9"/>
  <c r="V1455" i="9" s="1"/>
  <c r="T1454" i="9"/>
  <c r="V1454" i="9" s="1"/>
  <c r="J1448" i="9"/>
  <c r="I1448" i="9"/>
  <c r="H1448" i="9"/>
  <c r="T1448" i="9" s="1"/>
  <c r="V1448" i="9" s="1"/>
  <c r="J1446" i="9"/>
  <c r="I1446" i="9"/>
  <c r="H1446" i="9"/>
  <c r="T1446" i="9" s="1"/>
  <c r="E1446" i="9"/>
  <c r="J1444" i="9"/>
  <c r="I1444" i="9"/>
  <c r="H1444" i="9"/>
  <c r="J1442" i="9"/>
  <c r="I1442" i="9"/>
  <c r="H1442" i="9"/>
  <c r="J1436" i="9"/>
  <c r="I1436" i="9"/>
  <c r="G1434" i="9"/>
  <c r="J1432" i="9"/>
  <c r="I1432" i="9"/>
  <c r="H1432" i="9"/>
  <c r="V1428" i="9"/>
  <c r="U1428" i="9"/>
  <c r="T1425" i="9"/>
  <c r="S1422" i="9"/>
  <c r="R1422" i="9"/>
  <c r="Q1422" i="9"/>
  <c r="P1422" i="9"/>
  <c r="O1422" i="9"/>
  <c r="N1422" i="9"/>
  <c r="M1422" i="9"/>
  <c r="L1422" i="9"/>
  <c r="K1422" i="9"/>
  <c r="J1422" i="9"/>
  <c r="I1422" i="9"/>
  <c r="H1422" i="9"/>
  <c r="S1421" i="9"/>
  <c r="R1421" i="9"/>
  <c r="Q1421" i="9"/>
  <c r="P1421" i="9"/>
  <c r="O1421" i="9"/>
  <c r="N1421" i="9"/>
  <c r="M1421" i="9"/>
  <c r="L1421" i="9"/>
  <c r="K1421" i="9"/>
  <c r="J1421" i="9"/>
  <c r="I1421" i="9"/>
  <c r="H1421" i="9"/>
  <c r="T1420" i="9"/>
  <c r="T1419" i="9"/>
  <c r="V1419" i="9" s="1"/>
  <c r="S1418" i="9"/>
  <c r="R1418" i="9"/>
  <c r="Q1418" i="9"/>
  <c r="Q1423" i="9" s="1"/>
  <c r="P1418" i="9"/>
  <c r="O1418" i="9"/>
  <c r="N1418" i="9"/>
  <c r="M1418" i="9"/>
  <c r="L1418" i="9"/>
  <c r="K1418" i="9"/>
  <c r="J1418" i="9"/>
  <c r="I1418" i="9"/>
  <c r="H1418" i="9"/>
  <c r="S1417" i="9"/>
  <c r="R1417" i="9"/>
  <c r="Q1417" i="9"/>
  <c r="P1417" i="9"/>
  <c r="O1417" i="9"/>
  <c r="N1417" i="9"/>
  <c r="M1417" i="9"/>
  <c r="L1417" i="9"/>
  <c r="K1417" i="9"/>
  <c r="J1417" i="9"/>
  <c r="I1417" i="9"/>
  <c r="H1417" i="9"/>
  <c r="S1416" i="9"/>
  <c r="R1416" i="9"/>
  <c r="Q1416" i="9"/>
  <c r="P1416" i="9"/>
  <c r="P1415" i="9" s="1"/>
  <c r="O1416" i="9"/>
  <c r="N1416" i="9"/>
  <c r="M1416" i="9"/>
  <c r="L1416" i="9"/>
  <c r="L1415" i="9" s="1"/>
  <c r="L1424" i="9" s="1"/>
  <c r="K1416" i="9"/>
  <c r="J1416" i="9"/>
  <c r="I1416" i="9"/>
  <c r="H1416" i="9"/>
  <c r="H1415" i="9" s="1"/>
  <c r="S1415" i="9"/>
  <c r="O1415" i="9"/>
  <c r="O1424" i="9" s="1"/>
  <c r="K1415" i="9"/>
  <c r="K1397" i="9"/>
  <c r="J1397" i="9"/>
  <c r="I1397" i="9"/>
  <c r="H1397" i="9"/>
  <c r="E1395" i="9"/>
  <c r="K1394" i="9"/>
  <c r="K1399" i="9" s="1"/>
  <c r="J1394" i="9"/>
  <c r="J1399" i="9" s="1"/>
  <c r="I1394" i="9"/>
  <c r="H1394" i="9"/>
  <c r="H1399" i="9" s="1"/>
  <c r="F1392" i="9"/>
  <c r="E1392" i="9"/>
  <c r="T1390" i="9"/>
  <c r="T1389" i="9"/>
  <c r="U1389" i="9" s="1"/>
  <c r="U1391" i="9" s="1"/>
  <c r="S1383" i="9"/>
  <c r="R1383" i="9"/>
  <c r="Q1383" i="9"/>
  <c r="P1383" i="9"/>
  <c r="O1383" i="9"/>
  <c r="N1383" i="9"/>
  <c r="M1383" i="9"/>
  <c r="L1383" i="9"/>
  <c r="K1383" i="9"/>
  <c r="J1383" i="9"/>
  <c r="I1383" i="9"/>
  <c r="H1383" i="9"/>
  <c r="S1382" i="9"/>
  <c r="S1384" i="9" s="1"/>
  <c r="R1382" i="9"/>
  <c r="Q1382" i="9"/>
  <c r="Q1386" i="9" s="1"/>
  <c r="P1382" i="9"/>
  <c r="P1386" i="9" s="1"/>
  <c r="O1382" i="9"/>
  <c r="O1384" i="9" s="1"/>
  <c r="N1382" i="9"/>
  <c r="M1382" i="9"/>
  <c r="M1386" i="9" s="1"/>
  <c r="L1382" i="9"/>
  <c r="L1384" i="9" s="1"/>
  <c r="K1382" i="9"/>
  <c r="K1384" i="9" s="1"/>
  <c r="J1382" i="9"/>
  <c r="I1382" i="9"/>
  <c r="I1386" i="9" s="1"/>
  <c r="H1382" i="9"/>
  <c r="H1386" i="9" s="1"/>
  <c r="T1380" i="9"/>
  <c r="V1379" i="9"/>
  <c r="U1379" i="9"/>
  <c r="T1378" i="9"/>
  <c r="S1363" i="9"/>
  <c r="R1363" i="9"/>
  <c r="P1363" i="9"/>
  <c r="O1363" i="9"/>
  <c r="M1363" i="9"/>
  <c r="L1363" i="9"/>
  <c r="K1363" i="9"/>
  <c r="J1363" i="9"/>
  <c r="I1363" i="9"/>
  <c r="H1363" i="9"/>
  <c r="S1361" i="9"/>
  <c r="S1365" i="9" s="1"/>
  <c r="R1361" i="9"/>
  <c r="R1365" i="9" s="1"/>
  <c r="P1361" i="9"/>
  <c r="P1365" i="9" s="1"/>
  <c r="O1361" i="9"/>
  <c r="O1365" i="9" s="1"/>
  <c r="N1361" i="9"/>
  <c r="M1361" i="9"/>
  <c r="M1365" i="9" s="1"/>
  <c r="L1361" i="9"/>
  <c r="L1365" i="9" s="1"/>
  <c r="K1361" i="9"/>
  <c r="K1365" i="9" s="1"/>
  <c r="J1361" i="9"/>
  <c r="J1365" i="9" s="1"/>
  <c r="I1361" i="9"/>
  <c r="H1361" i="9"/>
  <c r="S1360" i="9"/>
  <c r="S1364" i="9" s="1"/>
  <c r="R1360" i="9"/>
  <c r="R1364" i="9" s="1"/>
  <c r="P1360" i="9"/>
  <c r="O1360" i="9"/>
  <c r="O1362" i="9" s="1"/>
  <c r="N1360" i="9"/>
  <c r="M1360" i="9"/>
  <c r="M1364" i="9" s="1"/>
  <c r="L1360" i="9"/>
  <c r="K1360" i="9"/>
  <c r="K1362" i="9" s="1"/>
  <c r="J1360" i="9"/>
  <c r="J1364" i="9" s="1"/>
  <c r="I1360" i="9"/>
  <c r="I1364" i="9" s="1"/>
  <c r="H1360" i="9"/>
  <c r="N1358" i="9"/>
  <c r="T1356" i="9"/>
  <c r="T1355" i="9"/>
  <c r="S1350" i="9"/>
  <c r="R1350" i="9"/>
  <c r="Q1350" i="9"/>
  <c r="P1350" i="9"/>
  <c r="O1350" i="9"/>
  <c r="N1350" i="9"/>
  <c r="M1350" i="9"/>
  <c r="L1350" i="9"/>
  <c r="K1350" i="9"/>
  <c r="J1350" i="9"/>
  <c r="I1350" i="9"/>
  <c r="H1350" i="9"/>
  <c r="T1350" i="9" s="1"/>
  <c r="S1348" i="9"/>
  <c r="S1352" i="9" s="1"/>
  <c r="R1348" i="9"/>
  <c r="R1352" i="9" s="1"/>
  <c r="Q1348" i="9"/>
  <c r="Q1352" i="9" s="1"/>
  <c r="P1348" i="9"/>
  <c r="P1352" i="9" s="1"/>
  <c r="O1348" i="9"/>
  <c r="N1348" i="9"/>
  <c r="N1352" i="9" s="1"/>
  <c r="M1348" i="9"/>
  <c r="M1352" i="9" s="1"/>
  <c r="L1348" i="9"/>
  <c r="L1352" i="9" s="1"/>
  <c r="K1348" i="9"/>
  <c r="J1348" i="9"/>
  <c r="J1352" i="9" s="1"/>
  <c r="I1348" i="9"/>
  <c r="I1352" i="9" s="1"/>
  <c r="H1348" i="9"/>
  <c r="H1352" i="9" s="1"/>
  <c r="S1347" i="9"/>
  <c r="S1351" i="9" s="1"/>
  <c r="R1347" i="9"/>
  <c r="R1351" i="9" s="1"/>
  <c r="Q1347" i="9"/>
  <c r="P1347" i="9"/>
  <c r="O1347" i="9"/>
  <c r="O1351" i="9" s="1"/>
  <c r="N1347" i="9"/>
  <c r="N1351" i="9" s="1"/>
  <c r="M1347" i="9"/>
  <c r="L1347" i="9"/>
  <c r="K1347" i="9"/>
  <c r="K1351" i="9" s="1"/>
  <c r="J1347" i="9"/>
  <c r="J1351" i="9" s="1"/>
  <c r="I1347" i="9"/>
  <c r="H1347" i="9"/>
  <c r="T1345" i="9"/>
  <c r="T1343" i="9"/>
  <c r="T1342" i="9"/>
  <c r="V1342" i="9" s="1"/>
  <c r="S1335" i="9"/>
  <c r="R1335" i="9"/>
  <c r="Q1335" i="9"/>
  <c r="P1335" i="9"/>
  <c r="N1335" i="9"/>
  <c r="I1335" i="9"/>
  <c r="S1333" i="9"/>
  <c r="S1337" i="9" s="1"/>
  <c r="R1333" i="9"/>
  <c r="R1337" i="9" s="1"/>
  <c r="Q1333" i="9"/>
  <c r="Q1337" i="9" s="1"/>
  <c r="P1333" i="9"/>
  <c r="P1337" i="9" s="1"/>
  <c r="O1333" i="9"/>
  <c r="N1333" i="9"/>
  <c r="N1337" i="9" s="1"/>
  <c r="M1333" i="9"/>
  <c r="L1333" i="9"/>
  <c r="K1333" i="9"/>
  <c r="J1333" i="9"/>
  <c r="I1333" i="9"/>
  <c r="H1333" i="9"/>
  <c r="S1332" i="9"/>
  <c r="R1332" i="9"/>
  <c r="R1334" i="9" s="1"/>
  <c r="R1338" i="9" s="1"/>
  <c r="Q1332" i="9"/>
  <c r="Q1336" i="9" s="1"/>
  <c r="P1332" i="9"/>
  <c r="P1336" i="9" s="1"/>
  <c r="O1332" i="9"/>
  <c r="N1332" i="9"/>
  <c r="N1334" i="9" s="1"/>
  <c r="N1338" i="9" s="1"/>
  <c r="M1332" i="9"/>
  <c r="M1334" i="9" s="1"/>
  <c r="L1332" i="9"/>
  <c r="L1334" i="9" s="1"/>
  <c r="K1332" i="9"/>
  <c r="J1332" i="9"/>
  <c r="J1334" i="9" s="1"/>
  <c r="J1338" i="9" s="1"/>
  <c r="I1332" i="9"/>
  <c r="I1336" i="9" s="1"/>
  <c r="H1332" i="9"/>
  <c r="O1330" i="9"/>
  <c r="O1335" i="9" s="1"/>
  <c r="M1330" i="9"/>
  <c r="M1335" i="9" s="1"/>
  <c r="L1330" i="9"/>
  <c r="K1330" i="9"/>
  <c r="K1335" i="9" s="1"/>
  <c r="J1330" i="9"/>
  <c r="J1335" i="9" s="1"/>
  <c r="H1330" i="9"/>
  <c r="H1335" i="9" s="1"/>
  <c r="T1328" i="9"/>
  <c r="V1327" i="9"/>
  <c r="T1327" i="9"/>
  <c r="U1327" i="9" s="1"/>
  <c r="S1322" i="9"/>
  <c r="R1322" i="9"/>
  <c r="P1322" i="9"/>
  <c r="S1320" i="9"/>
  <c r="S1324" i="9" s="1"/>
  <c r="R1320" i="9"/>
  <c r="R1324" i="9" s="1"/>
  <c r="Q1320" i="9"/>
  <c r="P1320" i="9"/>
  <c r="P1324" i="9" s="1"/>
  <c r="O1320" i="9"/>
  <c r="N1320" i="9"/>
  <c r="M1320" i="9"/>
  <c r="L1320" i="9"/>
  <c r="K1320" i="9"/>
  <c r="J1320" i="9"/>
  <c r="I1320" i="9"/>
  <c r="H1320" i="9"/>
  <c r="S1319" i="9"/>
  <c r="R1319" i="9"/>
  <c r="R1323" i="9" s="1"/>
  <c r="Q1319" i="9"/>
  <c r="Q1321" i="9" s="1"/>
  <c r="P1319" i="9"/>
  <c r="O1319" i="9"/>
  <c r="O1321" i="9" s="1"/>
  <c r="N1319" i="9"/>
  <c r="M1319" i="9"/>
  <c r="L1319" i="9"/>
  <c r="K1319" i="9"/>
  <c r="J1319" i="9"/>
  <c r="J1321" i="9" s="1"/>
  <c r="I1319" i="9"/>
  <c r="H1319" i="9"/>
  <c r="Q1317" i="9"/>
  <c r="Q1322" i="9" s="1"/>
  <c r="O1317" i="9"/>
  <c r="O1322" i="9" s="1"/>
  <c r="O1326" i="9" s="1"/>
  <c r="N1317" i="9"/>
  <c r="N1322" i="9" s="1"/>
  <c r="M1317" i="9"/>
  <c r="M1322" i="9" s="1"/>
  <c r="L1317" i="9"/>
  <c r="L1322" i="9" s="1"/>
  <c r="K1317" i="9"/>
  <c r="K1322" i="9" s="1"/>
  <c r="J1317" i="9"/>
  <c r="J1322" i="9" s="1"/>
  <c r="I1317" i="9"/>
  <c r="I1322" i="9" s="1"/>
  <c r="H1317" i="9"/>
  <c r="T1315" i="9"/>
  <c r="V1314" i="9"/>
  <c r="T1314" i="9"/>
  <c r="U1314" i="9" s="1"/>
  <c r="S1309" i="9"/>
  <c r="R1309" i="9"/>
  <c r="P1309" i="9"/>
  <c r="O1309" i="9"/>
  <c r="N1309" i="9"/>
  <c r="M1309" i="9"/>
  <c r="L1309" i="9"/>
  <c r="K1309" i="9"/>
  <c r="J1309" i="9"/>
  <c r="I1309" i="9"/>
  <c r="H1309" i="9"/>
  <c r="S1307" i="9"/>
  <c r="S1311" i="9" s="1"/>
  <c r="R1307" i="9"/>
  <c r="R1311" i="9" s="1"/>
  <c r="P1307" i="9"/>
  <c r="P1311" i="9" s="1"/>
  <c r="O1307" i="9"/>
  <c r="O1311" i="9" s="1"/>
  <c r="N1307" i="9"/>
  <c r="N1311" i="9" s="1"/>
  <c r="M1307" i="9"/>
  <c r="M1311" i="9" s="1"/>
  <c r="L1307" i="9"/>
  <c r="L1311" i="9" s="1"/>
  <c r="K1307" i="9"/>
  <c r="K1311" i="9" s="1"/>
  <c r="J1307" i="9"/>
  <c r="J1311" i="9" s="1"/>
  <c r="I1307" i="9"/>
  <c r="I1311" i="9" s="1"/>
  <c r="H1307" i="9"/>
  <c r="S1306" i="9"/>
  <c r="S1308" i="9" s="1"/>
  <c r="S1312" i="9" s="1"/>
  <c r="R1306" i="9"/>
  <c r="R1310" i="9" s="1"/>
  <c r="P1306" i="9"/>
  <c r="P1310" i="9" s="1"/>
  <c r="O1306" i="9"/>
  <c r="N1306" i="9"/>
  <c r="N1308" i="9" s="1"/>
  <c r="N1313" i="9" s="1"/>
  <c r="M1306" i="9"/>
  <c r="M1310" i="9" s="1"/>
  <c r="L1306" i="9"/>
  <c r="K1306" i="9"/>
  <c r="K1310" i="9" s="1"/>
  <c r="J1306" i="9"/>
  <c r="J1308" i="9" s="1"/>
  <c r="J1312" i="9" s="1"/>
  <c r="I1306" i="9"/>
  <c r="I1310" i="9" s="1"/>
  <c r="H1306" i="9"/>
  <c r="H1308" i="9" s="1"/>
  <c r="T1304" i="9"/>
  <c r="V1302" i="9"/>
  <c r="T1302" i="9"/>
  <c r="U1302" i="9" s="1"/>
  <c r="T1301" i="9"/>
  <c r="V1301" i="9" s="1"/>
  <c r="S1295" i="9"/>
  <c r="R1295" i="9"/>
  <c r="Q1295" i="9"/>
  <c r="P1295" i="9"/>
  <c r="O1295" i="9"/>
  <c r="N1295" i="9"/>
  <c r="M1295" i="9"/>
  <c r="L1295" i="9"/>
  <c r="K1295" i="9"/>
  <c r="J1295" i="9"/>
  <c r="I1295" i="9"/>
  <c r="H1295" i="9"/>
  <c r="H1299" i="9" s="1"/>
  <c r="S1293" i="9"/>
  <c r="R1293" i="9"/>
  <c r="R1297" i="9" s="1"/>
  <c r="Q1293" i="9"/>
  <c r="Q1297" i="9" s="1"/>
  <c r="P1293" i="9"/>
  <c r="P1297" i="9" s="1"/>
  <c r="O1293" i="9"/>
  <c r="O1297" i="9" s="1"/>
  <c r="N1293" i="9"/>
  <c r="N1297" i="9" s="1"/>
  <c r="M1293" i="9"/>
  <c r="M1297" i="9" s="1"/>
  <c r="L1293" i="9"/>
  <c r="L1297" i="9" s="1"/>
  <c r="K1293" i="9"/>
  <c r="J1293" i="9"/>
  <c r="J1297" i="9" s="1"/>
  <c r="I1293" i="9"/>
  <c r="I1297" i="9" s="1"/>
  <c r="H1293" i="9"/>
  <c r="H1297" i="9" s="1"/>
  <c r="S1292" i="9"/>
  <c r="S1296" i="9" s="1"/>
  <c r="R1292" i="9"/>
  <c r="R1296" i="9" s="1"/>
  <c r="Q1292" i="9"/>
  <c r="P1292" i="9"/>
  <c r="O1292" i="9"/>
  <c r="O1296" i="9" s="1"/>
  <c r="N1292" i="9"/>
  <c r="N1296" i="9" s="1"/>
  <c r="M1292" i="9"/>
  <c r="L1292" i="9"/>
  <c r="K1292" i="9"/>
  <c r="K1296" i="9" s="1"/>
  <c r="J1292" i="9"/>
  <c r="J1296" i="9" s="1"/>
  <c r="I1292" i="9"/>
  <c r="H1292" i="9"/>
  <c r="H1294" i="9" s="1"/>
  <c r="T1291" i="9"/>
  <c r="T1290" i="9"/>
  <c r="T1289" i="9"/>
  <c r="T1288" i="9"/>
  <c r="U1288" i="9" s="1"/>
  <c r="T1287" i="9"/>
  <c r="V1287" i="9" s="1"/>
  <c r="S1277" i="9"/>
  <c r="R1277" i="9"/>
  <c r="Q1277" i="9"/>
  <c r="P1277" i="9"/>
  <c r="O1277" i="9"/>
  <c r="O1278" i="9" s="1"/>
  <c r="N1277" i="9"/>
  <c r="M1277" i="9"/>
  <c r="L1277" i="9"/>
  <c r="K1277" i="9"/>
  <c r="K1278" i="9" s="1"/>
  <c r="J1277" i="9"/>
  <c r="I1277" i="9"/>
  <c r="H1277" i="9"/>
  <c r="S1269" i="9"/>
  <c r="R1269" i="9"/>
  <c r="Q1269" i="9"/>
  <c r="P1269" i="9"/>
  <c r="O1269" i="9"/>
  <c r="N1269" i="9"/>
  <c r="M1269" i="9"/>
  <c r="L1269" i="9"/>
  <c r="K1269" i="9"/>
  <c r="J1269" i="9"/>
  <c r="I1269" i="9"/>
  <c r="H1269" i="9"/>
  <c r="S1267" i="9"/>
  <c r="S1271" i="9" s="1"/>
  <c r="R1267" i="9"/>
  <c r="R1271" i="9" s="1"/>
  <c r="Q1267" i="9"/>
  <c r="Q1271" i="9" s="1"/>
  <c r="P1267" i="9"/>
  <c r="P1271" i="9" s="1"/>
  <c r="O1267" i="9"/>
  <c r="O1271" i="9" s="1"/>
  <c r="N1267" i="9"/>
  <c r="N1271" i="9" s="1"/>
  <c r="M1267" i="9"/>
  <c r="M1271" i="9" s="1"/>
  <c r="L1267" i="9"/>
  <c r="L1271" i="9" s="1"/>
  <c r="K1267" i="9"/>
  <c r="K1271" i="9" s="1"/>
  <c r="J1267" i="9"/>
  <c r="J1271" i="9" s="1"/>
  <c r="I1267" i="9"/>
  <c r="I1271" i="9" s="1"/>
  <c r="H1267" i="9"/>
  <c r="H1271" i="9" s="1"/>
  <c r="S1266" i="9"/>
  <c r="S1270" i="9" s="1"/>
  <c r="R1266" i="9"/>
  <c r="R1270" i="9" s="1"/>
  <c r="Q1266" i="9"/>
  <c r="P1266" i="9"/>
  <c r="O1266" i="9"/>
  <c r="O1270" i="9" s="1"/>
  <c r="N1266" i="9"/>
  <c r="N1270" i="9" s="1"/>
  <c r="M1266" i="9"/>
  <c r="L1266" i="9"/>
  <c r="L1268" i="9" s="1"/>
  <c r="K1266" i="9"/>
  <c r="K1270" i="9" s="1"/>
  <c r="J1266" i="9"/>
  <c r="J1270" i="9" s="1"/>
  <c r="I1266" i="9"/>
  <c r="H1266" i="9"/>
  <c r="T1264" i="9"/>
  <c r="T1262" i="9"/>
  <c r="T1261" i="9"/>
  <c r="U1261" i="9" s="1"/>
  <c r="S1250" i="9"/>
  <c r="R1250" i="9"/>
  <c r="Q1250" i="9"/>
  <c r="P1250" i="9"/>
  <c r="O1250" i="9"/>
  <c r="N1250" i="9"/>
  <c r="M1250" i="9"/>
  <c r="L1250" i="9"/>
  <c r="K1250" i="9"/>
  <c r="J1250" i="9"/>
  <c r="I1250" i="9"/>
  <c r="H1250" i="9"/>
  <c r="T1250" i="9" s="1"/>
  <c r="S1249" i="9"/>
  <c r="R1249" i="9"/>
  <c r="Q1249" i="9"/>
  <c r="P1249" i="9"/>
  <c r="O1249" i="9"/>
  <c r="N1249" i="9"/>
  <c r="M1249" i="9"/>
  <c r="L1249" i="9"/>
  <c r="K1249" i="9"/>
  <c r="J1249" i="9"/>
  <c r="I1249" i="9"/>
  <c r="H1249" i="9"/>
  <c r="T1246" i="9"/>
  <c r="T1245" i="9"/>
  <c r="T1244" i="9"/>
  <c r="T1242" i="9"/>
  <c r="G1242" i="9"/>
  <c r="F1242" i="9"/>
  <c r="E1242" i="9"/>
  <c r="S1248" i="9" s="1"/>
  <c r="S1252" i="9" s="1"/>
  <c r="T1241" i="9"/>
  <c r="G1241" i="9"/>
  <c r="V1241" i="9" s="1"/>
  <c r="V1243" i="9" s="1"/>
  <c r="E1241" i="9"/>
  <c r="R1247" i="9" s="1"/>
  <c r="R1251" i="9" s="1"/>
  <c r="S1237" i="9"/>
  <c r="R1237" i="9"/>
  <c r="Q1237" i="9"/>
  <c r="P1237" i="9"/>
  <c r="O1237" i="9"/>
  <c r="N1237" i="9"/>
  <c r="M1237" i="9"/>
  <c r="L1237" i="9"/>
  <c r="K1237" i="9"/>
  <c r="J1237" i="9"/>
  <c r="I1237" i="9"/>
  <c r="H1237" i="9"/>
  <c r="T1237" i="9" s="1"/>
  <c r="S1236" i="9"/>
  <c r="S1255" i="9" s="1"/>
  <c r="R1236" i="9"/>
  <c r="Q1236" i="9"/>
  <c r="Q1255" i="9" s="1"/>
  <c r="P1236" i="9"/>
  <c r="O1236" i="9"/>
  <c r="O1255" i="9" s="1"/>
  <c r="O1283" i="9" s="1"/>
  <c r="N1236" i="9"/>
  <c r="M1236" i="9"/>
  <c r="M1255" i="9" s="1"/>
  <c r="L1236" i="9"/>
  <c r="K1236" i="9"/>
  <c r="K1255" i="9" s="1"/>
  <c r="J1236" i="9"/>
  <c r="I1236" i="9"/>
  <c r="H1236" i="9"/>
  <c r="T1233" i="9"/>
  <c r="T1232" i="9"/>
  <c r="V1232" i="9" s="1"/>
  <c r="G1230" i="9"/>
  <c r="F1230" i="9"/>
  <c r="E1230" i="9"/>
  <c r="R1235" i="9" s="1"/>
  <c r="R1239" i="9" s="1"/>
  <c r="G1229" i="9"/>
  <c r="E1229" i="9"/>
  <c r="I1234" i="9" s="1"/>
  <c r="S1214" i="9"/>
  <c r="R1214" i="9"/>
  <c r="Q1214" i="9"/>
  <c r="P1214" i="9"/>
  <c r="O1214" i="9"/>
  <c r="N1214" i="9"/>
  <c r="M1214" i="9"/>
  <c r="L1214" i="9"/>
  <c r="K1214" i="9"/>
  <c r="J1214" i="9"/>
  <c r="I1214" i="9"/>
  <c r="H1214" i="9"/>
  <c r="S1213" i="9"/>
  <c r="R1213" i="9"/>
  <c r="Q1213" i="9"/>
  <c r="P1213" i="9"/>
  <c r="O1213" i="9"/>
  <c r="N1213" i="9"/>
  <c r="M1213" i="9"/>
  <c r="L1213" i="9"/>
  <c r="K1213" i="9"/>
  <c r="J1213" i="9"/>
  <c r="I1213" i="9"/>
  <c r="H1213" i="9"/>
  <c r="S1204" i="9"/>
  <c r="R1204" i="9"/>
  <c r="Q1204" i="9"/>
  <c r="P1204" i="9"/>
  <c r="O1204" i="9"/>
  <c r="N1204" i="9"/>
  <c r="M1204" i="9"/>
  <c r="L1204" i="9"/>
  <c r="K1204" i="9"/>
  <c r="J1204" i="9"/>
  <c r="I1204" i="9"/>
  <c r="H1204" i="9"/>
  <c r="G1204" i="9"/>
  <c r="E1204" i="9"/>
  <c r="P1208" i="9" s="1"/>
  <c r="S1203" i="9"/>
  <c r="S1207" i="9" s="1"/>
  <c r="R1203" i="9"/>
  <c r="R1207" i="9" s="1"/>
  <c r="Q1203" i="9"/>
  <c r="Q1207" i="9" s="1"/>
  <c r="P1203" i="9"/>
  <c r="P1207" i="9" s="1"/>
  <c r="O1203" i="9"/>
  <c r="O1207" i="9" s="1"/>
  <c r="N1203" i="9"/>
  <c r="N1207" i="9" s="1"/>
  <c r="M1203" i="9"/>
  <c r="M1207" i="9" s="1"/>
  <c r="L1203" i="9"/>
  <c r="L1207" i="9" s="1"/>
  <c r="K1203" i="9"/>
  <c r="K1207" i="9" s="1"/>
  <c r="J1203" i="9"/>
  <c r="J1207" i="9" s="1"/>
  <c r="I1203" i="9"/>
  <c r="I1207" i="9" s="1"/>
  <c r="H1203" i="9"/>
  <c r="H1207" i="9" s="1"/>
  <c r="G1203" i="9"/>
  <c r="T1199" i="9"/>
  <c r="T1198" i="9"/>
  <c r="AC1195" i="9"/>
  <c r="AB1195" i="9"/>
  <c r="AA1195" i="9"/>
  <c r="Z1195" i="9"/>
  <c r="Y1195" i="9"/>
  <c r="X1195" i="9"/>
  <c r="W1195" i="9"/>
  <c r="G1195" i="9"/>
  <c r="T1195" i="9" s="1"/>
  <c r="U1195" i="9" s="1"/>
  <c r="AC1191" i="9"/>
  <c r="AB1191" i="9"/>
  <c r="AA1191" i="9"/>
  <c r="Z1191" i="9"/>
  <c r="Y1191" i="9"/>
  <c r="X1191" i="9"/>
  <c r="W1191" i="9"/>
  <c r="G1191" i="9"/>
  <c r="AC1190" i="9"/>
  <c r="AB1190" i="9"/>
  <c r="AA1190" i="9"/>
  <c r="Z1190" i="9"/>
  <c r="Y1190" i="9"/>
  <c r="X1190" i="9"/>
  <c r="W1190" i="9"/>
  <c r="G1190" i="9"/>
  <c r="F1190" i="9"/>
  <c r="E1190" i="9"/>
  <c r="S1212" i="9" s="1"/>
  <c r="AC1189" i="9"/>
  <c r="AB1189" i="9"/>
  <c r="AA1189" i="9"/>
  <c r="Z1189" i="9"/>
  <c r="Y1189" i="9"/>
  <c r="X1189" i="9"/>
  <c r="W1189" i="9"/>
  <c r="G1189" i="9"/>
  <c r="F1189" i="9"/>
  <c r="I1189" i="9" s="1"/>
  <c r="E1189" i="9"/>
  <c r="N1211" i="9" s="1"/>
  <c r="R1184" i="9"/>
  <c r="S1183" i="9"/>
  <c r="R1183" i="9"/>
  <c r="Q1183" i="9"/>
  <c r="P1183" i="9"/>
  <c r="O1183" i="9"/>
  <c r="N1183" i="9"/>
  <c r="M1183" i="9"/>
  <c r="L1183" i="9"/>
  <c r="K1183" i="9"/>
  <c r="J1183" i="9"/>
  <c r="I1183" i="9"/>
  <c r="H1183" i="9"/>
  <c r="S1182" i="9"/>
  <c r="R1182" i="9"/>
  <c r="Q1182" i="9"/>
  <c r="P1182" i="9"/>
  <c r="O1182" i="9"/>
  <c r="N1182" i="9"/>
  <c r="M1182" i="9"/>
  <c r="L1182" i="9"/>
  <c r="K1182" i="9"/>
  <c r="J1182" i="9"/>
  <c r="I1182" i="9"/>
  <c r="H1182" i="9"/>
  <c r="S1181" i="9"/>
  <c r="R1181" i="9"/>
  <c r="Q1181" i="9"/>
  <c r="P1181" i="9"/>
  <c r="O1181" i="9"/>
  <c r="N1181" i="9"/>
  <c r="M1181" i="9"/>
  <c r="L1181" i="9"/>
  <c r="K1181" i="9"/>
  <c r="J1181" i="9"/>
  <c r="I1181" i="9"/>
  <c r="H1181" i="9"/>
  <c r="S1180" i="9"/>
  <c r="R1180" i="9"/>
  <c r="Q1180" i="9"/>
  <c r="P1180" i="9"/>
  <c r="O1180" i="9"/>
  <c r="N1180" i="9"/>
  <c r="M1180" i="9"/>
  <c r="L1180" i="9"/>
  <c r="K1180" i="9"/>
  <c r="J1180" i="9"/>
  <c r="I1180" i="9"/>
  <c r="H1180" i="9"/>
  <c r="S1179" i="9"/>
  <c r="R1179" i="9"/>
  <c r="Q1179" i="9"/>
  <c r="P1179" i="9"/>
  <c r="O1179" i="9"/>
  <c r="N1179" i="9"/>
  <c r="M1179" i="9"/>
  <c r="L1179" i="9"/>
  <c r="K1179" i="9"/>
  <c r="J1179" i="9"/>
  <c r="I1179" i="9"/>
  <c r="H1179" i="9"/>
  <c r="S1178" i="9"/>
  <c r="R1178" i="9"/>
  <c r="Q1178" i="9"/>
  <c r="P1178" i="9"/>
  <c r="O1178" i="9"/>
  <c r="N1178" i="9"/>
  <c r="M1178" i="9"/>
  <c r="L1178" i="9"/>
  <c r="K1178" i="9"/>
  <c r="J1178" i="9"/>
  <c r="I1178" i="9"/>
  <c r="H1178" i="9"/>
  <c r="S1177" i="9"/>
  <c r="R1177" i="9"/>
  <c r="Q1177" i="9"/>
  <c r="P1177" i="9"/>
  <c r="O1177" i="9"/>
  <c r="N1177" i="9"/>
  <c r="M1177" i="9"/>
  <c r="L1177" i="9"/>
  <c r="K1177" i="9"/>
  <c r="J1177" i="9"/>
  <c r="I1177" i="9"/>
  <c r="H1177" i="9"/>
  <c r="S1175" i="9"/>
  <c r="R1175" i="9"/>
  <c r="Q1175" i="9"/>
  <c r="P1175" i="9"/>
  <c r="O1175" i="9"/>
  <c r="N1175" i="9"/>
  <c r="M1175" i="9"/>
  <c r="L1175" i="9"/>
  <c r="K1175" i="9"/>
  <c r="J1175" i="9"/>
  <c r="I1175" i="9"/>
  <c r="H1175" i="9"/>
  <c r="S1174" i="9"/>
  <c r="R1174" i="9"/>
  <c r="Q1174" i="9"/>
  <c r="P1174" i="9"/>
  <c r="O1174" i="9"/>
  <c r="N1174" i="9"/>
  <c r="M1174" i="9"/>
  <c r="L1174" i="9"/>
  <c r="K1174" i="9"/>
  <c r="J1174" i="9"/>
  <c r="I1174" i="9"/>
  <c r="H1174" i="9"/>
  <c r="S1173" i="9"/>
  <c r="R1173" i="9"/>
  <c r="Q1173" i="9"/>
  <c r="P1173" i="9"/>
  <c r="O1173" i="9"/>
  <c r="N1173" i="9"/>
  <c r="M1173" i="9"/>
  <c r="L1173" i="9"/>
  <c r="K1173" i="9"/>
  <c r="J1173" i="9"/>
  <c r="I1173" i="9"/>
  <c r="H1173" i="9"/>
  <c r="S1172" i="9"/>
  <c r="R1172" i="9"/>
  <c r="Q1172" i="9"/>
  <c r="P1172" i="9"/>
  <c r="O1172" i="9"/>
  <c r="N1172" i="9"/>
  <c r="M1172" i="9"/>
  <c r="L1172" i="9"/>
  <c r="K1172" i="9"/>
  <c r="J1172" i="9"/>
  <c r="I1172" i="9"/>
  <c r="H1172" i="9"/>
  <c r="S1171" i="9"/>
  <c r="R1171" i="9"/>
  <c r="Q1171" i="9"/>
  <c r="P1171" i="9"/>
  <c r="O1171" i="9"/>
  <c r="N1171" i="9"/>
  <c r="M1171" i="9"/>
  <c r="L1171" i="9"/>
  <c r="K1171" i="9"/>
  <c r="J1171" i="9"/>
  <c r="I1171" i="9"/>
  <c r="H1171" i="9"/>
  <c r="S1170" i="9"/>
  <c r="R1170" i="9"/>
  <c r="Q1170" i="9"/>
  <c r="P1170" i="9"/>
  <c r="O1170" i="9"/>
  <c r="N1170" i="9"/>
  <c r="M1170" i="9"/>
  <c r="L1170" i="9"/>
  <c r="K1170" i="9"/>
  <c r="J1170" i="9"/>
  <c r="I1170" i="9"/>
  <c r="H1170" i="9"/>
  <c r="S1169" i="9"/>
  <c r="R1169" i="9"/>
  <c r="Q1169" i="9"/>
  <c r="P1169" i="9"/>
  <c r="O1169" i="9"/>
  <c r="N1169" i="9"/>
  <c r="M1169" i="9"/>
  <c r="L1169" i="9"/>
  <c r="K1169" i="9"/>
  <c r="J1169" i="9"/>
  <c r="I1169" i="9"/>
  <c r="H1169" i="9"/>
  <c r="S1165" i="9"/>
  <c r="S1166" i="9" s="1"/>
  <c r="S1185" i="9" s="1"/>
  <c r="R1165" i="9"/>
  <c r="R1166" i="9" s="1"/>
  <c r="Q1165" i="9"/>
  <c r="Q1166" i="9" s="1"/>
  <c r="Q1185" i="9" s="1"/>
  <c r="P1165" i="9"/>
  <c r="P1166" i="9" s="1"/>
  <c r="P1185" i="9" s="1"/>
  <c r="O1165" i="9"/>
  <c r="O1166" i="9" s="1"/>
  <c r="O1185" i="9" s="1"/>
  <c r="N1165" i="9"/>
  <c r="N1166" i="9" s="1"/>
  <c r="M1165" i="9"/>
  <c r="M1166" i="9" s="1"/>
  <c r="M1185" i="9" s="1"/>
  <c r="L1165" i="9"/>
  <c r="L1166" i="9" s="1"/>
  <c r="L1185" i="9" s="1"/>
  <c r="K1165" i="9"/>
  <c r="K1166" i="9" s="1"/>
  <c r="K1185" i="9" s="1"/>
  <c r="J1165" i="9"/>
  <c r="J1166" i="9" s="1"/>
  <c r="J1185" i="9" s="1"/>
  <c r="I1165" i="9"/>
  <c r="I1166" i="9" s="1"/>
  <c r="I1185" i="9" s="1"/>
  <c r="H1165" i="9"/>
  <c r="H1166" i="9" s="1"/>
  <c r="H1167" i="9" s="1"/>
  <c r="AH1164" i="9"/>
  <c r="AG1164" i="9"/>
  <c r="AF1164" i="9"/>
  <c r="AE1164" i="9"/>
  <c r="AD1164" i="9"/>
  <c r="AC1164" i="9"/>
  <c r="AB1164" i="9"/>
  <c r="AA1164" i="9"/>
  <c r="Z1164" i="9"/>
  <c r="Y1164" i="9"/>
  <c r="X1164" i="9"/>
  <c r="W1164" i="9"/>
  <c r="T1164" i="9"/>
  <c r="U1164" i="9" s="1"/>
  <c r="AH1163" i="9"/>
  <c r="AG1163" i="9"/>
  <c r="AF1163" i="9"/>
  <c r="AE1163" i="9"/>
  <c r="AD1163" i="9"/>
  <c r="AC1163" i="9"/>
  <c r="AB1163" i="9"/>
  <c r="AA1163" i="9"/>
  <c r="Z1163" i="9"/>
  <c r="Y1163" i="9"/>
  <c r="X1163" i="9"/>
  <c r="W1163" i="9"/>
  <c r="T1163" i="9"/>
  <c r="U1163" i="9" s="1"/>
  <c r="AH1162" i="9"/>
  <c r="AG1162" i="9"/>
  <c r="AF1162" i="9"/>
  <c r="AE1162" i="9"/>
  <c r="AD1162" i="9"/>
  <c r="AC1162" i="9"/>
  <c r="AB1162" i="9"/>
  <c r="AA1162" i="9"/>
  <c r="Z1162" i="9"/>
  <c r="Y1162" i="9"/>
  <c r="X1162" i="9"/>
  <c r="W1162" i="9"/>
  <c r="T1162" i="9"/>
  <c r="U1162" i="9" s="1"/>
  <c r="AH1161" i="9"/>
  <c r="AG1161" i="9"/>
  <c r="AF1161" i="9"/>
  <c r="AE1161" i="9"/>
  <c r="AD1161" i="9"/>
  <c r="AC1161" i="9"/>
  <c r="AB1161" i="9"/>
  <c r="AA1161" i="9"/>
  <c r="Z1161" i="9"/>
  <c r="Y1161" i="9"/>
  <c r="X1161" i="9"/>
  <c r="W1161" i="9"/>
  <c r="T1161" i="9"/>
  <c r="U1161" i="9" s="1"/>
  <c r="AH1160" i="9"/>
  <c r="AG1160" i="9"/>
  <c r="AF1160" i="9"/>
  <c r="AE1160" i="9"/>
  <c r="AD1160" i="9"/>
  <c r="AC1160" i="9"/>
  <c r="AB1160" i="9"/>
  <c r="AA1160" i="9"/>
  <c r="Z1160" i="9"/>
  <c r="Y1160" i="9"/>
  <c r="X1160" i="9"/>
  <c r="W1160" i="9"/>
  <c r="T1160" i="9"/>
  <c r="U1160" i="9" s="1"/>
  <c r="AH1159" i="9"/>
  <c r="AG1159" i="9"/>
  <c r="AF1159" i="9"/>
  <c r="AE1159" i="9"/>
  <c r="AD1159" i="9"/>
  <c r="AC1159" i="9"/>
  <c r="AB1159" i="9"/>
  <c r="AA1159" i="9"/>
  <c r="Z1159" i="9"/>
  <c r="Y1159" i="9"/>
  <c r="X1159" i="9"/>
  <c r="W1159" i="9"/>
  <c r="T1159" i="9"/>
  <c r="U1159" i="9" s="1"/>
  <c r="AH1158" i="9"/>
  <c r="AG1158" i="9"/>
  <c r="AF1158" i="9"/>
  <c r="AE1158" i="9"/>
  <c r="AD1158" i="9"/>
  <c r="AC1158" i="9"/>
  <c r="AB1158" i="9"/>
  <c r="AA1158" i="9"/>
  <c r="Z1158" i="9"/>
  <c r="Y1158" i="9"/>
  <c r="X1158" i="9"/>
  <c r="W1158" i="9"/>
  <c r="T1158" i="9"/>
  <c r="U1158" i="9" s="1"/>
  <c r="U1166" i="9" s="1"/>
  <c r="S1155" i="9"/>
  <c r="R1155" i="9"/>
  <c r="Q1155" i="9"/>
  <c r="P1155" i="9"/>
  <c r="O1155" i="9"/>
  <c r="N1155" i="9"/>
  <c r="M1155" i="9"/>
  <c r="L1155" i="9"/>
  <c r="K1155" i="9"/>
  <c r="J1155" i="9"/>
  <c r="I1155" i="9"/>
  <c r="H1155" i="9"/>
  <c r="H1156" i="9" s="1"/>
  <c r="I1156" i="9" s="1"/>
  <c r="T1154" i="9"/>
  <c r="T1153" i="9"/>
  <c r="T1152" i="9"/>
  <c r="T1151" i="9"/>
  <c r="T1150" i="9"/>
  <c r="T1149" i="9"/>
  <c r="T1148" i="9"/>
  <c r="S1145" i="9"/>
  <c r="S1184" i="9" s="1"/>
  <c r="Q1145" i="9"/>
  <c r="Q1184" i="9" s="1"/>
  <c r="P1145" i="9"/>
  <c r="O1145" i="9"/>
  <c r="O1184" i="9" s="1"/>
  <c r="N1145" i="9"/>
  <c r="N1184" i="9" s="1"/>
  <c r="M1145" i="9"/>
  <c r="L1145" i="9"/>
  <c r="L1186" i="9" s="1"/>
  <c r="K1145" i="9"/>
  <c r="J1145" i="9"/>
  <c r="J1184" i="9" s="1"/>
  <c r="I1145" i="9"/>
  <c r="I1184" i="9" s="1"/>
  <c r="H1145" i="9"/>
  <c r="T1144" i="9"/>
  <c r="T1143" i="9"/>
  <c r="T1142" i="9"/>
  <c r="T1141" i="9"/>
  <c r="T1172" i="9" s="1"/>
  <c r="T1140" i="9"/>
  <c r="T1139" i="9"/>
  <c r="T1138" i="9"/>
  <c r="X1136" i="9"/>
  <c r="X1135" i="9"/>
  <c r="V1133" i="9"/>
  <c r="S1111" i="9"/>
  <c r="R1111" i="9"/>
  <c r="Q1111" i="9"/>
  <c r="P1111" i="9"/>
  <c r="O1111" i="9"/>
  <c r="N1111" i="9"/>
  <c r="M1111" i="9"/>
  <c r="L1111" i="9"/>
  <c r="K1111" i="9"/>
  <c r="J1111" i="9"/>
  <c r="I1111" i="9"/>
  <c r="H1111" i="9"/>
  <c r="T1111" i="9" s="1"/>
  <c r="S1110" i="9"/>
  <c r="R1110" i="9"/>
  <c r="R1112" i="9" s="1"/>
  <c r="Q1110" i="9"/>
  <c r="Q1112" i="9" s="1"/>
  <c r="P1110" i="9"/>
  <c r="P1112" i="9" s="1"/>
  <c r="O1110" i="9"/>
  <c r="N1110" i="9"/>
  <c r="N1112" i="9" s="1"/>
  <c r="M1110" i="9"/>
  <c r="M1112" i="9" s="1"/>
  <c r="L1110" i="9"/>
  <c r="L1112" i="9" s="1"/>
  <c r="K1110" i="9"/>
  <c r="J1110" i="9"/>
  <c r="J1112" i="9" s="1"/>
  <c r="I1110" i="9"/>
  <c r="I1112" i="9" s="1"/>
  <c r="H1110" i="9"/>
  <c r="H1112" i="9" s="1"/>
  <c r="T1109" i="9"/>
  <c r="S1105" i="9"/>
  <c r="R1105" i="9"/>
  <c r="Q1105" i="9"/>
  <c r="P1105" i="9"/>
  <c r="O1105" i="9"/>
  <c r="N1105" i="9"/>
  <c r="M1105" i="9"/>
  <c r="S1104" i="9"/>
  <c r="R1104" i="9"/>
  <c r="R1106" i="9" s="1"/>
  <c r="Q1104" i="9"/>
  <c r="P1104" i="9"/>
  <c r="O1104" i="9"/>
  <c r="N1104" i="9"/>
  <c r="M1104" i="9"/>
  <c r="L1104" i="9"/>
  <c r="K1104" i="9"/>
  <c r="J1104" i="9"/>
  <c r="I1104" i="9"/>
  <c r="H1104" i="9"/>
  <c r="T1103" i="9"/>
  <c r="S1099" i="9"/>
  <c r="R1099" i="9"/>
  <c r="Q1099" i="9"/>
  <c r="P1099" i="9"/>
  <c r="O1099" i="9"/>
  <c r="N1099" i="9"/>
  <c r="M1099" i="9"/>
  <c r="L1099" i="9"/>
  <c r="K1099" i="9"/>
  <c r="J1099" i="9"/>
  <c r="I1099" i="9"/>
  <c r="H1099" i="9"/>
  <c r="S1098" i="9"/>
  <c r="S1100" i="9" s="1"/>
  <c r="R1098" i="9"/>
  <c r="R1100" i="9" s="1"/>
  <c r="Q1098" i="9"/>
  <c r="Q1100" i="9" s="1"/>
  <c r="P1098" i="9"/>
  <c r="O1098" i="9"/>
  <c r="O1100" i="9" s="1"/>
  <c r="N1098" i="9"/>
  <c r="N1100" i="9" s="1"/>
  <c r="M1098" i="9"/>
  <c r="M1100" i="9" s="1"/>
  <c r="L1098" i="9"/>
  <c r="K1098" i="9"/>
  <c r="K1100" i="9" s="1"/>
  <c r="J1098" i="9"/>
  <c r="J1100" i="9" s="1"/>
  <c r="I1098" i="9"/>
  <c r="I1100" i="9" s="1"/>
  <c r="H1098" i="9"/>
  <c r="H1100" i="9" s="1"/>
  <c r="T1097" i="9"/>
  <c r="S1094" i="9"/>
  <c r="S1093" i="9"/>
  <c r="R1093" i="9"/>
  <c r="Q1093" i="9"/>
  <c r="P1093" i="9"/>
  <c r="O1093" i="9"/>
  <c r="N1093" i="9"/>
  <c r="M1093" i="9"/>
  <c r="L1093" i="9"/>
  <c r="K1093" i="9"/>
  <c r="J1093" i="9"/>
  <c r="I1093" i="9"/>
  <c r="H1093" i="9"/>
  <c r="S1092" i="9"/>
  <c r="R1092" i="9"/>
  <c r="R1094" i="9" s="1"/>
  <c r="Q1092" i="9"/>
  <c r="Q1094" i="9" s="1"/>
  <c r="P1092" i="9"/>
  <c r="P1094" i="9" s="1"/>
  <c r="O1092" i="9"/>
  <c r="O1094" i="9" s="1"/>
  <c r="N1092" i="9"/>
  <c r="N1094" i="9" s="1"/>
  <c r="M1092" i="9"/>
  <c r="M1094" i="9" s="1"/>
  <c r="L1092" i="9"/>
  <c r="L1094" i="9" s="1"/>
  <c r="K1092" i="9"/>
  <c r="K1094" i="9" s="1"/>
  <c r="J1092" i="9"/>
  <c r="J1094" i="9" s="1"/>
  <c r="I1092" i="9"/>
  <c r="I1094" i="9" s="1"/>
  <c r="H1092" i="9"/>
  <c r="H1094" i="9" s="1"/>
  <c r="T1091" i="9"/>
  <c r="S1087" i="9"/>
  <c r="R1087" i="9"/>
  <c r="R1116" i="9" s="1"/>
  <c r="R1122" i="9" s="1"/>
  <c r="Q1087" i="9"/>
  <c r="P1087" i="9"/>
  <c r="O1087" i="9"/>
  <c r="N1087" i="9"/>
  <c r="N1116" i="9" s="1"/>
  <c r="N1122" i="9" s="1"/>
  <c r="M1087" i="9"/>
  <c r="L1087" i="9"/>
  <c r="K1087" i="9"/>
  <c r="J1087" i="9"/>
  <c r="I1087" i="9"/>
  <c r="H1087" i="9"/>
  <c r="S1086" i="9"/>
  <c r="S1115" i="9" s="1"/>
  <c r="S1121" i="9" s="1"/>
  <c r="R1086" i="9"/>
  <c r="Q1086" i="9"/>
  <c r="Q1088" i="9" s="1"/>
  <c r="P1086" i="9"/>
  <c r="O1086" i="9"/>
  <c r="O1115" i="9" s="1"/>
  <c r="O1121" i="9" s="1"/>
  <c r="N1086" i="9"/>
  <c r="M1086" i="9"/>
  <c r="M1088" i="9" s="1"/>
  <c r="L1086" i="9"/>
  <c r="L1088" i="9" s="1"/>
  <c r="K1086" i="9"/>
  <c r="K1115" i="9" s="1"/>
  <c r="J1086" i="9"/>
  <c r="I1086" i="9"/>
  <c r="I1088" i="9" s="1"/>
  <c r="H1086" i="9"/>
  <c r="T1085" i="9"/>
  <c r="T1081" i="9"/>
  <c r="T1079" i="9"/>
  <c r="S1077" i="9"/>
  <c r="R1077" i="9"/>
  <c r="Q1077" i="9"/>
  <c r="P1077" i="9"/>
  <c r="O1077" i="9"/>
  <c r="N1077" i="9"/>
  <c r="M1077" i="9"/>
  <c r="L1077" i="9"/>
  <c r="K1077" i="9"/>
  <c r="J1077" i="9"/>
  <c r="I1077" i="9"/>
  <c r="H1077" i="9"/>
  <c r="S1076" i="9"/>
  <c r="R1076" i="9"/>
  <c r="Q1076" i="9"/>
  <c r="P1076" i="9"/>
  <c r="O1076" i="9"/>
  <c r="N1076" i="9"/>
  <c r="M1076" i="9"/>
  <c r="L1076" i="9"/>
  <c r="K1076" i="9"/>
  <c r="J1076" i="9"/>
  <c r="I1076" i="9"/>
  <c r="H1076" i="9"/>
  <c r="S1075" i="9"/>
  <c r="R1075" i="9"/>
  <c r="Q1075" i="9"/>
  <c r="P1075" i="9"/>
  <c r="O1075" i="9"/>
  <c r="N1075" i="9"/>
  <c r="M1075" i="9"/>
  <c r="L1075" i="9"/>
  <c r="K1075" i="9"/>
  <c r="J1075" i="9"/>
  <c r="I1075" i="9"/>
  <c r="H1075" i="9"/>
  <c r="S1074" i="9"/>
  <c r="S1078" i="9" s="1"/>
  <c r="S1080" i="9" s="1"/>
  <c r="R1074" i="9"/>
  <c r="R1078" i="9" s="1"/>
  <c r="R1080" i="9" s="1"/>
  <c r="Q1074" i="9"/>
  <c r="P1074" i="9"/>
  <c r="P1078" i="9" s="1"/>
  <c r="P1080" i="9" s="1"/>
  <c r="P1082" i="9" s="1"/>
  <c r="O1074" i="9"/>
  <c r="O1078" i="9" s="1"/>
  <c r="O1080" i="9" s="1"/>
  <c r="O1082" i="9" s="1"/>
  <c r="N1074" i="9"/>
  <c r="N1078" i="9" s="1"/>
  <c r="N1080" i="9" s="1"/>
  <c r="N1082" i="9" s="1"/>
  <c r="M1074" i="9"/>
  <c r="L1074" i="9"/>
  <c r="L1078" i="9" s="1"/>
  <c r="L1080" i="9" s="1"/>
  <c r="L1082" i="9" s="1"/>
  <c r="K1074" i="9"/>
  <c r="K1078" i="9" s="1"/>
  <c r="K1080" i="9" s="1"/>
  <c r="K1082" i="9" s="1"/>
  <c r="J1074" i="9"/>
  <c r="J1078" i="9" s="1"/>
  <c r="J1080" i="9" s="1"/>
  <c r="J1082" i="9" s="1"/>
  <c r="I1074" i="9"/>
  <c r="H1074" i="9"/>
  <c r="H1078" i="9" s="1"/>
  <c r="H1080" i="9" s="1"/>
  <c r="H1082" i="9" s="1"/>
  <c r="T1068" i="9"/>
  <c r="T1067" i="9"/>
  <c r="T1071" i="9" s="1"/>
  <c r="T1066" i="9"/>
  <c r="T1062" i="9"/>
  <c r="T1060" i="9"/>
  <c r="T1054" i="9"/>
  <c r="T1053" i="9"/>
  <c r="T1052" i="9"/>
  <c r="T1056" i="9" s="1"/>
  <c r="T1048" i="9"/>
  <c r="T1046" i="9"/>
  <c r="T1040" i="9"/>
  <c r="T1039" i="9"/>
  <c r="T1038" i="9"/>
  <c r="T1034" i="9"/>
  <c r="T1032" i="9"/>
  <c r="T1026" i="9"/>
  <c r="T1025" i="9"/>
  <c r="T1024" i="9"/>
  <c r="T1028" i="9" s="1"/>
  <c r="T1020" i="9"/>
  <c r="T1018" i="9"/>
  <c r="T1012" i="9"/>
  <c r="T1011" i="9"/>
  <c r="T1010" i="9"/>
  <c r="T1006" i="9"/>
  <c r="T1004" i="9"/>
  <c r="T998" i="9"/>
  <c r="T997" i="9"/>
  <c r="T996" i="9"/>
  <c r="T995" i="9"/>
  <c r="T994" i="9"/>
  <c r="T990" i="9"/>
  <c r="T989" i="9"/>
  <c r="T988" i="9"/>
  <c r="T987" i="9"/>
  <c r="T986" i="9"/>
  <c r="T983" i="9"/>
  <c r="E983" i="9"/>
  <c r="T982" i="9"/>
  <c r="E982" i="9"/>
  <c r="T981" i="9"/>
  <c r="E981" i="9"/>
  <c r="T977" i="9"/>
  <c r="T975" i="9"/>
  <c r="E975" i="9"/>
  <c r="T974" i="9"/>
  <c r="E974" i="9"/>
  <c r="T960" i="9"/>
  <c r="T959" i="9"/>
  <c r="T972" i="9" s="1"/>
  <c r="T958" i="9"/>
  <c r="T970" i="9" s="1"/>
  <c r="T957" i="9"/>
  <c r="T956" i="9"/>
  <c r="T955" i="9"/>
  <c r="T954" i="9"/>
  <c r="T953" i="9"/>
  <c r="T952" i="9"/>
  <c r="T951" i="9"/>
  <c r="T950" i="9"/>
  <c r="T947" i="9"/>
  <c r="T946" i="9"/>
  <c r="T945" i="9"/>
  <c r="T944" i="9"/>
  <c r="T943" i="9"/>
  <c r="T940" i="9"/>
  <c r="E940" i="9"/>
  <c r="T939" i="9"/>
  <c r="E939" i="9"/>
  <c r="T938" i="9"/>
  <c r="E938" i="9"/>
  <c r="T937" i="9"/>
  <c r="V937" i="9" s="1"/>
  <c r="E937" i="9"/>
  <c r="T934" i="9"/>
  <c r="T932" i="9"/>
  <c r="E932" i="9"/>
  <c r="T931" i="9"/>
  <c r="E931" i="9"/>
  <c r="T930" i="9"/>
  <c r="E930" i="9"/>
  <c r="T929" i="9"/>
  <c r="E929" i="9"/>
  <c r="T928" i="9"/>
  <c r="E928" i="9"/>
  <c r="T927" i="9"/>
  <c r="E927" i="9"/>
  <c r="T926" i="9"/>
  <c r="E926" i="9"/>
  <c r="T925" i="9"/>
  <c r="T919" i="9"/>
  <c r="T918" i="9"/>
  <c r="T923" i="9" s="1"/>
  <c r="T917" i="9"/>
  <c r="T913" i="9"/>
  <c r="T911" i="9"/>
  <c r="T903" i="9"/>
  <c r="T902" i="9"/>
  <c r="T901" i="9"/>
  <c r="T900" i="9"/>
  <c r="T899" i="9"/>
  <c r="T896" i="9"/>
  <c r="T895" i="9"/>
  <c r="T892" i="9"/>
  <c r="E892" i="9"/>
  <c r="T889" i="9"/>
  <c r="T905" i="9" s="1"/>
  <c r="T887" i="9"/>
  <c r="E887" i="9"/>
  <c r="T886" i="9"/>
  <c r="T875" i="9"/>
  <c r="T874" i="9"/>
  <c r="T873" i="9"/>
  <c r="T872" i="9"/>
  <c r="T871" i="9"/>
  <c r="T870" i="9"/>
  <c r="T869" i="9"/>
  <c r="T868" i="9"/>
  <c r="T865" i="9"/>
  <c r="T864" i="9"/>
  <c r="T861" i="9"/>
  <c r="E861" i="9"/>
  <c r="T858" i="9"/>
  <c r="T856" i="9"/>
  <c r="E856" i="9"/>
  <c r="T855" i="9"/>
  <c r="E855" i="9"/>
  <c r="T854" i="9"/>
  <c r="E854" i="9"/>
  <c r="T853" i="9"/>
  <c r="E853" i="9"/>
  <c r="T852" i="9"/>
  <c r="T838" i="9"/>
  <c r="T837" i="9"/>
  <c r="T836" i="9"/>
  <c r="T835" i="9"/>
  <c r="T834" i="9"/>
  <c r="T833" i="9"/>
  <c r="T832" i="9"/>
  <c r="T831" i="9"/>
  <c r="T830" i="9"/>
  <c r="T829" i="9"/>
  <c r="T828" i="9"/>
  <c r="T825" i="9"/>
  <c r="T824" i="9"/>
  <c r="T823" i="9"/>
  <c r="T822" i="9"/>
  <c r="T821" i="9"/>
  <c r="T820" i="9"/>
  <c r="T819" i="9"/>
  <c r="T816" i="9"/>
  <c r="E816" i="9"/>
  <c r="T815" i="9"/>
  <c r="E815" i="9"/>
  <c r="T814" i="9"/>
  <c r="E814" i="9"/>
  <c r="T813" i="9"/>
  <c r="E813" i="9"/>
  <c r="T812" i="9"/>
  <c r="E812" i="9"/>
  <c r="T811" i="9"/>
  <c r="E811" i="9"/>
  <c r="T808" i="9"/>
  <c r="T807" i="9"/>
  <c r="V806" i="9"/>
  <c r="T806" i="9"/>
  <c r="T804" i="9"/>
  <c r="E804" i="9"/>
  <c r="T803" i="9"/>
  <c r="E803" i="9"/>
  <c r="T802" i="9"/>
  <c r="E802" i="9"/>
  <c r="T801" i="9"/>
  <c r="E801" i="9"/>
  <c r="T800" i="9"/>
  <c r="E800" i="9"/>
  <c r="T799" i="9"/>
  <c r="E799" i="9"/>
  <c r="T798" i="9"/>
  <c r="E798" i="9"/>
  <c r="T797" i="9"/>
  <c r="S789" i="9"/>
  <c r="R789" i="9"/>
  <c r="O789" i="9"/>
  <c r="N789" i="9"/>
  <c r="M789" i="9"/>
  <c r="L789" i="9"/>
  <c r="K789" i="9"/>
  <c r="J789" i="9"/>
  <c r="I789" i="9"/>
  <c r="H789" i="9"/>
  <c r="S788" i="9"/>
  <c r="S790" i="9" s="1"/>
  <c r="R788" i="9"/>
  <c r="O788" i="9"/>
  <c r="N788" i="9"/>
  <c r="M788" i="9"/>
  <c r="M790" i="9" s="1"/>
  <c r="L788" i="9"/>
  <c r="L790" i="9" s="1"/>
  <c r="K788" i="9"/>
  <c r="J788" i="9"/>
  <c r="J790" i="9" s="1"/>
  <c r="I788" i="9"/>
  <c r="I790" i="9" s="1"/>
  <c r="H788" i="9"/>
  <c r="H790" i="9" s="1"/>
  <c r="S787" i="9"/>
  <c r="R787" i="9"/>
  <c r="Q787" i="9"/>
  <c r="P787" i="9"/>
  <c r="O787" i="9"/>
  <c r="N787" i="9"/>
  <c r="M787" i="9"/>
  <c r="L787" i="9"/>
  <c r="K787" i="9"/>
  <c r="J787" i="9"/>
  <c r="I787" i="9"/>
  <c r="H787" i="9"/>
  <c r="S785" i="9"/>
  <c r="R785" i="9"/>
  <c r="Q785" i="9"/>
  <c r="P785" i="9"/>
  <c r="O785" i="9"/>
  <c r="N785" i="9"/>
  <c r="M785" i="9"/>
  <c r="L785" i="9"/>
  <c r="S784" i="9"/>
  <c r="S786" i="9" s="1"/>
  <c r="R784" i="9"/>
  <c r="R786" i="9" s="1"/>
  <c r="Q784" i="9"/>
  <c r="Q786" i="9" s="1"/>
  <c r="P784" i="9"/>
  <c r="P786" i="9" s="1"/>
  <c r="O784" i="9"/>
  <c r="O786" i="9" s="1"/>
  <c r="N784" i="9"/>
  <c r="N786" i="9" s="1"/>
  <c r="M784" i="9"/>
  <c r="M786" i="9" s="1"/>
  <c r="L784" i="9"/>
  <c r="L786" i="9" s="1"/>
  <c r="T783" i="9"/>
  <c r="T782" i="9"/>
  <c r="T786" i="9" s="1"/>
  <c r="T778" i="9"/>
  <c r="V778" i="9" s="1"/>
  <c r="AC777" i="9"/>
  <c r="AB777" i="9"/>
  <c r="AA777" i="9"/>
  <c r="Z777" i="9"/>
  <c r="Y777" i="9"/>
  <c r="X777" i="9"/>
  <c r="W777" i="9"/>
  <c r="T777" i="9"/>
  <c r="G777" i="9"/>
  <c r="V777" i="9" s="1"/>
  <c r="E777" i="9"/>
  <c r="J781" i="9" s="1"/>
  <c r="J785" i="9" s="1"/>
  <c r="AC776" i="9"/>
  <c r="AB776" i="9"/>
  <c r="AA776" i="9"/>
  <c r="Z776" i="9"/>
  <c r="Y776" i="9"/>
  <c r="X776" i="9"/>
  <c r="W776" i="9"/>
  <c r="T776" i="9"/>
  <c r="G776" i="9"/>
  <c r="E776" i="9"/>
  <c r="K780" i="9" s="1"/>
  <c r="K784" i="9" s="1"/>
  <c r="S775" i="9"/>
  <c r="R775" i="9"/>
  <c r="Q775" i="9"/>
  <c r="P775" i="9"/>
  <c r="O775" i="9"/>
  <c r="N775" i="9"/>
  <c r="M775" i="9"/>
  <c r="L775" i="9"/>
  <c r="K775" i="9"/>
  <c r="J775" i="9"/>
  <c r="I775" i="9"/>
  <c r="H775" i="9"/>
  <c r="T774" i="9"/>
  <c r="T773" i="9"/>
  <c r="T775" i="9" s="1"/>
  <c r="S772" i="9"/>
  <c r="R772" i="9"/>
  <c r="Q772" i="9"/>
  <c r="P772" i="9"/>
  <c r="O772" i="9"/>
  <c r="N772" i="9"/>
  <c r="M772" i="9"/>
  <c r="L772" i="9"/>
  <c r="K772" i="9"/>
  <c r="J772" i="9"/>
  <c r="I772" i="9"/>
  <c r="H772" i="9"/>
  <c r="T768" i="9"/>
  <c r="T767" i="9"/>
  <c r="V767" i="9" s="1"/>
  <c r="T763" i="9"/>
  <c r="V763" i="9" s="1"/>
  <c r="AC762" i="9"/>
  <c r="AB762" i="9"/>
  <c r="AA762" i="9"/>
  <c r="Z762" i="9"/>
  <c r="Y762" i="9"/>
  <c r="X762" i="9"/>
  <c r="W762" i="9"/>
  <c r="T762" i="9"/>
  <c r="G762" i="9"/>
  <c r="E762" i="9"/>
  <c r="AC761" i="9"/>
  <c r="AB761" i="9"/>
  <c r="AA761" i="9"/>
  <c r="Z761" i="9"/>
  <c r="Y761" i="9"/>
  <c r="X761" i="9"/>
  <c r="W761" i="9"/>
  <c r="T761" i="9"/>
  <c r="G761" i="9"/>
  <c r="E761" i="9"/>
  <c r="R760" i="9"/>
  <c r="O760" i="9"/>
  <c r="N760" i="9"/>
  <c r="M760" i="9"/>
  <c r="L760" i="9"/>
  <c r="K760" i="9"/>
  <c r="J760" i="9"/>
  <c r="I760" i="9"/>
  <c r="H760" i="9"/>
  <c r="Q759" i="9"/>
  <c r="Q789" i="9" s="1"/>
  <c r="P759" i="9"/>
  <c r="Q758" i="9"/>
  <c r="Q788" i="9" s="1"/>
  <c r="P758" i="9"/>
  <c r="P760" i="9" s="1"/>
  <c r="L757" i="9"/>
  <c r="K757" i="9"/>
  <c r="J757" i="9"/>
  <c r="I757" i="9"/>
  <c r="H757" i="9"/>
  <c r="L756" i="9"/>
  <c r="K756" i="9"/>
  <c r="J756" i="9"/>
  <c r="I756" i="9"/>
  <c r="H756" i="9"/>
  <c r="S753" i="9"/>
  <c r="R753" i="9"/>
  <c r="Q753" i="9"/>
  <c r="P753" i="9"/>
  <c r="O753" i="9"/>
  <c r="N753" i="9"/>
  <c r="M753" i="9"/>
  <c r="S752" i="9"/>
  <c r="S756" i="9" s="1"/>
  <c r="R752" i="9"/>
  <c r="Q752" i="9"/>
  <c r="Q757" i="9" s="1"/>
  <c r="P752" i="9"/>
  <c r="O752" i="9"/>
  <c r="O756" i="9" s="1"/>
  <c r="N752" i="9"/>
  <c r="N757" i="9" s="1"/>
  <c r="M752" i="9"/>
  <c r="T748" i="9"/>
  <c r="V748" i="9" s="1"/>
  <c r="AC747" i="9"/>
  <c r="AB747" i="9"/>
  <c r="AA747" i="9"/>
  <c r="Z747" i="9"/>
  <c r="Y747" i="9"/>
  <c r="X747" i="9"/>
  <c r="W747" i="9"/>
  <c r="T747" i="9"/>
  <c r="G747" i="9"/>
  <c r="V747" i="9" s="1"/>
  <c r="E747" i="9"/>
  <c r="Q766" i="9" s="1"/>
  <c r="Q770" i="9" s="1"/>
  <c r="AC746" i="9"/>
  <c r="AB746" i="9"/>
  <c r="AA746" i="9"/>
  <c r="Z746" i="9"/>
  <c r="Y746" i="9"/>
  <c r="X746" i="9"/>
  <c r="W746" i="9"/>
  <c r="T746" i="9"/>
  <c r="G746" i="9"/>
  <c r="E746" i="9"/>
  <c r="N765" i="9" s="1"/>
  <c r="N769" i="9" s="1"/>
  <c r="S744" i="9"/>
  <c r="R744" i="9"/>
  <c r="Q744" i="9"/>
  <c r="P744" i="9"/>
  <c r="O744" i="9"/>
  <c r="N744" i="9"/>
  <c r="M744" i="9"/>
  <c r="L744" i="9"/>
  <c r="K744" i="9"/>
  <c r="J744" i="9"/>
  <c r="I744" i="9"/>
  <c r="H744" i="9"/>
  <c r="T743" i="9"/>
  <c r="T753" i="9" s="1"/>
  <c r="T742" i="9"/>
  <c r="T752" i="9" s="1"/>
  <c r="T740" i="9"/>
  <c r="T739" i="9"/>
  <c r="T741" i="9" s="1"/>
  <c r="T737" i="9"/>
  <c r="T736" i="9"/>
  <c r="T734" i="9"/>
  <c r="T733" i="9"/>
  <c r="T720" i="9"/>
  <c r="V720" i="9" s="1"/>
  <c r="S719" i="9"/>
  <c r="R719" i="9"/>
  <c r="Q719" i="9"/>
  <c r="P719" i="9"/>
  <c r="O719" i="9"/>
  <c r="N719" i="9"/>
  <c r="M719" i="9"/>
  <c r="L719" i="9"/>
  <c r="K719" i="9"/>
  <c r="J719" i="9"/>
  <c r="I719" i="9"/>
  <c r="H719" i="9"/>
  <c r="AC718" i="9"/>
  <c r="AB718" i="9"/>
  <c r="AA718" i="9"/>
  <c r="Z718" i="9"/>
  <c r="Y718" i="9"/>
  <c r="X718" i="9"/>
  <c r="W718" i="9"/>
  <c r="T718" i="9"/>
  <c r="G718" i="9"/>
  <c r="V718" i="9" s="1"/>
  <c r="E718" i="9"/>
  <c r="R724" i="9" s="1"/>
  <c r="R729" i="9" s="1"/>
  <c r="AC717" i="9"/>
  <c r="AB717" i="9"/>
  <c r="AA717" i="9"/>
  <c r="Z717" i="9"/>
  <c r="Y717" i="9"/>
  <c r="X717" i="9"/>
  <c r="W717" i="9"/>
  <c r="T717" i="9"/>
  <c r="U717" i="9" s="1"/>
  <c r="G717" i="9"/>
  <c r="F717" i="9"/>
  <c r="E717" i="9"/>
  <c r="S723" i="9" s="1"/>
  <c r="S728" i="9" s="1"/>
  <c r="AC716" i="9"/>
  <c r="AB716" i="9"/>
  <c r="AA716" i="9"/>
  <c r="Z716" i="9"/>
  <c r="Y716" i="9"/>
  <c r="X716" i="9"/>
  <c r="W716" i="9"/>
  <c r="T716" i="9"/>
  <c r="G716" i="9"/>
  <c r="F716" i="9"/>
  <c r="E716" i="9"/>
  <c r="AC715" i="9"/>
  <c r="AB715" i="9"/>
  <c r="AA715" i="9"/>
  <c r="Z715" i="9"/>
  <c r="Y715" i="9"/>
  <c r="X715" i="9"/>
  <c r="W715" i="9"/>
  <c r="T715" i="9"/>
  <c r="G715" i="9"/>
  <c r="V715" i="9" s="1"/>
  <c r="E715" i="9"/>
  <c r="K721" i="9" s="1"/>
  <c r="S707" i="9"/>
  <c r="R707" i="9"/>
  <c r="Q707" i="9"/>
  <c r="P707" i="9"/>
  <c r="O707" i="9"/>
  <c r="N707" i="9"/>
  <c r="M707" i="9"/>
  <c r="L707" i="9"/>
  <c r="K707" i="9"/>
  <c r="J707" i="9"/>
  <c r="I707" i="9"/>
  <c r="H707" i="9"/>
  <c r="T703" i="9"/>
  <c r="AC701" i="9"/>
  <c r="AB701" i="9"/>
  <c r="AA701" i="9"/>
  <c r="Z701" i="9"/>
  <c r="Y701" i="9"/>
  <c r="X701" i="9"/>
  <c r="W701" i="9"/>
  <c r="T701" i="9"/>
  <c r="G701" i="9"/>
  <c r="E701" i="9"/>
  <c r="R705" i="9" s="1"/>
  <c r="R708" i="9" s="1"/>
  <c r="S696" i="9"/>
  <c r="R696" i="9"/>
  <c r="Q696" i="9"/>
  <c r="P696" i="9"/>
  <c r="O696" i="9"/>
  <c r="N696" i="9"/>
  <c r="M696" i="9"/>
  <c r="L696" i="9"/>
  <c r="K696" i="9"/>
  <c r="J696" i="9"/>
  <c r="I696" i="9"/>
  <c r="H696" i="9"/>
  <c r="T696" i="9" s="1"/>
  <c r="U696" i="9" s="1"/>
  <c r="T692" i="9"/>
  <c r="AC690" i="9"/>
  <c r="AB690" i="9"/>
  <c r="AA690" i="9"/>
  <c r="Z690" i="9"/>
  <c r="Y690" i="9"/>
  <c r="X690" i="9"/>
  <c r="W690" i="9"/>
  <c r="T690" i="9"/>
  <c r="G690" i="9"/>
  <c r="E690" i="9"/>
  <c r="R694" i="9" s="1"/>
  <c r="R697" i="9" s="1"/>
  <c r="S685" i="9"/>
  <c r="R685" i="9"/>
  <c r="Q685" i="9"/>
  <c r="P685" i="9"/>
  <c r="O685" i="9"/>
  <c r="N685" i="9"/>
  <c r="M685" i="9"/>
  <c r="L685" i="9"/>
  <c r="K685" i="9"/>
  <c r="J685" i="9"/>
  <c r="I685" i="9"/>
  <c r="H685" i="9"/>
  <c r="T681" i="9"/>
  <c r="AC679" i="9"/>
  <c r="AB679" i="9"/>
  <c r="AA679" i="9"/>
  <c r="Z679" i="9"/>
  <c r="Y679" i="9"/>
  <c r="X679" i="9"/>
  <c r="W679" i="9"/>
  <c r="T679" i="9"/>
  <c r="G679" i="9"/>
  <c r="E679" i="9"/>
  <c r="R683" i="9" s="1"/>
  <c r="R684" i="9" s="1"/>
  <c r="R674" i="9"/>
  <c r="Q674" i="9"/>
  <c r="P674" i="9"/>
  <c r="O674" i="9"/>
  <c r="N674" i="9"/>
  <c r="M674" i="9"/>
  <c r="L674" i="9"/>
  <c r="K674" i="9"/>
  <c r="J674" i="9"/>
  <c r="I674" i="9"/>
  <c r="H674" i="9"/>
  <c r="T670" i="9"/>
  <c r="T669" i="9"/>
  <c r="AC668" i="9"/>
  <c r="AB668" i="9"/>
  <c r="AA668" i="9"/>
  <c r="Z668" i="9"/>
  <c r="Y668" i="9"/>
  <c r="X668" i="9"/>
  <c r="W668" i="9"/>
  <c r="T668" i="9"/>
  <c r="G668" i="9"/>
  <c r="V668" i="9" s="1"/>
  <c r="V669" i="9" s="1"/>
  <c r="E668" i="9"/>
  <c r="Q672" i="9" s="1"/>
  <c r="S662" i="9"/>
  <c r="R662" i="9"/>
  <c r="Q662" i="9"/>
  <c r="P662" i="9"/>
  <c r="O662" i="9"/>
  <c r="N662" i="9"/>
  <c r="M662" i="9"/>
  <c r="L662" i="9"/>
  <c r="K662" i="9"/>
  <c r="J662" i="9"/>
  <c r="I662" i="9"/>
  <c r="H662" i="9"/>
  <c r="T662" i="9" s="1"/>
  <c r="U662" i="9" s="1"/>
  <c r="S660" i="9"/>
  <c r="S664" i="9" s="1"/>
  <c r="R660" i="9"/>
  <c r="R664" i="9" s="1"/>
  <c r="Q660" i="9"/>
  <c r="Q664" i="9" s="1"/>
  <c r="P660" i="9"/>
  <c r="P664" i="9" s="1"/>
  <c r="O660" i="9"/>
  <c r="O664" i="9" s="1"/>
  <c r="N660" i="9"/>
  <c r="N664" i="9" s="1"/>
  <c r="M660" i="9"/>
  <c r="M664" i="9" s="1"/>
  <c r="L660" i="9"/>
  <c r="L664" i="9" s="1"/>
  <c r="K660" i="9"/>
  <c r="K664" i="9" s="1"/>
  <c r="J660" i="9"/>
  <c r="J664" i="9" s="1"/>
  <c r="I660" i="9"/>
  <c r="I664" i="9" s="1"/>
  <c r="H660" i="9"/>
  <c r="H664" i="9" s="1"/>
  <c r="T658" i="9"/>
  <c r="T657" i="9"/>
  <c r="AC656" i="9"/>
  <c r="AB656" i="9"/>
  <c r="AA656" i="9"/>
  <c r="Z656" i="9"/>
  <c r="Y656" i="9"/>
  <c r="X656" i="9"/>
  <c r="W656" i="9"/>
  <c r="T656" i="9"/>
  <c r="G656" i="9"/>
  <c r="E656" i="9"/>
  <c r="L659" i="9" s="1"/>
  <c r="S650" i="9"/>
  <c r="R650" i="9"/>
  <c r="Q650" i="9"/>
  <c r="P650" i="9"/>
  <c r="O650" i="9"/>
  <c r="N650" i="9"/>
  <c r="M650" i="9"/>
  <c r="L650" i="9"/>
  <c r="K650" i="9"/>
  <c r="J650" i="9"/>
  <c r="I650" i="9"/>
  <c r="H650" i="9"/>
  <c r="S648" i="9"/>
  <c r="S652" i="9" s="1"/>
  <c r="R648" i="9"/>
  <c r="R652" i="9" s="1"/>
  <c r="Q648" i="9"/>
  <c r="Q652" i="9" s="1"/>
  <c r="P648" i="9"/>
  <c r="P652" i="9" s="1"/>
  <c r="O648" i="9"/>
  <c r="O652" i="9" s="1"/>
  <c r="N648" i="9"/>
  <c r="N652" i="9" s="1"/>
  <c r="M648" i="9"/>
  <c r="M652" i="9" s="1"/>
  <c r="L648" i="9"/>
  <c r="L652" i="9" s="1"/>
  <c r="K648" i="9"/>
  <c r="K652" i="9" s="1"/>
  <c r="J648" i="9"/>
  <c r="J652" i="9" s="1"/>
  <c r="I648" i="9"/>
  <c r="I652" i="9" s="1"/>
  <c r="H648" i="9"/>
  <c r="H652" i="9" s="1"/>
  <c r="T646" i="9"/>
  <c r="T645" i="9"/>
  <c r="AC644" i="9"/>
  <c r="AB644" i="9"/>
  <c r="AA644" i="9"/>
  <c r="Z644" i="9"/>
  <c r="Y644" i="9"/>
  <c r="X644" i="9"/>
  <c r="W644" i="9"/>
  <c r="T644" i="9"/>
  <c r="G644" i="9"/>
  <c r="E644" i="9"/>
  <c r="S638" i="9"/>
  <c r="R638" i="9"/>
  <c r="Q638" i="9"/>
  <c r="P638" i="9"/>
  <c r="O638" i="9"/>
  <c r="N638" i="9"/>
  <c r="M638" i="9"/>
  <c r="L638" i="9"/>
  <c r="K638" i="9"/>
  <c r="J638" i="9"/>
  <c r="I638" i="9"/>
  <c r="H638" i="9"/>
  <c r="S636" i="9"/>
  <c r="S640" i="9" s="1"/>
  <c r="R636" i="9"/>
  <c r="R640" i="9" s="1"/>
  <c r="Q636" i="9"/>
  <c r="Q640" i="9" s="1"/>
  <c r="P636" i="9"/>
  <c r="P640" i="9" s="1"/>
  <c r="O636" i="9"/>
  <c r="O640" i="9" s="1"/>
  <c r="N636" i="9"/>
  <c r="N640" i="9" s="1"/>
  <c r="M636" i="9"/>
  <c r="M640" i="9" s="1"/>
  <c r="L636" i="9"/>
  <c r="L640" i="9" s="1"/>
  <c r="K636" i="9"/>
  <c r="K640" i="9" s="1"/>
  <c r="J636" i="9"/>
  <c r="J640" i="9" s="1"/>
  <c r="I636" i="9"/>
  <c r="I640" i="9" s="1"/>
  <c r="H636" i="9"/>
  <c r="T634" i="9"/>
  <c r="T633" i="9"/>
  <c r="AC632" i="9"/>
  <c r="AB632" i="9"/>
  <c r="AA632" i="9"/>
  <c r="Z632" i="9"/>
  <c r="Y632" i="9"/>
  <c r="X632" i="9"/>
  <c r="W632" i="9"/>
  <c r="T632" i="9"/>
  <c r="G632" i="9"/>
  <c r="E632" i="9"/>
  <c r="Q635" i="9" s="1"/>
  <c r="Q639" i="9" s="1"/>
  <c r="S623" i="9"/>
  <c r="R623" i="9"/>
  <c r="Q623" i="9"/>
  <c r="P623" i="9"/>
  <c r="O623" i="9"/>
  <c r="N623" i="9"/>
  <c r="M623" i="9"/>
  <c r="L623" i="9"/>
  <c r="K623" i="9"/>
  <c r="J623" i="9"/>
  <c r="I623" i="9"/>
  <c r="H623" i="9"/>
  <c r="S621" i="9"/>
  <c r="S628" i="9" s="1"/>
  <c r="R621" i="9"/>
  <c r="R628" i="9" s="1"/>
  <c r="Q621" i="9"/>
  <c r="Q628" i="9" s="1"/>
  <c r="P621" i="9"/>
  <c r="P628" i="9" s="1"/>
  <c r="O621" i="9"/>
  <c r="O628" i="9" s="1"/>
  <c r="N621" i="9"/>
  <c r="N628" i="9" s="1"/>
  <c r="M621" i="9"/>
  <c r="M628" i="9" s="1"/>
  <c r="L621" i="9"/>
  <c r="L628" i="9" s="1"/>
  <c r="K621" i="9"/>
  <c r="K628" i="9" s="1"/>
  <c r="J621" i="9"/>
  <c r="J628" i="9" s="1"/>
  <c r="I621" i="9"/>
  <c r="I628" i="9" s="1"/>
  <c r="H621" i="9"/>
  <c r="H628" i="9" s="1"/>
  <c r="S620" i="9"/>
  <c r="S627" i="9" s="1"/>
  <c r="R620" i="9"/>
  <c r="R627" i="9" s="1"/>
  <c r="Q620" i="9"/>
  <c r="Q627" i="9" s="1"/>
  <c r="P620" i="9"/>
  <c r="P627" i="9" s="1"/>
  <c r="O620" i="9"/>
  <c r="O627" i="9" s="1"/>
  <c r="N620" i="9"/>
  <c r="N627" i="9" s="1"/>
  <c r="M620" i="9"/>
  <c r="M627" i="9" s="1"/>
  <c r="L620" i="9"/>
  <c r="L627" i="9" s="1"/>
  <c r="K620" i="9"/>
  <c r="K627" i="9" s="1"/>
  <c r="J620" i="9"/>
  <c r="J627" i="9" s="1"/>
  <c r="I620" i="9"/>
  <c r="I627" i="9" s="1"/>
  <c r="H620" i="9"/>
  <c r="H627" i="9" s="1"/>
  <c r="S619" i="9"/>
  <c r="R619" i="9"/>
  <c r="R626" i="9" s="1"/>
  <c r="Q619" i="9"/>
  <c r="Q626" i="9" s="1"/>
  <c r="P619" i="9"/>
  <c r="P626" i="9" s="1"/>
  <c r="O619" i="9"/>
  <c r="N619" i="9"/>
  <c r="N626" i="9" s="1"/>
  <c r="M619" i="9"/>
  <c r="M626" i="9" s="1"/>
  <c r="L619" i="9"/>
  <c r="L626" i="9" s="1"/>
  <c r="K619" i="9"/>
  <c r="J619" i="9"/>
  <c r="J626" i="9" s="1"/>
  <c r="I619" i="9"/>
  <c r="I626" i="9" s="1"/>
  <c r="H619" i="9"/>
  <c r="H626" i="9" s="1"/>
  <c r="T616" i="9"/>
  <c r="V616" i="9" s="1"/>
  <c r="AC612" i="9"/>
  <c r="AB612" i="9"/>
  <c r="AA612" i="9"/>
  <c r="Z612" i="9"/>
  <c r="Y612" i="9"/>
  <c r="X612" i="9"/>
  <c r="W612" i="9"/>
  <c r="S612" i="9"/>
  <c r="R612" i="9"/>
  <c r="Q612" i="9"/>
  <c r="P612" i="9"/>
  <c r="O612" i="9"/>
  <c r="N612" i="9"/>
  <c r="M612" i="9"/>
  <c r="L612" i="9"/>
  <c r="K612" i="9"/>
  <c r="J612" i="9"/>
  <c r="I612" i="9"/>
  <c r="H612" i="9"/>
  <c r="G612" i="9"/>
  <c r="E612" i="9"/>
  <c r="M618" i="9" s="1"/>
  <c r="M625" i="9" s="1"/>
  <c r="AC611" i="9"/>
  <c r="AB611" i="9"/>
  <c r="AA611" i="9"/>
  <c r="Z611" i="9"/>
  <c r="Y611" i="9"/>
  <c r="X611" i="9"/>
  <c r="W611" i="9"/>
  <c r="T611" i="9"/>
  <c r="G611" i="9"/>
  <c r="E611" i="9"/>
  <c r="N617" i="9" s="1"/>
  <c r="S607" i="9"/>
  <c r="P607" i="9"/>
  <c r="N607" i="9"/>
  <c r="M607" i="9"/>
  <c r="S606" i="9"/>
  <c r="P606" i="9"/>
  <c r="P608" i="9" s="1"/>
  <c r="N606" i="9"/>
  <c r="M606" i="9"/>
  <c r="S599" i="9"/>
  <c r="R599" i="9"/>
  <c r="Q599" i="9"/>
  <c r="P599" i="9"/>
  <c r="O599" i="9"/>
  <c r="N599" i="9"/>
  <c r="M599" i="9"/>
  <c r="L599" i="9"/>
  <c r="K599" i="9"/>
  <c r="J599" i="9"/>
  <c r="I599" i="9"/>
  <c r="H599" i="9"/>
  <c r="S590" i="9"/>
  <c r="S592" i="9" s="1"/>
  <c r="S593" i="9" s="1"/>
  <c r="R590" i="9"/>
  <c r="R592" i="9" s="1"/>
  <c r="R593" i="9" s="1"/>
  <c r="Q590" i="9"/>
  <c r="Q592" i="9" s="1"/>
  <c r="Q593" i="9" s="1"/>
  <c r="P590" i="9"/>
  <c r="P592" i="9" s="1"/>
  <c r="P593" i="9" s="1"/>
  <c r="O590" i="9"/>
  <c r="O592" i="9" s="1"/>
  <c r="O593" i="9" s="1"/>
  <c r="N590" i="9"/>
  <c r="N592" i="9" s="1"/>
  <c r="N593" i="9" s="1"/>
  <c r="M590" i="9"/>
  <c r="M592" i="9" s="1"/>
  <c r="M593" i="9" s="1"/>
  <c r="L590" i="9"/>
  <c r="L592" i="9" s="1"/>
  <c r="L593" i="9" s="1"/>
  <c r="K590" i="9"/>
  <c r="K592" i="9" s="1"/>
  <c r="K593" i="9" s="1"/>
  <c r="J590" i="9"/>
  <c r="J592" i="9" s="1"/>
  <c r="J593" i="9" s="1"/>
  <c r="I590" i="9"/>
  <c r="I592" i="9" s="1"/>
  <c r="I593" i="9" s="1"/>
  <c r="H590" i="9"/>
  <c r="G590" i="9"/>
  <c r="T588" i="9"/>
  <c r="T599" i="9" s="1"/>
  <c r="AC586" i="9"/>
  <c r="AB586" i="9"/>
  <c r="AA586" i="9"/>
  <c r="Z586" i="9"/>
  <c r="Y586" i="9"/>
  <c r="X586" i="9"/>
  <c r="W586" i="9"/>
  <c r="T586" i="9"/>
  <c r="G586" i="9"/>
  <c r="E586" i="9"/>
  <c r="Q596" i="9" s="1"/>
  <c r="Q602" i="9" s="1"/>
  <c r="AC585" i="9"/>
  <c r="AB585" i="9"/>
  <c r="AA585" i="9"/>
  <c r="Z585" i="9"/>
  <c r="Y585" i="9"/>
  <c r="X585" i="9"/>
  <c r="W585" i="9"/>
  <c r="T585" i="9"/>
  <c r="G585" i="9"/>
  <c r="V585" i="9" s="1"/>
  <c r="F585" i="9"/>
  <c r="E585" i="9"/>
  <c r="Q595" i="9" s="1"/>
  <c r="Q601" i="9" s="1"/>
  <c r="AC584" i="9"/>
  <c r="AB584" i="9"/>
  <c r="AA584" i="9"/>
  <c r="Z584" i="9"/>
  <c r="Y584" i="9"/>
  <c r="X584" i="9"/>
  <c r="W584" i="9"/>
  <c r="T584" i="9"/>
  <c r="G584" i="9"/>
  <c r="E584" i="9"/>
  <c r="R594" i="9" s="1"/>
  <c r="S582" i="9"/>
  <c r="P582" i="9"/>
  <c r="N582" i="9"/>
  <c r="M582" i="9"/>
  <c r="K580" i="9"/>
  <c r="J580" i="9"/>
  <c r="I580" i="9"/>
  <c r="H580" i="9"/>
  <c r="R579" i="9"/>
  <c r="Q579" i="9"/>
  <c r="O579" i="9"/>
  <c r="L579" i="9"/>
  <c r="K579" i="9"/>
  <c r="J579" i="9"/>
  <c r="I579" i="9"/>
  <c r="H579" i="9"/>
  <c r="R578" i="9"/>
  <c r="R582" i="9" s="1"/>
  <c r="Q578" i="9"/>
  <c r="Q582" i="9" s="1"/>
  <c r="O578" i="9"/>
  <c r="O582" i="9" s="1"/>
  <c r="L578" i="9"/>
  <c r="L582" i="9" s="1"/>
  <c r="K578" i="9"/>
  <c r="J578" i="9"/>
  <c r="I578" i="9"/>
  <c r="I582" i="9" s="1"/>
  <c r="H578" i="9"/>
  <c r="H581" i="9" s="1"/>
  <c r="T577" i="9"/>
  <c r="T576" i="9"/>
  <c r="AC574" i="9"/>
  <c r="AB574" i="9"/>
  <c r="AA574" i="9"/>
  <c r="Z574" i="9"/>
  <c r="Y574" i="9"/>
  <c r="X574" i="9"/>
  <c r="W574" i="9"/>
  <c r="T574" i="9"/>
  <c r="G574" i="9"/>
  <c r="E574" i="9"/>
  <c r="S572" i="9"/>
  <c r="P572" i="9"/>
  <c r="N572" i="9"/>
  <c r="M572" i="9"/>
  <c r="K570" i="9"/>
  <c r="J570" i="9"/>
  <c r="I570" i="9"/>
  <c r="H570" i="9"/>
  <c r="R569" i="9"/>
  <c r="Q569" i="9"/>
  <c r="O569" i="9"/>
  <c r="L569" i="9"/>
  <c r="K569" i="9"/>
  <c r="J569" i="9"/>
  <c r="I569" i="9"/>
  <c r="H569" i="9"/>
  <c r="R568" i="9"/>
  <c r="R572" i="9" s="1"/>
  <c r="Q568" i="9"/>
  <c r="Q572" i="9" s="1"/>
  <c r="O568" i="9"/>
  <c r="O572" i="9" s="1"/>
  <c r="L568" i="9"/>
  <c r="L572" i="9" s="1"/>
  <c r="K568" i="9"/>
  <c r="J568" i="9"/>
  <c r="I568" i="9"/>
  <c r="I572" i="9" s="1"/>
  <c r="H568" i="9"/>
  <c r="H571" i="9" s="1"/>
  <c r="T567" i="9"/>
  <c r="T565" i="9"/>
  <c r="AC563" i="9"/>
  <c r="AB563" i="9"/>
  <c r="AA563" i="9"/>
  <c r="Z563" i="9"/>
  <c r="Y563" i="9"/>
  <c r="X563" i="9"/>
  <c r="W563" i="9"/>
  <c r="T563" i="9"/>
  <c r="G563" i="9"/>
  <c r="E563" i="9"/>
  <c r="S561" i="9"/>
  <c r="P561" i="9"/>
  <c r="N561" i="9"/>
  <c r="M561" i="9"/>
  <c r="K559" i="9"/>
  <c r="J559" i="9"/>
  <c r="I559" i="9"/>
  <c r="H559" i="9"/>
  <c r="R558" i="9"/>
  <c r="Q558" i="9"/>
  <c r="O558" i="9"/>
  <c r="L558" i="9"/>
  <c r="K558" i="9"/>
  <c r="J558" i="9"/>
  <c r="I558" i="9"/>
  <c r="H558" i="9"/>
  <c r="R557" i="9"/>
  <c r="R561" i="9" s="1"/>
  <c r="Q557" i="9"/>
  <c r="Q561" i="9" s="1"/>
  <c r="O557" i="9"/>
  <c r="O561" i="9" s="1"/>
  <c r="L557" i="9"/>
  <c r="L561" i="9" s="1"/>
  <c r="K557" i="9"/>
  <c r="J557" i="9"/>
  <c r="I557" i="9"/>
  <c r="I561" i="9" s="1"/>
  <c r="H557" i="9"/>
  <c r="H560" i="9" s="1"/>
  <c r="T556" i="9"/>
  <c r="T554" i="9"/>
  <c r="AC552" i="9"/>
  <c r="AB552" i="9"/>
  <c r="AA552" i="9"/>
  <c r="Z552" i="9"/>
  <c r="Y552" i="9"/>
  <c r="X552" i="9"/>
  <c r="W552" i="9"/>
  <c r="T552" i="9"/>
  <c r="G552" i="9"/>
  <c r="E552" i="9"/>
  <c r="S550" i="9"/>
  <c r="P550" i="9"/>
  <c r="N550" i="9"/>
  <c r="M550" i="9"/>
  <c r="J548" i="9"/>
  <c r="R547" i="9"/>
  <c r="R607" i="9" s="1"/>
  <c r="Q547" i="9"/>
  <c r="Q607" i="9" s="1"/>
  <c r="O547" i="9"/>
  <c r="O607" i="9" s="1"/>
  <c r="L547" i="9"/>
  <c r="L607" i="9" s="1"/>
  <c r="K547" i="9"/>
  <c r="J547" i="9"/>
  <c r="J607" i="9" s="1"/>
  <c r="I547" i="9"/>
  <c r="I607" i="9" s="1"/>
  <c r="H547" i="9"/>
  <c r="H607" i="9" s="1"/>
  <c r="R546" i="9"/>
  <c r="Q546" i="9"/>
  <c r="O546" i="9"/>
  <c r="O550" i="9" s="1"/>
  <c r="L546" i="9"/>
  <c r="L606" i="9" s="1"/>
  <c r="K546" i="9"/>
  <c r="K549" i="9" s="1"/>
  <c r="J546" i="9"/>
  <c r="I546" i="9"/>
  <c r="H546" i="9"/>
  <c r="H549" i="9" s="1"/>
  <c r="I545" i="9"/>
  <c r="I548" i="9" s="1"/>
  <c r="T543" i="9"/>
  <c r="AC541" i="9"/>
  <c r="AB541" i="9"/>
  <c r="AA541" i="9"/>
  <c r="Z541" i="9"/>
  <c r="Y541" i="9"/>
  <c r="X541" i="9"/>
  <c r="W541" i="9"/>
  <c r="T541" i="9"/>
  <c r="G541" i="9"/>
  <c r="E541" i="9"/>
  <c r="H545" i="9" s="1"/>
  <c r="H548" i="9" s="1"/>
  <c r="T536" i="9"/>
  <c r="S536" i="9"/>
  <c r="R536" i="9"/>
  <c r="Q536" i="9"/>
  <c r="P536" i="9"/>
  <c r="O536" i="9"/>
  <c r="N536" i="9"/>
  <c r="M536" i="9"/>
  <c r="L536" i="9"/>
  <c r="K536" i="9"/>
  <c r="J536" i="9"/>
  <c r="I536" i="9"/>
  <c r="H536" i="9"/>
  <c r="S531" i="9"/>
  <c r="M531" i="9"/>
  <c r="S530" i="9"/>
  <c r="M530" i="9"/>
  <c r="R525" i="9"/>
  <c r="Q525" i="9"/>
  <c r="P525" i="9"/>
  <c r="O525" i="9"/>
  <c r="N525" i="9"/>
  <c r="L525" i="9"/>
  <c r="R524" i="9"/>
  <c r="Q524" i="9"/>
  <c r="P524" i="9"/>
  <c r="P530" i="9" s="1"/>
  <c r="O524" i="9"/>
  <c r="O530" i="9" s="1"/>
  <c r="N524" i="9"/>
  <c r="L524" i="9"/>
  <c r="T518" i="9"/>
  <c r="AC516" i="9"/>
  <c r="AB516" i="9"/>
  <c r="AA516" i="9"/>
  <c r="Z516" i="9"/>
  <c r="Y516" i="9"/>
  <c r="X516" i="9"/>
  <c r="W516" i="9"/>
  <c r="T516" i="9"/>
  <c r="G516" i="9"/>
  <c r="V516" i="9" s="1"/>
  <c r="F516" i="9"/>
  <c r="E516" i="9"/>
  <c r="R523" i="9" s="1"/>
  <c r="R529" i="9" s="1"/>
  <c r="AC515" i="9"/>
  <c r="AB515" i="9"/>
  <c r="AA515" i="9"/>
  <c r="Z515" i="9"/>
  <c r="Y515" i="9"/>
  <c r="X515" i="9"/>
  <c r="W515" i="9"/>
  <c r="T515" i="9"/>
  <c r="G515" i="9"/>
  <c r="E515" i="9"/>
  <c r="N522" i="9" s="1"/>
  <c r="N528" i="9" s="1"/>
  <c r="AC514" i="9"/>
  <c r="AB514" i="9"/>
  <c r="AA514" i="9"/>
  <c r="Z514" i="9"/>
  <c r="Y514" i="9"/>
  <c r="X514" i="9"/>
  <c r="W514" i="9"/>
  <c r="T514" i="9"/>
  <c r="G514" i="9"/>
  <c r="E514" i="9"/>
  <c r="R521" i="9" s="1"/>
  <c r="R527" i="9" s="1"/>
  <c r="AC513" i="9"/>
  <c r="AB513" i="9"/>
  <c r="AA513" i="9"/>
  <c r="Z513" i="9"/>
  <c r="Y513" i="9"/>
  <c r="X513" i="9"/>
  <c r="W513" i="9"/>
  <c r="T513" i="9"/>
  <c r="G513" i="9"/>
  <c r="E513" i="9"/>
  <c r="S520" i="9" s="1"/>
  <c r="S526" i="9" s="1"/>
  <c r="S511" i="9"/>
  <c r="R511" i="9"/>
  <c r="Q511" i="9"/>
  <c r="P511" i="9"/>
  <c r="O511" i="9"/>
  <c r="N511" i="9"/>
  <c r="M511" i="9"/>
  <c r="L511" i="9"/>
  <c r="K510" i="9"/>
  <c r="J510" i="9"/>
  <c r="J525" i="9" s="1"/>
  <c r="K509" i="9"/>
  <c r="K524" i="9" s="1"/>
  <c r="J509" i="9"/>
  <c r="J524" i="9" s="1"/>
  <c r="G509" i="9"/>
  <c r="S507" i="9"/>
  <c r="R507" i="9"/>
  <c r="Q507" i="9"/>
  <c r="P507" i="9"/>
  <c r="O507" i="9"/>
  <c r="N507" i="9"/>
  <c r="M507" i="9"/>
  <c r="L507" i="9"/>
  <c r="K507" i="9"/>
  <c r="J507" i="9"/>
  <c r="I506" i="9"/>
  <c r="H506" i="9"/>
  <c r="T506" i="9" s="1"/>
  <c r="I505" i="9"/>
  <c r="I507" i="9" s="1"/>
  <c r="H505" i="9"/>
  <c r="T504" i="9"/>
  <c r="S502" i="9"/>
  <c r="R502" i="9"/>
  <c r="Q502" i="9"/>
  <c r="P502" i="9"/>
  <c r="O502" i="9"/>
  <c r="N502" i="9"/>
  <c r="M502" i="9"/>
  <c r="L502" i="9"/>
  <c r="K502" i="9"/>
  <c r="J502" i="9"/>
  <c r="I501" i="9"/>
  <c r="H501" i="9"/>
  <c r="I500" i="9"/>
  <c r="I502" i="9" s="1"/>
  <c r="H500" i="9"/>
  <c r="T499" i="9"/>
  <c r="S497" i="9"/>
  <c r="R497" i="9"/>
  <c r="Q497" i="9"/>
  <c r="P497" i="9"/>
  <c r="O497" i="9"/>
  <c r="N497" i="9"/>
  <c r="M497" i="9"/>
  <c r="L497" i="9"/>
  <c r="K497" i="9"/>
  <c r="J497" i="9"/>
  <c r="I496" i="9"/>
  <c r="I510" i="9" s="1"/>
  <c r="I525" i="9" s="1"/>
  <c r="H496" i="9"/>
  <c r="I495" i="9"/>
  <c r="H495" i="9"/>
  <c r="T494" i="9"/>
  <c r="S491" i="9"/>
  <c r="N491" i="9"/>
  <c r="S490" i="9"/>
  <c r="N490" i="9"/>
  <c r="R485" i="9"/>
  <c r="Q485" i="9"/>
  <c r="P485" i="9"/>
  <c r="O485" i="9"/>
  <c r="M485" i="9"/>
  <c r="L485" i="9"/>
  <c r="K485" i="9"/>
  <c r="R484" i="9"/>
  <c r="R490" i="9" s="1"/>
  <c r="Q484" i="9"/>
  <c r="Q490" i="9" s="1"/>
  <c r="P484" i="9"/>
  <c r="P490" i="9" s="1"/>
  <c r="O484" i="9"/>
  <c r="O491" i="9" s="1"/>
  <c r="M484" i="9"/>
  <c r="M490" i="9" s="1"/>
  <c r="L484" i="9"/>
  <c r="L490" i="9" s="1"/>
  <c r="K484" i="9"/>
  <c r="K490" i="9" s="1"/>
  <c r="T478" i="9"/>
  <c r="AC476" i="9"/>
  <c r="AB476" i="9"/>
  <c r="AA476" i="9"/>
  <c r="Z476" i="9"/>
  <c r="Y476" i="9"/>
  <c r="X476" i="9"/>
  <c r="W476" i="9"/>
  <c r="T476" i="9"/>
  <c r="G476" i="9"/>
  <c r="F476" i="9"/>
  <c r="E476" i="9"/>
  <c r="Q483" i="9" s="1"/>
  <c r="Q489" i="9" s="1"/>
  <c r="AC475" i="9"/>
  <c r="AB475" i="9"/>
  <c r="AA475" i="9"/>
  <c r="Z475" i="9"/>
  <c r="Y475" i="9"/>
  <c r="X475" i="9"/>
  <c r="W475" i="9"/>
  <c r="T475" i="9"/>
  <c r="G475" i="9"/>
  <c r="E475" i="9"/>
  <c r="N482" i="9" s="1"/>
  <c r="N488" i="9" s="1"/>
  <c r="AC474" i="9"/>
  <c r="AB474" i="9"/>
  <c r="AA474" i="9"/>
  <c r="Z474" i="9"/>
  <c r="Y474" i="9"/>
  <c r="X474" i="9"/>
  <c r="W474" i="9"/>
  <c r="T474" i="9"/>
  <c r="G474" i="9"/>
  <c r="E474" i="9"/>
  <c r="O481" i="9" s="1"/>
  <c r="O487" i="9" s="1"/>
  <c r="AC473" i="9"/>
  <c r="AB473" i="9"/>
  <c r="AA473" i="9"/>
  <c r="Z473" i="9"/>
  <c r="Y473" i="9"/>
  <c r="X473" i="9"/>
  <c r="W473" i="9"/>
  <c r="T473" i="9"/>
  <c r="G473" i="9"/>
  <c r="E473" i="9"/>
  <c r="O480" i="9" s="1"/>
  <c r="O486" i="9" s="1"/>
  <c r="J469" i="9"/>
  <c r="J485" i="9" s="1"/>
  <c r="J468" i="9"/>
  <c r="J484" i="9" s="1"/>
  <c r="J491" i="9" s="1"/>
  <c r="I465" i="9"/>
  <c r="H465" i="9"/>
  <c r="I464" i="9"/>
  <c r="I466" i="9" s="1"/>
  <c r="H464" i="9"/>
  <c r="T463" i="9"/>
  <c r="I460" i="9"/>
  <c r="H460" i="9"/>
  <c r="I459" i="9"/>
  <c r="H459" i="9"/>
  <c r="T458" i="9"/>
  <c r="S451" i="9"/>
  <c r="R451" i="9"/>
  <c r="Q451" i="9"/>
  <c r="P451" i="9"/>
  <c r="O451" i="9"/>
  <c r="N451" i="9"/>
  <c r="M451" i="9"/>
  <c r="L451" i="9"/>
  <c r="K451" i="9"/>
  <c r="J451" i="9"/>
  <c r="I451" i="9"/>
  <c r="H451" i="9"/>
  <c r="R450" i="9"/>
  <c r="Q450" i="9"/>
  <c r="P450" i="9"/>
  <c r="N450" i="9"/>
  <c r="M450" i="9"/>
  <c r="L450" i="9"/>
  <c r="J450" i="9"/>
  <c r="I450" i="9"/>
  <c r="H450" i="9"/>
  <c r="S438" i="9"/>
  <c r="R438" i="9"/>
  <c r="Q438" i="9"/>
  <c r="P438" i="9"/>
  <c r="O438" i="9"/>
  <c r="N438" i="9"/>
  <c r="M438" i="9"/>
  <c r="L438" i="9"/>
  <c r="K438" i="9"/>
  <c r="J438" i="9"/>
  <c r="I438" i="9"/>
  <c r="H438" i="9"/>
  <c r="S437" i="9"/>
  <c r="R437" i="9"/>
  <c r="Q437" i="9"/>
  <c r="P437" i="9"/>
  <c r="O437" i="9"/>
  <c r="N437" i="9"/>
  <c r="M437" i="9"/>
  <c r="L437" i="9"/>
  <c r="K437" i="9"/>
  <c r="J437" i="9"/>
  <c r="I437" i="9"/>
  <c r="H437" i="9"/>
  <c r="S436" i="9"/>
  <c r="R436" i="9"/>
  <c r="Q436" i="9"/>
  <c r="P436" i="9"/>
  <c r="O436" i="9"/>
  <c r="N436" i="9"/>
  <c r="M436" i="9"/>
  <c r="L436" i="9"/>
  <c r="K436" i="9"/>
  <c r="J436" i="9"/>
  <c r="I436" i="9"/>
  <c r="H436" i="9"/>
  <c r="S435" i="9"/>
  <c r="R435" i="9"/>
  <c r="Q435" i="9"/>
  <c r="P435" i="9"/>
  <c r="O435" i="9"/>
  <c r="N435" i="9"/>
  <c r="M435" i="9"/>
  <c r="L435" i="9"/>
  <c r="K435" i="9"/>
  <c r="J435" i="9"/>
  <c r="I435" i="9"/>
  <c r="H435" i="9"/>
  <c r="S434" i="9"/>
  <c r="R434" i="9"/>
  <c r="Q434" i="9"/>
  <c r="P434" i="9"/>
  <c r="O434" i="9"/>
  <c r="N434" i="9"/>
  <c r="M434" i="9"/>
  <c r="L434" i="9"/>
  <c r="K434" i="9"/>
  <c r="J434" i="9"/>
  <c r="I434" i="9"/>
  <c r="H434" i="9"/>
  <c r="T434" i="9" s="1"/>
  <c r="U434" i="9" s="1"/>
  <c r="S433" i="9"/>
  <c r="S439" i="9" s="1"/>
  <c r="R433" i="9"/>
  <c r="Q433" i="9"/>
  <c r="Q439" i="9" s="1"/>
  <c r="P433" i="9"/>
  <c r="P440" i="9" s="1"/>
  <c r="O433" i="9"/>
  <c r="O439" i="9" s="1"/>
  <c r="N433" i="9"/>
  <c r="M433" i="9"/>
  <c r="M440" i="9" s="1"/>
  <c r="L433" i="9"/>
  <c r="L439" i="9" s="1"/>
  <c r="K433" i="9"/>
  <c r="K440" i="9" s="1"/>
  <c r="J433" i="9"/>
  <c r="I433" i="9"/>
  <c r="I439" i="9" s="1"/>
  <c r="H433" i="9"/>
  <c r="H439" i="9" s="1"/>
  <c r="T432" i="9"/>
  <c r="T431" i="9"/>
  <c r="T430" i="9"/>
  <c r="T429" i="9"/>
  <c r="T435" i="9" s="1"/>
  <c r="T428" i="9"/>
  <c r="AC427" i="9"/>
  <c r="AB427" i="9"/>
  <c r="AA427" i="9"/>
  <c r="Z427" i="9"/>
  <c r="Y427" i="9"/>
  <c r="X427" i="9"/>
  <c r="W427" i="9"/>
  <c r="G427" i="9"/>
  <c r="E427" i="9"/>
  <c r="N427" i="9" s="1"/>
  <c r="AC426" i="9"/>
  <c r="AB426" i="9"/>
  <c r="AA426" i="9"/>
  <c r="Z426" i="9"/>
  <c r="Y426" i="9"/>
  <c r="X426" i="9"/>
  <c r="W426" i="9"/>
  <c r="G426" i="9"/>
  <c r="E426" i="9"/>
  <c r="N426" i="9" s="1"/>
  <c r="AC425" i="9"/>
  <c r="AB425" i="9"/>
  <c r="AA425" i="9"/>
  <c r="Z425" i="9"/>
  <c r="Y425" i="9"/>
  <c r="X425" i="9"/>
  <c r="W425" i="9"/>
  <c r="S425" i="9"/>
  <c r="R425" i="9"/>
  <c r="Q425" i="9"/>
  <c r="P425" i="9"/>
  <c r="O425" i="9"/>
  <c r="N425" i="9"/>
  <c r="M425" i="9"/>
  <c r="L425" i="9"/>
  <c r="K425" i="9"/>
  <c r="J425" i="9"/>
  <c r="I425" i="9"/>
  <c r="H425" i="9"/>
  <c r="AC424" i="9"/>
  <c r="AB424" i="9"/>
  <c r="AA424" i="9"/>
  <c r="Z424" i="9"/>
  <c r="Y424" i="9"/>
  <c r="X424" i="9"/>
  <c r="W424" i="9"/>
  <c r="S424" i="9"/>
  <c r="R424" i="9"/>
  <c r="Q424" i="9"/>
  <c r="P424" i="9"/>
  <c r="O424" i="9"/>
  <c r="N424" i="9"/>
  <c r="M424" i="9"/>
  <c r="L424" i="9"/>
  <c r="K424" i="9"/>
  <c r="J424" i="9"/>
  <c r="I424" i="9"/>
  <c r="H424" i="9"/>
  <c r="G424" i="9"/>
  <c r="E424" i="9"/>
  <c r="S416" i="9"/>
  <c r="R416" i="9"/>
  <c r="Q416" i="9"/>
  <c r="P416" i="9"/>
  <c r="O416" i="9"/>
  <c r="N416" i="9"/>
  <c r="M416" i="9"/>
  <c r="L416" i="9"/>
  <c r="K416" i="9"/>
  <c r="J416" i="9"/>
  <c r="I416" i="9"/>
  <c r="H416" i="9"/>
  <c r="S415" i="9"/>
  <c r="R415" i="9"/>
  <c r="Q415" i="9"/>
  <c r="P415" i="9"/>
  <c r="O415" i="9"/>
  <c r="N415" i="9"/>
  <c r="M415" i="9"/>
  <c r="L415" i="9"/>
  <c r="K415" i="9"/>
  <c r="J415" i="9"/>
  <c r="I415" i="9"/>
  <c r="H415" i="9"/>
  <c r="T409" i="9"/>
  <c r="V409" i="9" s="1"/>
  <c r="AC408" i="9"/>
  <c r="AB408" i="9"/>
  <c r="AA408" i="9"/>
  <c r="Z408" i="9"/>
  <c r="Y408" i="9"/>
  <c r="X408" i="9"/>
  <c r="W408" i="9"/>
  <c r="S408" i="9"/>
  <c r="R408" i="9"/>
  <c r="Q408" i="9"/>
  <c r="P408" i="9"/>
  <c r="O408" i="9"/>
  <c r="N408" i="9"/>
  <c r="L408" i="9"/>
  <c r="K408" i="9"/>
  <c r="I408" i="9"/>
  <c r="H408" i="9"/>
  <c r="G408" i="9"/>
  <c r="E408" i="9"/>
  <c r="Q413" i="9" s="1"/>
  <c r="Q420" i="9" s="1"/>
  <c r="AC407" i="9"/>
  <c r="AB407" i="9"/>
  <c r="AA407" i="9"/>
  <c r="Z407" i="9"/>
  <c r="Y407" i="9"/>
  <c r="X407" i="9"/>
  <c r="W407" i="9"/>
  <c r="S407" i="9"/>
  <c r="R407" i="9"/>
  <c r="Q407" i="9"/>
  <c r="P407" i="9"/>
  <c r="O407" i="9"/>
  <c r="N407" i="9"/>
  <c r="L407" i="9"/>
  <c r="K407" i="9"/>
  <c r="I407" i="9"/>
  <c r="H407" i="9"/>
  <c r="G407" i="9"/>
  <c r="F407" i="9"/>
  <c r="E407" i="9"/>
  <c r="J412" i="9" s="1"/>
  <c r="J419" i="9" s="1"/>
  <c r="AC406" i="9"/>
  <c r="AB406" i="9"/>
  <c r="AA406" i="9"/>
  <c r="Z406" i="9"/>
  <c r="Y406" i="9"/>
  <c r="X406" i="9"/>
  <c r="W406" i="9"/>
  <c r="T406" i="9"/>
  <c r="G406" i="9"/>
  <c r="E406" i="9"/>
  <c r="P411" i="9" s="1"/>
  <c r="P418" i="9" s="1"/>
  <c r="AC405" i="9"/>
  <c r="AB405" i="9"/>
  <c r="AA405" i="9"/>
  <c r="Z405" i="9"/>
  <c r="Y405" i="9"/>
  <c r="X405" i="9"/>
  <c r="W405" i="9"/>
  <c r="T405" i="9"/>
  <c r="G405" i="9"/>
  <c r="E405" i="9"/>
  <c r="Q410" i="9" s="1"/>
  <c r="AC404" i="9"/>
  <c r="AB404" i="9"/>
  <c r="AA404" i="9"/>
  <c r="Z404" i="9"/>
  <c r="Y404" i="9"/>
  <c r="X404" i="9"/>
  <c r="W404" i="9"/>
  <c r="AC403" i="9"/>
  <c r="AB403" i="9"/>
  <c r="AA403" i="9"/>
  <c r="Z403" i="9"/>
  <c r="Y403" i="9"/>
  <c r="X403" i="9"/>
  <c r="W403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T392" i="9"/>
  <c r="V392" i="9" s="1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E391" i="9"/>
  <c r="O396" i="9" s="1"/>
  <c r="O402" i="9" s="1"/>
  <c r="S390" i="9"/>
  <c r="R390" i="9"/>
  <c r="Q390" i="9"/>
  <c r="P390" i="9"/>
  <c r="T390" i="9" s="1"/>
  <c r="O390" i="9"/>
  <c r="G390" i="9"/>
  <c r="F390" i="9"/>
  <c r="E390" i="9"/>
  <c r="P395" i="9" s="1"/>
  <c r="P401" i="9" s="1"/>
  <c r="T389" i="9"/>
  <c r="G389" i="9"/>
  <c r="E389" i="9"/>
  <c r="P394" i="9" s="1"/>
  <c r="P400" i="9" s="1"/>
  <c r="T388" i="9"/>
  <c r="G388" i="9"/>
  <c r="E388" i="9"/>
  <c r="P393" i="9" s="1"/>
  <c r="G385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V373" i="9"/>
  <c r="T373" i="9"/>
  <c r="AC372" i="9"/>
  <c r="AB372" i="9"/>
  <c r="AA372" i="9"/>
  <c r="Z372" i="9"/>
  <c r="Y372" i="9"/>
  <c r="X372" i="9"/>
  <c r="W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E372" i="9"/>
  <c r="R377" i="9" s="1"/>
  <c r="R384" i="9" s="1"/>
  <c r="AC371" i="9"/>
  <c r="AB371" i="9"/>
  <c r="AA371" i="9"/>
  <c r="Z371" i="9"/>
  <c r="Y371" i="9"/>
  <c r="X371" i="9"/>
  <c r="W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M376" i="9" s="1"/>
  <c r="M383" i="9" s="1"/>
  <c r="AC370" i="9"/>
  <c r="AB370" i="9"/>
  <c r="AA370" i="9"/>
  <c r="Z370" i="9"/>
  <c r="Y370" i="9"/>
  <c r="X370" i="9"/>
  <c r="W370" i="9"/>
  <c r="T370" i="9"/>
  <c r="G370" i="9"/>
  <c r="E370" i="9"/>
  <c r="P375" i="9" s="1"/>
  <c r="P382" i="9" s="1"/>
  <c r="AC369" i="9"/>
  <c r="AB369" i="9"/>
  <c r="AA369" i="9"/>
  <c r="Z369" i="9"/>
  <c r="Y369" i="9"/>
  <c r="X369" i="9"/>
  <c r="W369" i="9"/>
  <c r="T369" i="9"/>
  <c r="G369" i="9"/>
  <c r="E369" i="9"/>
  <c r="Q374" i="9" s="1"/>
  <c r="G366" i="9"/>
  <c r="F366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T355" i="9"/>
  <c r="V355" i="9" s="1"/>
  <c r="AC354" i="9"/>
  <c r="AB354" i="9"/>
  <c r="AA354" i="9"/>
  <c r="Z354" i="9"/>
  <c r="Y354" i="9"/>
  <c r="X354" i="9"/>
  <c r="W354" i="9"/>
  <c r="S354" i="9"/>
  <c r="R354" i="9"/>
  <c r="Q354" i="9"/>
  <c r="P354" i="9"/>
  <c r="O354" i="9"/>
  <c r="N354" i="9"/>
  <c r="M354" i="9"/>
  <c r="L354" i="9"/>
  <c r="K354" i="9"/>
  <c r="J354" i="9"/>
  <c r="J1440" i="9" s="1"/>
  <c r="I354" i="9"/>
  <c r="I1440" i="9" s="1"/>
  <c r="H354" i="9"/>
  <c r="G354" i="9"/>
  <c r="E354" i="9"/>
  <c r="I359" i="9" s="1"/>
  <c r="AC353" i="9"/>
  <c r="AB353" i="9"/>
  <c r="AA353" i="9"/>
  <c r="Z353" i="9"/>
  <c r="Y353" i="9"/>
  <c r="X353" i="9"/>
  <c r="W353" i="9"/>
  <c r="S353" i="9"/>
  <c r="R353" i="9"/>
  <c r="Q353" i="9"/>
  <c r="P353" i="9"/>
  <c r="O353" i="9"/>
  <c r="N353" i="9"/>
  <c r="M353" i="9"/>
  <c r="L353" i="9"/>
  <c r="K353" i="9"/>
  <c r="J353" i="9"/>
  <c r="J1434" i="9" s="1"/>
  <c r="I353" i="9"/>
  <c r="I1434" i="9" s="1"/>
  <c r="H353" i="9"/>
  <c r="G353" i="9"/>
  <c r="F353" i="9"/>
  <c r="E353" i="9"/>
  <c r="R358" i="9" s="1"/>
  <c r="AC352" i="9"/>
  <c r="AB352" i="9"/>
  <c r="AA352" i="9"/>
  <c r="Z352" i="9"/>
  <c r="Y352" i="9"/>
  <c r="X352" i="9"/>
  <c r="W352" i="9"/>
  <c r="T352" i="9"/>
  <c r="G352" i="9"/>
  <c r="E352" i="9"/>
  <c r="Q357" i="9" s="1"/>
  <c r="AC351" i="9"/>
  <c r="AB351" i="9"/>
  <c r="AA351" i="9"/>
  <c r="Z351" i="9"/>
  <c r="Y351" i="9"/>
  <c r="X351" i="9"/>
  <c r="W351" i="9"/>
  <c r="T351" i="9"/>
  <c r="G351" i="9"/>
  <c r="E351" i="9"/>
  <c r="R356" i="9" s="1"/>
  <c r="S348" i="9"/>
  <c r="R348" i="9"/>
  <c r="Q348" i="9"/>
  <c r="P348" i="9"/>
  <c r="O348" i="9"/>
  <c r="S347" i="9"/>
  <c r="R347" i="9"/>
  <c r="Q347" i="9"/>
  <c r="Q349" i="9" s="1"/>
  <c r="P347" i="9"/>
  <c r="O347" i="9"/>
  <c r="S346" i="9"/>
  <c r="R346" i="9"/>
  <c r="Q346" i="9"/>
  <c r="P346" i="9"/>
  <c r="O346" i="9"/>
  <c r="S344" i="9"/>
  <c r="R344" i="9"/>
  <c r="Q344" i="9"/>
  <c r="P344" i="9"/>
  <c r="O344" i="9"/>
  <c r="S343" i="9"/>
  <c r="R343" i="9"/>
  <c r="Q343" i="9"/>
  <c r="P343" i="9"/>
  <c r="O343" i="9"/>
  <c r="N343" i="9"/>
  <c r="M343" i="9"/>
  <c r="S342" i="9"/>
  <c r="R342" i="9"/>
  <c r="Q342" i="9"/>
  <c r="P342" i="9"/>
  <c r="O342" i="9"/>
  <c r="S341" i="9"/>
  <c r="R341" i="9"/>
  <c r="R345" i="9" s="1"/>
  <c r="Q341" i="9"/>
  <c r="P341" i="9"/>
  <c r="P345" i="9" s="1"/>
  <c r="O341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S337" i="9"/>
  <c r="S339" i="9" s="1"/>
  <c r="R337" i="9"/>
  <c r="R339" i="9" s="1"/>
  <c r="Q337" i="9"/>
  <c r="Q339" i="9" s="1"/>
  <c r="P337" i="9"/>
  <c r="P339" i="9" s="1"/>
  <c r="O337" i="9"/>
  <c r="O339" i="9" s="1"/>
  <c r="N337" i="9"/>
  <c r="N339" i="9" s="1"/>
  <c r="M337" i="9"/>
  <c r="M339" i="9" s="1"/>
  <c r="L337" i="9"/>
  <c r="L339" i="9" s="1"/>
  <c r="S336" i="9"/>
  <c r="R336" i="9"/>
  <c r="Q336" i="9"/>
  <c r="P336" i="9"/>
  <c r="O336" i="9"/>
  <c r="N336" i="9"/>
  <c r="M336" i="9"/>
  <c r="L336" i="9"/>
  <c r="S334" i="9"/>
  <c r="R334" i="9"/>
  <c r="Q334" i="9"/>
  <c r="P334" i="9"/>
  <c r="O334" i="9"/>
  <c r="N334" i="9"/>
  <c r="M334" i="9"/>
  <c r="L334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S332" i="9"/>
  <c r="R332" i="9"/>
  <c r="Q332" i="9"/>
  <c r="P332" i="9"/>
  <c r="O332" i="9"/>
  <c r="N332" i="9"/>
  <c r="M332" i="9"/>
  <c r="L332" i="9"/>
  <c r="S331" i="9"/>
  <c r="S335" i="9" s="1"/>
  <c r="R331" i="9"/>
  <c r="R335" i="9" s="1"/>
  <c r="Q331" i="9"/>
  <c r="P331" i="9"/>
  <c r="P335" i="9" s="1"/>
  <c r="O331" i="9"/>
  <c r="O335" i="9" s="1"/>
  <c r="N331" i="9"/>
  <c r="N335" i="9" s="1"/>
  <c r="M331" i="9"/>
  <c r="L331" i="9"/>
  <c r="L335" i="9" s="1"/>
  <c r="S330" i="9"/>
  <c r="R330" i="9"/>
  <c r="Q330" i="9"/>
  <c r="P330" i="9"/>
  <c r="O330" i="9"/>
  <c r="N330" i="9"/>
  <c r="M330" i="9"/>
  <c r="L330" i="9"/>
  <c r="K330" i="9"/>
  <c r="J330" i="9"/>
  <c r="I330" i="9"/>
  <c r="H330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T324" i="9"/>
  <c r="U324" i="9" s="1"/>
  <c r="T323" i="9"/>
  <c r="T322" i="9"/>
  <c r="T321" i="9"/>
  <c r="T320" i="9"/>
  <c r="T319" i="9"/>
  <c r="T325" i="9" s="1"/>
  <c r="T317" i="9"/>
  <c r="AC315" i="9"/>
  <c r="AB315" i="9"/>
  <c r="AA315" i="9"/>
  <c r="Z315" i="9"/>
  <c r="Y315" i="9"/>
  <c r="X315" i="9"/>
  <c r="W315" i="9"/>
  <c r="T315" i="9"/>
  <c r="G315" i="9"/>
  <c r="V315" i="9" s="1"/>
  <c r="E315" i="9"/>
  <c r="AC314" i="9"/>
  <c r="AB314" i="9"/>
  <c r="AA314" i="9"/>
  <c r="Z314" i="9"/>
  <c r="Y314" i="9"/>
  <c r="X314" i="9"/>
  <c r="W314" i="9"/>
  <c r="T314" i="9"/>
  <c r="G314" i="9"/>
  <c r="F314" i="9"/>
  <c r="E314" i="9"/>
  <c r="AC313" i="9"/>
  <c r="AB313" i="9"/>
  <c r="AA313" i="9"/>
  <c r="Z313" i="9"/>
  <c r="Y313" i="9"/>
  <c r="X313" i="9"/>
  <c r="W313" i="9"/>
  <c r="T313" i="9"/>
  <c r="G313" i="9"/>
  <c r="E313" i="9"/>
  <c r="AH312" i="9"/>
  <c r="AG312" i="9"/>
  <c r="AF312" i="9"/>
  <c r="AE312" i="9"/>
  <c r="AD312" i="9"/>
  <c r="AC312" i="9"/>
  <c r="AB312" i="9"/>
  <c r="AA312" i="9"/>
  <c r="Z312" i="9"/>
  <c r="Y312" i="9"/>
  <c r="X312" i="9"/>
  <c r="W312" i="9"/>
  <c r="T312" i="9"/>
  <c r="G312" i="9"/>
  <c r="V312" i="9" s="1"/>
  <c r="E312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T309" i="9"/>
  <c r="U309" i="9" s="1"/>
  <c r="T308" i="9"/>
  <c r="T305" i="9"/>
  <c r="K304" i="9"/>
  <c r="J304" i="9"/>
  <c r="I304" i="9"/>
  <c r="H304" i="9"/>
  <c r="T304" i="9" s="1"/>
  <c r="G304" i="9"/>
  <c r="E304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S301" i="9"/>
  <c r="R301" i="9"/>
  <c r="Q301" i="9"/>
  <c r="P301" i="9"/>
  <c r="O301" i="9"/>
  <c r="N301" i="9"/>
  <c r="M301" i="9"/>
  <c r="L301" i="9"/>
  <c r="T300" i="9"/>
  <c r="U300" i="9" s="1"/>
  <c r="T299" i="9"/>
  <c r="T296" i="9"/>
  <c r="V296" i="9" s="1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T295" i="9"/>
  <c r="G295" i="9"/>
  <c r="E295" i="9"/>
  <c r="K298" i="9" s="1"/>
  <c r="K301" i="9" s="1"/>
  <c r="S294" i="9"/>
  <c r="R294" i="9"/>
  <c r="Q294" i="9"/>
  <c r="P294" i="9"/>
  <c r="O294" i="9"/>
  <c r="N294" i="9"/>
  <c r="M294" i="9"/>
  <c r="L294" i="9"/>
  <c r="K294" i="9"/>
  <c r="J294" i="9"/>
  <c r="I294" i="9"/>
  <c r="H294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S292" i="9"/>
  <c r="R292" i="9"/>
  <c r="Q292" i="9"/>
  <c r="P292" i="9"/>
  <c r="O292" i="9"/>
  <c r="N292" i="9"/>
  <c r="M292" i="9"/>
  <c r="L292" i="9"/>
  <c r="S291" i="9"/>
  <c r="R291" i="9"/>
  <c r="Q291" i="9"/>
  <c r="P291" i="9"/>
  <c r="O291" i="9"/>
  <c r="N291" i="9"/>
  <c r="M291" i="9"/>
  <c r="L291" i="9"/>
  <c r="S290" i="9"/>
  <c r="R290" i="9"/>
  <c r="Q290" i="9"/>
  <c r="P290" i="9"/>
  <c r="O290" i="9"/>
  <c r="N290" i="9"/>
  <c r="M290" i="9"/>
  <c r="L290" i="9"/>
  <c r="S289" i="9"/>
  <c r="R289" i="9"/>
  <c r="Q289" i="9"/>
  <c r="P289" i="9"/>
  <c r="O289" i="9"/>
  <c r="N289" i="9"/>
  <c r="M289" i="9"/>
  <c r="L289" i="9"/>
  <c r="T288" i="9"/>
  <c r="U288" i="9" s="1"/>
  <c r="T287" i="9"/>
  <c r="T294" i="9" s="1"/>
  <c r="K285" i="9"/>
  <c r="K291" i="9" s="1"/>
  <c r="J285" i="9"/>
  <c r="J291" i="9" s="1"/>
  <c r="I285" i="9"/>
  <c r="I291" i="9" s="1"/>
  <c r="H285" i="9"/>
  <c r="H291" i="9" s="1"/>
  <c r="T282" i="9"/>
  <c r="V282" i="9" s="1"/>
  <c r="T281" i="9"/>
  <c r="E281" i="9"/>
  <c r="H286" i="9" s="1"/>
  <c r="AC279" i="9"/>
  <c r="AB279" i="9"/>
  <c r="AA279" i="9"/>
  <c r="Z279" i="9"/>
  <c r="Y279" i="9"/>
  <c r="X279" i="9"/>
  <c r="W279" i="9"/>
  <c r="T279" i="9"/>
  <c r="G279" i="9"/>
  <c r="E279" i="9"/>
  <c r="J284" i="9" s="1"/>
  <c r="AH278" i="9"/>
  <c r="AG278" i="9"/>
  <c r="AF278" i="9"/>
  <c r="AE278" i="9"/>
  <c r="AD278" i="9"/>
  <c r="AC278" i="9"/>
  <c r="AB278" i="9"/>
  <c r="AA278" i="9"/>
  <c r="Z278" i="9"/>
  <c r="Y278" i="9"/>
  <c r="X278" i="9"/>
  <c r="W278" i="9"/>
  <c r="T278" i="9"/>
  <c r="G278" i="9"/>
  <c r="V278" i="9" s="1"/>
  <c r="E278" i="9"/>
  <c r="K283" i="9" s="1"/>
  <c r="K289" i="9" s="1"/>
  <c r="S277" i="9"/>
  <c r="R277" i="9"/>
  <c r="Q277" i="9"/>
  <c r="P277" i="9"/>
  <c r="O277" i="9"/>
  <c r="N277" i="9"/>
  <c r="M277" i="9"/>
  <c r="L277" i="9"/>
  <c r="S276" i="9"/>
  <c r="R276" i="9"/>
  <c r="Q276" i="9"/>
  <c r="P276" i="9"/>
  <c r="O276" i="9"/>
  <c r="N276" i="9"/>
  <c r="M276" i="9"/>
  <c r="L276" i="9"/>
  <c r="S275" i="9"/>
  <c r="R275" i="9"/>
  <c r="Q275" i="9"/>
  <c r="P275" i="9"/>
  <c r="O275" i="9"/>
  <c r="N275" i="9"/>
  <c r="M275" i="9"/>
  <c r="L275" i="9"/>
  <c r="S274" i="9"/>
  <c r="R274" i="9"/>
  <c r="Q274" i="9"/>
  <c r="P274" i="9"/>
  <c r="O274" i="9"/>
  <c r="N274" i="9"/>
  <c r="M274" i="9"/>
  <c r="L274" i="9"/>
  <c r="S273" i="9"/>
  <c r="R273" i="9"/>
  <c r="Q273" i="9"/>
  <c r="P273" i="9"/>
  <c r="O273" i="9"/>
  <c r="N273" i="9"/>
  <c r="M273" i="9"/>
  <c r="L273" i="9"/>
  <c r="S272" i="9"/>
  <c r="R272" i="9"/>
  <c r="Q272" i="9"/>
  <c r="P272" i="9"/>
  <c r="O272" i="9"/>
  <c r="N272" i="9"/>
  <c r="M272" i="9"/>
  <c r="L272" i="9"/>
  <c r="AC271" i="9"/>
  <c r="AB271" i="9"/>
  <c r="AA271" i="9"/>
  <c r="Z271" i="9"/>
  <c r="Y271" i="9"/>
  <c r="X271" i="9"/>
  <c r="W271" i="9"/>
  <c r="S271" i="9"/>
  <c r="R271" i="9"/>
  <c r="Q271" i="9"/>
  <c r="P271" i="9"/>
  <c r="O271" i="9"/>
  <c r="N271" i="9"/>
  <c r="M271" i="9"/>
  <c r="L271" i="9"/>
  <c r="U270" i="9"/>
  <c r="T270" i="9"/>
  <c r="K267" i="9"/>
  <c r="K332" i="9" s="1"/>
  <c r="J267" i="9"/>
  <c r="I267" i="9"/>
  <c r="H267" i="9"/>
  <c r="K262" i="9"/>
  <c r="J262" i="9"/>
  <c r="I262" i="9"/>
  <c r="H262" i="9"/>
  <c r="T261" i="9"/>
  <c r="T260" i="9"/>
  <c r="V258" i="9"/>
  <c r="T258" i="9"/>
  <c r="E258" i="9"/>
  <c r="K268" i="9" s="1"/>
  <c r="AC257" i="9"/>
  <c r="AB257" i="9"/>
  <c r="AA257" i="9"/>
  <c r="Z257" i="9"/>
  <c r="Y257" i="9"/>
  <c r="X257" i="9"/>
  <c r="W257" i="9"/>
  <c r="T257" i="9"/>
  <c r="U257" i="9" s="1"/>
  <c r="G257" i="9"/>
  <c r="V257" i="9" s="1"/>
  <c r="AC256" i="9"/>
  <c r="AB256" i="9"/>
  <c r="AA256" i="9"/>
  <c r="Z256" i="9"/>
  <c r="Y256" i="9"/>
  <c r="X256" i="9"/>
  <c r="W256" i="9"/>
  <c r="T256" i="9"/>
  <c r="G256" i="9"/>
  <c r="F256" i="9"/>
  <c r="E256" i="9"/>
  <c r="I266" i="9" s="1"/>
  <c r="I273" i="9" s="1"/>
  <c r="AC255" i="9"/>
  <c r="AB255" i="9"/>
  <c r="AA255" i="9"/>
  <c r="Z255" i="9"/>
  <c r="Y255" i="9"/>
  <c r="X255" i="9"/>
  <c r="W255" i="9"/>
  <c r="T255" i="9"/>
  <c r="G255" i="9"/>
  <c r="E255" i="9"/>
  <c r="J265" i="9" s="1"/>
  <c r="J272" i="9" s="1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T254" i="9"/>
  <c r="G254" i="9"/>
  <c r="E254" i="9"/>
  <c r="K264" i="9" s="1"/>
  <c r="K271" i="9" s="1"/>
  <c r="S253" i="9"/>
  <c r="R253" i="9"/>
  <c r="Q253" i="9"/>
  <c r="P253" i="9"/>
  <c r="O253" i="9"/>
  <c r="N253" i="9"/>
  <c r="M253" i="9"/>
  <c r="L253" i="9"/>
  <c r="K253" i="9"/>
  <c r="J253" i="9"/>
  <c r="I253" i="9"/>
  <c r="H253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T248" i="9"/>
  <c r="U248" i="9" s="1"/>
  <c r="T247" i="9"/>
  <c r="T246" i="9"/>
  <c r="T245" i="9"/>
  <c r="T244" i="9"/>
  <c r="T249" i="9" s="1"/>
  <c r="T241" i="9"/>
  <c r="T240" i="9"/>
  <c r="AC239" i="9"/>
  <c r="AB239" i="9"/>
  <c r="AA239" i="9"/>
  <c r="Z239" i="9"/>
  <c r="Y239" i="9"/>
  <c r="X239" i="9"/>
  <c r="W239" i="9"/>
  <c r="T239" i="9"/>
  <c r="G239" i="9"/>
  <c r="F239" i="9"/>
  <c r="E239" i="9"/>
  <c r="AC238" i="9"/>
  <c r="AB238" i="9"/>
  <c r="AA238" i="9"/>
  <c r="Z238" i="9"/>
  <c r="Y238" i="9"/>
  <c r="X238" i="9"/>
  <c r="W238" i="9"/>
  <c r="T238" i="9"/>
  <c r="G238" i="9"/>
  <c r="E238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T237" i="9"/>
  <c r="G237" i="9"/>
  <c r="E237" i="9"/>
  <c r="S235" i="9"/>
  <c r="R235" i="9"/>
  <c r="Q235" i="9"/>
  <c r="P235" i="9"/>
  <c r="P236" i="9" s="1"/>
  <c r="O235" i="9"/>
  <c r="S234" i="9"/>
  <c r="R234" i="9"/>
  <c r="Q234" i="9"/>
  <c r="P234" i="9"/>
  <c r="O234" i="9"/>
  <c r="S233" i="9"/>
  <c r="R233" i="9"/>
  <c r="Q233" i="9"/>
  <c r="P233" i="9"/>
  <c r="O233" i="9"/>
  <c r="S232" i="9"/>
  <c r="R232" i="9"/>
  <c r="Q232" i="9"/>
  <c r="P232" i="9"/>
  <c r="O232" i="9"/>
  <c r="L232" i="9"/>
  <c r="K232" i="9"/>
  <c r="J232" i="9"/>
  <c r="I232" i="9"/>
  <c r="H232" i="9"/>
  <c r="L225" i="9"/>
  <c r="L233" i="9" s="1"/>
  <c r="K225" i="9"/>
  <c r="K233" i="9" s="1"/>
  <c r="J225" i="9"/>
  <c r="J233" i="9" s="1"/>
  <c r="I225" i="9"/>
  <c r="I233" i="9" s="1"/>
  <c r="H225" i="9"/>
  <c r="V224" i="9"/>
  <c r="T224" i="9"/>
  <c r="L219" i="9"/>
  <c r="L228" i="9" s="1"/>
  <c r="K219" i="9"/>
  <c r="K228" i="9" s="1"/>
  <c r="J219" i="9"/>
  <c r="J228" i="9" s="1"/>
  <c r="I219" i="9"/>
  <c r="I228" i="9" s="1"/>
  <c r="H219" i="9"/>
  <c r="H228" i="9" s="1"/>
  <c r="T213" i="9"/>
  <c r="V213" i="9" s="1"/>
  <c r="G211" i="9"/>
  <c r="F211" i="9"/>
  <c r="AG211" i="9" s="1"/>
  <c r="E211" i="9"/>
  <c r="J222" i="9" s="1"/>
  <c r="J343" i="9" s="1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T210" i="9"/>
  <c r="G210" i="9"/>
  <c r="E210" i="9"/>
  <c r="G209" i="9"/>
  <c r="F209" i="9"/>
  <c r="AF209" i="9" s="1"/>
  <c r="E209" i="9"/>
  <c r="T208" i="9"/>
  <c r="U208" i="9" s="1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T207" i="9"/>
  <c r="G207" i="9"/>
  <c r="E207" i="9"/>
  <c r="H218" i="9" s="1"/>
  <c r="AH206" i="9"/>
  <c r="AG206" i="9"/>
  <c r="AF206" i="9"/>
  <c r="AE206" i="9"/>
  <c r="AD206" i="9"/>
  <c r="AC206" i="9"/>
  <c r="AC213" i="9" s="1"/>
  <c r="AB206" i="9"/>
  <c r="AB213" i="9" s="1"/>
  <c r="AA206" i="9"/>
  <c r="Z206" i="9"/>
  <c r="Y206" i="9"/>
  <c r="X206" i="9"/>
  <c r="W206" i="9"/>
  <c r="T206" i="9"/>
  <c r="G206" i="9"/>
  <c r="V206" i="9" s="1"/>
  <c r="E206" i="9"/>
  <c r="J217" i="9" s="1"/>
  <c r="N199" i="9"/>
  <c r="M199" i="9"/>
  <c r="M348" i="9" s="1"/>
  <c r="L199" i="9"/>
  <c r="K199" i="9"/>
  <c r="J199" i="9"/>
  <c r="I199" i="9"/>
  <c r="I348" i="9" s="1"/>
  <c r="H199" i="9"/>
  <c r="N197" i="9"/>
  <c r="N203" i="9" s="1"/>
  <c r="M197" i="9"/>
  <c r="M342" i="9" s="1"/>
  <c r="L197" i="9"/>
  <c r="L203" i="9" s="1"/>
  <c r="K197" i="9"/>
  <c r="K203" i="9" s="1"/>
  <c r="J197" i="9"/>
  <c r="J203" i="9" s="1"/>
  <c r="I197" i="9"/>
  <c r="I203" i="9" s="1"/>
  <c r="H197" i="9"/>
  <c r="H203" i="9" s="1"/>
  <c r="T193" i="9"/>
  <c r="AC191" i="9"/>
  <c r="AB191" i="9"/>
  <c r="AA191" i="9"/>
  <c r="Z191" i="9"/>
  <c r="Y191" i="9"/>
  <c r="X191" i="9"/>
  <c r="W191" i="9"/>
  <c r="T191" i="9"/>
  <c r="U191" i="9" s="1"/>
  <c r="G191" i="9"/>
  <c r="AC190" i="9"/>
  <c r="AB190" i="9"/>
  <c r="AA190" i="9"/>
  <c r="Z190" i="9"/>
  <c r="Y190" i="9"/>
  <c r="X190" i="9"/>
  <c r="W190" i="9"/>
  <c r="T190" i="9"/>
  <c r="G190" i="9"/>
  <c r="F190" i="9"/>
  <c r="E190" i="9"/>
  <c r="M196" i="9" s="1"/>
  <c r="AC189" i="9"/>
  <c r="AB189" i="9"/>
  <c r="AA189" i="9"/>
  <c r="Z189" i="9"/>
  <c r="Y189" i="9"/>
  <c r="X189" i="9"/>
  <c r="W189" i="9"/>
  <c r="T189" i="9"/>
  <c r="G189" i="9"/>
  <c r="E189" i="9"/>
  <c r="M195" i="9" s="1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T188" i="9"/>
  <c r="G188" i="9"/>
  <c r="E188" i="9"/>
  <c r="M194" i="9" s="1"/>
  <c r="S187" i="9"/>
  <c r="R187" i="9"/>
  <c r="Q187" i="9"/>
  <c r="P187" i="9"/>
  <c r="O187" i="9"/>
  <c r="N187" i="9"/>
  <c r="M187" i="9"/>
  <c r="L187" i="9"/>
  <c r="K187" i="9"/>
  <c r="J187" i="9"/>
  <c r="I187" i="9"/>
  <c r="H187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T182" i="9"/>
  <c r="U182" i="9" s="1"/>
  <c r="T181" i="9"/>
  <c r="T187" i="9" s="1"/>
  <c r="T180" i="9"/>
  <c r="T179" i="9"/>
  <c r="T178" i="9"/>
  <c r="T177" i="9"/>
  <c r="AC175" i="9"/>
  <c r="AB175" i="9"/>
  <c r="AA175" i="9"/>
  <c r="Z175" i="9"/>
  <c r="Y175" i="9"/>
  <c r="X175" i="9"/>
  <c r="W175" i="9"/>
  <c r="T175" i="9"/>
  <c r="U175" i="9" s="1"/>
  <c r="G175" i="9"/>
  <c r="AC174" i="9"/>
  <c r="AB174" i="9"/>
  <c r="AA174" i="9"/>
  <c r="Z174" i="9"/>
  <c r="Y174" i="9"/>
  <c r="X174" i="9"/>
  <c r="W174" i="9"/>
  <c r="T174" i="9"/>
  <c r="G174" i="9"/>
  <c r="E174" i="9"/>
  <c r="AC173" i="9"/>
  <c r="AB173" i="9"/>
  <c r="AA173" i="9"/>
  <c r="Z173" i="9"/>
  <c r="Y173" i="9"/>
  <c r="X173" i="9"/>
  <c r="W173" i="9"/>
  <c r="T173" i="9"/>
  <c r="G173" i="9"/>
  <c r="E173" i="9"/>
  <c r="V172" i="9"/>
  <c r="V1259" i="9" s="1"/>
  <c r="U172" i="9"/>
  <c r="U1259" i="9" s="1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H160" i="9"/>
  <c r="T160" i="9" s="1"/>
  <c r="H153" i="9"/>
  <c r="T153" i="9" s="1"/>
  <c r="U153" i="9" s="1"/>
  <c r="T149" i="9"/>
  <c r="V149" i="9" s="1"/>
  <c r="T148" i="9"/>
  <c r="G148" i="9"/>
  <c r="F148" i="9"/>
  <c r="E148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T147" i="9"/>
  <c r="G147" i="9"/>
  <c r="E147" i="9"/>
  <c r="H150" i="9" s="1"/>
  <c r="H142" i="9"/>
  <c r="AL139" i="9"/>
  <c r="T138" i="9"/>
  <c r="AL138" i="9" s="1"/>
  <c r="T137" i="9"/>
  <c r="AL137" i="9" s="1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T136" i="9"/>
  <c r="AL136" i="9" s="1"/>
  <c r="G136" i="9"/>
  <c r="E136" i="9"/>
  <c r="H131" i="9"/>
  <c r="AL128" i="9"/>
  <c r="T127" i="9"/>
  <c r="AL127" i="9" s="1"/>
  <c r="T126" i="9"/>
  <c r="AL126" i="9" s="1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T125" i="9"/>
  <c r="AL125" i="9" s="1"/>
  <c r="G125" i="9"/>
  <c r="E125" i="9"/>
  <c r="H129" i="9" s="1"/>
  <c r="H120" i="9"/>
  <c r="AL117" i="9"/>
  <c r="T116" i="9"/>
  <c r="AL116" i="9" s="1"/>
  <c r="T115" i="9"/>
  <c r="AL115" i="9" s="1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T114" i="9"/>
  <c r="AL114" i="9" s="1"/>
  <c r="G114" i="9"/>
  <c r="E114" i="9"/>
  <c r="H109" i="9"/>
  <c r="AL106" i="9"/>
  <c r="T105" i="9"/>
  <c r="AL105" i="9" s="1"/>
  <c r="AL104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T103" i="9"/>
  <c r="AL103" i="9" s="1"/>
  <c r="G103" i="9"/>
  <c r="E103" i="9"/>
  <c r="H107" i="9" s="1"/>
  <c r="H108" i="9" s="1"/>
  <c r="H98" i="9"/>
  <c r="AL95" i="9"/>
  <c r="T94" i="9"/>
  <c r="AL94" i="9" s="1"/>
  <c r="AL93" i="9"/>
  <c r="AH92" i="9"/>
  <c r="AG92" i="9"/>
  <c r="AF92" i="9"/>
  <c r="AE92" i="9"/>
  <c r="AD92" i="9"/>
  <c r="AC92" i="9"/>
  <c r="AB92" i="9"/>
  <c r="AA92" i="9"/>
  <c r="Z92" i="9"/>
  <c r="Y92" i="9"/>
  <c r="X92" i="9"/>
  <c r="W92" i="9"/>
  <c r="T92" i="9"/>
  <c r="AL92" i="9" s="1"/>
  <c r="G92" i="9"/>
  <c r="E92" i="9"/>
  <c r="H96" i="9" s="1"/>
  <c r="H97" i="9" s="1"/>
  <c r="H87" i="9"/>
  <c r="T87" i="9" s="1"/>
  <c r="U87" i="9" s="1"/>
  <c r="AL84" i="9"/>
  <c r="T83" i="9"/>
  <c r="AL83" i="9" s="1"/>
  <c r="AL82" i="9"/>
  <c r="AH81" i="9"/>
  <c r="AG81" i="9"/>
  <c r="AF81" i="9"/>
  <c r="AE81" i="9"/>
  <c r="AD81" i="9"/>
  <c r="AC81" i="9"/>
  <c r="AB81" i="9"/>
  <c r="AA81" i="9"/>
  <c r="Z81" i="9"/>
  <c r="Y81" i="9"/>
  <c r="X81" i="9"/>
  <c r="W81" i="9"/>
  <c r="T81" i="9"/>
  <c r="AL81" i="9" s="1"/>
  <c r="G81" i="9"/>
  <c r="E81" i="9"/>
  <c r="H85" i="9" s="1"/>
  <c r="H86" i="9" s="1"/>
  <c r="H76" i="9"/>
  <c r="AL72" i="9"/>
  <c r="T71" i="9"/>
  <c r="AL71" i="9" s="1"/>
  <c r="AL70" i="9"/>
  <c r="T69" i="9"/>
  <c r="AL69" i="9" s="1"/>
  <c r="G69" i="9"/>
  <c r="F69" i="9"/>
  <c r="E69" i="9"/>
  <c r="AH68" i="9"/>
  <c r="AG68" i="9"/>
  <c r="AF68" i="9"/>
  <c r="AE68" i="9"/>
  <c r="AD68" i="9"/>
  <c r="AC68" i="9"/>
  <c r="AB68" i="9"/>
  <c r="AA68" i="9"/>
  <c r="Z68" i="9"/>
  <c r="Y68" i="9"/>
  <c r="X68" i="9"/>
  <c r="W68" i="9"/>
  <c r="T68" i="9"/>
  <c r="AL68" i="9" s="1"/>
  <c r="G68" i="9"/>
  <c r="E68" i="9"/>
  <c r="H73" i="9" s="1"/>
  <c r="H65" i="9"/>
  <c r="T65" i="9" s="1"/>
  <c r="U65" i="9" s="1"/>
  <c r="AL63" i="9"/>
  <c r="T62" i="9"/>
  <c r="AL62" i="9" s="1"/>
  <c r="AH60" i="9"/>
  <c r="AG60" i="9"/>
  <c r="AF60" i="9"/>
  <c r="AE60" i="9"/>
  <c r="AD60" i="9"/>
  <c r="AC60" i="9"/>
  <c r="AB60" i="9"/>
  <c r="AA60" i="9"/>
  <c r="Z60" i="9"/>
  <c r="Y60" i="9"/>
  <c r="X60" i="9"/>
  <c r="W60" i="9"/>
  <c r="T60" i="9"/>
  <c r="G60" i="9"/>
  <c r="E60" i="9"/>
  <c r="H64" i="9" s="1"/>
  <c r="H55" i="9"/>
  <c r="AL51" i="9"/>
  <c r="T50" i="9"/>
  <c r="AL50" i="9" s="1"/>
  <c r="AL49" i="9"/>
  <c r="AH48" i="9"/>
  <c r="AG48" i="9"/>
  <c r="AF48" i="9"/>
  <c r="AE48" i="9"/>
  <c r="AD48" i="9"/>
  <c r="AC48" i="9"/>
  <c r="AB48" i="9"/>
  <c r="AA48" i="9"/>
  <c r="Z48" i="9"/>
  <c r="Y48" i="9"/>
  <c r="X48" i="9"/>
  <c r="W48" i="9"/>
  <c r="T48" i="9"/>
  <c r="AL48" i="9" s="1"/>
  <c r="G48" i="9"/>
  <c r="E48" i="9"/>
  <c r="H53" i="9" s="1"/>
  <c r="AH47" i="9"/>
  <c r="AG47" i="9"/>
  <c r="AF47" i="9"/>
  <c r="AE47" i="9"/>
  <c r="AD47" i="9"/>
  <c r="AC47" i="9"/>
  <c r="AB47" i="9"/>
  <c r="AA47" i="9"/>
  <c r="Z47" i="9"/>
  <c r="Y47" i="9"/>
  <c r="X47" i="9"/>
  <c r="W47" i="9"/>
  <c r="T47" i="9"/>
  <c r="AL47" i="9" s="1"/>
  <c r="G47" i="9"/>
  <c r="E47" i="9"/>
  <c r="H46" i="9"/>
  <c r="H45" i="9"/>
  <c r="T42" i="9"/>
  <c r="F41" i="9"/>
  <c r="F40" i="9"/>
  <c r="T35" i="9"/>
  <c r="T34" i="9"/>
  <c r="T33" i="9"/>
  <c r="AH32" i="9"/>
  <c r="AG32" i="9"/>
  <c r="AF32" i="9"/>
  <c r="AE32" i="9"/>
  <c r="AD32" i="9"/>
  <c r="AC32" i="9"/>
  <c r="AB32" i="9"/>
  <c r="AA32" i="9"/>
  <c r="Z32" i="9"/>
  <c r="Y32" i="9"/>
  <c r="X32" i="9"/>
  <c r="W32" i="9"/>
  <c r="T32" i="9"/>
  <c r="G32" i="9"/>
  <c r="E32" i="9"/>
  <c r="H39" i="9" s="1"/>
  <c r="AH31" i="9"/>
  <c r="AG31" i="9"/>
  <c r="AF31" i="9"/>
  <c r="AE31" i="9"/>
  <c r="AD31" i="9"/>
  <c r="AC31" i="9"/>
  <c r="AB31" i="9"/>
  <c r="AA31" i="9"/>
  <c r="Z31" i="9"/>
  <c r="Y31" i="9"/>
  <c r="X31" i="9"/>
  <c r="W31" i="9"/>
  <c r="T31" i="9"/>
  <c r="G31" i="9"/>
  <c r="E31" i="9"/>
  <c r="H38" i="9" s="1"/>
  <c r="T38" i="9" s="1"/>
  <c r="V30" i="9"/>
  <c r="T30" i="9"/>
  <c r="U30" i="9" s="1"/>
  <c r="AH29" i="9"/>
  <c r="AH33" i="9" s="1"/>
  <c r="AG29" i="9"/>
  <c r="AF29" i="9"/>
  <c r="AE29" i="9"/>
  <c r="AD29" i="9"/>
  <c r="AD33" i="9" s="1"/>
  <c r="AC29" i="9"/>
  <c r="AB29" i="9"/>
  <c r="AA29" i="9"/>
  <c r="Z29" i="9"/>
  <c r="Z33" i="9" s="1"/>
  <c r="Y29" i="9"/>
  <c r="X29" i="9"/>
  <c r="W29" i="9"/>
  <c r="T29" i="9"/>
  <c r="G29" i="9"/>
  <c r="E29" i="9"/>
  <c r="H37" i="9" s="1"/>
  <c r="H27" i="9"/>
  <c r="H26" i="9"/>
  <c r="H25" i="9"/>
  <c r="H24" i="9"/>
  <c r="H23" i="9"/>
  <c r="T16" i="9"/>
  <c r="T15" i="9"/>
  <c r="T14" i="9"/>
  <c r="T12" i="9"/>
  <c r="AL12" i="9" s="1"/>
  <c r="AH10" i="9"/>
  <c r="AG10" i="9"/>
  <c r="AF10" i="9"/>
  <c r="AE10" i="9"/>
  <c r="AD10" i="9"/>
  <c r="AC10" i="9"/>
  <c r="AB10" i="9"/>
  <c r="AA10" i="9"/>
  <c r="Z10" i="9"/>
  <c r="Y10" i="9"/>
  <c r="X10" i="9"/>
  <c r="W10" i="9"/>
  <c r="T10" i="9"/>
  <c r="U10" i="9" s="1"/>
  <c r="AH6" i="9"/>
  <c r="AG6" i="9"/>
  <c r="AF6" i="9"/>
  <c r="AE6" i="9"/>
  <c r="AD6" i="9"/>
  <c r="AC6" i="9"/>
  <c r="AB6" i="9"/>
  <c r="AA6" i="9"/>
  <c r="Z6" i="9"/>
  <c r="Y6" i="9"/>
  <c r="X6" i="9"/>
  <c r="W6" i="9"/>
  <c r="T6" i="9"/>
  <c r="AL6" i="9" s="1"/>
  <c r="AH5" i="9"/>
  <c r="AG5" i="9"/>
  <c r="AF5" i="9"/>
  <c r="AE5" i="9"/>
  <c r="AD5" i="9"/>
  <c r="AC5" i="9"/>
  <c r="AB5" i="9"/>
  <c r="AA5" i="9"/>
  <c r="Z5" i="9"/>
  <c r="Y5" i="9"/>
  <c r="X5" i="9"/>
  <c r="W5" i="9"/>
  <c r="T5" i="9"/>
  <c r="AL5" i="9" s="1"/>
  <c r="U237" i="9" l="1"/>
  <c r="T199" i="9"/>
  <c r="AB209" i="9"/>
  <c r="I274" i="9"/>
  <c r="Q345" i="9"/>
  <c r="V351" i="9"/>
  <c r="G367" i="9"/>
  <c r="I468" i="9"/>
  <c r="I484" i="9" s="1"/>
  <c r="V475" i="9"/>
  <c r="V513" i="9"/>
  <c r="V515" i="9"/>
  <c r="T879" i="9"/>
  <c r="T884" i="9"/>
  <c r="U937" i="9"/>
  <c r="T1014" i="9"/>
  <c r="O1106" i="9"/>
  <c r="O1325" i="9"/>
  <c r="T23" i="9"/>
  <c r="U34" i="9"/>
  <c r="V175" i="9"/>
  <c r="V191" i="9"/>
  <c r="V406" i="9"/>
  <c r="L531" i="9"/>
  <c r="Q531" i="9"/>
  <c r="L530" i="9"/>
  <c r="M608" i="9"/>
  <c r="Q756" i="9"/>
  <c r="T909" i="9"/>
  <c r="M1116" i="9"/>
  <c r="M1122" i="9" s="1"/>
  <c r="J1337" i="9"/>
  <c r="V1389" i="9"/>
  <c r="V1391" i="9" s="1"/>
  <c r="U1455" i="9"/>
  <c r="T333" i="9"/>
  <c r="T338" i="9"/>
  <c r="O345" i="9"/>
  <c r="S345" i="9"/>
  <c r="N608" i="9"/>
  <c r="V656" i="9"/>
  <c r="V657" i="9" s="1"/>
  <c r="V746" i="9"/>
  <c r="T877" i="9"/>
  <c r="T881" i="9"/>
  <c r="T1016" i="9"/>
  <c r="O1088" i="9"/>
  <c r="L1105" i="9"/>
  <c r="M1106" i="9"/>
  <c r="Q1106" i="9"/>
  <c r="V1261" i="9"/>
  <c r="I1323" i="9"/>
  <c r="M1323" i="9"/>
  <c r="I1324" i="9"/>
  <c r="M1324" i="9"/>
  <c r="Q1324" i="9"/>
  <c r="U1342" i="9"/>
  <c r="R236" i="9"/>
  <c r="U239" i="9"/>
  <c r="T252" i="9"/>
  <c r="T310" i="9"/>
  <c r="T425" i="9"/>
  <c r="T559" i="9"/>
  <c r="T570" i="9"/>
  <c r="R757" i="9"/>
  <c r="T842" i="9"/>
  <c r="T846" i="9"/>
  <c r="T878" i="9"/>
  <c r="T882" i="9"/>
  <c r="T1000" i="9"/>
  <c r="V1288" i="9"/>
  <c r="V1289" i="9" s="1"/>
  <c r="V1290" i="9" s="1"/>
  <c r="R1294" i="9"/>
  <c r="N1323" i="9"/>
  <c r="J1324" i="9"/>
  <c r="L1338" i="9"/>
  <c r="U1419" i="9"/>
  <c r="M377" i="9"/>
  <c r="M384" i="9" s="1"/>
  <c r="Q377" i="9"/>
  <c r="Q384" i="9" s="1"/>
  <c r="AE211" i="9"/>
  <c r="J1423" i="9"/>
  <c r="N1423" i="9"/>
  <c r="R1423" i="9"/>
  <c r="AH11" i="9"/>
  <c r="Q1234" i="9"/>
  <c r="U5" i="9"/>
  <c r="T25" i="9"/>
  <c r="T185" i="9"/>
  <c r="V189" i="9"/>
  <c r="V207" i="9"/>
  <c r="T232" i="9"/>
  <c r="I235" i="9"/>
  <c r="V237" i="9"/>
  <c r="V238" i="9"/>
  <c r="T251" i="9"/>
  <c r="V287" i="9"/>
  <c r="U308" i="9"/>
  <c r="T326" i="9"/>
  <c r="I332" i="9"/>
  <c r="V389" i="9"/>
  <c r="V405" i="9"/>
  <c r="N411" i="9"/>
  <c r="N418" i="9" s="1"/>
  <c r="I427" i="9"/>
  <c r="M439" i="9"/>
  <c r="J470" i="9"/>
  <c r="V474" i="9"/>
  <c r="V476" i="9"/>
  <c r="V514" i="9"/>
  <c r="V611" i="9"/>
  <c r="V255" i="9"/>
  <c r="T329" i="9"/>
  <c r="N342" i="9"/>
  <c r="Q427" i="9"/>
  <c r="O531" i="9"/>
  <c r="L550" i="9"/>
  <c r="T580" i="9"/>
  <c r="H606" i="9"/>
  <c r="O606" i="9"/>
  <c r="O608" i="9" s="1"/>
  <c r="I1167" i="9"/>
  <c r="T183" i="9"/>
  <c r="M203" i="9"/>
  <c r="P349" i="9"/>
  <c r="O349" i="9"/>
  <c r="V352" i="9"/>
  <c r="T464" i="9"/>
  <c r="H561" i="9"/>
  <c r="H572" i="9"/>
  <c r="H582" i="9"/>
  <c r="AD11" i="9"/>
  <c r="H101" i="9"/>
  <c r="T184" i="9"/>
  <c r="O236" i="9"/>
  <c r="S236" i="9"/>
  <c r="T250" i="9"/>
  <c r="U287" i="9"/>
  <c r="T293" i="9"/>
  <c r="T301" i="9"/>
  <c r="T327" i="9"/>
  <c r="T330" i="9"/>
  <c r="T361" i="9"/>
  <c r="U361" i="9" s="1"/>
  <c r="T379" i="9"/>
  <c r="U379" i="9" s="1"/>
  <c r="I411" i="9"/>
  <c r="I418" i="9" s="1"/>
  <c r="J455" i="9"/>
  <c r="T436" i="9"/>
  <c r="K439" i="9"/>
  <c r="K491" i="9"/>
  <c r="P491" i="9"/>
  <c r="O490" i="9"/>
  <c r="T501" i="9"/>
  <c r="J511" i="9"/>
  <c r="Q530" i="9"/>
  <c r="I560" i="9"/>
  <c r="I571" i="9"/>
  <c r="I581" i="9"/>
  <c r="T612" i="9"/>
  <c r="T623" i="9"/>
  <c r="U623" i="9" s="1"/>
  <c r="V644" i="9"/>
  <c r="V645" i="9" s="1"/>
  <c r="V646" i="9" s="1"/>
  <c r="T685" i="9"/>
  <c r="U685" i="9" s="1"/>
  <c r="T744" i="9"/>
  <c r="T758" i="9"/>
  <c r="Q760" i="9"/>
  <c r="P788" i="9"/>
  <c r="T906" i="9"/>
  <c r="T922" i="9"/>
  <c r="T1043" i="9"/>
  <c r="T1076" i="9"/>
  <c r="T1077" i="9"/>
  <c r="H1088" i="9"/>
  <c r="P1088" i="9"/>
  <c r="K1088" i="9"/>
  <c r="L1100" i="9"/>
  <c r="P1100" i="9"/>
  <c r="J1156" i="9"/>
  <c r="T1214" i="9"/>
  <c r="T1222" i="9" s="1"/>
  <c r="J1268" i="9"/>
  <c r="J1272" i="9" s="1"/>
  <c r="S1268" i="9"/>
  <c r="O1280" i="9"/>
  <c r="O1294" i="9"/>
  <c r="N1310" i="9"/>
  <c r="J1313" i="9"/>
  <c r="M1321" i="9"/>
  <c r="K1337" i="9"/>
  <c r="O1337" i="9"/>
  <c r="P1334" i="9"/>
  <c r="R1349" i="9"/>
  <c r="V1380" i="9"/>
  <c r="M1384" i="9"/>
  <c r="L1386" i="9"/>
  <c r="J712" i="9"/>
  <c r="J443" i="9" s="1"/>
  <c r="R712" i="9"/>
  <c r="V679" i="9"/>
  <c r="V680" i="9" s="1"/>
  <c r="O757" i="9"/>
  <c r="S757" i="9"/>
  <c r="V762" i="9"/>
  <c r="N790" i="9"/>
  <c r="T843" i="9"/>
  <c r="T847" i="9"/>
  <c r="T880" i="9"/>
  <c r="T907" i="9"/>
  <c r="T908" i="9"/>
  <c r="T921" i="9"/>
  <c r="T967" i="9"/>
  <c r="T962" i="9"/>
  <c r="T1015" i="9"/>
  <c r="T1044" i="9"/>
  <c r="T1070" i="9"/>
  <c r="T1093" i="9"/>
  <c r="J1105" i="9"/>
  <c r="J1106" i="9" s="1"/>
  <c r="L1106" i="9"/>
  <c r="P1106" i="9"/>
  <c r="F1105" i="9"/>
  <c r="S1106" i="9"/>
  <c r="K1112" i="9"/>
  <c r="O1112" i="9"/>
  <c r="S1112" i="9"/>
  <c r="Q1115" i="9"/>
  <c r="T1171" i="9"/>
  <c r="I1255" i="9"/>
  <c r="N1255" i="9"/>
  <c r="K1268" i="9"/>
  <c r="S1294" i="9"/>
  <c r="S1313" i="9"/>
  <c r="S1310" i="9"/>
  <c r="T1317" i="9"/>
  <c r="H1336" i="9"/>
  <c r="T1333" i="9"/>
  <c r="H1334" i="9"/>
  <c r="H1337" i="9"/>
  <c r="K1364" i="9"/>
  <c r="H1384" i="9"/>
  <c r="P1384" i="9"/>
  <c r="O1386" i="9"/>
  <c r="T1444" i="9"/>
  <c r="W1444" i="9" s="1"/>
  <c r="U1454" i="9"/>
  <c r="I712" i="9"/>
  <c r="I443" i="9" s="1"/>
  <c r="U679" i="9"/>
  <c r="H705" i="9"/>
  <c r="H708" i="9" s="1"/>
  <c r="T840" i="9"/>
  <c r="T844" i="9"/>
  <c r="J1116" i="9"/>
  <c r="J1122" i="9" s="1"/>
  <c r="L1212" i="9"/>
  <c r="N1268" i="9"/>
  <c r="U1287" i="9"/>
  <c r="U1289" i="9" s="1"/>
  <c r="J1294" i="9"/>
  <c r="U1301" i="9"/>
  <c r="U1303" i="9" s="1"/>
  <c r="O1308" i="9"/>
  <c r="K1308" i="9"/>
  <c r="J1310" i="9"/>
  <c r="H1324" i="9"/>
  <c r="L1324" i="9"/>
  <c r="I1321" i="9"/>
  <c r="R1321" i="9"/>
  <c r="I1334" i="9"/>
  <c r="M1337" i="9"/>
  <c r="Q1334" i="9"/>
  <c r="M1336" i="9"/>
  <c r="I1337" i="9"/>
  <c r="J1349" i="9"/>
  <c r="R1362" i="9"/>
  <c r="O1364" i="9"/>
  <c r="I1384" i="9"/>
  <c r="Q1384" i="9"/>
  <c r="H683" i="9"/>
  <c r="H712" i="9"/>
  <c r="H443" i="9" s="1"/>
  <c r="L712" i="9"/>
  <c r="L443" i="9" s="1"/>
  <c r="P712" i="9"/>
  <c r="P443" i="9" s="1"/>
  <c r="T735" i="9"/>
  <c r="Q790" i="9"/>
  <c r="V761" i="9"/>
  <c r="T787" i="9"/>
  <c r="K790" i="9"/>
  <c r="O790" i="9"/>
  <c r="R790" i="9"/>
  <c r="T841" i="9"/>
  <c r="T845" i="9"/>
  <c r="T849" i="9"/>
  <c r="T850" i="9"/>
  <c r="T1042" i="9"/>
  <c r="T1072" i="9"/>
  <c r="S1088" i="9"/>
  <c r="N1106" i="9"/>
  <c r="O1186" i="9"/>
  <c r="M1212" i="9"/>
  <c r="K1283" i="9"/>
  <c r="O1268" i="9"/>
  <c r="R1268" i="9"/>
  <c r="R1272" i="9" s="1"/>
  <c r="S1278" i="9"/>
  <c r="S1280" i="9" s="1"/>
  <c r="N1294" i="9"/>
  <c r="N1312" i="9"/>
  <c r="Q1323" i="9"/>
  <c r="H1322" i="9"/>
  <c r="N1340" i="9"/>
  <c r="N1336" i="9"/>
  <c r="N1349" i="9"/>
  <c r="U1448" i="9"/>
  <c r="K481" i="9"/>
  <c r="K487" i="9" s="1"/>
  <c r="N358" i="9"/>
  <c r="R393" i="9"/>
  <c r="R399" i="9" s="1"/>
  <c r="P481" i="9"/>
  <c r="P487" i="9" s="1"/>
  <c r="L595" i="9"/>
  <c r="L601" i="9" s="1"/>
  <c r="N635" i="9"/>
  <c r="U189" i="9"/>
  <c r="U190" i="9"/>
  <c r="H194" i="9"/>
  <c r="H200" i="9" s="1"/>
  <c r="K358" i="9"/>
  <c r="O358" i="9"/>
  <c r="S358" i="9"/>
  <c r="N375" i="9"/>
  <c r="N382" i="9" s="1"/>
  <c r="N595" i="9"/>
  <c r="N601" i="9" s="1"/>
  <c r="S635" i="9"/>
  <c r="S637" i="9" s="1"/>
  <c r="L1414" i="9"/>
  <c r="J358" i="9"/>
  <c r="J364" i="9" s="1"/>
  <c r="H358" i="9"/>
  <c r="L358" i="9"/>
  <c r="P358" i="9"/>
  <c r="N596" i="9"/>
  <c r="N602" i="9" s="1"/>
  <c r="U632" i="9"/>
  <c r="H90" i="9"/>
  <c r="L222" i="9"/>
  <c r="L231" i="9" s="1"/>
  <c r="J410" i="9"/>
  <c r="J417" i="9" s="1"/>
  <c r="L412" i="9"/>
  <c r="L419" i="9" s="1"/>
  <c r="AE49" i="9"/>
  <c r="Q376" i="9"/>
  <c r="Q383" i="9" s="1"/>
  <c r="K412" i="9"/>
  <c r="K419" i="9" s="1"/>
  <c r="K410" i="9"/>
  <c r="K417" i="9" s="1"/>
  <c r="M412" i="9"/>
  <c r="M419" i="9" s="1"/>
  <c r="V612" i="9"/>
  <c r="O694" i="9"/>
  <c r="K765" i="9"/>
  <c r="K769" i="9" s="1"/>
  <c r="Y11" i="9"/>
  <c r="AG11" i="9"/>
  <c r="AA11" i="9"/>
  <c r="AB49" i="9"/>
  <c r="K195" i="9"/>
  <c r="K201" i="9" s="1"/>
  <c r="J376" i="9"/>
  <c r="J383" i="9" s="1"/>
  <c r="N376" i="9"/>
  <c r="N383" i="9" s="1"/>
  <c r="R376" i="9"/>
  <c r="R383" i="9" s="1"/>
  <c r="I1438" i="9"/>
  <c r="K374" i="9"/>
  <c r="K381" i="9" s="1"/>
  <c r="Q395" i="9"/>
  <c r="Q401" i="9" s="1"/>
  <c r="K396" i="9"/>
  <c r="K402" i="9" s="1"/>
  <c r="S396" i="9"/>
  <c r="S402" i="9" s="1"/>
  <c r="U405" i="9"/>
  <c r="Q412" i="9"/>
  <c r="Q419" i="9" s="1"/>
  <c r="N413" i="9"/>
  <c r="N420" i="9" s="1"/>
  <c r="R413" i="9"/>
  <c r="R420" i="9" s="1"/>
  <c r="O410" i="9"/>
  <c r="O417" i="9" s="1"/>
  <c r="S411" i="9"/>
  <c r="S418" i="9" s="1"/>
  <c r="S413" i="9"/>
  <c r="S420" i="9" s="1"/>
  <c r="M426" i="9"/>
  <c r="S482" i="9"/>
  <c r="S488" i="9" s="1"/>
  <c r="V563" i="9"/>
  <c r="V564" i="9" s="1"/>
  <c r="V565" i="9" s="1"/>
  <c r="R595" i="9"/>
  <c r="R601" i="9" s="1"/>
  <c r="I618" i="9"/>
  <c r="I625" i="9" s="1"/>
  <c r="Q618" i="9"/>
  <c r="Q625" i="9" s="1"/>
  <c r="R617" i="9"/>
  <c r="R624" i="9" s="1"/>
  <c r="O683" i="9"/>
  <c r="O684" i="9" s="1"/>
  <c r="Q750" i="9"/>
  <c r="Q754" i="9" s="1"/>
  <c r="M766" i="9"/>
  <c r="M770" i="9" s="1"/>
  <c r="H1208" i="9"/>
  <c r="H1209" i="9" s="1"/>
  <c r="L1208" i="9"/>
  <c r="L1209" i="9" s="1"/>
  <c r="L1200" i="9" s="1"/>
  <c r="L1222" i="9" s="1"/>
  <c r="L694" i="9"/>
  <c r="L695" i="9" s="1"/>
  <c r="J765" i="9"/>
  <c r="J769" i="9" s="1"/>
  <c r="H781" i="9"/>
  <c r="H785" i="9" s="1"/>
  <c r="AA49" i="9"/>
  <c r="P412" i="9"/>
  <c r="P419" i="9" s="1"/>
  <c r="O596" i="9"/>
  <c r="O602" i="9" s="1"/>
  <c r="M617" i="9"/>
  <c r="M624" i="9" s="1"/>
  <c r="M723" i="9"/>
  <c r="M728" i="9" s="1"/>
  <c r="K781" i="9"/>
  <c r="K785" i="9" s="1"/>
  <c r="K786" i="9" s="1"/>
  <c r="AC11" i="9"/>
  <c r="W11" i="9"/>
  <c r="AE11" i="9"/>
  <c r="X49" i="9"/>
  <c r="AF49" i="9"/>
  <c r="AI31" i="9"/>
  <c r="V31" i="9" s="1"/>
  <c r="U148" i="9"/>
  <c r="K196" i="9"/>
  <c r="K202" i="9" s="1"/>
  <c r="Y209" i="9"/>
  <c r="H211" i="9"/>
  <c r="H1436" i="9" s="1"/>
  <c r="T1436" i="9" s="1"/>
  <c r="AI254" i="9"/>
  <c r="U312" i="9"/>
  <c r="U315" i="9"/>
  <c r="U352" i="9"/>
  <c r="K357" i="9"/>
  <c r="K376" i="9"/>
  <c r="K383" i="9" s="1"/>
  <c r="O376" i="9"/>
  <c r="O383" i="9" s="1"/>
  <c r="S376" i="9"/>
  <c r="S383" i="9" s="1"/>
  <c r="O374" i="9"/>
  <c r="O381" i="9" s="1"/>
  <c r="R395" i="9"/>
  <c r="R401" i="9" s="1"/>
  <c r="H396" i="9"/>
  <c r="L396" i="9"/>
  <c r="L402" i="9" s="1"/>
  <c r="P396" i="9"/>
  <c r="P402" i="9" s="1"/>
  <c r="P410" i="9"/>
  <c r="P417" i="9" s="1"/>
  <c r="H412" i="9"/>
  <c r="H419" i="9" s="1"/>
  <c r="U513" i="9"/>
  <c r="U586" i="9"/>
  <c r="H595" i="9"/>
  <c r="H601" i="9" s="1"/>
  <c r="S595" i="9"/>
  <c r="S601" i="9" s="1"/>
  <c r="P618" i="9"/>
  <c r="P625" i="9" s="1"/>
  <c r="K635" i="9"/>
  <c r="P683" i="9"/>
  <c r="P684" i="9" s="1"/>
  <c r="P688" i="9" s="1"/>
  <c r="U690" i="9"/>
  <c r="P705" i="9"/>
  <c r="P706" i="9" s="1"/>
  <c r="R750" i="9"/>
  <c r="R754" i="9" s="1"/>
  <c r="N766" i="9"/>
  <c r="N770" i="9" s="1"/>
  <c r="U777" i="9"/>
  <c r="I1208" i="9"/>
  <c r="I1209" i="9" s="1"/>
  <c r="I1200" i="9" s="1"/>
  <c r="I1221" i="9" s="1"/>
  <c r="M1208" i="9"/>
  <c r="M1209" i="9" s="1"/>
  <c r="M1200" i="9" s="1"/>
  <c r="Q1208" i="9"/>
  <c r="Q1209" i="9" s="1"/>
  <c r="Q1200" i="9" s="1"/>
  <c r="Z11" i="9"/>
  <c r="T39" i="9"/>
  <c r="T44" i="9" s="1"/>
  <c r="H44" i="9"/>
  <c r="I268" i="9"/>
  <c r="N359" i="9"/>
  <c r="N365" i="9" s="1"/>
  <c r="P356" i="9"/>
  <c r="P362" i="9" s="1"/>
  <c r="M359" i="9"/>
  <c r="M394" i="9"/>
  <c r="M400" i="9" s="1"/>
  <c r="R394" i="9"/>
  <c r="R400" i="9" s="1"/>
  <c r="I522" i="9"/>
  <c r="I528" i="9" s="1"/>
  <c r="M594" i="9"/>
  <c r="M600" i="9" s="1"/>
  <c r="H672" i="9"/>
  <c r="H673" i="9" s="1"/>
  <c r="S724" i="9"/>
  <c r="S729" i="9" s="1"/>
  <c r="L1235" i="9"/>
  <c r="L1239" i="9" s="1"/>
  <c r="H1247" i="9"/>
  <c r="H1251" i="9" s="1"/>
  <c r="I1415" i="9"/>
  <c r="I1424" i="9" s="1"/>
  <c r="Q1415" i="9"/>
  <c r="Q1424" i="9" s="1"/>
  <c r="I1423" i="9"/>
  <c r="M1423" i="9"/>
  <c r="AB33" i="9"/>
  <c r="V174" i="9"/>
  <c r="V210" i="9"/>
  <c r="U258" i="9"/>
  <c r="I264" i="9"/>
  <c r="AI295" i="9"/>
  <c r="AI312" i="9"/>
  <c r="AJ312" i="9" s="1"/>
  <c r="K359" i="9"/>
  <c r="K365" i="9" s="1"/>
  <c r="S359" i="9"/>
  <c r="H377" i="9"/>
  <c r="H384" i="9" s="1"/>
  <c r="N394" i="9"/>
  <c r="N400" i="9" s="1"/>
  <c r="L427" i="9"/>
  <c r="H480" i="9"/>
  <c r="L483" i="9"/>
  <c r="L489" i="9" s="1"/>
  <c r="V517" i="9"/>
  <c r="V518" i="9" s="1"/>
  <c r="V574" i="9"/>
  <c r="V575" i="9" s="1"/>
  <c r="V576" i="9" s="1"/>
  <c r="M672" i="9"/>
  <c r="M675" i="9" s="1"/>
  <c r="K705" i="9"/>
  <c r="K708" i="9" s="1"/>
  <c r="S705" i="9"/>
  <c r="S708" i="9" s="1"/>
  <c r="P723" i="9"/>
  <c r="P728" i="9" s="1"/>
  <c r="S1247" i="9"/>
  <c r="S1253" i="9" s="1"/>
  <c r="N1415" i="9"/>
  <c r="N1414" i="9" s="1"/>
  <c r="R1415" i="9"/>
  <c r="X11" i="9"/>
  <c r="AB11" i="9"/>
  <c r="AF11" i="9"/>
  <c r="U29" i="9"/>
  <c r="U32" i="9"/>
  <c r="Z49" i="9"/>
  <c r="AD49" i="9"/>
  <c r="AH49" i="9"/>
  <c r="U147" i="9"/>
  <c r="AI188" i="9"/>
  <c r="K194" i="9"/>
  <c r="U206" i="9"/>
  <c r="U207" i="9"/>
  <c r="AG209" i="9"/>
  <c r="AI237" i="9"/>
  <c r="AJ237" i="9" s="1"/>
  <c r="V239" i="9"/>
  <c r="U256" i="9"/>
  <c r="H265" i="9"/>
  <c r="H272" i="9" s="1"/>
  <c r="U278" i="9"/>
  <c r="H284" i="9"/>
  <c r="U304" i="9"/>
  <c r="U314" i="9"/>
  <c r="M358" i="9"/>
  <c r="M364" i="9" s="1"/>
  <c r="Q358" i="9"/>
  <c r="L359" i="9"/>
  <c r="L365" i="9" s="1"/>
  <c r="P359" i="9"/>
  <c r="P365" i="9" s="1"/>
  <c r="H356" i="9"/>
  <c r="H362" i="9" s="1"/>
  <c r="O357" i="9"/>
  <c r="O363" i="9" s="1"/>
  <c r="L376" i="9"/>
  <c r="L383" i="9" s="1"/>
  <c r="P376" i="9"/>
  <c r="P383" i="9" s="1"/>
  <c r="K377" i="9"/>
  <c r="K384" i="9" s="1"/>
  <c r="O377" i="9"/>
  <c r="O384" i="9" s="1"/>
  <c r="S377" i="9"/>
  <c r="S384" i="9" s="1"/>
  <c r="S374" i="9"/>
  <c r="S381" i="9" s="1"/>
  <c r="I376" i="9"/>
  <c r="I383" i="9" s="1"/>
  <c r="L377" i="9"/>
  <c r="L384" i="9" s="1"/>
  <c r="U389" i="9"/>
  <c r="O395" i="9"/>
  <c r="O401" i="9" s="1"/>
  <c r="S395" i="9"/>
  <c r="S401" i="9" s="1"/>
  <c r="I396" i="9"/>
  <c r="I402" i="9" s="1"/>
  <c r="M396" i="9"/>
  <c r="M402" i="9" s="1"/>
  <c r="Q396" i="9"/>
  <c r="Q402" i="9" s="1"/>
  <c r="J393" i="9"/>
  <c r="J399" i="9" s="1"/>
  <c r="J394" i="9"/>
  <c r="J400" i="9" s="1"/>
  <c r="O394" i="9"/>
  <c r="O400" i="9" s="1"/>
  <c r="L395" i="9"/>
  <c r="L401" i="9" s="1"/>
  <c r="N412" i="9"/>
  <c r="N419" i="9" s="1"/>
  <c r="R412" i="9"/>
  <c r="R419" i="9" s="1"/>
  <c r="I413" i="9"/>
  <c r="I420" i="9" s="1"/>
  <c r="L410" i="9"/>
  <c r="L417" i="9" s="1"/>
  <c r="R410" i="9"/>
  <c r="R417" i="9" s="1"/>
  <c r="K411" i="9"/>
  <c r="K418" i="9" s="1"/>
  <c r="Q411" i="9"/>
  <c r="Q418" i="9" s="1"/>
  <c r="I412" i="9"/>
  <c r="I419" i="9" s="1"/>
  <c r="K413" i="9"/>
  <c r="K420" i="9" s="1"/>
  <c r="M427" i="9"/>
  <c r="M480" i="9"/>
  <c r="M486" i="9" s="1"/>
  <c r="I482" i="9"/>
  <c r="I488" i="9" s="1"/>
  <c r="I520" i="9"/>
  <c r="I526" i="9" s="1"/>
  <c r="K523" i="9"/>
  <c r="K529" i="9" s="1"/>
  <c r="V584" i="9"/>
  <c r="U585" i="9"/>
  <c r="K594" i="9"/>
  <c r="K600" i="9" s="1"/>
  <c r="P594" i="9"/>
  <c r="P600" i="9" s="1"/>
  <c r="J595" i="9"/>
  <c r="J601" i="9" s="1"/>
  <c r="O595" i="9"/>
  <c r="O601" i="9" s="1"/>
  <c r="J596" i="9"/>
  <c r="J602" i="9" s="1"/>
  <c r="R596" i="9"/>
  <c r="R602" i="9" s="1"/>
  <c r="H618" i="9"/>
  <c r="H625" i="9" s="1"/>
  <c r="O635" i="9"/>
  <c r="O637" i="9" s="1"/>
  <c r="O641" i="9" s="1"/>
  <c r="U668" i="9"/>
  <c r="P672" i="9"/>
  <c r="P675" i="9" s="1"/>
  <c r="K683" i="9"/>
  <c r="K684" i="9" s="1"/>
  <c r="K687" i="9" s="1"/>
  <c r="S683" i="9"/>
  <c r="S684" i="9" s="1"/>
  <c r="S687" i="9" s="1"/>
  <c r="S688" i="9" s="1"/>
  <c r="H694" i="9"/>
  <c r="H697" i="9" s="1"/>
  <c r="P694" i="9"/>
  <c r="P695" i="9" s="1"/>
  <c r="L705" i="9"/>
  <c r="L708" i="9" s="1"/>
  <c r="U718" i="9"/>
  <c r="I723" i="9"/>
  <c r="I728" i="9" s="1"/>
  <c r="Q723" i="9"/>
  <c r="Q728" i="9" s="1"/>
  <c r="O724" i="9"/>
  <c r="O729" i="9" s="1"/>
  <c r="I750" i="9"/>
  <c r="I754" i="9" s="1"/>
  <c r="L751" i="9"/>
  <c r="L755" i="9" s="1"/>
  <c r="R765" i="9"/>
  <c r="R769" i="9" s="1"/>
  <c r="U776" i="9"/>
  <c r="H780" i="9"/>
  <c r="I1211" i="9"/>
  <c r="M1211" i="9"/>
  <c r="M1215" i="9" s="1"/>
  <c r="H1235" i="9"/>
  <c r="H1239" i="9" s="1"/>
  <c r="P1235" i="9"/>
  <c r="P1239" i="9" s="1"/>
  <c r="U1241" i="9"/>
  <c r="U1243" i="9" s="1"/>
  <c r="L1247" i="9"/>
  <c r="J1248" i="9"/>
  <c r="J1252" i="9" s="1"/>
  <c r="R359" i="9"/>
  <c r="K545" i="9"/>
  <c r="K548" i="9" s="1"/>
  <c r="H594" i="9"/>
  <c r="H600" i="9" s="1"/>
  <c r="S594" i="9"/>
  <c r="K724" i="9"/>
  <c r="K729" i="9" s="1"/>
  <c r="P1247" i="9"/>
  <c r="M1415" i="9"/>
  <c r="M1414" i="9" s="1"/>
  <c r="X33" i="9"/>
  <c r="AF33" i="9"/>
  <c r="V188" i="9"/>
  <c r="I283" i="9"/>
  <c r="I289" i="9" s="1"/>
  <c r="O359" i="9"/>
  <c r="O365" i="9" s="1"/>
  <c r="Q359" i="9"/>
  <c r="Q365" i="9" s="1"/>
  <c r="R375" i="9"/>
  <c r="R382" i="9" s="1"/>
  <c r="I394" i="9"/>
  <c r="I400" i="9" s="1"/>
  <c r="S394" i="9"/>
  <c r="S400" i="9" s="1"/>
  <c r="J411" i="9"/>
  <c r="J418" i="9" s="1"/>
  <c r="O411" i="9"/>
  <c r="O418" i="9" s="1"/>
  <c r="R426" i="9"/>
  <c r="R427" i="9"/>
  <c r="I594" i="9"/>
  <c r="I600" i="9" s="1"/>
  <c r="O594" i="9"/>
  <c r="O600" i="9" s="1"/>
  <c r="H723" i="9"/>
  <c r="H728" i="9" s="1"/>
  <c r="L724" i="9"/>
  <c r="L729" i="9" s="1"/>
  <c r="O1235" i="9"/>
  <c r="O1239" i="9" s="1"/>
  <c r="K1247" i="9"/>
  <c r="J1415" i="9"/>
  <c r="J1414" i="9" s="1"/>
  <c r="AI5" i="9"/>
  <c r="V5" i="9" s="1"/>
  <c r="AI10" i="9"/>
  <c r="V10" i="9" s="1"/>
  <c r="W33" i="9"/>
  <c r="U31" i="9"/>
  <c r="AI32" i="9"/>
  <c r="V32" i="9" s="1"/>
  <c r="AI166" i="9"/>
  <c r="AJ166" i="9" s="1"/>
  <c r="V173" i="9"/>
  <c r="V176" i="9" s="1"/>
  <c r="V181" i="9" s="1"/>
  <c r="V190" i="9"/>
  <c r="L194" i="9"/>
  <c r="L200" i="9" s="1"/>
  <c r="AI207" i="9"/>
  <c r="X209" i="9"/>
  <c r="AA211" i="9"/>
  <c r="U254" i="9"/>
  <c r="U255" i="9"/>
  <c r="K266" i="9"/>
  <c r="K273" i="9" s="1"/>
  <c r="AI278" i="9"/>
  <c r="U281" i="9"/>
  <c r="J286" i="9"/>
  <c r="J292" i="9" s="1"/>
  <c r="I298" i="9"/>
  <c r="I301" i="9" s="1"/>
  <c r="U351" i="9"/>
  <c r="L356" i="9"/>
  <c r="L362" i="9" s="1"/>
  <c r="S357" i="9"/>
  <c r="J375" i="9"/>
  <c r="J382" i="9" s="1"/>
  <c r="P377" i="9"/>
  <c r="P384" i="9" s="1"/>
  <c r="U390" i="9"/>
  <c r="J396" i="9"/>
  <c r="J402" i="9" s="1"/>
  <c r="N396" i="9"/>
  <c r="N402" i="9" s="1"/>
  <c r="R396" i="9"/>
  <c r="R402" i="9" s="1"/>
  <c r="N393" i="9"/>
  <c r="N399" i="9" s="1"/>
  <c r="K394" i="9"/>
  <c r="K400" i="9" s="1"/>
  <c r="Q394" i="9"/>
  <c r="Q400" i="9" s="1"/>
  <c r="U406" i="9"/>
  <c r="O412" i="9"/>
  <c r="O419" i="9" s="1"/>
  <c r="S412" i="9"/>
  <c r="S419" i="9" s="1"/>
  <c r="P413" i="9"/>
  <c r="P420" i="9" s="1"/>
  <c r="H410" i="9"/>
  <c r="H417" i="9" s="1"/>
  <c r="N410" i="9"/>
  <c r="S410" i="9"/>
  <c r="S417" i="9" s="1"/>
  <c r="M411" i="9"/>
  <c r="M418" i="9" s="1"/>
  <c r="R411" i="9"/>
  <c r="R418" i="9" s="1"/>
  <c r="O413" i="9"/>
  <c r="O420" i="9" s="1"/>
  <c r="H426" i="9"/>
  <c r="H427" i="9"/>
  <c r="H1438" i="9" s="1"/>
  <c r="S480" i="9"/>
  <c r="S486" i="9" s="1"/>
  <c r="O520" i="9"/>
  <c r="O526" i="9" s="1"/>
  <c r="P523" i="9"/>
  <c r="P529" i="9" s="1"/>
  <c r="V552" i="9"/>
  <c r="V553" i="9" s="1"/>
  <c r="V554" i="9" s="1"/>
  <c r="U584" i="9"/>
  <c r="L594" i="9"/>
  <c r="Q594" i="9"/>
  <c r="Q598" i="9" s="1"/>
  <c r="Q604" i="9" s="1"/>
  <c r="Q605" i="9" s="1"/>
  <c r="K595" i="9"/>
  <c r="K601" i="9" s="1"/>
  <c r="P595" i="9"/>
  <c r="P601" i="9" s="1"/>
  <c r="K596" i="9"/>
  <c r="K602" i="9" s="1"/>
  <c r="S596" i="9"/>
  <c r="S602" i="9" s="1"/>
  <c r="J617" i="9"/>
  <c r="J624" i="9" s="1"/>
  <c r="J635" i="9"/>
  <c r="J639" i="9" s="1"/>
  <c r="R635" i="9"/>
  <c r="L683" i="9"/>
  <c r="L684" i="9" s="1"/>
  <c r="K694" i="9"/>
  <c r="K697" i="9" s="1"/>
  <c r="S694" i="9"/>
  <c r="S697" i="9" s="1"/>
  <c r="U701" i="9"/>
  <c r="O705" i="9"/>
  <c r="L723" i="9"/>
  <c r="L728" i="9" s="1"/>
  <c r="H724" i="9"/>
  <c r="H729" i="9" s="1"/>
  <c r="P724" i="9"/>
  <c r="P729" i="9" s="1"/>
  <c r="J750" i="9"/>
  <c r="J754" i="9" s="1"/>
  <c r="M751" i="9"/>
  <c r="M755" i="9" s="1"/>
  <c r="U762" i="9"/>
  <c r="S765" i="9"/>
  <c r="S769" i="9" s="1"/>
  <c r="I780" i="9"/>
  <c r="I784" i="9" s="1"/>
  <c r="K1235" i="9"/>
  <c r="K1239" i="9" s="1"/>
  <c r="S1235" i="9"/>
  <c r="S1239" i="9" s="1"/>
  <c r="O1247" i="9"/>
  <c r="O1251" i="9" s="1"/>
  <c r="H1423" i="9"/>
  <c r="L1423" i="9"/>
  <c r="P1423" i="9"/>
  <c r="K1208" i="9"/>
  <c r="K1209" i="9" s="1"/>
  <c r="K1200" i="9" s="1"/>
  <c r="K1222" i="9" s="1"/>
  <c r="O1208" i="9"/>
  <c r="S1208" i="9"/>
  <c r="S1209" i="9" s="1"/>
  <c r="S1200" i="9" s="1"/>
  <c r="S1222" i="9" s="1"/>
  <c r="I1212" i="9"/>
  <c r="Q1212" i="9"/>
  <c r="T1213" i="9"/>
  <c r="T1221" i="9" s="1"/>
  <c r="J1208" i="9"/>
  <c r="J1209" i="9" s="1"/>
  <c r="J1200" i="9" s="1"/>
  <c r="J1221" i="9" s="1"/>
  <c r="N1208" i="9"/>
  <c r="N1209" i="9" s="1"/>
  <c r="N1200" i="9" s="1"/>
  <c r="R1208" i="9"/>
  <c r="R1209" i="9" s="1"/>
  <c r="R1200" i="9" s="1"/>
  <c r="R1221" i="9" s="1"/>
  <c r="H1212" i="9"/>
  <c r="P1212" i="9"/>
  <c r="H112" i="9"/>
  <c r="AI81" i="9"/>
  <c r="V81" i="9" s="1"/>
  <c r="V82" i="9" s="1"/>
  <c r="U47" i="9"/>
  <c r="AA33" i="9"/>
  <c r="AE33" i="9"/>
  <c r="Y33" i="9"/>
  <c r="AC33" i="9"/>
  <c r="AG33" i="9"/>
  <c r="AI114" i="9"/>
  <c r="V114" i="9" s="1"/>
  <c r="AI147" i="9"/>
  <c r="V147" i="9" s="1"/>
  <c r="U136" i="9"/>
  <c r="AI136" i="9"/>
  <c r="V136" i="9" s="1"/>
  <c r="T142" i="9"/>
  <c r="U142" i="9" s="1"/>
  <c r="T131" i="9"/>
  <c r="U131" i="9" s="1"/>
  <c r="T120" i="9"/>
  <c r="U120" i="9" s="1"/>
  <c r="AI103" i="9"/>
  <c r="V103" i="9" s="1"/>
  <c r="T109" i="9"/>
  <c r="U109" i="9" s="1"/>
  <c r="AI92" i="9"/>
  <c r="V92" i="9" s="1"/>
  <c r="T98" i="9"/>
  <c r="U98" i="9" s="1"/>
  <c r="H164" i="9"/>
  <c r="U48" i="9"/>
  <c r="Y49" i="9"/>
  <c r="AC49" i="9"/>
  <c r="AG49" i="9"/>
  <c r="AH148" i="9"/>
  <c r="AD148" i="9"/>
  <c r="Z148" i="9"/>
  <c r="AF69" i="9"/>
  <c r="AF70" i="9" s="1"/>
  <c r="AB69" i="9"/>
  <c r="AB70" i="9" s="1"/>
  <c r="X69" i="9"/>
  <c r="X70" i="9" s="1"/>
  <c r="AC148" i="9"/>
  <c r="AE69" i="9"/>
  <c r="AE70" i="9" s="1"/>
  <c r="W69" i="9"/>
  <c r="W70" i="9" s="1"/>
  <c r="AF148" i="9"/>
  <c r="AE148" i="9"/>
  <c r="AA148" i="9"/>
  <c r="W148" i="9"/>
  <c r="AG69" i="9"/>
  <c r="AG70" i="9" s="1"/>
  <c r="AC69" i="9"/>
  <c r="AC70" i="9" s="1"/>
  <c r="Y69" i="9"/>
  <c r="Y70" i="9" s="1"/>
  <c r="AG148" i="9"/>
  <c r="Y148" i="9"/>
  <c r="AA69" i="9"/>
  <c r="AA70" i="9" s="1"/>
  <c r="AB148" i="9"/>
  <c r="M344" i="9"/>
  <c r="M202" i="9"/>
  <c r="V425" i="9"/>
  <c r="U425" i="9"/>
  <c r="AL15" i="9"/>
  <c r="T24" i="9"/>
  <c r="H40" i="9"/>
  <c r="T40" i="9" s="1"/>
  <c r="AD69" i="9"/>
  <c r="AD70" i="9" s="1"/>
  <c r="T76" i="9"/>
  <c r="U76" i="9" s="1"/>
  <c r="H130" i="9"/>
  <c r="H132" i="9"/>
  <c r="M346" i="9"/>
  <c r="M198" i="9"/>
  <c r="M200" i="9"/>
  <c r="U199" i="9"/>
  <c r="W199" i="9"/>
  <c r="AJ207" i="9"/>
  <c r="AI6" i="9"/>
  <c r="H43" i="9"/>
  <c r="T37" i="9"/>
  <c r="T43" i="9" s="1"/>
  <c r="AI47" i="9"/>
  <c r="H57" i="9"/>
  <c r="H158" i="9"/>
  <c r="T55" i="9"/>
  <c r="U55" i="9" s="1"/>
  <c r="T61" i="9"/>
  <c r="AL61" i="9" s="1"/>
  <c r="AL60" i="9"/>
  <c r="U60" i="9"/>
  <c r="AI68" i="9"/>
  <c r="H89" i="9"/>
  <c r="AI125" i="9"/>
  <c r="T41" i="9"/>
  <c r="AI48" i="9"/>
  <c r="AI60" i="9"/>
  <c r="H67" i="9"/>
  <c r="H100" i="9"/>
  <c r="X148" i="9"/>
  <c r="H111" i="9"/>
  <c r="M341" i="9"/>
  <c r="M201" i="9"/>
  <c r="Z69" i="9"/>
  <c r="Z70" i="9" s="1"/>
  <c r="AH69" i="9"/>
  <c r="AH70" i="9" s="1"/>
  <c r="J226" i="9"/>
  <c r="T186" i="9"/>
  <c r="T197" i="9"/>
  <c r="T203" i="9" s="1"/>
  <c r="N235" i="9"/>
  <c r="N348" i="9"/>
  <c r="J220" i="9"/>
  <c r="I220" i="9"/>
  <c r="K220" i="9"/>
  <c r="L364" i="9"/>
  <c r="T353" i="9"/>
  <c r="R365" i="9"/>
  <c r="R364" i="9"/>
  <c r="T407" i="9"/>
  <c r="U407" i="9" s="1"/>
  <c r="K525" i="9"/>
  <c r="K511" i="9"/>
  <c r="AI29" i="9"/>
  <c r="H151" i="9"/>
  <c r="U173" i="9"/>
  <c r="U181" i="9"/>
  <c r="U188" i="9"/>
  <c r="AI206" i="9"/>
  <c r="T225" i="9"/>
  <c r="T235" i="9" s="1"/>
  <c r="J332" i="9"/>
  <c r="J274" i="9"/>
  <c r="V279" i="9"/>
  <c r="U279" i="9"/>
  <c r="V295" i="9"/>
  <c r="U295" i="9"/>
  <c r="S365" i="9"/>
  <c r="V369" i="9"/>
  <c r="U369" i="9"/>
  <c r="P397" i="9"/>
  <c r="P399" i="9"/>
  <c r="V390" i="9"/>
  <c r="N417" i="9"/>
  <c r="T415" i="9"/>
  <c r="U415" i="9" s="1"/>
  <c r="U473" i="9"/>
  <c r="V473" i="9"/>
  <c r="R531" i="9"/>
  <c r="R530" i="9"/>
  <c r="AL14" i="9"/>
  <c r="T20" i="9"/>
  <c r="T21" i="9"/>
  <c r="W49" i="9"/>
  <c r="U69" i="9"/>
  <c r="H74" i="9"/>
  <c r="H75" i="9" s="1"/>
  <c r="H88" i="9"/>
  <c r="H99" i="9"/>
  <c r="H110" i="9"/>
  <c r="H118" i="9"/>
  <c r="U125" i="9"/>
  <c r="H154" i="9"/>
  <c r="J194" i="9"/>
  <c r="N194" i="9"/>
  <c r="J195" i="9"/>
  <c r="N195" i="9"/>
  <c r="J196" i="9"/>
  <c r="J202" i="9" s="1"/>
  <c r="N196" i="9"/>
  <c r="AG213" i="9"/>
  <c r="J218" i="9"/>
  <c r="J227" i="9" s="1"/>
  <c r="I218" i="9"/>
  <c r="I227" i="9" s="1"/>
  <c r="K218" i="9"/>
  <c r="K227" i="9" s="1"/>
  <c r="H209" i="9"/>
  <c r="AA209" i="9"/>
  <c r="L221" i="9"/>
  <c r="L230" i="9" s="1"/>
  <c r="H221" i="9"/>
  <c r="K221" i="9"/>
  <c r="K230" i="9" s="1"/>
  <c r="I221" i="9"/>
  <c r="I230" i="9" s="1"/>
  <c r="AI210" i="9"/>
  <c r="L218" i="9"/>
  <c r="L227" i="9" s="1"/>
  <c r="J221" i="9"/>
  <c r="J230" i="9" s="1"/>
  <c r="Q236" i="9"/>
  <c r="M235" i="9"/>
  <c r="U238" i="9"/>
  <c r="V254" i="9"/>
  <c r="T262" i="9"/>
  <c r="I271" i="9"/>
  <c r="T267" i="9"/>
  <c r="J331" i="9"/>
  <c r="J290" i="9"/>
  <c r="K336" i="9"/>
  <c r="V314" i="9"/>
  <c r="T328" i="9"/>
  <c r="M335" i="9"/>
  <c r="Q335" i="9"/>
  <c r="L343" i="9"/>
  <c r="R362" i="9"/>
  <c r="K364" i="9"/>
  <c r="O364" i="9"/>
  <c r="S364" i="9"/>
  <c r="K363" i="9"/>
  <c r="N364" i="9"/>
  <c r="Q448" i="9"/>
  <c r="Q381" i="9"/>
  <c r="V370" i="9"/>
  <c r="U370" i="9"/>
  <c r="V388" i="9"/>
  <c r="U388" i="9"/>
  <c r="N395" i="9"/>
  <c r="N401" i="9" s="1"/>
  <c r="J395" i="9"/>
  <c r="M395" i="9"/>
  <c r="M401" i="9" s="1"/>
  <c r="I395" i="9"/>
  <c r="I401" i="9" s="1"/>
  <c r="K395" i="9"/>
  <c r="K401" i="9" s="1"/>
  <c r="H395" i="9"/>
  <c r="Q417" i="9"/>
  <c r="V428" i="9"/>
  <c r="T438" i="9"/>
  <c r="T707" i="9"/>
  <c r="J235" i="9"/>
  <c r="J348" i="9"/>
  <c r="L217" i="9"/>
  <c r="H217" i="9"/>
  <c r="K217" i="9"/>
  <c r="I217" i="9"/>
  <c r="H364" i="9"/>
  <c r="P449" i="9"/>
  <c r="P364" i="9"/>
  <c r="H1431" i="9"/>
  <c r="H510" i="9"/>
  <c r="T496" i="9"/>
  <c r="H140" i="9"/>
  <c r="U174" i="9"/>
  <c r="H195" i="9"/>
  <c r="L195" i="9"/>
  <c r="H196" i="9"/>
  <c r="L196" i="9"/>
  <c r="L202" i="9" s="1"/>
  <c r="K235" i="9"/>
  <c r="AH209" i="9"/>
  <c r="AD209" i="9"/>
  <c r="AC209" i="9"/>
  <c r="H292" i="9"/>
  <c r="S363" i="9"/>
  <c r="I365" i="9"/>
  <c r="V407" i="9"/>
  <c r="P455" i="9"/>
  <c r="N531" i="9"/>
  <c r="N530" i="9"/>
  <c r="K571" i="9"/>
  <c r="K572" i="9"/>
  <c r="K606" i="9"/>
  <c r="N1185" i="9"/>
  <c r="N1186" i="9"/>
  <c r="U6" i="9"/>
  <c r="U11" i="9" s="1"/>
  <c r="H52" i="9"/>
  <c r="H66" i="9"/>
  <c r="U68" i="9"/>
  <c r="U81" i="9"/>
  <c r="AJ81" i="9" s="1"/>
  <c r="U92" i="9"/>
  <c r="U103" i="9"/>
  <c r="U114" i="9"/>
  <c r="I194" i="9"/>
  <c r="I195" i="9"/>
  <c r="I196" i="9"/>
  <c r="I202" i="9" s="1"/>
  <c r="H348" i="9"/>
  <c r="T348" i="9" s="1"/>
  <c r="H235" i="9"/>
  <c r="L348" i="9"/>
  <c r="L235" i="9"/>
  <c r="Z209" i="9"/>
  <c r="AE209" i="9"/>
  <c r="AE213" i="9" s="1"/>
  <c r="U210" i="9"/>
  <c r="H227" i="9"/>
  <c r="L220" i="9"/>
  <c r="J231" i="9"/>
  <c r="V240" i="9"/>
  <c r="T253" i="9"/>
  <c r="U247" i="9"/>
  <c r="V256" i="9"/>
  <c r="K334" i="9"/>
  <c r="K275" i="9"/>
  <c r="T302" i="9"/>
  <c r="V299" i="9"/>
  <c r="U299" i="9"/>
  <c r="T303" i="9"/>
  <c r="V313" i="9"/>
  <c r="U313" i="9"/>
  <c r="K348" i="9"/>
  <c r="Q363" i="9"/>
  <c r="H1440" i="9"/>
  <c r="T1440" i="9" s="1"/>
  <c r="H359" i="9"/>
  <c r="T354" i="9"/>
  <c r="M365" i="9"/>
  <c r="T371" i="9"/>
  <c r="U371" i="9" s="1"/>
  <c r="H402" i="9"/>
  <c r="T398" i="9"/>
  <c r="U398" i="9" s="1"/>
  <c r="T408" i="9"/>
  <c r="H413" i="9"/>
  <c r="I455" i="9"/>
  <c r="M455" i="9"/>
  <c r="Q455" i="9"/>
  <c r="T424" i="9"/>
  <c r="R647" i="9"/>
  <c r="N647" i="9"/>
  <c r="J647" i="9"/>
  <c r="Q647" i="9"/>
  <c r="M647" i="9"/>
  <c r="I647" i="9"/>
  <c r="O647" i="9"/>
  <c r="L647" i="9"/>
  <c r="H647" i="9"/>
  <c r="S647" i="9"/>
  <c r="K647" i="9"/>
  <c r="U644" i="9"/>
  <c r="P647" i="9"/>
  <c r="Z211" i="9"/>
  <c r="AD211" i="9"/>
  <c r="AH211" i="9"/>
  <c r="T219" i="9"/>
  <c r="K222" i="9"/>
  <c r="U224" i="9"/>
  <c r="H233" i="9"/>
  <c r="H264" i="9"/>
  <c r="K265" i="9"/>
  <c r="K272" i="9" s="1"/>
  <c r="J266" i="9"/>
  <c r="J273" i="9" s="1"/>
  <c r="H268" i="9"/>
  <c r="H274" i="9"/>
  <c r="H283" i="9"/>
  <c r="K284" i="9"/>
  <c r="I286" i="9"/>
  <c r="I292" i="9" s="1"/>
  <c r="H298" i="9"/>
  <c r="V308" i="9"/>
  <c r="U323" i="9"/>
  <c r="H332" i="9"/>
  <c r="T332" i="9" s="1"/>
  <c r="K356" i="9"/>
  <c r="O356" i="9"/>
  <c r="S356" i="9"/>
  <c r="J357" i="9"/>
  <c r="N357" i="9"/>
  <c r="R357" i="9"/>
  <c r="I358" i="9"/>
  <c r="J374" i="9"/>
  <c r="N374" i="9"/>
  <c r="R374" i="9"/>
  <c r="I375" i="9"/>
  <c r="I382" i="9" s="1"/>
  <c r="M375" i="9"/>
  <c r="M382" i="9" s="1"/>
  <c r="Q375" i="9"/>
  <c r="Q382" i="9" s="1"/>
  <c r="H376" i="9"/>
  <c r="I393" i="9"/>
  <c r="M393" i="9"/>
  <c r="Q393" i="9"/>
  <c r="H394" i="9"/>
  <c r="L394" i="9"/>
  <c r="L400" i="9" s="1"/>
  <c r="I410" i="9"/>
  <c r="M410" i="9"/>
  <c r="H411" i="9"/>
  <c r="L411" i="9"/>
  <c r="L418" i="9" s="1"/>
  <c r="J413" i="9"/>
  <c r="H455" i="9"/>
  <c r="T455" i="9" s="1"/>
  <c r="L455" i="9"/>
  <c r="T416" i="9"/>
  <c r="U416" i="9" s="1"/>
  <c r="L426" i="9"/>
  <c r="Q426" i="9"/>
  <c r="S427" i="9"/>
  <c r="O427" i="9"/>
  <c r="K427" i="9"/>
  <c r="J427" i="9"/>
  <c r="P427" i="9"/>
  <c r="T437" i="9"/>
  <c r="J439" i="9"/>
  <c r="N439" i="9"/>
  <c r="R439" i="9"/>
  <c r="R440" i="9"/>
  <c r="S440" i="9"/>
  <c r="J440" i="9"/>
  <c r="O440" i="9"/>
  <c r="P482" i="9"/>
  <c r="P488" i="9" s="1"/>
  <c r="L482" i="9"/>
  <c r="L488" i="9" s="1"/>
  <c r="H482" i="9"/>
  <c r="Q482" i="9"/>
  <c r="Q488" i="9" s="1"/>
  <c r="K482" i="9"/>
  <c r="K488" i="9" s="1"/>
  <c r="O482" i="9"/>
  <c r="O488" i="9" s="1"/>
  <c r="J482" i="9"/>
  <c r="J488" i="9" s="1"/>
  <c r="R482" i="9"/>
  <c r="R488" i="9" s="1"/>
  <c r="M482" i="9"/>
  <c r="M488" i="9" s="1"/>
  <c r="H486" i="9"/>
  <c r="I509" i="9"/>
  <c r="V541" i="9"/>
  <c r="V542" i="9" s="1"/>
  <c r="U541" i="9"/>
  <c r="U542" i="9" s="1"/>
  <c r="I606" i="9"/>
  <c r="I550" i="9"/>
  <c r="I549" i="9"/>
  <c r="K560" i="9"/>
  <c r="K561" i="9"/>
  <c r="U612" i="9"/>
  <c r="X211" i="9"/>
  <c r="AB211" i="9"/>
  <c r="AF211" i="9"/>
  <c r="AF213" i="9" s="1"/>
  <c r="I222" i="9"/>
  <c r="W224" i="9"/>
  <c r="T233" i="9"/>
  <c r="J264" i="9"/>
  <c r="I265" i="9"/>
  <c r="I272" i="9" s="1"/>
  <c r="H266" i="9"/>
  <c r="J268" i="9"/>
  <c r="J283" i="9"/>
  <c r="J289" i="9" s="1"/>
  <c r="I284" i="9"/>
  <c r="T285" i="9"/>
  <c r="T291" i="9" s="1"/>
  <c r="K286" i="9"/>
  <c r="K292" i="9" s="1"/>
  <c r="J298" i="9"/>
  <c r="I356" i="9"/>
  <c r="M356" i="9"/>
  <c r="Q356" i="9"/>
  <c r="H357" i="9"/>
  <c r="L357" i="9"/>
  <c r="P357" i="9"/>
  <c r="J359" i="9"/>
  <c r="T372" i="9"/>
  <c r="U372" i="9" s="1"/>
  <c r="H374" i="9"/>
  <c r="L374" i="9"/>
  <c r="P374" i="9"/>
  <c r="K375" i="9"/>
  <c r="K382" i="9" s="1"/>
  <c r="O375" i="9"/>
  <c r="O382" i="9" s="1"/>
  <c r="S375" i="9"/>
  <c r="S382" i="9" s="1"/>
  <c r="I377" i="9"/>
  <c r="T391" i="9"/>
  <c r="U391" i="9" s="1"/>
  <c r="K393" i="9"/>
  <c r="O393" i="9"/>
  <c r="S393" i="9"/>
  <c r="L413" i="9"/>
  <c r="L420" i="9" s="1"/>
  <c r="N455" i="9"/>
  <c r="R455" i="9"/>
  <c r="I426" i="9"/>
  <c r="I1431" i="9" s="1"/>
  <c r="T433" i="9"/>
  <c r="L440" i="9"/>
  <c r="H507" i="9"/>
  <c r="T505" i="9"/>
  <c r="T507" i="9" s="1"/>
  <c r="Q521" i="9"/>
  <c r="Q527" i="9" s="1"/>
  <c r="M521" i="9"/>
  <c r="M527" i="9" s="1"/>
  <c r="I521" i="9"/>
  <c r="I527" i="9" s="1"/>
  <c r="O521" i="9"/>
  <c r="O527" i="9" s="1"/>
  <c r="J521" i="9"/>
  <c r="J527" i="9" s="1"/>
  <c r="F527" i="9" s="1"/>
  <c r="S521" i="9"/>
  <c r="S527" i="9" s="1"/>
  <c r="N521" i="9"/>
  <c r="N527" i="9" s="1"/>
  <c r="H521" i="9"/>
  <c r="P521" i="9"/>
  <c r="P527" i="9" s="1"/>
  <c r="K521" i="9"/>
  <c r="K527" i="9" s="1"/>
  <c r="K581" i="9"/>
  <c r="K582" i="9"/>
  <c r="K637" i="9"/>
  <c r="K639" i="9"/>
  <c r="S639" i="9"/>
  <c r="V658" i="9"/>
  <c r="R688" i="9"/>
  <c r="R687" i="9"/>
  <c r="P722" i="9"/>
  <c r="P727" i="9" s="1"/>
  <c r="L722" i="9"/>
  <c r="L727" i="9" s="1"/>
  <c r="H722" i="9"/>
  <c r="S722" i="9"/>
  <c r="S727" i="9" s="1"/>
  <c r="O722" i="9"/>
  <c r="O727" i="9" s="1"/>
  <c r="K722" i="9"/>
  <c r="K727" i="9" s="1"/>
  <c r="R722" i="9"/>
  <c r="R727" i="9" s="1"/>
  <c r="J722" i="9"/>
  <c r="J727" i="9" s="1"/>
  <c r="Q722" i="9"/>
  <c r="Q727" i="9" s="1"/>
  <c r="I722" i="9"/>
  <c r="I727" i="9" s="1"/>
  <c r="M722" i="9"/>
  <c r="M727" i="9" s="1"/>
  <c r="U716" i="9"/>
  <c r="N722" i="9"/>
  <c r="N727" i="9" s="1"/>
  <c r="Q1121" i="9"/>
  <c r="L1278" i="9"/>
  <c r="L1280" i="9" s="1"/>
  <c r="P1278" i="9"/>
  <c r="P1280" i="9" s="1"/>
  <c r="H1278" i="9"/>
  <c r="H1280" i="9" s="1"/>
  <c r="Y211" i="9"/>
  <c r="AC211" i="9"/>
  <c r="K274" i="9"/>
  <c r="J356" i="9"/>
  <c r="N356" i="9"/>
  <c r="I357" i="9"/>
  <c r="M357" i="9"/>
  <c r="I374" i="9"/>
  <c r="M374" i="9"/>
  <c r="H375" i="9"/>
  <c r="L375" i="9"/>
  <c r="L382" i="9" s="1"/>
  <c r="J377" i="9"/>
  <c r="J384" i="9" s="1"/>
  <c r="N377" i="9"/>
  <c r="N384" i="9" s="1"/>
  <c r="H393" i="9"/>
  <c r="L393" i="9"/>
  <c r="M413" i="9"/>
  <c r="M420" i="9" s="1"/>
  <c r="K455" i="9"/>
  <c r="O455" i="9"/>
  <c r="S455" i="9"/>
  <c r="S426" i="9"/>
  <c r="O426" i="9"/>
  <c r="K426" i="9"/>
  <c r="J426" i="9"/>
  <c r="J1431" i="9" s="1"/>
  <c r="P426" i="9"/>
  <c r="I440" i="9"/>
  <c r="Q440" i="9"/>
  <c r="R443" i="9"/>
  <c r="P439" i="9"/>
  <c r="H440" i="9"/>
  <c r="N440" i="9"/>
  <c r="I469" i="9"/>
  <c r="T460" i="9"/>
  <c r="T465" i="9"/>
  <c r="T466" i="9" s="1"/>
  <c r="H466" i="9"/>
  <c r="H469" i="9"/>
  <c r="H509" i="9"/>
  <c r="K530" i="9"/>
  <c r="K531" i="9"/>
  <c r="L521" i="9"/>
  <c r="L527" i="9" s="1"/>
  <c r="K607" i="9"/>
  <c r="K550" i="9"/>
  <c r="N624" i="9"/>
  <c r="U474" i="9"/>
  <c r="S483" i="9"/>
  <c r="S489" i="9" s="1"/>
  <c r="O483" i="9"/>
  <c r="O489" i="9" s="1"/>
  <c r="K483" i="9"/>
  <c r="K489" i="9" s="1"/>
  <c r="U476" i="9"/>
  <c r="L480" i="9"/>
  <c r="L486" i="9" s="1"/>
  <c r="Q480" i="9"/>
  <c r="Q486" i="9" s="1"/>
  <c r="J481" i="9"/>
  <c r="J487" i="9" s="1"/>
  <c r="F487" i="9" s="1"/>
  <c r="J483" i="9"/>
  <c r="J489" i="9" s="1"/>
  <c r="F489" i="9" s="1"/>
  <c r="P483" i="9"/>
  <c r="P489" i="9" s="1"/>
  <c r="J490" i="9"/>
  <c r="F490" i="9" s="1"/>
  <c r="M491" i="9"/>
  <c r="R491" i="9"/>
  <c r="I497" i="9"/>
  <c r="H502" i="9"/>
  <c r="T500" i="9"/>
  <c r="T502" i="9" s="1"/>
  <c r="S522" i="9"/>
  <c r="S528" i="9" s="1"/>
  <c r="O522" i="9"/>
  <c r="O528" i="9" s="1"/>
  <c r="K522" i="9"/>
  <c r="K528" i="9" s="1"/>
  <c r="E522" i="9"/>
  <c r="H520" i="9"/>
  <c r="M520" i="9"/>
  <c r="M526" i="9" s="1"/>
  <c r="H522" i="9"/>
  <c r="M522" i="9"/>
  <c r="M528" i="9" s="1"/>
  <c r="R522" i="9"/>
  <c r="R528" i="9" s="1"/>
  <c r="J523" i="9"/>
  <c r="J529" i="9" s="1"/>
  <c r="F529" i="9" s="1"/>
  <c r="O523" i="9"/>
  <c r="O529" i="9" s="1"/>
  <c r="T546" i="9"/>
  <c r="J561" i="9"/>
  <c r="J560" i="9"/>
  <c r="J572" i="9"/>
  <c r="J571" i="9"/>
  <c r="J582" i="9"/>
  <c r="J581" i="9"/>
  <c r="L600" i="9"/>
  <c r="R597" i="9"/>
  <c r="R603" i="9" s="1"/>
  <c r="H608" i="9"/>
  <c r="H609" i="9" s="1"/>
  <c r="R639" i="9"/>
  <c r="R637" i="9"/>
  <c r="L663" i="9"/>
  <c r="L661" i="9"/>
  <c r="V670" i="9"/>
  <c r="K726" i="9"/>
  <c r="H784" i="9"/>
  <c r="J1088" i="9"/>
  <c r="J1115" i="9"/>
  <c r="N1088" i="9"/>
  <c r="N1115" i="9"/>
  <c r="R1088" i="9"/>
  <c r="R1115" i="9"/>
  <c r="T1110" i="9"/>
  <c r="T1112" i="9" s="1"/>
  <c r="T1191" i="9"/>
  <c r="U1191" i="9" s="1"/>
  <c r="I1238" i="9"/>
  <c r="N1298" i="9"/>
  <c r="N1300" i="9"/>
  <c r="I1369" i="9"/>
  <c r="I1299" i="9"/>
  <c r="M1369" i="9"/>
  <c r="Q1369" i="9"/>
  <c r="T451" i="9"/>
  <c r="H461" i="9"/>
  <c r="T459" i="9"/>
  <c r="T461" i="9" s="1"/>
  <c r="H468" i="9"/>
  <c r="Q481" i="9"/>
  <c r="Q487" i="9" s="1"/>
  <c r="M481" i="9"/>
  <c r="M487" i="9" s="1"/>
  <c r="I481" i="9"/>
  <c r="I487" i="9" s="1"/>
  <c r="I480" i="9"/>
  <c r="I486" i="9" s="1"/>
  <c r="L481" i="9"/>
  <c r="L487" i="9" s="1"/>
  <c r="R481" i="9"/>
  <c r="R487" i="9" s="1"/>
  <c r="H483" i="9"/>
  <c r="M483" i="9"/>
  <c r="M489" i="9" s="1"/>
  <c r="R483" i="9"/>
  <c r="R489" i="9" s="1"/>
  <c r="R520" i="9"/>
  <c r="R526" i="9" s="1"/>
  <c r="N520" i="9"/>
  <c r="N526" i="9" s="1"/>
  <c r="J520" i="9"/>
  <c r="J526" i="9" s="1"/>
  <c r="F526" i="9" s="1"/>
  <c r="U515" i="9"/>
  <c r="K520" i="9"/>
  <c r="K526" i="9" s="1"/>
  <c r="P520" i="9"/>
  <c r="P526" i="9" s="1"/>
  <c r="J522" i="9"/>
  <c r="J528" i="9" s="1"/>
  <c r="P522" i="9"/>
  <c r="P528" i="9" s="1"/>
  <c r="E523" i="9"/>
  <c r="L523" i="9"/>
  <c r="L529" i="9" s="1"/>
  <c r="J531" i="9"/>
  <c r="P531" i="9"/>
  <c r="J606" i="9"/>
  <c r="J608" i="9" s="1"/>
  <c r="J550" i="9"/>
  <c r="J549" i="9"/>
  <c r="Q606" i="9"/>
  <c r="Q608" i="9" s="1"/>
  <c r="Q550" i="9"/>
  <c r="T607" i="9"/>
  <c r="T547" i="9"/>
  <c r="U547" i="9" s="1"/>
  <c r="T557" i="9"/>
  <c r="T568" i="9"/>
  <c r="T578" i="9"/>
  <c r="R600" i="9"/>
  <c r="L608" i="9"/>
  <c r="U611" i="9"/>
  <c r="S659" i="9"/>
  <c r="O659" i="9"/>
  <c r="K659" i="9"/>
  <c r="R659" i="9"/>
  <c r="N659" i="9"/>
  <c r="J659" i="9"/>
  <c r="P659" i="9"/>
  <c r="H659" i="9"/>
  <c r="M659" i="9"/>
  <c r="Q659" i="9"/>
  <c r="I659" i="9"/>
  <c r="T660" i="9"/>
  <c r="T664" i="9" s="1"/>
  <c r="N712" i="9"/>
  <c r="N443" i="9" s="1"/>
  <c r="V681" i="9"/>
  <c r="Q721" i="9"/>
  <c r="M721" i="9"/>
  <c r="I721" i="9"/>
  <c r="P721" i="9"/>
  <c r="L721" i="9"/>
  <c r="H721" i="9"/>
  <c r="O721" i="9"/>
  <c r="N721" i="9"/>
  <c r="S721" i="9"/>
  <c r="R721" i="9"/>
  <c r="J721" i="9"/>
  <c r="U715" i="9"/>
  <c r="P757" i="9"/>
  <c r="P756" i="9"/>
  <c r="T757" i="9"/>
  <c r="T756" i="9"/>
  <c r="V752" i="9"/>
  <c r="V981" i="9"/>
  <c r="U981" i="9"/>
  <c r="T1029" i="9"/>
  <c r="T1030" i="9"/>
  <c r="T1099" i="9"/>
  <c r="K1156" i="9"/>
  <c r="L1156" i="9" s="1"/>
  <c r="M1156" i="9" s="1"/>
  <c r="N1156" i="9" s="1"/>
  <c r="O1156" i="9" s="1"/>
  <c r="P1156" i="9" s="1"/>
  <c r="Q1156" i="9" s="1"/>
  <c r="R1156" i="9" s="1"/>
  <c r="S1156" i="9" s="1"/>
  <c r="R1185" i="9"/>
  <c r="R1186" i="9"/>
  <c r="I461" i="9"/>
  <c r="R480" i="9"/>
  <c r="R486" i="9" s="1"/>
  <c r="N480" i="9"/>
  <c r="N486" i="9" s="1"/>
  <c r="J480" i="9"/>
  <c r="J486" i="9" s="1"/>
  <c r="F486" i="9" s="1"/>
  <c r="U475" i="9"/>
  <c r="K480" i="9"/>
  <c r="K486" i="9" s="1"/>
  <c r="P480" i="9"/>
  <c r="P486" i="9" s="1"/>
  <c r="H481" i="9"/>
  <c r="N481" i="9"/>
  <c r="N487" i="9" s="1"/>
  <c r="S481" i="9"/>
  <c r="S487" i="9" s="1"/>
  <c r="I483" i="9"/>
  <c r="I489" i="9" s="1"/>
  <c r="N483" i="9"/>
  <c r="N489" i="9" s="1"/>
  <c r="L491" i="9"/>
  <c r="Q491" i="9"/>
  <c r="H497" i="9"/>
  <c r="T495" i="9"/>
  <c r="U514" i="9"/>
  <c r="Q523" i="9"/>
  <c r="Q529" i="9" s="1"/>
  <c r="M523" i="9"/>
  <c r="M529" i="9" s="1"/>
  <c r="I523" i="9"/>
  <c r="I529" i="9" s="1"/>
  <c r="U516" i="9"/>
  <c r="L520" i="9"/>
  <c r="L526" i="9" s="1"/>
  <c r="Q520" i="9"/>
  <c r="Q526" i="9" s="1"/>
  <c r="L522" i="9"/>
  <c r="L528" i="9" s="1"/>
  <c r="Q522" i="9"/>
  <c r="Q528" i="9" s="1"/>
  <c r="H523" i="9"/>
  <c r="N523" i="9"/>
  <c r="N529" i="9" s="1"/>
  <c r="S523" i="9"/>
  <c r="S529" i="9" s="1"/>
  <c r="J530" i="9"/>
  <c r="F530" i="9" s="1"/>
  <c r="R606" i="9"/>
  <c r="R608" i="9" s="1"/>
  <c r="R550" i="9"/>
  <c r="H550" i="9"/>
  <c r="U552" i="9"/>
  <c r="T558" i="9"/>
  <c r="U558" i="9" s="1"/>
  <c r="U563" i="9"/>
  <c r="T569" i="9"/>
  <c r="U569" i="9" s="1"/>
  <c r="U574" i="9"/>
  <c r="T579" i="9"/>
  <c r="U579" i="9" s="1"/>
  <c r="V586" i="9"/>
  <c r="T590" i="9"/>
  <c r="S608" i="9"/>
  <c r="M609" i="9"/>
  <c r="P617" i="9"/>
  <c r="L617" i="9"/>
  <c r="H617" i="9"/>
  <c r="S617" i="9"/>
  <c r="O617" i="9"/>
  <c r="K617" i="9"/>
  <c r="S618" i="9"/>
  <c r="S625" i="9" s="1"/>
  <c r="O618" i="9"/>
  <c r="O625" i="9" s="1"/>
  <c r="K618" i="9"/>
  <c r="K625" i="9" s="1"/>
  <c r="J618" i="9"/>
  <c r="J625" i="9" s="1"/>
  <c r="N618" i="9"/>
  <c r="N625" i="9" s="1"/>
  <c r="R618" i="9"/>
  <c r="R625" i="9" s="1"/>
  <c r="I617" i="9"/>
  <c r="Q617" i="9"/>
  <c r="L618" i="9"/>
  <c r="L625" i="9" s="1"/>
  <c r="K626" i="9"/>
  <c r="K450" i="9"/>
  <c r="O626" i="9"/>
  <c r="O450" i="9"/>
  <c r="S626" i="9"/>
  <c r="S450" i="9"/>
  <c r="Q712" i="9"/>
  <c r="Q443" i="9" s="1"/>
  <c r="Q673" i="9"/>
  <c r="Q675" i="9"/>
  <c r="H675" i="9"/>
  <c r="V811" i="9"/>
  <c r="U811" i="9"/>
  <c r="T1207" i="9"/>
  <c r="R1366" i="9"/>
  <c r="R1367" i="9"/>
  <c r="M673" i="9"/>
  <c r="M712" i="9"/>
  <c r="M443" i="9" s="1"/>
  <c r="H684" i="9"/>
  <c r="L697" i="9"/>
  <c r="K706" i="9"/>
  <c r="K712" i="9"/>
  <c r="K443" i="9" s="1"/>
  <c r="O712" i="9"/>
  <c r="O443" i="9" s="1"/>
  <c r="S712" i="9"/>
  <c r="S443" i="9" s="1"/>
  <c r="N771" i="9"/>
  <c r="T966" i="9"/>
  <c r="T963" i="9"/>
  <c r="T1057" i="9"/>
  <c r="T1058" i="9"/>
  <c r="Q1116" i="9"/>
  <c r="Q1122" i="9" s="1"/>
  <c r="T1098" i="9"/>
  <c r="H1186" i="9"/>
  <c r="H1184" i="9"/>
  <c r="H1146" i="9"/>
  <c r="T1145" i="9"/>
  <c r="U1143" i="9" s="1"/>
  <c r="P1186" i="9"/>
  <c r="P1184" i="9"/>
  <c r="J1167" i="9"/>
  <c r="K1167" i="9" s="1"/>
  <c r="L1167" i="9" s="1"/>
  <c r="M1167" i="9" s="1"/>
  <c r="N1167" i="9" s="1"/>
  <c r="O1167" i="9" s="1"/>
  <c r="P1167" i="9" s="1"/>
  <c r="Q1167" i="9" s="1"/>
  <c r="R1167" i="9" s="1"/>
  <c r="S1167" i="9" s="1"/>
  <c r="Q1238" i="9"/>
  <c r="K1334" i="9"/>
  <c r="K1336" i="9"/>
  <c r="O1334" i="9"/>
  <c r="O1336" i="9"/>
  <c r="S1334" i="9"/>
  <c r="S1336" i="9"/>
  <c r="P1340" i="9"/>
  <c r="P1338" i="9"/>
  <c r="N639" i="9"/>
  <c r="N637" i="9"/>
  <c r="T636" i="9"/>
  <c r="T640" i="9" s="1"/>
  <c r="T638" i="9"/>
  <c r="U638" i="9" s="1"/>
  <c r="I672" i="9"/>
  <c r="M757" i="9"/>
  <c r="M756" i="9"/>
  <c r="T772" i="9"/>
  <c r="T771" i="9"/>
  <c r="T788" i="9"/>
  <c r="T971" i="9"/>
  <c r="T1001" i="9"/>
  <c r="T1002" i="9"/>
  <c r="O1116" i="9"/>
  <c r="O1122" i="9" s="1"/>
  <c r="O1123" i="9" s="1"/>
  <c r="S1116" i="9"/>
  <c r="S1122" i="9" s="1"/>
  <c r="S1123" i="9" s="1"/>
  <c r="K1121" i="9"/>
  <c r="T1174" i="9"/>
  <c r="T1182" i="9"/>
  <c r="L1184" i="9"/>
  <c r="K1273" i="9"/>
  <c r="K1272" i="9"/>
  <c r="T1269" i="9"/>
  <c r="T1283" i="9" s="1"/>
  <c r="O1298" i="9"/>
  <c r="O1300" i="9"/>
  <c r="T1322" i="9"/>
  <c r="V632" i="9"/>
  <c r="V633" i="9" s="1"/>
  <c r="O642" i="9"/>
  <c r="Q637" i="9"/>
  <c r="T648" i="9"/>
  <c r="T652" i="9" s="1"/>
  <c r="T650" i="9"/>
  <c r="U650" i="9" s="1"/>
  <c r="U656" i="9"/>
  <c r="S672" i="9"/>
  <c r="O672" i="9"/>
  <c r="K672" i="9"/>
  <c r="R672" i="9"/>
  <c r="N672" i="9"/>
  <c r="J672" i="9"/>
  <c r="L672" i="9"/>
  <c r="T674" i="9"/>
  <c r="U674" i="9" s="1"/>
  <c r="O687" i="9"/>
  <c r="O688" i="9"/>
  <c r="T848" i="9"/>
  <c r="T965" i="9"/>
  <c r="T969" i="9"/>
  <c r="I1115" i="9"/>
  <c r="L1116" i="9"/>
  <c r="L1122" i="9" s="1"/>
  <c r="T1169" i="9"/>
  <c r="T1177" i="9"/>
  <c r="V1262" i="9"/>
  <c r="V1263" i="9" s="1"/>
  <c r="U1262" i="9"/>
  <c r="U1263" i="9" s="1"/>
  <c r="N1273" i="9"/>
  <c r="N1272" i="9"/>
  <c r="R1326" i="9"/>
  <c r="R1325" i="9"/>
  <c r="M1340" i="9"/>
  <c r="M1338" i="9"/>
  <c r="G1347" i="9"/>
  <c r="H1349" i="9"/>
  <c r="H1351" i="9"/>
  <c r="L1349" i="9"/>
  <c r="L1351" i="9"/>
  <c r="P1349" i="9"/>
  <c r="P1351" i="9"/>
  <c r="T1347" i="9"/>
  <c r="T1351" i="9" s="1"/>
  <c r="K1352" i="9"/>
  <c r="K1349" i="9"/>
  <c r="O1349" i="9"/>
  <c r="O1352" i="9"/>
  <c r="S1349" i="9"/>
  <c r="H592" i="9"/>
  <c r="J594" i="9"/>
  <c r="N594" i="9"/>
  <c r="I595" i="9"/>
  <c r="M595" i="9"/>
  <c r="M601" i="9" s="1"/>
  <c r="H596" i="9"/>
  <c r="L596" i="9"/>
  <c r="L602" i="9" s="1"/>
  <c r="P596" i="9"/>
  <c r="O597" i="9"/>
  <c r="O603" i="9" s="1"/>
  <c r="H635" i="9"/>
  <c r="L635" i="9"/>
  <c r="P635" i="9"/>
  <c r="H640" i="9"/>
  <c r="R695" i="9"/>
  <c r="R706" i="9"/>
  <c r="V716" i="9"/>
  <c r="V717" i="9"/>
  <c r="T719" i="9"/>
  <c r="U746" i="9"/>
  <c r="U747" i="9"/>
  <c r="M750" i="9"/>
  <c r="M754" i="9" s="1"/>
  <c r="H751" i="9"/>
  <c r="P751" i="9"/>
  <c r="P755" i="9" s="1"/>
  <c r="U761" i="9"/>
  <c r="I766" i="9"/>
  <c r="I770" i="9" s="1"/>
  <c r="T1074" i="9"/>
  <c r="H1115" i="9"/>
  <c r="L1115" i="9"/>
  <c r="P1115" i="9"/>
  <c r="T1087" i="9"/>
  <c r="H1105" i="9"/>
  <c r="H1116" i="9" s="1"/>
  <c r="M1115" i="9"/>
  <c r="P1116" i="9"/>
  <c r="P1122" i="9" s="1"/>
  <c r="T1178" i="9"/>
  <c r="T1170" i="9"/>
  <c r="U1141" i="9"/>
  <c r="T1155" i="9"/>
  <c r="H1185" i="9"/>
  <c r="T1166" i="9"/>
  <c r="O1209" i="9"/>
  <c r="O1200" i="9" s="1"/>
  <c r="O1222" i="9" s="1"/>
  <c r="T1204" i="9"/>
  <c r="Q1248" i="9"/>
  <c r="Q1252" i="9" s="1"/>
  <c r="M1248" i="9"/>
  <c r="M1252" i="9" s="1"/>
  <c r="I1248" i="9"/>
  <c r="I1252" i="9" s="1"/>
  <c r="P1248" i="9"/>
  <c r="P1252" i="9" s="1"/>
  <c r="L1248" i="9"/>
  <c r="L1252" i="9" s="1"/>
  <c r="H1248" i="9"/>
  <c r="O1248" i="9"/>
  <c r="O1252" i="9" s="1"/>
  <c r="N1248" i="9"/>
  <c r="N1252" i="9" s="1"/>
  <c r="K1248" i="9"/>
  <c r="K1252" i="9" s="1"/>
  <c r="H1298" i="9"/>
  <c r="H1300" i="9"/>
  <c r="L1294" i="9"/>
  <c r="L1296" i="9"/>
  <c r="P1294" i="9"/>
  <c r="P1296" i="9"/>
  <c r="T1292" i="9"/>
  <c r="T1296" i="9" s="1"/>
  <c r="K1294" i="9"/>
  <c r="K1297" i="9"/>
  <c r="S1298" i="9"/>
  <c r="S1300" i="9"/>
  <c r="S1297" i="9"/>
  <c r="H1313" i="9"/>
  <c r="H1312" i="9"/>
  <c r="J1326" i="9"/>
  <c r="J1325" i="9"/>
  <c r="N1363" i="9"/>
  <c r="T1363" i="9" s="1"/>
  <c r="T1358" i="9"/>
  <c r="K1366" i="9"/>
  <c r="K1367" i="9"/>
  <c r="O1367" i="9"/>
  <c r="O1366" i="9"/>
  <c r="T1361" i="9"/>
  <c r="H1365" i="9"/>
  <c r="K1423" i="9"/>
  <c r="K1424" i="9"/>
  <c r="K1414" i="9"/>
  <c r="O1423" i="9"/>
  <c r="O1414" i="9"/>
  <c r="S1423" i="9"/>
  <c r="S1424" i="9"/>
  <c r="S1414" i="9"/>
  <c r="I596" i="9"/>
  <c r="I602" i="9" s="1"/>
  <c r="M596" i="9"/>
  <c r="M602" i="9" s="1"/>
  <c r="I635" i="9"/>
  <c r="M635" i="9"/>
  <c r="V690" i="9"/>
  <c r="V691" i="9" s="1"/>
  <c r="V701" i="9"/>
  <c r="V702" i="9" s="1"/>
  <c r="T738" i="9"/>
  <c r="Q765" i="9"/>
  <c r="Q769" i="9" s="1"/>
  <c r="Q771" i="9" s="1"/>
  <c r="M765" i="9"/>
  <c r="M769" i="9" s="1"/>
  <c r="M771" i="9" s="1"/>
  <c r="I765" i="9"/>
  <c r="I769" i="9" s="1"/>
  <c r="P750" i="9"/>
  <c r="P754" i="9" s="1"/>
  <c r="L750" i="9"/>
  <c r="L754" i="9" s="1"/>
  <c r="H750" i="9"/>
  <c r="P765" i="9"/>
  <c r="P769" i="9" s="1"/>
  <c r="L765" i="9"/>
  <c r="L769" i="9" s="1"/>
  <c r="H765" i="9"/>
  <c r="S750" i="9"/>
  <c r="S754" i="9" s="1"/>
  <c r="O750" i="9"/>
  <c r="O754" i="9" s="1"/>
  <c r="K750" i="9"/>
  <c r="K754" i="9" s="1"/>
  <c r="P766" i="9"/>
  <c r="P770" i="9" s="1"/>
  <c r="L766" i="9"/>
  <c r="L770" i="9" s="1"/>
  <c r="H766" i="9"/>
  <c r="S751" i="9"/>
  <c r="S755" i="9" s="1"/>
  <c r="O751" i="9"/>
  <c r="O755" i="9" s="1"/>
  <c r="K751" i="9"/>
  <c r="K755" i="9" s="1"/>
  <c r="S766" i="9"/>
  <c r="S770" i="9" s="1"/>
  <c r="S771" i="9" s="1"/>
  <c r="O766" i="9"/>
  <c r="O770" i="9" s="1"/>
  <c r="K766" i="9"/>
  <c r="K770" i="9" s="1"/>
  <c r="K771" i="9" s="1"/>
  <c r="R751" i="9"/>
  <c r="R755" i="9" s="1"/>
  <c r="N751" i="9"/>
  <c r="N755" i="9" s="1"/>
  <c r="J751" i="9"/>
  <c r="J755" i="9" s="1"/>
  <c r="N750" i="9"/>
  <c r="N754" i="9" s="1"/>
  <c r="I751" i="9"/>
  <c r="I755" i="9" s="1"/>
  <c r="Q751" i="9"/>
  <c r="Q755" i="9" s="1"/>
  <c r="T759" i="9"/>
  <c r="T760" i="9" s="1"/>
  <c r="P789" i="9"/>
  <c r="P790" i="9" s="1"/>
  <c r="O765" i="9"/>
  <c r="O769" i="9" s="1"/>
  <c r="J766" i="9"/>
  <c r="J770" i="9" s="1"/>
  <c r="J771" i="9" s="1"/>
  <c r="R766" i="9"/>
  <c r="R770" i="9" s="1"/>
  <c r="V776" i="9"/>
  <c r="T964" i="9"/>
  <c r="T968" i="9"/>
  <c r="I1078" i="9"/>
  <c r="I1080" i="9" s="1"/>
  <c r="M1078" i="9"/>
  <c r="M1080" i="9" s="1"/>
  <c r="M1082" i="9" s="1"/>
  <c r="Q1078" i="9"/>
  <c r="Q1080" i="9" s="1"/>
  <c r="Q1082" i="9" s="1"/>
  <c r="T1075" i="9"/>
  <c r="T1092" i="9"/>
  <c r="T1094" i="9" s="1"/>
  <c r="K1105" i="9"/>
  <c r="K1106" i="9" s="1"/>
  <c r="T1181" i="9"/>
  <c r="K1184" i="9"/>
  <c r="K1186" i="9"/>
  <c r="T1180" i="9"/>
  <c r="P1209" i="9"/>
  <c r="P1200" i="9" s="1"/>
  <c r="P1222" i="9" s="1"/>
  <c r="T1203" i="9"/>
  <c r="S1234" i="9"/>
  <c r="O1234" i="9"/>
  <c r="K1234" i="9"/>
  <c r="R1234" i="9"/>
  <c r="N1234" i="9"/>
  <c r="J1234" i="9"/>
  <c r="P1234" i="9"/>
  <c r="H1234" i="9"/>
  <c r="M1234" i="9"/>
  <c r="L1234" i="9"/>
  <c r="R1248" i="9"/>
  <c r="R1252" i="9" s="1"/>
  <c r="H1296" i="9"/>
  <c r="V1315" i="9"/>
  <c r="V1316" i="9" s="1"/>
  <c r="U1315" i="9"/>
  <c r="U1316" i="9" s="1"/>
  <c r="T1360" i="9"/>
  <c r="H1362" i="9"/>
  <c r="H1364" i="9"/>
  <c r="L1364" i="9"/>
  <c r="L1362" i="9"/>
  <c r="P1362" i="9"/>
  <c r="P1364" i="9"/>
  <c r="I1365" i="9"/>
  <c r="I1362" i="9"/>
  <c r="I1392" i="9"/>
  <c r="I1395" i="9" s="1"/>
  <c r="I1400" i="9" s="1"/>
  <c r="H1392" i="9"/>
  <c r="K1392" i="9"/>
  <c r="K1395" i="9" s="1"/>
  <c r="K1400" i="9" s="1"/>
  <c r="J1392" i="9"/>
  <c r="I683" i="9"/>
  <c r="I684" i="9" s="1"/>
  <c r="M683" i="9"/>
  <c r="M684" i="9" s="1"/>
  <c r="Q683" i="9"/>
  <c r="Q684" i="9" s="1"/>
  <c r="I694" i="9"/>
  <c r="M694" i="9"/>
  <c r="Q694" i="9"/>
  <c r="I705" i="9"/>
  <c r="M705" i="9"/>
  <c r="Q705" i="9"/>
  <c r="J723" i="9"/>
  <c r="J728" i="9" s="1"/>
  <c r="N723" i="9"/>
  <c r="N728" i="9" s="1"/>
  <c r="R723" i="9"/>
  <c r="R728" i="9" s="1"/>
  <c r="I724" i="9"/>
  <c r="M724" i="9"/>
  <c r="M729" i="9" s="1"/>
  <c r="Q724" i="9"/>
  <c r="Q729" i="9" s="1"/>
  <c r="N756" i="9"/>
  <c r="R756" i="9"/>
  <c r="J780" i="9"/>
  <c r="J784" i="9" s="1"/>
  <c r="J786" i="9" s="1"/>
  <c r="I781" i="9"/>
  <c r="I785" i="9" s="1"/>
  <c r="I786" i="9" s="1"/>
  <c r="T883" i="9"/>
  <c r="I1105" i="9"/>
  <c r="I1116" i="9" s="1"/>
  <c r="I1122" i="9" s="1"/>
  <c r="H1106" i="9"/>
  <c r="I1186" i="9"/>
  <c r="M1186" i="9"/>
  <c r="Q1186" i="9"/>
  <c r="T1165" i="9"/>
  <c r="T1173" i="9"/>
  <c r="M1184" i="9"/>
  <c r="J1186" i="9"/>
  <c r="P1211" i="9"/>
  <c r="L1211" i="9"/>
  <c r="S1211" i="9"/>
  <c r="O1211" i="9"/>
  <c r="K1211" i="9"/>
  <c r="V1195" i="9"/>
  <c r="Q1211" i="9"/>
  <c r="J1222" i="9"/>
  <c r="S1251" i="9"/>
  <c r="T1249" i="9"/>
  <c r="H1268" i="9"/>
  <c r="H1270" i="9"/>
  <c r="L1272" i="9"/>
  <c r="L1273" i="9"/>
  <c r="P1268" i="9"/>
  <c r="P1270" i="9"/>
  <c r="T1266" i="9"/>
  <c r="T1270" i="9" s="1"/>
  <c r="O1273" i="9"/>
  <c r="O1272" i="9"/>
  <c r="L1270" i="9"/>
  <c r="I1294" i="9"/>
  <c r="I1296" i="9"/>
  <c r="M1294" i="9"/>
  <c r="M1296" i="9"/>
  <c r="Q1294" i="9"/>
  <c r="Q1296" i="9"/>
  <c r="T1293" i="9"/>
  <c r="T1297" i="9" s="1"/>
  <c r="H1311" i="9"/>
  <c r="T1307" i="9"/>
  <c r="T1311" i="9" s="1"/>
  <c r="N1324" i="9"/>
  <c r="N1321" i="9"/>
  <c r="M1326" i="9"/>
  <c r="O1323" i="9"/>
  <c r="M1325" i="9"/>
  <c r="L1335" i="9"/>
  <c r="L1369" i="9" s="1"/>
  <c r="L1337" i="9"/>
  <c r="L1336" i="9"/>
  <c r="H1340" i="9"/>
  <c r="H1338" i="9"/>
  <c r="T1334" i="9"/>
  <c r="I1414" i="9"/>
  <c r="Q1414" i="9"/>
  <c r="T1418" i="9"/>
  <c r="J683" i="9"/>
  <c r="J684" i="9" s="1"/>
  <c r="N683" i="9"/>
  <c r="N684" i="9" s="1"/>
  <c r="J694" i="9"/>
  <c r="N694" i="9"/>
  <c r="J705" i="9"/>
  <c r="N705" i="9"/>
  <c r="K723" i="9"/>
  <c r="K728" i="9" s="1"/>
  <c r="O723" i="9"/>
  <c r="O728" i="9" s="1"/>
  <c r="J724" i="9"/>
  <c r="J729" i="9" s="1"/>
  <c r="N724" i="9"/>
  <c r="N729" i="9" s="1"/>
  <c r="V782" i="9"/>
  <c r="T1086" i="9"/>
  <c r="T1088" i="9" s="1"/>
  <c r="T1104" i="9"/>
  <c r="T1179" i="9"/>
  <c r="T1183" i="9"/>
  <c r="T1175" i="9"/>
  <c r="S1186" i="9"/>
  <c r="H1189" i="9"/>
  <c r="H1211" i="9" s="1"/>
  <c r="J1211" i="9"/>
  <c r="R1211" i="9"/>
  <c r="J1255" i="9"/>
  <c r="R1255" i="9"/>
  <c r="S1273" i="9"/>
  <c r="S1272" i="9"/>
  <c r="K1280" i="9"/>
  <c r="H1369" i="9"/>
  <c r="P1369" i="9"/>
  <c r="T1295" i="9"/>
  <c r="H1310" i="9"/>
  <c r="T1306" i="9"/>
  <c r="T1310" i="9" s="1"/>
  <c r="L1310" i="9"/>
  <c r="L1308" i="9"/>
  <c r="P1308" i="9"/>
  <c r="T1309" i="9"/>
  <c r="K1321" i="9"/>
  <c r="K1323" i="9"/>
  <c r="S1321" i="9"/>
  <c r="S1323" i="9"/>
  <c r="T1335" i="9"/>
  <c r="I1340" i="9"/>
  <c r="I1338" i="9"/>
  <c r="Q1340" i="9"/>
  <c r="Q1338" i="9"/>
  <c r="T1190" i="9"/>
  <c r="J1212" i="9"/>
  <c r="J1220" i="9" s="1"/>
  <c r="N1212" i="9"/>
  <c r="R1212" i="9"/>
  <c r="I1235" i="9"/>
  <c r="I1240" i="9" s="1"/>
  <c r="M1235" i="9"/>
  <c r="M1239" i="9" s="1"/>
  <c r="Q1235" i="9"/>
  <c r="Q1239" i="9" s="1"/>
  <c r="H1255" i="9"/>
  <c r="H1283" i="9" s="1"/>
  <c r="H1373" i="9" s="1"/>
  <c r="L1255" i="9"/>
  <c r="L1283" i="9" s="1"/>
  <c r="L1373" i="9" s="1"/>
  <c r="P1255" i="9"/>
  <c r="P1283" i="9" s="1"/>
  <c r="P1373" i="9" s="1"/>
  <c r="T1236" i="9"/>
  <c r="I1247" i="9"/>
  <c r="M1247" i="9"/>
  <c r="Q1247" i="9"/>
  <c r="I1268" i="9"/>
  <c r="I1270" i="9"/>
  <c r="M1268" i="9"/>
  <c r="M1270" i="9"/>
  <c r="Q1268" i="9"/>
  <c r="Q1270" i="9"/>
  <c r="T1267" i="9"/>
  <c r="T1271" i="9" s="1"/>
  <c r="J1300" i="9"/>
  <c r="R1300" i="9"/>
  <c r="V1303" i="9"/>
  <c r="O1310" i="9"/>
  <c r="H1321" i="9"/>
  <c r="H1368" i="9" s="1"/>
  <c r="H1323" i="9"/>
  <c r="L1321" i="9"/>
  <c r="L1323" i="9"/>
  <c r="P1321" i="9"/>
  <c r="P1323" i="9"/>
  <c r="T1319" i="9"/>
  <c r="T1323" i="9" s="1"/>
  <c r="K1324" i="9"/>
  <c r="O1324" i="9"/>
  <c r="J1323" i="9"/>
  <c r="V1328" i="9"/>
  <c r="V1329" i="9" s="1"/>
  <c r="U1328" i="9"/>
  <c r="U1329" i="9" s="1"/>
  <c r="J1340" i="9"/>
  <c r="R1340" i="9"/>
  <c r="V1343" i="9"/>
  <c r="V1344" i="9" s="1"/>
  <c r="U1343" i="9"/>
  <c r="U1344" i="9" s="1"/>
  <c r="V1355" i="9"/>
  <c r="U1355" i="9"/>
  <c r="K1212" i="9"/>
  <c r="O1212" i="9"/>
  <c r="J1235" i="9"/>
  <c r="J1239" i="9" s="1"/>
  <c r="N1235" i="9"/>
  <c r="N1239" i="9" s="1"/>
  <c r="J1247" i="9"/>
  <c r="N1247" i="9"/>
  <c r="J1273" i="9"/>
  <c r="R1273" i="9"/>
  <c r="J1298" i="9"/>
  <c r="R1298" i="9"/>
  <c r="I1326" i="9"/>
  <c r="Q1326" i="9"/>
  <c r="I1325" i="9"/>
  <c r="Q1325" i="9"/>
  <c r="T1330" i="9"/>
  <c r="T1337" i="9" s="1"/>
  <c r="L1340" i="9"/>
  <c r="J1336" i="9"/>
  <c r="R1336" i="9"/>
  <c r="N1354" i="9"/>
  <c r="N1353" i="9"/>
  <c r="V1356" i="9"/>
  <c r="U1356" i="9"/>
  <c r="J1386" i="9"/>
  <c r="J1384" i="9"/>
  <c r="N1386" i="9"/>
  <c r="N1384" i="9"/>
  <c r="R1386" i="9"/>
  <c r="R1384" i="9"/>
  <c r="I1399" i="9"/>
  <c r="I1396" i="9"/>
  <c r="V1446" i="9"/>
  <c r="U1446" i="9"/>
  <c r="I1278" i="9"/>
  <c r="I1280" i="9" s="1"/>
  <c r="M1278" i="9"/>
  <c r="M1280" i="9" s="1"/>
  <c r="Q1278" i="9"/>
  <c r="Q1280" i="9" s="1"/>
  <c r="J1369" i="9"/>
  <c r="R1369" i="9"/>
  <c r="I1308" i="9"/>
  <c r="M1308" i="9"/>
  <c r="R1308" i="9"/>
  <c r="T1320" i="9"/>
  <c r="T1324" i="9" s="1"/>
  <c r="T1332" i="9"/>
  <c r="T1336" i="9" s="1"/>
  <c r="I1349" i="9"/>
  <c r="I1351" i="9"/>
  <c r="M1349" i="9"/>
  <c r="M1351" i="9"/>
  <c r="Q1349" i="9"/>
  <c r="Q1351" i="9"/>
  <c r="T1348" i="9"/>
  <c r="T1352" i="9" s="1"/>
  <c r="N1365" i="9"/>
  <c r="M1362" i="9"/>
  <c r="T1421" i="9"/>
  <c r="V1425" i="9"/>
  <c r="U1425" i="9"/>
  <c r="J1278" i="9"/>
  <c r="J1280" i="9" s="1"/>
  <c r="N1278" i="9"/>
  <c r="N1283" i="9" s="1"/>
  <c r="N1373" i="9" s="1"/>
  <c r="R1278" i="9"/>
  <c r="R1280" i="9" s="1"/>
  <c r="K1369" i="9"/>
  <c r="K1373" i="9"/>
  <c r="O1369" i="9"/>
  <c r="O1373" i="9"/>
  <c r="S1369" i="9"/>
  <c r="N1364" i="9"/>
  <c r="H1396" i="9"/>
  <c r="T1394" i="9"/>
  <c r="P1424" i="9"/>
  <c r="P1414" i="9"/>
  <c r="H1424" i="9"/>
  <c r="H1414" i="9"/>
  <c r="T1416" i="9"/>
  <c r="V1444" i="9"/>
  <c r="U1444" i="9"/>
  <c r="J1362" i="9"/>
  <c r="N1362" i="9"/>
  <c r="S1362" i="9"/>
  <c r="V1420" i="9"/>
  <c r="U1420" i="9"/>
  <c r="T1432" i="9"/>
  <c r="T1382" i="9"/>
  <c r="T1383" i="9"/>
  <c r="K1386" i="9"/>
  <c r="S1386" i="9"/>
  <c r="T1417" i="9"/>
  <c r="T1442" i="9"/>
  <c r="H331" i="9" l="1"/>
  <c r="S1283" i="9"/>
  <c r="S1373" i="9" s="1"/>
  <c r="L1253" i="9"/>
  <c r="Q1221" i="9"/>
  <c r="Q1222" i="9"/>
  <c r="L1220" i="9"/>
  <c r="L1251" i="9"/>
  <c r="P697" i="9"/>
  <c r="P687" i="9"/>
  <c r="K198" i="9"/>
  <c r="Q1220" i="9"/>
  <c r="P708" i="9"/>
  <c r="I597" i="9"/>
  <c r="I603" i="9" s="1"/>
  <c r="O639" i="9"/>
  <c r="V477" i="9"/>
  <c r="V478" i="9" s="1"/>
  <c r="J449" i="9"/>
  <c r="K695" i="9"/>
  <c r="K698" i="9" s="1"/>
  <c r="H706" i="9"/>
  <c r="L1221" i="9"/>
  <c r="T211" i="9"/>
  <c r="U211" i="9" s="1"/>
  <c r="P597" i="9"/>
  <c r="P603" i="9" s="1"/>
  <c r="T545" i="9"/>
  <c r="T548" i="9" s="1"/>
  <c r="X213" i="9"/>
  <c r="M622" i="9"/>
  <c r="AJ295" i="9"/>
  <c r="U192" i="9"/>
  <c r="V177" i="9"/>
  <c r="AJ31" i="9"/>
  <c r="T218" i="9"/>
  <c r="T227" i="9" s="1"/>
  <c r="U1357" i="9"/>
  <c r="M1283" i="9"/>
  <c r="M1373" i="9" s="1"/>
  <c r="T1100" i="9"/>
  <c r="V391" i="9"/>
  <c r="J1354" i="9"/>
  <c r="J1353" i="9"/>
  <c r="O1312" i="9"/>
  <c r="O1313" i="9"/>
  <c r="I1283" i="9"/>
  <c r="I1373" i="9" s="1"/>
  <c r="I1106" i="9"/>
  <c r="T789" i="9"/>
  <c r="S1368" i="9"/>
  <c r="S1370" i="9" s="1"/>
  <c r="K609" i="9"/>
  <c r="V372" i="9"/>
  <c r="T450" i="9"/>
  <c r="K1253" i="9"/>
  <c r="P1253" i="9"/>
  <c r="I1219" i="9"/>
  <c r="R1354" i="9"/>
  <c r="R1353" i="9"/>
  <c r="N1280" i="9"/>
  <c r="T1294" i="9"/>
  <c r="J609" i="9"/>
  <c r="N622" i="9"/>
  <c r="N630" i="9" s="1"/>
  <c r="K1313" i="9"/>
  <c r="K1312" i="9"/>
  <c r="J1424" i="9"/>
  <c r="S706" i="9"/>
  <c r="H290" i="9"/>
  <c r="V192" i="9"/>
  <c r="V193" i="9" s="1"/>
  <c r="P673" i="9"/>
  <c r="P677" i="9" s="1"/>
  <c r="P448" i="9"/>
  <c r="U49" i="9"/>
  <c r="M1424" i="9"/>
  <c r="L597" i="9"/>
  <c r="L603" i="9" s="1"/>
  <c r="AA213" i="9"/>
  <c r="M1221" i="9"/>
  <c r="M1222" i="9"/>
  <c r="M1219" i="9"/>
  <c r="M1220" i="9"/>
  <c r="O697" i="9"/>
  <c r="O695" i="9"/>
  <c r="I1222" i="9"/>
  <c r="O598" i="9"/>
  <c r="O604" i="9" s="1"/>
  <c r="O605" i="9" s="1"/>
  <c r="V568" i="9"/>
  <c r="H449" i="9"/>
  <c r="O378" i="9"/>
  <c r="O386" i="9" s="1"/>
  <c r="I342" i="9"/>
  <c r="O449" i="9"/>
  <c r="K205" i="9"/>
  <c r="K1251" i="9"/>
  <c r="N1424" i="9"/>
  <c r="P1251" i="9"/>
  <c r="H695" i="9"/>
  <c r="H699" i="9" s="1"/>
  <c r="I1220" i="9"/>
  <c r="S414" i="9"/>
  <c r="S421" i="9" s="1"/>
  <c r="T427" i="9"/>
  <c r="U427" i="9" s="1"/>
  <c r="U1438" i="9" s="1"/>
  <c r="K200" i="9"/>
  <c r="T412" i="9"/>
  <c r="T419" i="9" s="1"/>
  <c r="K347" i="9"/>
  <c r="K349" i="9" s="1"/>
  <c r="I1215" i="9"/>
  <c r="I1216" i="9" s="1"/>
  <c r="I1224" i="9" s="1"/>
  <c r="U259" i="9"/>
  <c r="S598" i="9"/>
  <c r="S604" i="9" s="1"/>
  <c r="S605" i="9" s="1"/>
  <c r="V587" i="9"/>
  <c r="V588" i="9" s="1"/>
  <c r="AJ147" i="9"/>
  <c r="H1253" i="9"/>
  <c r="T1415" i="9"/>
  <c r="U1415" i="9" s="1"/>
  <c r="I1398" i="9"/>
  <c r="H414" i="9"/>
  <c r="H421" i="9" s="1"/>
  <c r="Y213" i="9"/>
  <c r="O414" i="9"/>
  <c r="O422" i="9" s="1"/>
  <c r="N414" i="9"/>
  <c r="N422" i="9" s="1"/>
  <c r="S449" i="9"/>
  <c r="I336" i="9"/>
  <c r="AJ278" i="9"/>
  <c r="R771" i="9"/>
  <c r="Q449" i="9"/>
  <c r="U33" i="9"/>
  <c r="W211" i="9"/>
  <c r="H222" i="9"/>
  <c r="T222" i="9" s="1"/>
  <c r="T231" i="9" s="1"/>
  <c r="AJ254" i="9"/>
  <c r="R1222" i="9"/>
  <c r="O447" i="9"/>
  <c r="Q414" i="9"/>
  <c r="Q423" i="9" s="1"/>
  <c r="R1414" i="9"/>
  <c r="T1414" i="9" s="1"/>
  <c r="R1424" i="9"/>
  <c r="T1189" i="9"/>
  <c r="U1189" i="9" s="1"/>
  <c r="R1253" i="9"/>
  <c r="P771" i="9"/>
  <c r="I771" i="9"/>
  <c r="O1253" i="9"/>
  <c r="S600" i="9"/>
  <c r="T594" i="9"/>
  <c r="T600" i="9" s="1"/>
  <c r="S695" i="9"/>
  <c r="S698" i="9" s="1"/>
  <c r="L706" i="9"/>
  <c r="L709" i="9" s="1"/>
  <c r="K598" i="9"/>
  <c r="K604" i="9" s="1"/>
  <c r="K605" i="9" s="1"/>
  <c r="V578" i="9"/>
  <c r="V1191" i="9"/>
  <c r="J637" i="9"/>
  <c r="J641" i="9" s="1"/>
  <c r="K414" i="9"/>
  <c r="K421" i="9" s="1"/>
  <c r="T396" i="9"/>
  <c r="T402" i="9" s="1"/>
  <c r="Q364" i="9"/>
  <c r="AD213" i="9"/>
  <c r="K447" i="9"/>
  <c r="K378" i="9"/>
  <c r="K385" i="9" s="1"/>
  <c r="L342" i="9"/>
  <c r="R449" i="9"/>
  <c r="L449" i="9"/>
  <c r="AJ5" i="9"/>
  <c r="AJ32" i="9"/>
  <c r="AJ136" i="9"/>
  <c r="O708" i="9"/>
  <c r="O706" i="9"/>
  <c r="L687" i="9"/>
  <c r="L688" i="9"/>
  <c r="Q597" i="9"/>
  <c r="Q603" i="9" s="1"/>
  <c r="Q600" i="9"/>
  <c r="R414" i="9"/>
  <c r="J622" i="9"/>
  <c r="J630" i="9" s="1"/>
  <c r="T286" i="9"/>
  <c r="T292" i="9" s="1"/>
  <c r="R1220" i="9"/>
  <c r="S597" i="9"/>
  <c r="S603" i="9" s="1"/>
  <c r="T426" i="9"/>
  <c r="U426" i="9" s="1"/>
  <c r="O453" i="9"/>
  <c r="AJ114" i="9"/>
  <c r="J342" i="9"/>
  <c r="O771" i="9"/>
  <c r="K597" i="9"/>
  <c r="K603" i="9" s="1"/>
  <c r="K688" i="9"/>
  <c r="U517" i="9"/>
  <c r="T780" i="9"/>
  <c r="T784" i="9" s="1"/>
  <c r="R598" i="9"/>
  <c r="R604" i="9" s="1"/>
  <c r="R605" i="9" s="1"/>
  <c r="P414" i="9"/>
  <c r="P423" i="9" s="1"/>
  <c r="H453" i="9"/>
  <c r="AI211" i="9"/>
  <c r="AJ211" i="9" s="1"/>
  <c r="P360" i="9"/>
  <c r="P367" i="9" s="1"/>
  <c r="V316" i="9"/>
  <c r="V317" i="9" s="1"/>
  <c r="Z213" i="9"/>
  <c r="AH213" i="9"/>
  <c r="R397" i="9"/>
  <c r="R404" i="9" s="1"/>
  <c r="M449" i="9"/>
  <c r="AI11" i="9"/>
  <c r="I275" i="9"/>
  <c r="I334" i="9"/>
  <c r="N1219" i="9"/>
  <c r="N1222" i="9"/>
  <c r="N1221" i="9"/>
  <c r="S1221" i="9"/>
  <c r="S1220" i="9"/>
  <c r="T1208" i="9"/>
  <c r="N1220" i="9"/>
  <c r="P1220" i="9"/>
  <c r="H162" i="9"/>
  <c r="T162" i="9" s="1"/>
  <c r="AJ103" i="9"/>
  <c r="AJ92" i="9"/>
  <c r="T85" i="9"/>
  <c r="T88" i="9" s="1"/>
  <c r="AI70" i="9"/>
  <c r="AI12" i="9"/>
  <c r="V1334" i="9"/>
  <c r="V1330" i="9"/>
  <c r="V70" i="9"/>
  <c r="H1370" i="9"/>
  <c r="H1371" i="9" s="1"/>
  <c r="V1264" i="9"/>
  <c r="T1298" i="9"/>
  <c r="T1300" i="9"/>
  <c r="V1294" i="9"/>
  <c r="T443" i="9"/>
  <c r="V1345" i="9"/>
  <c r="U1417" i="9"/>
  <c r="V1417" i="9"/>
  <c r="J1367" i="9"/>
  <c r="J1366" i="9"/>
  <c r="N663" i="9"/>
  <c r="N661" i="9"/>
  <c r="S663" i="9"/>
  <c r="S661" i="9"/>
  <c r="T468" i="9"/>
  <c r="H484" i="9"/>
  <c r="H470" i="9"/>
  <c r="R642" i="9"/>
  <c r="R641" i="9"/>
  <c r="R622" i="9"/>
  <c r="H526" i="9"/>
  <c r="T520" i="9"/>
  <c r="T526" i="9" s="1"/>
  <c r="T469" i="9"/>
  <c r="H485" i="9"/>
  <c r="I485" i="9"/>
  <c r="I491" i="9" s="1"/>
  <c r="I470" i="9"/>
  <c r="I490" i="9" s="1"/>
  <c r="M447" i="9"/>
  <c r="M363" i="9"/>
  <c r="S399" i="9"/>
  <c r="S397" i="9"/>
  <c r="I384" i="9"/>
  <c r="T377" i="9"/>
  <c r="T384" i="9" s="1"/>
  <c r="J336" i="9"/>
  <c r="J301" i="9"/>
  <c r="I608" i="9"/>
  <c r="Q609" i="9"/>
  <c r="I609" i="9"/>
  <c r="E488" i="9"/>
  <c r="F488" i="9"/>
  <c r="T482" i="9"/>
  <c r="T488" i="9" s="1"/>
  <c r="H488" i="9"/>
  <c r="M453" i="9"/>
  <c r="M417" i="9"/>
  <c r="M414" i="9"/>
  <c r="N378" i="9"/>
  <c r="N381" i="9"/>
  <c r="O360" i="9"/>
  <c r="O362" i="9"/>
  <c r="K651" i="9"/>
  <c r="K649" i="9"/>
  <c r="O651" i="9"/>
  <c r="O649" i="9"/>
  <c r="J651" i="9"/>
  <c r="J649" i="9"/>
  <c r="U424" i="9"/>
  <c r="U1413" i="9" s="1"/>
  <c r="V424" i="9"/>
  <c r="N423" i="9"/>
  <c r="U408" i="9"/>
  <c r="V408" i="9"/>
  <c r="V354" i="9"/>
  <c r="U354" i="9"/>
  <c r="V247" i="9"/>
  <c r="V241" i="9"/>
  <c r="I226" i="9"/>
  <c r="I346" i="9"/>
  <c r="H1434" i="9"/>
  <c r="T1434" i="9" s="1"/>
  <c r="H220" i="9"/>
  <c r="W209" i="9"/>
  <c r="T209" i="9"/>
  <c r="J200" i="9"/>
  <c r="J198" i="9"/>
  <c r="U1442" i="9"/>
  <c r="U1450" i="9" s="1"/>
  <c r="W1442" i="9"/>
  <c r="V1442" i="9"/>
  <c r="V1450" i="9" s="1"/>
  <c r="N1367" i="9"/>
  <c r="N1366" i="9"/>
  <c r="I1313" i="9"/>
  <c r="I1312" i="9"/>
  <c r="T1308" i="9"/>
  <c r="L1326" i="9"/>
  <c r="L1325" i="9"/>
  <c r="V1304" i="9"/>
  <c r="V1308" i="9"/>
  <c r="Q1283" i="9"/>
  <c r="Q1373" i="9" s="1"/>
  <c r="I1253" i="9"/>
  <c r="I1251" i="9"/>
  <c r="P1313" i="9"/>
  <c r="P1312" i="9"/>
  <c r="J1368" i="9"/>
  <c r="J1370" i="9" s="1"/>
  <c r="J1283" i="9"/>
  <c r="J1373" i="9" s="1"/>
  <c r="N708" i="9"/>
  <c r="N706" i="9"/>
  <c r="N688" i="9"/>
  <c r="N687" i="9"/>
  <c r="N1326" i="9"/>
  <c r="N1325" i="9"/>
  <c r="M1300" i="9"/>
  <c r="M1298" i="9"/>
  <c r="M1368" i="9"/>
  <c r="M1370" i="9" s="1"/>
  <c r="H1272" i="9"/>
  <c r="T1268" i="9"/>
  <c r="H1273" i="9"/>
  <c r="K1221" i="9"/>
  <c r="S1215" i="9"/>
  <c r="S1219" i="9"/>
  <c r="M706" i="9"/>
  <c r="M708" i="9"/>
  <c r="I695" i="9"/>
  <c r="I697" i="9"/>
  <c r="T694" i="9"/>
  <c r="T697" i="9" s="1"/>
  <c r="J1395" i="9"/>
  <c r="J1396" i="9"/>
  <c r="I1367" i="9"/>
  <c r="I1366" i="9"/>
  <c r="L1366" i="9"/>
  <c r="L1367" i="9"/>
  <c r="T1364" i="9"/>
  <c r="M1240" i="9"/>
  <c r="M1254" i="9"/>
  <c r="M1256" i="9" s="1"/>
  <c r="M1238" i="9"/>
  <c r="N1256" i="9"/>
  <c r="N1254" i="9"/>
  <c r="N1282" i="9" s="1"/>
  <c r="N1284" i="9" s="1"/>
  <c r="N1238" i="9"/>
  <c r="N1240" i="9"/>
  <c r="S1256" i="9"/>
  <c r="S1254" i="9"/>
  <c r="S1282" i="9" s="1"/>
  <c r="S1284" i="9" s="1"/>
  <c r="S1238" i="9"/>
  <c r="S1240" i="9"/>
  <c r="T766" i="9"/>
  <c r="T770" i="9" s="1"/>
  <c r="H770" i="9"/>
  <c r="L771" i="9"/>
  <c r="I639" i="9"/>
  <c r="I637" i="9"/>
  <c r="T1365" i="9"/>
  <c r="V1204" i="9"/>
  <c r="U1204" i="9"/>
  <c r="T1156" i="9"/>
  <c r="T1105" i="9"/>
  <c r="L1121" i="9"/>
  <c r="L1123" i="9" s="1"/>
  <c r="L1117" i="9"/>
  <c r="R699" i="9"/>
  <c r="R698" i="9"/>
  <c r="T635" i="9"/>
  <c r="T639" i="9" s="1"/>
  <c r="H639" i="9"/>
  <c r="H637" i="9"/>
  <c r="N598" i="9"/>
  <c r="N604" i="9" s="1"/>
  <c r="N605" i="9" s="1"/>
  <c r="N597" i="9"/>
  <c r="N603" i="9" s="1"/>
  <c r="N600" i="9"/>
  <c r="L1353" i="9"/>
  <c r="L1354" i="9"/>
  <c r="I1121" i="9"/>
  <c r="I1123" i="9" s="1"/>
  <c r="I1117" i="9"/>
  <c r="J673" i="9"/>
  <c r="J675" i="9"/>
  <c r="O675" i="9"/>
  <c r="O673" i="9"/>
  <c r="V634" i="9"/>
  <c r="T723" i="9"/>
  <c r="T728" i="9" s="1"/>
  <c r="O1338" i="9"/>
  <c r="O1340" i="9"/>
  <c r="P1221" i="9"/>
  <c r="T1186" i="9"/>
  <c r="T1184" i="9"/>
  <c r="T1146" i="9"/>
  <c r="U1144" i="9"/>
  <c r="U1139" i="9"/>
  <c r="U1140" i="9"/>
  <c r="U1142" i="9"/>
  <c r="S709" i="9"/>
  <c r="S710" i="9"/>
  <c r="L698" i="9"/>
  <c r="L699" i="9"/>
  <c r="T684" i="9"/>
  <c r="H688" i="9"/>
  <c r="H687" i="9"/>
  <c r="I624" i="9"/>
  <c r="I622" i="9"/>
  <c r="O622" i="9"/>
  <c r="O624" i="9"/>
  <c r="P624" i="9"/>
  <c r="P622" i="9"/>
  <c r="T497" i="9"/>
  <c r="H487" i="9"/>
  <c r="T481" i="9"/>
  <c r="T487" i="9" s="1"/>
  <c r="J726" i="9"/>
  <c r="J725" i="9"/>
  <c r="J730" i="9" s="1"/>
  <c r="O726" i="9"/>
  <c r="O725" i="9"/>
  <c r="O730" i="9" s="1"/>
  <c r="I725" i="9"/>
  <c r="I730" i="9" s="1"/>
  <c r="I726" i="9"/>
  <c r="Q661" i="9"/>
  <c r="Q663" i="9"/>
  <c r="J661" i="9"/>
  <c r="J663" i="9"/>
  <c r="O663" i="9"/>
  <c r="O661" i="9"/>
  <c r="U557" i="9"/>
  <c r="T561" i="9"/>
  <c r="T560" i="9"/>
  <c r="N1117" i="9"/>
  <c r="N1121" i="9"/>
  <c r="N1123" i="9" s="1"/>
  <c r="H786" i="9"/>
  <c r="T606" i="9"/>
  <c r="H524" i="9"/>
  <c r="H511" i="9"/>
  <c r="T509" i="9"/>
  <c r="H423" i="9"/>
  <c r="I378" i="9"/>
  <c r="I381" i="9"/>
  <c r="J360" i="9"/>
  <c r="J362" i="9"/>
  <c r="S642" i="9"/>
  <c r="S641" i="9"/>
  <c r="U433" i="9"/>
  <c r="T440" i="9"/>
  <c r="T439" i="9"/>
  <c r="V433" i="9"/>
  <c r="L447" i="9"/>
  <c r="L363" i="9"/>
  <c r="I362" i="9"/>
  <c r="I360" i="9"/>
  <c r="T356" i="9"/>
  <c r="T362" i="9" s="1"/>
  <c r="I331" i="9"/>
  <c r="I335" i="9" s="1"/>
  <c r="I290" i="9"/>
  <c r="I343" i="9"/>
  <c r="I231" i="9"/>
  <c r="I511" i="9"/>
  <c r="I524" i="9"/>
  <c r="H418" i="9"/>
  <c r="T411" i="9"/>
  <c r="T418" i="9" s="1"/>
  <c r="T394" i="9"/>
  <c r="T400" i="9" s="1"/>
  <c r="H400" i="9"/>
  <c r="T376" i="9"/>
  <c r="T383" i="9" s="1"/>
  <c r="H383" i="9"/>
  <c r="R378" i="9"/>
  <c r="R381" i="9"/>
  <c r="I449" i="9"/>
  <c r="I364" i="9"/>
  <c r="S360" i="9"/>
  <c r="S362" i="9"/>
  <c r="K290" i="9"/>
  <c r="K331" i="9"/>
  <c r="K335" i="9" s="1"/>
  <c r="L649" i="9"/>
  <c r="L651" i="9"/>
  <c r="Q649" i="9"/>
  <c r="Q651" i="9"/>
  <c r="T413" i="9"/>
  <c r="T420" i="9" s="1"/>
  <c r="H420" i="9"/>
  <c r="H448" i="9"/>
  <c r="T359" i="9"/>
  <c r="T365" i="9" s="1"/>
  <c r="H365" i="9"/>
  <c r="I198" i="9"/>
  <c r="I200" i="9"/>
  <c r="T194" i="9"/>
  <c r="T200" i="9" s="1"/>
  <c r="T64" i="9"/>
  <c r="AI61" i="9" s="1"/>
  <c r="H54" i="9"/>
  <c r="T52" i="9"/>
  <c r="H56" i="9"/>
  <c r="K608" i="9"/>
  <c r="S447" i="9"/>
  <c r="N448" i="9"/>
  <c r="T358" i="9"/>
  <c r="T364" i="9" s="1"/>
  <c r="L346" i="9"/>
  <c r="L226" i="9"/>
  <c r="K341" i="9"/>
  <c r="H401" i="9"/>
  <c r="T395" i="9"/>
  <c r="T401" i="9" s="1"/>
  <c r="J401" i="9"/>
  <c r="J397" i="9"/>
  <c r="S378" i="9"/>
  <c r="Q378" i="9"/>
  <c r="N449" i="9"/>
  <c r="I269" i="9"/>
  <c r="N202" i="9"/>
  <c r="N344" i="9"/>
  <c r="N200" i="9"/>
  <c r="N198" i="9"/>
  <c r="N346" i="9"/>
  <c r="U477" i="9"/>
  <c r="N453" i="9"/>
  <c r="P404" i="9"/>
  <c r="P403" i="9"/>
  <c r="P1413" i="9" s="1"/>
  <c r="L360" i="9"/>
  <c r="K448" i="9"/>
  <c r="AJ206" i="9"/>
  <c r="AJ213" i="9" s="1"/>
  <c r="AI213" i="9"/>
  <c r="U176" i="9"/>
  <c r="T75" i="9"/>
  <c r="H78" i="9"/>
  <c r="H77" i="9"/>
  <c r="R448" i="9"/>
  <c r="T150" i="9"/>
  <c r="T154" i="9" s="1"/>
  <c r="J346" i="9"/>
  <c r="T284" i="9"/>
  <c r="T290" i="9" s="1"/>
  <c r="AJ125" i="9"/>
  <c r="V125" i="9"/>
  <c r="M347" i="9"/>
  <c r="M349" i="9" s="1"/>
  <c r="M234" i="9"/>
  <c r="M236" i="9" s="1"/>
  <c r="M205" i="9"/>
  <c r="M204" i="9"/>
  <c r="V138" i="9"/>
  <c r="V137" i="9"/>
  <c r="V115" i="9"/>
  <c r="V116" i="9"/>
  <c r="V105" i="9"/>
  <c r="V104" i="9"/>
  <c r="M1353" i="9"/>
  <c r="M1354" i="9"/>
  <c r="Q1272" i="9"/>
  <c r="Q1273" i="9"/>
  <c r="I1272" i="9"/>
  <c r="I1273" i="9"/>
  <c r="K1325" i="9"/>
  <c r="K1326" i="9"/>
  <c r="L1313" i="9"/>
  <c r="L1312" i="9"/>
  <c r="T1373" i="9"/>
  <c r="T1369" i="9"/>
  <c r="R1219" i="9"/>
  <c r="R1215" i="9"/>
  <c r="T1106" i="9"/>
  <c r="J708" i="9"/>
  <c r="J706" i="9"/>
  <c r="J688" i="9"/>
  <c r="J687" i="9"/>
  <c r="L1215" i="9"/>
  <c r="L1219" i="9"/>
  <c r="I706" i="9"/>
  <c r="I708" i="9"/>
  <c r="T705" i="9"/>
  <c r="T708" i="9" s="1"/>
  <c r="Q688" i="9"/>
  <c r="Q687" i="9"/>
  <c r="H1254" i="9"/>
  <c r="H1256" i="9" s="1"/>
  <c r="H1240" i="9"/>
  <c r="H1238" i="9"/>
  <c r="T1234" i="9"/>
  <c r="R1238" i="9"/>
  <c r="R1240" i="9"/>
  <c r="R1254" i="9"/>
  <c r="R1282" i="9" s="1"/>
  <c r="R1372" i="9" s="1"/>
  <c r="R1256" i="9"/>
  <c r="T1212" i="9"/>
  <c r="T1220" i="9" s="1"/>
  <c r="T1209" i="9"/>
  <c r="H1200" i="9"/>
  <c r="P710" i="9"/>
  <c r="P709" i="9"/>
  <c r="V703" i="9"/>
  <c r="V1317" i="9"/>
  <c r="P1368" i="9"/>
  <c r="P1370" i="9" s="1"/>
  <c r="P1298" i="9"/>
  <c r="P1300" i="9"/>
  <c r="H1252" i="9"/>
  <c r="T1248" i="9"/>
  <c r="T1115" i="9"/>
  <c r="H1121" i="9"/>
  <c r="H1117" i="9"/>
  <c r="T596" i="9"/>
  <c r="T602" i="9" s="1"/>
  <c r="H602" i="9"/>
  <c r="H598" i="9"/>
  <c r="J598" i="9"/>
  <c r="J604" i="9" s="1"/>
  <c r="J605" i="9" s="1"/>
  <c r="J600" i="9"/>
  <c r="J597" i="9"/>
  <c r="J603" i="9" s="1"/>
  <c r="O1354" i="9"/>
  <c r="O1353" i="9"/>
  <c r="N675" i="9"/>
  <c r="N673" i="9"/>
  <c r="S675" i="9"/>
  <c r="S673" i="9"/>
  <c r="Q642" i="9"/>
  <c r="Q641" i="9"/>
  <c r="O1368" i="9"/>
  <c r="O1370" i="9" s="1"/>
  <c r="T790" i="9"/>
  <c r="I673" i="9"/>
  <c r="I675" i="9"/>
  <c r="N642" i="9"/>
  <c r="N641" i="9"/>
  <c r="Q1240" i="9"/>
  <c r="M1223" i="9"/>
  <c r="M1216" i="9"/>
  <c r="M1224" i="9" s="1"/>
  <c r="H1187" i="9"/>
  <c r="I1146" i="9"/>
  <c r="S624" i="9"/>
  <c r="S622" i="9"/>
  <c r="R726" i="9"/>
  <c r="R725" i="9"/>
  <c r="R730" i="9" s="1"/>
  <c r="H725" i="9"/>
  <c r="T721" i="9"/>
  <c r="T726" i="9" s="1"/>
  <c r="H726" i="9"/>
  <c r="M725" i="9"/>
  <c r="M730" i="9" s="1"/>
  <c r="M726" i="9"/>
  <c r="M661" i="9"/>
  <c r="M663" i="9"/>
  <c r="F528" i="9"/>
  <c r="E528" i="9"/>
  <c r="N629" i="9"/>
  <c r="L397" i="9"/>
  <c r="L399" i="9"/>
  <c r="P381" i="9"/>
  <c r="P378" i="9"/>
  <c r="H447" i="9"/>
  <c r="H363" i="9"/>
  <c r="T357" i="9"/>
  <c r="T363" i="9" s="1"/>
  <c r="H360" i="9"/>
  <c r="J269" i="9"/>
  <c r="J271" i="9"/>
  <c r="Q397" i="9"/>
  <c r="Q399" i="9"/>
  <c r="R447" i="9"/>
  <c r="R363" i="9"/>
  <c r="T283" i="9"/>
  <c r="T289" i="9" s="1"/>
  <c r="H289" i="9"/>
  <c r="K231" i="9"/>
  <c r="K343" i="9"/>
  <c r="W1440" i="9"/>
  <c r="V1440" i="9"/>
  <c r="U1440" i="9"/>
  <c r="H335" i="9"/>
  <c r="T335" i="9" s="1"/>
  <c r="H202" i="9"/>
  <c r="T196" i="9"/>
  <c r="T202" i="9" s="1"/>
  <c r="T712" i="9"/>
  <c r="U707" i="9"/>
  <c r="T164" i="9"/>
  <c r="U21" i="9"/>
  <c r="K386" i="9"/>
  <c r="H159" i="9"/>
  <c r="T151" i="9"/>
  <c r="T155" i="9" s="1"/>
  <c r="H155" i="9"/>
  <c r="AJ29" i="9"/>
  <c r="AI33" i="9"/>
  <c r="AI34" i="9" s="1"/>
  <c r="V29" i="9"/>
  <c r="V33" i="9" s="1"/>
  <c r="V353" i="9"/>
  <c r="U353" i="9"/>
  <c r="K344" i="9"/>
  <c r="K229" i="9"/>
  <c r="T73" i="9"/>
  <c r="AL73" i="9" s="1"/>
  <c r="V47" i="9"/>
  <c r="AI49" i="9"/>
  <c r="AJ47" i="9"/>
  <c r="V6" i="9"/>
  <c r="V11" i="9" s="1"/>
  <c r="AJ6" i="9"/>
  <c r="AI148" i="9"/>
  <c r="AI69" i="9"/>
  <c r="V94" i="9"/>
  <c r="V93" i="9"/>
  <c r="V83" i="9"/>
  <c r="K1398" i="9"/>
  <c r="T1384" i="9"/>
  <c r="T1386" i="9"/>
  <c r="V1416" i="9"/>
  <c r="U1416" i="9"/>
  <c r="R1313" i="9"/>
  <c r="R1312" i="9"/>
  <c r="N1253" i="9"/>
  <c r="N1251" i="9"/>
  <c r="O1220" i="9"/>
  <c r="V1357" i="9"/>
  <c r="P1325" i="9"/>
  <c r="P1326" i="9"/>
  <c r="T1321" i="9"/>
  <c r="V1321" i="9" s="1"/>
  <c r="H1325" i="9"/>
  <c r="H1326" i="9"/>
  <c r="Q1253" i="9"/>
  <c r="Q1251" i="9"/>
  <c r="J1219" i="9"/>
  <c r="J1215" i="9"/>
  <c r="N697" i="9"/>
  <c r="N695" i="9"/>
  <c r="T1423" i="9"/>
  <c r="U1418" i="9"/>
  <c r="W1418" i="9"/>
  <c r="V1418" i="9"/>
  <c r="T1340" i="9"/>
  <c r="T1338" i="9"/>
  <c r="Q1368" i="9"/>
  <c r="Q1370" i="9" s="1"/>
  <c r="Q1300" i="9"/>
  <c r="Q1298" i="9"/>
  <c r="I1368" i="9"/>
  <c r="I1370" i="9" s="1"/>
  <c r="I1300" i="9"/>
  <c r="I1298" i="9"/>
  <c r="Q1219" i="9"/>
  <c r="Q1215" i="9"/>
  <c r="K1215" i="9"/>
  <c r="K1219" i="9"/>
  <c r="P1215" i="9"/>
  <c r="P1219" i="9"/>
  <c r="Q695" i="9"/>
  <c r="Q697" i="9"/>
  <c r="M688" i="9"/>
  <c r="M687" i="9"/>
  <c r="H1395" i="9"/>
  <c r="T1392" i="9"/>
  <c r="V1392" i="9" s="1"/>
  <c r="P1256" i="9"/>
  <c r="P1254" i="9"/>
  <c r="P1282" i="9" s="1"/>
  <c r="P1284" i="9" s="1"/>
  <c r="P1240" i="9"/>
  <c r="P1238" i="9"/>
  <c r="K1254" i="9"/>
  <c r="K1238" i="9"/>
  <c r="K1240" i="9"/>
  <c r="T750" i="9"/>
  <c r="T754" i="9" s="1"/>
  <c r="H754" i="9"/>
  <c r="P699" i="9"/>
  <c r="P698" i="9"/>
  <c r="V692" i="9"/>
  <c r="K1368" i="9"/>
  <c r="K1370" i="9" s="1"/>
  <c r="K1298" i="9"/>
  <c r="K1300" i="9"/>
  <c r="T1185" i="9"/>
  <c r="T1167" i="9"/>
  <c r="H1122" i="9"/>
  <c r="P639" i="9"/>
  <c r="P637" i="9"/>
  <c r="H593" i="9"/>
  <c r="T593" i="9" s="1"/>
  <c r="T592" i="9"/>
  <c r="K1354" i="9"/>
  <c r="K1353" i="9"/>
  <c r="P1353" i="9"/>
  <c r="P1354" i="9"/>
  <c r="H1353" i="9"/>
  <c r="T1349" i="9"/>
  <c r="H1354" i="9"/>
  <c r="O1117" i="9"/>
  <c r="R673" i="9"/>
  <c r="R675" i="9"/>
  <c r="K1116" i="9"/>
  <c r="T1116" i="9" s="1"/>
  <c r="S1340" i="9"/>
  <c r="S1338" i="9"/>
  <c r="K1340" i="9"/>
  <c r="K1338" i="9"/>
  <c r="Q1254" i="9"/>
  <c r="Q1282" i="9" s="1"/>
  <c r="K709" i="9"/>
  <c r="K710" i="9"/>
  <c r="M677" i="9"/>
  <c r="M676" i="9"/>
  <c r="H676" i="9"/>
  <c r="H677" i="9"/>
  <c r="Q677" i="9"/>
  <c r="Q676" i="9"/>
  <c r="T617" i="9"/>
  <c r="T624" i="9" s="1"/>
  <c r="H624" i="9"/>
  <c r="H622" i="9"/>
  <c r="H529" i="9"/>
  <c r="T523" i="9"/>
  <c r="T529" i="9" s="1"/>
  <c r="S726" i="9"/>
  <c r="S725" i="9"/>
  <c r="S730" i="9" s="1"/>
  <c r="L725" i="9"/>
  <c r="L730" i="9" s="1"/>
  <c r="L726" i="9"/>
  <c r="Q725" i="9"/>
  <c r="Q730" i="9" s="1"/>
  <c r="Q726" i="9"/>
  <c r="H663" i="9"/>
  <c r="H661" i="9"/>
  <c r="T659" i="9"/>
  <c r="T663" i="9" s="1"/>
  <c r="R661" i="9"/>
  <c r="R663" i="9"/>
  <c r="U578" i="9"/>
  <c r="T582" i="9"/>
  <c r="T581" i="9"/>
  <c r="T483" i="9"/>
  <c r="T489" i="9" s="1"/>
  <c r="H489" i="9"/>
  <c r="N1368" i="9"/>
  <c r="I1254" i="9"/>
  <c r="I1256" i="9" s="1"/>
  <c r="R1117" i="9"/>
  <c r="R1121" i="9"/>
  <c r="R1123" i="9" s="1"/>
  <c r="J1117" i="9"/>
  <c r="J1121" i="9"/>
  <c r="J1123" i="9" s="1"/>
  <c r="N609" i="9"/>
  <c r="O609" i="9"/>
  <c r="T550" i="9"/>
  <c r="T549" i="9"/>
  <c r="U546" i="9"/>
  <c r="P421" i="9"/>
  <c r="T410" i="9"/>
  <c r="T417" i="9" s="1"/>
  <c r="H397" i="9"/>
  <c r="T393" i="9"/>
  <c r="T399" i="9" s="1"/>
  <c r="H399" i="9"/>
  <c r="T375" i="9"/>
  <c r="T382" i="9" s="1"/>
  <c r="H382" i="9"/>
  <c r="I447" i="9"/>
  <c r="I363" i="9"/>
  <c r="Q1117" i="9"/>
  <c r="T722" i="9"/>
  <c r="T727" i="9" s="1"/>
  <c r="H727" i="9"/>
  <c r="K642" i="9"/>
  <c r="K641" i="9"/>
  <c r="T521" i="9"/>
  <c r="T527" i="9" s="1"/>
  <c r="H527" i="9"/>
  <c r="O399" i="9"/>
  <c r="O397" i="9"/>
  <c r="L381" i="9"/>
  <c r="L378" i="9"/>
  <c r="J448" i="9"/>
  <c r="J365" i="9"/>
  <c r="Q362" i="9"/>
  <c r="Q360" i="9"/>
  <c r="J275" i="9"/>
  <c r="J334" i="9"/>
  <c r="M597" i="9"/>
  <c r="M603" i="9" s="1"/>
  <c r="H597" i="9"/>
  <c r="T480" i="9"/>
  <c r="T486" i="9" s="1"/>
  <c r="J420" i="9"/>
  <c r="J414" i="9"/>
  <c r="I453" i="9"/>
  <c r="I417" i="9"/>
  <c r="I414" i="9"/>
  <c r="M397" i="9"/>
  <c r="M399" i="9"/>
  <c r="J378" i="9"/>
  <c r="J381" i="9"/>
  <c r="N447" i="9"/>
  <c r="N363" i="9"/>
  <c r="K360" i="9"/>
  <c r="K362" i="9"/>
  <c r="H301" i="9"/>
  <c r="H336" i="9"/>
  <c r="T298" i="9"/>
  <c r="H271" i="9"/>
  <c r="T264" i="9"/>
  <c r="T271" i="9" s="1"/>
  <c r="H269" i="9"/>
  <c r="S651" i="9"/>
  <c r="S649" i="9"/>
  <c r="I649" i="9"/>
  <c r="I651" i="9"/>
  <c r="N651" i="9"/>
  <c r="N649" i="9"/>
  <c r="M448" i="9"/>
  <c r="K269" i="9"/>
  <c r="V211" i="9"/>
  <c r="I448" i="9"/>
  <c r="O448" i="9"/>
  <c r="T265" i="9"/>
  <c r="T272" i="9" s="1"/>
  <c r="L201" i="9"/>
  <c r="L341" i="9"/>
  <c r="H143" i="9"/>
  <c r="T140" i="9"/>
  <c r="H141" i="9"/>
  <c r="H525" i="9"/>
  <c r="T525" i="9" s="1"/>
  <c r="T510" i="9"/>
  <c r="K346" i="9"/>
  <c r="K226" i="9"/>
  <c r="P453" i="9"/>
  <c r="Q453" i="9"/>
  <c r="R360" i="9"/>
  <c r="J335" i="9"/>
  <c r="V1436" i="9"/>
  <c r="U1436" i="9"/>
  <c r="W1436" i="9"/>
  <c r="T221" i="9"/>
  <c r="T230" i="9" s="1"/>
  <c r="H230" i="9"/>
  <c r="N341" i="9"/>
  <c r="N201" i="9"/>
  <c r="T27" i="9"/>
  <c r="AL20" i="9"/>
  <c r="T26" i="9"/>
  <c r="U20" i="9"/>
  <c r="S448" i="9"/>
  <c r="T53" i="9"/>
  <c r="I344" i="9"/>
  <c r="I229" i="9"/>
  <c r="M345" i="9"/>
  <c r="H198" i="9"/>
  <c r="AJ68" i="9"/>
  <c r="V68" i="9"/>
  <c r="L198" i="9"/>
  <c r="H152" i="9"/>
  <c r="H133" i="9"/>
  <c r="H134" i="9"/>
  <c r="AJ188" i="9"/>
  <c r="K1396" i="9"/>
  <c r="U1432" i="9"/>
  <c r="W1432" i="9"/>
  <c r="V1432" i="9"/>
  <c r="S1366" i="9"/>
  <c r="S1367" i="9"/>
  <c r="V1421" i="9"/>
  <c r="U1421" i="9"/>
  <c r="M1367" i="9"/>
  <c r="M1366" i="9"/>
  <c r="Q1353" i="9"/>
  <c r="Q1354" i="9"/>
  <c r="I1353" i="9"/>
  <c r="I1354" i="9"/>
  <c r="M1313" i="9"/>
  <c r="M1312" i="9"/>
  <c r="N1369" i="9"/>
  <c r="J1251" i="9"/>
  <c r="J1253" i="9"/>
  <c r="K1220" i="9"/>
  <c r="R1368" i="9"/>
  <c r="R1370" i="9" s="1"/>
  <c r="M1282" i="9"/>
  <c r="M1284" i="9" s="1"/>
  <c r="M1272" i="9"/>
  <c r="M1273" i="9"/>
  <c r="M1253" i="9"/>
  <c r="M1251" i="9"/>
  <c r="I1239" i="9"/>
  <c r="T1235" i="9"/>
  <c r="T1239" i="9" s="1"/>
  <c r="U1190" i="9"/>
  <c r="V1190" i="9"/>
  <c r="S1325" i="9"/>
  <c r="S1326" i="9"/>
  <c r="R1283" i="9"/>
  <c r="R1373" i="9" s="1"/>
  <c r="H1215" i="9"/>
  <c r="T1211" i="9"/>
  <c r="T1219" i="9" s="1"/>
  <c r="J697" i="9"/>
  <c r="J695" i="9"/>
  <c r="P1272" i="9"/>
  <c r="P1273" i="9"/>
  <c r="O1221" i="9"/>
  <c r="O1215" i="9"/>
  <c r="O1219" i="9"/>
  <c r="I729" i="9"/>
  <c r="T724" i="9"/>
  <c r="T729" i="9" s="1"/>
  <c r="Q706" i="9"/>
  <c r="Q708" i="9"/>
  <c r="M695" i="9"/>
  <c r="M697" i="9"/>
  <c r="I688" i="9"/>
  <c r="I687" i="9"/>
  <c r="P1367" i="9"/>
  <c r="P1366" i="9"/>
  <c r="T1362" i="9"/>
  <c r="H1367" i="9"/>
  <c r="H1366" i="9"/>
  <c r="T1247" i="9"/>
  <c r="L1254" i="9"/>
  <c r="L1240" i="9"/>
  <c r="L1238" i="9"/>
  <c r="J1238" i="9"/>
  <c r="J1240" i="9"/>
  <c r="J1254" i="9"/>
  <c r="O1256" i="9"/>
  <c r="O1254" i="9"/>
  <c r="O1282" i="9" s="1"/>
  <c r="O1284" i="9" s="1"/>
  <c r="O1238" i="9"/>
  <c r="O1240" i="9"/>
  <c r="V1203" i="9"/>
  <c r="U1203" i="9"/>
  <c r="I1082" i="9"/>
  <c r="T1080" i="9"/>
  <c r="U1075" i="9" s="1"/>
  <c r="H769" i="9"/>
  <c r="T765" i="9"/>
  <c r="T769" i="9" s="1"/>
  <c r="H710" i="9"/>
  <c r="H709" i="9"/>
  <c r="M639" i="9"/>
  <c r="M637" i="9"/>
  <c r="L1368" i="9"/>
  <c r="L1370" i="9" s="1"/>
  <c r="L1298" i="9"/>
  <c r="L1300" i="9"/>
  <c r="N1215" i="9"/>
  <c r="M1121" i="9"/>
  <c r="M1123" i="9" s="1"/>
  <c r="M1117" i="9"/>
  <c r="P1121" i="9"/>
  <c r="P1123" i="9" s="1"/>
  <c r="P1117" i="9"/>
  <c r="H755" i="9"/>
  <c r="T751" i="9"/>
  <c r="T755" i="9" s="1"/>
  <c r="R710" i="9"/>
  <c r="R709" i="9"/>
  <c r="L639" i="9"/>
  <c r="L637" i="9"/>
  <c r="P602" i="9"/>
  <c r="P598" i="9"/>
  <c r="P604" i="9" s="1"/>
  <c r="P605" i="9" s="1"/>
  <c r="I601" i="9"/>
  <c r="T595" i="9"/>
  <c r="T601" i="9" s="1"/>
  <c r="S1354" i="9"/>
  <c r="S1353" i="9"/>
  <c r="U1138" i="9"/>
  <c r="T781" i="9"/>
  <c r="T785" i="9" s="1"/>
  <c r="L675" i="9"/>
  <c r="L673" i="9"/>
  <c r="K675" i="9"/>
  <c r="K673" i="9"/>
  <c r="S1117" i="9"/>
  <c r="Q1256" i="9"/>
  <c r="T1078" i="9"/>
  <c r="U1078" i="9" s="1"/>
  <c r="T683" i="9"/>
  <c r="T686" i="9" s="1"/>
  <c r="T672" i="9"/>
  <c r="T675" i="9" s="1"/>
  <c r="Q624" i="9"/>
  <c r="Q622" i="9"/>
  <c r="K624" i="9"/>
  <c r="K622" i="9"/>
  <c r="L624" i="9"/>
  <c r="L622" i="9"/>
  <c r="L598" i="9"/>
  <c r="L604" i="9" s="1"/>
  <c r="L605" i="9" s="1"/>
  <c r="U590" i="9"/>
  <c r="V590" i="9"/>
  <c r="N726" i="9"/>
  <c r="N725" i="9"/>
  <c r="N730" i="9" s="1"/>
  <c r="P725" i="9"/>
  <c r="P730" i="9" s="1"/>
  <c r="P726" i="9"/>
  <c r="I661" i="9"/>
  <c r="I663" i="9"/>
  <c r="P663" i="9"/>
  <c r="P661" i="9"/>
  <c r="K663" i="9"/>
  <c r="K661" i="9"/>
  <c r="L609" i="9"/>
  <c r="I598" i="9"/>
  <c r="I604" i="9" s="1"/>
  <c r="I605" i="9" s="1"/>
  <c r="U568" i="9"/>
  <c r="T572" i="9"/>
  <c r="T571" i="9"/>
  <c r="K725" i="9"/>
  <c r="K730" i="9" s="1"/>
  <c r="L666" i="9"/>
  <c r="L665" i="9"/>
  <c r="P609" i="9"/>
  <c r="R609" i="9"/>
  <c r="S609" i="9"/>
  <c r="H528" i="9"/>
  <c r="T522" i="9"/>
  <c r="T528" i="9" s="1"/>
  <c r="L414" i="9"/>
  <c r="L453" i="9"/>
  <c r="M378" i="9"/>
  <c r="M381" i="9"/>
  <c r="N360" i="9"/>
  <c r="N362" i="9"/>
  <c r="Q1123" i="9"/>
  <c r="P676" i="9"/>
  <c r="M630" i="9"/>
  <c r="M629" i="9"/>
  <c r="V557" i="9"/>
  <c r="S422" i="9"/>
  <c r="S453" i="9"/>
  <c r="K399" i="9"/>
  <c r="K397" i="9"/>
  <c r="H381" i="9"/>
  <c r="H378" i="9"/>
  <c r="T374" i="9"/>
  <c r="T381" i="9" s="1"/>
  <c r="P447" i="9"/>
  <c r="P452" i="9" s="1"/>
  <c r="P363" i="9"/>
  <c r="M362" i="9"/>
  <c r="M360" i="9"/>
  <c r="H273" i="9"/>
  <c r="T266" i="9"/>
  <c r="T273" i="9" s="1"/>
  <c r="T618" i="9"/>
  <c r="T625" i="9" s="1"/>
  <c r="M598" i="9"/>
  <c r="M604" i="9" s="1"/>
  <c r="M605" i="9" s="1"/>
  <c r="V543" i="9"/>
  <c r="V546" i="9"/>
  <c r="I397" i="9"/>
  <c r="I399" i="9"/>
  <c r="J1438" i="9"/>
  <c r="T1438" i="9" s="1"/>
  <c r="J447" i="9"/>
  <c r="J363" i="9"/>
  <c r="H334" i="9"/>
  <c r="T268" i="9"/>
  <c r="T275" i="9" s="1"/>
  <c r="H275" i="9"/>
  <c r="P649" i="9"/>
  <c r="P651" i="9"/>
  <c r="H649" i="9"/>
  <c r="H651" i="9"/>
  <c r="T647" i="9"/>
  <c r="T651" i="9" s="1"/>
  <c r="M651" i="9"/>
  <c r="M649" i="9"/>
  <c r="R651" i="9"/>
  <c r="R649" i="9"/>
  <c r="J453" i="9"/>
  <c r="L448" i="9"/>
  <c r="Q447" i="9"/>
  <c r="L344" i="9"/>
  <c r="L229" i="9"/>
  <c r="I341" i="9"/>
  <c r="I201" i="9"/>
  <c r="U70" i="9"/>
  <c r="V371" i="9"/>
  <c r="H342" i="9"/>
  <c r="H341" i="9"/>
  <c r="H201" i="9"/>
  <c r="T195" i="9"/>
  <c r="T201" i="9" s="1"/>
  <c r="R453" i="9"/>
  <c r="H346" i="9"/>
  <c r="H226" i="9"/>
  <c r="T217" i="9"/>
  <c r="T226" i="9" s="1"/>
  <c r="K342" i="9"/>
  <c r="K453" i="9"/>
  <c r="N397" i="9"/>
  <c r="K449" i="9"/>
  <c r="T274" i="9"/>
  <c r="V259" i="9"/>
  <c r="AJ210" i="9"/>
  <c r="J341" i="9"/>
  <c r="J201" i="9"/>
  <c r="T118" i="9"/>
  <c r="H119" i="9"/>
  <c r="H121" i="9"/>
  <c r="T74" i="9"/>
  <c r="AL74" i="9" s="1"/>
  <c r="U225" i="9"/>
  <c r="W225" i="9"/>
  <c r="J344" i="9"/>
  <c r="J229" i="9"/>
  <c r="T129" i="9"/>
  <c r="T107" i="9"/>
  <c r="V60" i="9"/>
  <c r="AJ60" i="9"/>
  <c r="V48" i="9"/>
  <c r="AJ48" i="9"/>
  <c r="T45" i="9"/>
  <c r="T46" i="9"/>
  <c r="T96" i="9"/>
  <c r="H161" i="9"/>
  <c r="T161" i="9" s="1"/>
  <c r="T158" i="9"/>
  <c r="Y198" i="9"/>
  <c r="I1223" i="9" l="1"/>
  <c r="J629" i="9"/>
  <c r="K699" i="9"/>
  <c r="V1415" i="9"/>
  <c r="Q452" i="9"/>
  <c r="O421" i="9"/>
  <c r="V1189" i="9"/>
  <c r="V1196" i="9" s="1"/>
  <c r="W1415" i="9"/>
  <c r="K234" i="9"/>
  <c r="K236" i="9" s="1"/>
  <c r="K204" i="9"/>
  <c r="O385" i="9"/>
  <c r="J642" i="9"/>
  <c r="O423" i="9"/>
  <c r="N421" i="9"/>
  <c r="R403" i="9"/>
  <c r="R1413" i="9" s="1"/>
  <c r="T1253" i="9"/>
  <c r="K422" i="9"/>
  <c r="L710" i="9"/>
  <c r="O387" i="9"/>
  <c r="J1371" i="9"/>
  <c r="R1374" i="9"/>
  <c r="I1371" i="9"/>
  <c r="T1424" i="9"/>
  <c r="U1424" i="9" s="1"/>
  <c r="T1187" i="9"/>
  <c r="T1368" i="9"/>
  <c r="T1370" i="9" s="1"/>
  <c r="K1371" i="9"/>
  <c r="P422" i="9"/>
  <c r="H698" i="9"/>
  <c r="H711" i="9"/>
  <c r="H442" i="9" s="1"/>
  <c r="S699" i="9"/>
  <c r="V323" i="9"/>
  <c r="S454" i="9"/>
  <c r="T449" i="9"/>
  <c r="K387" i="9"/>
  <c r="L667" i="9"/>
  <c r="V427" i="9"/>
  <c r="T334" i="9"/>
  <c r="S423" i="9"/>
  <c r="N1372" i="9"/>
  <c r="N1374" i="9" s="1"/>
  <c r="L711" i="9"/>
  <c r="L442" i="9" s="1"/>
  <c r="L444" i="9" s="1"/>
  <c r="S1372" i="9"/>
  <c r="S1374" i="9" s="1"/>
  <c r="N345" i="9"/>
  <c r="T336" i="9"/>
  <c r="Q422" i="9"/>
  <c r="S452" i="9"/>
  <c r="P366" i="9"/>
  <c r="H422" i="9"/>
  <c r="H343" i="9"/>
  <c r="T343" i="9" s="1"/>
  <c r="H231" i="9"/>
  <c r="P454" i="9"/>
  <c r="P456" i="9" s="1"/>
  <c r="O698" i="9"/>
  <c r="O699" i="9"/>
  <c r="R454" i="9"/>
  <c r="K454" i="9"/>
  <c r="K456" i="9" s="1"/>
  <c r="T346" i="9"/>
  <c r="J452" i="9"/>
  <c r="Q421" i="9"/>
  <c r="V426" i="9"/>
  <c r="I345" i="9"/>
  <c r="H771" i="9"/>
  <c r="O452" i="9"/>
  <c r="N452" i="9"/>
  <c r="I1282" i="9"/>
  <c r="I1284" i="9" s="1"/>
  <c r="T695" i="9"/>
  <c r="V695" i="9" s="1"/>
  <c r="R421" i="9"/>
  <c r="R423" i="9"/>
  <c r="R422" i="9"/>
  <c r="T453" i="9"/>
  <c r="K423" i="9"/>
  <c r="J345" i="9"/>
  <c r="K452" i="9"/>
  <c r="T414" i="9"/>
  <c r="T422" i="9" s="1"/>
  <c r="O709" i="9"/>
  <c r="O710" i="9"/>
  <c r="AL85" i="9"/>
  <c r="T159" i="9"/>
  <c r="V20" i="9"/>
  <c r="V12" i="9"/>
  <c r="Q1284" i="9"/>
  <c r="Q1372" i="9"/>
  <c r="Q1374" i="9" s="1"/>
  <c r="L713" i="9"/>
  <c r="X224" i="9"/>
  <c r="Y224" i="9"/>
  <c r="R653" i="9"/>
  <c r="R654" i="9"/>
  <c r="P654" i="9"/>
  <c r="P653" i="9"/>
  <c r="M367" i="9"/>
  <c r="M366" i="9"/>
  <c r="K667" i="9"/>
  <c r="K666" i="9"/>
  <c r="K665" i="9"/>
  <c r="N1216" i="9"/>
  <c r="N1224" i="9" s="1"/>
  <c r="N1223" i="9"/>
  <c r="L1256" i="9"/>
  <c r="L1282" i="9"/>
  <c r="T1367" i="9"/>
  <c r="T1366" i="9"/>
  <c r="Q711" i="9"/>
  <c r="Q710" i="9"/>
  <c r="Q709" i="9"/>
  <c r="O1223" i="9"/>
  <c r="O1216" i="9"/>
  <c r="O1224" i="9" s="1"/>
  <c r="L234" i="9"/>
  <c r="L236" i="9" s="1"/>
  <c r="L204" i="9"/>
  <c r="L347" i="9"/>
  <c r="L349" i="9" s="1"/>
  <c r="L205" i="9"/>
  <c r="T143" i="9"/>
  <c r="AL140" i="9"/>
  <c r="K277" i="9"/>
  <c r="K276" i="9"/>
  <c r="K337" i="9"/>
  <c r="K339" i="9" s="1"/>
  <c r="H277" i="9"/>
  <c r="H337" i="9"/>
  <c r="H276" i="9"/>
  <c r="T269" i="9"/>
  <c r="V269" i="9" s="1"/>
  <c r="N1370" i="9"/>
  <c r="T1353" i="9"/>
  <c r="T1354" i="9"/>
  <c r="P641" i="9"/>
  <c r="P642" i="9"/>
  <c r="K1256" i="9"/>
  <c r="K1282" i="9"/>
  <c r="P1223" i="9"/>
  <c r="P1216" i="9"/>
  <c r="P1224" i="9" s="1"/>
  <c r="V148" i="9"/>
  <c r="AJ148" i="9"/>
  <c r="V49" i="9"/>
  <c r="T331" i="9"/>
  <c r="Q403" i="9"/>
  <c r="Q1413" i="9" s="1"/>
  <c r="Q404" i="9"/>
  <c r="Q454" i="9"/>
  <c r="Q456" i="9" s="1"/>
  <c r="M666" i="9"/>
  <c r="M665" i="9"/>
  <c r="M667" i="9"/>
  <c r="S629" i="9"/>
  <c r="S630" i="9"/>
  <c r="H604" i="9"/>
  <c r="H605" i="9" s="1"/>
  <c r="T598" i="9"/>
  <c r="T1121" i="9"/>
  <c r="H1123" i="9"/>
  <c r="T1200" i="9"/>
  <c r="H1222" i="9"/>
  <c r="H1220" i="9"/>
  <c r="H1221" i="9"/>
  <c r="R1284" i="9"/>
  <c r="J710" i="9"/>
  <c r="J709" i="9"/>
  <c r="J711" i="9"/>
  <c r="V127" i="9"/>
  <c r="V126" i="9"/>
  <c r="Q387" i="9"/>
  <c r="Q386" i="9"/>
  <c r="Q385" i="9"/>
  <c r="Q653" i="9"/>
  <c r="Q654" i="9"/>
  <c r="I367" i="9"/>
  <c r="I366" i="9"/>
  <c r="T524" i="9"/>
  <c r="H531" i="9"/>
  <c r="H530" i="9"/>
  <c r="J665" i="9"/>
  <c r="J666" i="9"/>
  <c r="J667" i="9"/>
  <c r="P630" i="9"/>
  <c r="P629" i="9"/>
  <c r="I630" i="9"/>
  <c r="I629" i="9"/>
  <c r="I642" i="9"/>
  <c r="I641" i="9"/>
  <c r="H1282" i="9"/>
  <c r="U209" i="9"/>
  <c r="V209" i="9"/>
  <c r="V1413" i="9"/>
  <c r="O654" i="9"/>
  <c r="O653" i="9"/>
  <c r="M421" i="9"/>
  <c r="M422" i="9"/>
  <c r="M454" i="9"/>
  <c r="M456" i="9" s="1"/>
  <c r="M423" i="9"/>
  <c r="T485" i="9"/>
  <c r="R630" i="9"/>
  <c r="R629" i="9"/>
  <c r="H491" i="9"/>
  <c r="T484" i="9"/>
  <c r="H490" i="9"/>
  <c r="S667" i="9"/>
  <c r="S666" i="9"/>
  <c r="S665" i="9"/>
  <c r="V1349" i="9"/>
  <c r="S1371" i="9"/>
  <c r="O1371" i="9"/>
  <c r="P1371" i="9"/>
  <c r="O1372" i="9"/>
  <c r="O1374" i="9" s="1"/>
  <c r="T99" i="9"/>
  <c r="AL96" i="9"/>
  <c r="H123" i="9"/>
  <c r="T119" i="9"/>
  <c r="H122" i="9"/>
  <c r="V262" i="9"/>
  <c r="V64" i="9"/>
  <c r="V62" i="9"/>
  <c r="T132" i="9"/>
  <c r="AL129" i="9"/>
  <c r="T121" i="9"/>
  <c r="AL118" i="9"/>
  <c r="I404" i="9"/>
  <c r="I1430" i="9" s="1"/>
  <c r="I1427" i="9" s="1"/>
  <c r="I403" i="9"/>
  <c r="I1413" i="9" s="1"/>
  <c r="H387" i="9"/>
  <c r="T378" i="9"/>
  <c r="H385" i="9"/>
  <c r="H386" i="9"/>
  <c r="N366" i="9"/>
  <c r="N367" i="9"/>
  <c r="L422" i="9"/>
  <c r="L421" i="9"/>
  <c r="L423" i="9"/>
  <c r="L454" i="9"/>
  <c r="L456" i="9" s="1"/>
  <c r="I666" i="9"/>
  <c r="I665" i="9"/>
  <c r="I667" i="9"/>
  <c r="L629" i="9"/>
  <c r="L630" i="9"/>
  <c r="Q630" i="9"/>
  <c r="Q629" i="9"/>
  <c r="K676" i="9"/>
  <c r="K677" i="9"/>
  <c r="L641" i="9"/>
  <c r="L642" i="9"/>
  <c r="J699" i="9"/>
  <c r="J698" i="9"/>
  <c r="T1215" i="9"/>
  <c r="H1223" i="9"/>
  <c r="H1216" i="9"/>
  <c r="H1224" i="9" s="1"/>
  <c r="V1414" i="9"/>
  <c r="U1414" i="9"/>
  <c r="T130" i="9"/>
  <c r="R366" i="9"/>
  <c r="R367" i="9"/>
  <c r="I653" i="9"/>
  <c r="I654" i="9"/>
  <c r="M404" i="9"/>
  <c r="M403" i="9"/>
  <c r="M1413" i="9" s="1"/>
  <c r="J423" i="9"/>
  <c r="J421" i="9"/>
  <c r="J422" i="9"/>
  <c r="J454" i="9"/>
  <c r="J456" i="9" s="1"/>
  <c r="T597" i="9"/>
  <c r="T603" i="9" s="1"/>
  <c r="H603" i="9"/>
  <c r="Q367" i="9"/>
  <c r="Q366" i="9"/>
  <c r="L387" i="9"/>
  <c r="L385" i="9"/>
  <c r="L386" i="9"/>
  <c r="H667" i="9"/>
  <c r="H666" i="9"/>
  <c r="T661" i="9"/>
  <c r="H665" i="9"/>
  <c r="T673" i="9"/>
  <c r="K1122" i="9"/>
  <c r="K1123" i="9" s="1"/>
  <c r="K1117" i="9"/>
  <c r="U1423" i="9"/>
  <c r="J1216" i="9"/>
  <c r="J1224" i="9" s="1"/>
  <c r="J1223" i="9"/>
  <c r="T725" i="9"/>
  <c r="H730" i="9"/>
  <c r="N677" i="9"/>
  <c r="N676" i="9"/>
  <c r="T1117" i="9"/>
  <c r="L1223" i="9"/>
  <c r="L1216" i="9"/>
  <c r="L1224" i="9" s="1"/>
  <c r="L367" i="9"/>
  <c r="L366" i="9"/>
  <c r="S385" i="9"/>
  <c r="S386" i="9"/>
  <c r="S387" i="9"/>
  <c r="K345" i="9"/>
  <c r="T56" i="9"/>
  <c r="AL52" i="9"/>
  <c r="I530" i="9"/>
  <c r="I531" i="9"/>
  <c r="I387" i="9"/>
  <c r="I386" i="9"/>
  <c r="I385" i="9"/>
  <c r="T608" i="9"/>
  <c r="T609" i="9"/>
  <c r="O667" i="9"/>
  <c r="O665" i="9"/>
  <c r="O666" i="9"/>
  <c r="J677" i="9"/>
  <c r="J676" i="9"/>
  <c r="I699" i="9"/>
  <c r="I698" i="9"/>
  <c r="S1216" i="9"/>
  <c r="S1224" i="9" s="1"/>
  <c r="S1223" i="9"/>
  <c r="T1272" i="9"/>
  <c r="T1273" i="9"/>
  <c r="T1282" i="9"/>
  <c r="T1284" i="9" s="1"/>
  <c r="AI209" i="9"/>
  <c r="AJ209" i="9" s="1"/>
  <c r="W213" i="9"/>
  <c r="O366" i="9"/>
  <c r="O367" i="9"/>
  <c r="M452" i="9"/>
  <c r="T470" i="9"/>
  <c r="V71" i="9"/>
  <c r="V75" i="9"/>
  <c r="T110" i="9"/>
  <c r="AL107" i="9"/>
  <c r="T97" i="9"/>
  <c r="T341" i="9"/>
  <c r="M653" i="9"/>
  <c r="M654" i="9"/>
  <c r="H654" i="9"/>
  <c r="T649" i="9"/>
  <c r="H653" i="9"/>
  <c r="P667" i="9"/>
  <c r="P666" i="9"/>
  <c r="P665" i="9"/>
  <c r="W1138" i="9"/>
  <c r="U1145" i="9"/>
  <c r="M699" i="9"/>
  <c r="M698" i="9"/>
  <c r="AL21" i="9"/>
  <c r="AL27" i="9" s="1"/>
  <c r="L345" i="9"/>
  <c r="N653" i="9"/>
  <c r="N654" i="9"/>
  <c r="S654" i="9"/>
  <c r="S653" i="9"/>
  <c r="I421" i="9"/>
  <c r="I422" i="9"/>
  <c r="I423" i="9"/>
  <c r="I454" i="9"/>
  <c r="I456" i="9" s="1"/>
  <c r="I452" i="9"/>
  <c r="K711" i="9"/>
  <c r="T1395" i="9"/>
  <c r="H1400" i="9"/>
  <c r="H1398" i="9"/>
  <c r="Q699" i="9"/>
  <c r="Q698" i="9"/>
  <c r="K1223" i="9"/>
  <c r="K1216" i="9"/>
  <c r="K1224" i="9" s="1"/>
  <c r="V1358" i="9"/>
  <c r="V1362" i="9"/>
  <c r="V34" i="9"/>
  <c r="V41" i="9"/>
  <c r="T86" i="9"/>
  <c r="T108" i="9"/>
  <c r="R452" i="9"/>
  <c r="J337" i="9"/>
  <c r="J339" i="9" s="1"/>
  <c r="J276" i="9"/>
  <c r="J277" i="9"/>
  <c r="T447" i="9"/>
  <c r="H452" i="9"/>
  <c r="L404" i="9"/>
  <c r="L403" i="9"/>
  <c r="L1413" i="9" s="1"/>
  <c r="I1187" i="9"/>
  <c r="J1146" i="9"/>
  <c r="I677" i="9"/>
  <c r="I676" i="9"/>
  <c r="P1372" i="9"/>
  <c r="P1374" i="9" s="1"/>
  <c r="U75" i="9"/>
  <c r="T78" i="9"/>
  <c r="AL75" i="9"/>
  <c r="T77" i="9"/>
  <c r="N347" i="9"/>
  <c r="N349" i="9" s="1"/>
  <c r="N205" i="9"/>
  <c r="N204" i="9"/>
  <c r="N234" i="9"/>
  <c r="N236" i="9" s="1"/>
  <c r="I337" i="9"/>
  <c r="I339" i="9" s="1"/>
  <c r="I276" i="9"/>
  <c r="I277" i="9"/>
  <c r="J404" i="9"/>
  <c r="J1430" i="9" s="1"/>
  <c r="J1427" i="9" s="1"/>
  <c r="J403" i="9"/>
  <c r="J1413" i="9" s="1"/>
  <c r="T54" i="9"/>
  <c r="H163" i="9"/>
  <c r="H58" i="9"/>
  <c r="H59" i="9"/>
  <c r="H165" i="9"/>
  <c r="T448" i="9"/>
  <c r="L654" i="9"/>
  <c r="L653" i="9"/>
  <c r="S366" i="9"/>
  <c r="S367" i="9"/>
  <c r="R386" i="9"/>
  <c r="R385" i="9"/>
  <c r="R387" i="9"/>
  <c r="T511" i="9"/>
  <c r="Q666" i="9"/>
  <c r="Q665" i="9"/>
  <c r="Q667" i="9"/>
  <c r="O676" i="9"/>
  <c r="O677" i="9"/>
  <c r="O711" i="9"/>
  <c r="J1400" i="9"/>
  <c r="J1398" i="9"/>
  <c r="M1372" i="9"/>
  <c r="M1374" i="9" s="1"/>
  <c r="T1313" i="9"/>
  <c r="T1312" i="9"/>
  <c r="J347" i="9"/>
  <c r="J349" i="9" s="1"/>
  <c r="J205" i="9"/>
  <c r="J204" i="9"/>
  <c r="J234" i="9"/>
  <c r="J236" i="9" s="1"/>
  <c r="H344" i="9"/>
  <c r="T344" i="9" s="1"/>
  <c r="H229" i="9"/>
  <c r="T220" i="9"/>
  <c r="T229" i="9" s="1"/>
  <c r="J654" i="9"/>
  <c r="J653" i="9"/>
  <c r="K654" i="9"/>
  <c r="K653" i="9"/>
  <c r="S404" i="9"/>
  <c r="S403" i="9"/>
  <c r="S1413" i="9" s="1"/>
  <c r="N665" i="9"/>
  <c r="N667" i="9"/>
  <c r="N666" i="9"/>
  <c r="R1371" i="9"/>
  <c r="M1371" i="9"/>
  <c r="AI71" i="9"/>
  <c r="N404" i="9"/>
  <c r="N403" i="9"/>
  <c r="N1413" i="9" s="1"/>
  <c r="T342" i="9"/>
  <c r="W1438" i="9"/>
  <c r="V1438" i="9"/>
  <c r="K404" i="9"/>
  <c r="K403" i="9"/>
  <c r="K1413" i="9" s="1"/>
  <c r="M387" i="9"/>
  <c r="M386" i="9"/>
  <c r="M385" i="9"/>
  <c r="K629" i="9"/>
  <c r="K630" i="9"/>
  <c r="L677" i="9"/>
  <c r="L676" i="9"/>
  <c r="R711" i="9"/>
  <c r="M641" i="9"/>
  <c r="M642" i="9"/>
  <c r="T706" i="9"/>
  <c r="U1079" i="9"/>
  <c r="T1082" i="9"/>
  <c r="U1133" i="9"/>
  <c r="U1077" i="9"/>
  <c r="U1076" i="9"/>
  <c r="J1256" i="9"/>
  <c r="J1282" i="9"/>
  <c r="H1219" i="9"/>
  <c r="H157" i="9"/>
  <c r="T152" i="9"/>
  <c r="H156" i="9"/>
  <c r="H234" i="9"/>
  <c r="H347" i="9"/>
  <c r="H205" i="9"/>
  <c r="H204" i="9"/>
  <c r="T198" i="9"/>
  <c r="T57" i="9"/>
  <c r="AL53" i="9"/>
  <c r="H144" i="9"/>
  <c r="T141" i="9"/>
  <c r="H145" i="9"/>
  <c r="K366" i="9"/>
  <c r="K367" i="9"/>
  <c r="J386" i="9"/>
  <c r="J385" i="9"/>
  <c r="J387" i="9"/>
  <c r="N454" i="9"/>
  <c r="N456" i="9" s="1"/>
  <c r="O404" i="9"/>
  <c r="O403" i="9"/>
  <c r="O1413" i="9" s="1"/>
  <c r="T397" i="9"/>
  <c r="H404" i="9"/>
  <c r="H1430" i="9" s="1"/>
  <c r="H1427" i="9" s="1"/>
  <c r="T1427" i="9" s="1"/>
  <c r="H403" i="9"/>
  <c r="H1413" i="9" s="1"/>
  <c r="H454" i="9"/>
  <c r="R665" i="9"/>
  <c r="R666" i="9"/>
  <c r="R667" i="9"/>
  <c r="H630" i="9"/>
  <c r="H629" i="9"/>
  <c r="T622" i="9"/>
  <c r="R677" i="9"/>
  <c r="R676" i="9"/>
  <c r="U1074" i="9"/>
  <c r="Q1223" i="9"/>
  <c r="Q1216" i="9"/>
  <c r="Q1224" i="9" s="1"/>
  <c r="V1423" i="9"/>
  <c r="N699" i="9"/>
  <c r="N698" i="9"/>
  <c r="T1326" i="9"/>
  <c r="T1325" i="9"/>
  <c r="AJ69" i="9"/>
  <c r="V69" i="9"/>
  <c r="H367" i="9"/>
  <c r="H366" i="9"/>
  <c r="T360" i="9"/>
  <c r="P387" i="9"/>
  <c r="P385" i="9"/>
  <c r="P386" i="9"/>
  <c r="S676" i="9"/>
  <c r="S677" i="9"/>
  <c r="P711" i="9"/>
  <c r="T1256" i="9"/>
  <c r="T1240" i="9"/>
  <c r="T1238" i="9"/>
  <c r="I711" i="9"/>
  <c r="I710" i="9"/>
  <c r="I709" i="9"/>
  <c r="R1216" i="9"/>
  <c r="R1224" i="9" s="1"/>
  <c r="R1223" i="9"/>
  <c r="AL64" i="9"/>
  <c r="T67" i="9"/>
  <c r="T66" i="9"/>
  <c r="U64" i="9"/>
  <c r="I347" i="9"/>
  <c r="I349" i="9" s="1"/>
  <c r="I234" i="9"/>
  <c r="I236" i="9" s="1"/>
  <c r="I205" i="9"/>
  <c r="I204" i="9"/>
  <c r="L452" i="9"/>
  <c r="O454" i="9"/>
  <c r="O456" i="9" s="1"/>
  <c r="J366" i="9"/>
  <c r="J367" i="9"/>
  <c r="O629" i="9"/>
  <c r="O630" i="9"/>
  <c r="U684" i="9"/>
  <c r="T687" i="9"/>
  <c r="T688" i="9"/>
  <c r="V684" i="9"/>
  <c r="S711" i="9"/>
  <c r="H641" i="9"/>
  <c r="H642" i="9"/>
  <c r="T637" i="9"/>
  <c r="M711" i="9"/>
  <c r="M710" i="9"/>
  <c r="M709" i="9"/>
  <c r="N710" i="9"/>
  <c r="N709" i="9"/>
  <c r="N711" i="9"/>
  <c r="T1396" i="9"/>
  <c r="U1434" i="9"/>
  <c r="U1457" i="9" s="1"/>
  <c r="W1434" i="9"/>
  <c r="V1434" i="9"/>
  <c r="N386" i="9"/>
  <c r="N385" i="9"/>
  <c r="N387" i="9"/>
  <c r="T1372" i="9"/>
  <c r="T1374" i="9" s="1"/>
  <c r="V1268" i="9"/>
  <c r="N1371" i="9"/>
  <c r="L1371" i="9"/>
  <c r="Q1371" i="9"/>
  <c r="U414" i="9" l="1"/>
  <c r="H713" i="9"/>
  <c r="V1424" i="9"/>
  <c r="Z224" i="9"/>
  <c r="W1139" i="9"/>
  <c r="T699" i="9"/>
  <c r="T423" i="9"/>
  <c r="I1372" i="9"/>
  <c r="I1374" i="9" s="1"/>
  <c r="U695" i="9"/>
  <c r="T421" i="9"/>
  <c r="T698" i="9"/>
  <c r="V414" i="9"/>
  <c r="V165" i="9"/>
  <c r="V1135" i="9" s="1"/>
  <c r="T1223" i="9"/>
  <c r="T1216" i="9"/>
  <c r="T1224" i="9" s="1"/>
  <c r="N713" i="9"/>
  <c r="N442" i="9"/>
  <c r="N444" i="9" s="1"/>
  <c r="V360" i="9"/>
  <c r="T367" i="9"/>
  <c r="U360" i="9"/>
  <c r="T366" i="9"/>
  <c r="V1457" i="9"/>
  <c r="T454" i="9"/>
  <c r="H456" i="9"/>
  <c r="J1284" i="9"/>
  <c r="J1372" i="9"/>
  <c r="J1374" i="9" s="1"/>
  <c r="U1134" i="9"/>
  <c r="AL54" i="9"/>
  <c r="T58" i="9"/>
  <c r="U54" i="9"/>
  <c r="T59" i="9"/>
  <c r="T163" i="9"/>
  <c r="U165" i="9"/>
  <c r="U1135" i="9" s="1"/>
  <c r="U1136" i="9" s="1"/>
  <c r="T165" i="9"/>
  <c r="AL86" i="9"/>
  <c r="T90" i="9"/>
  <c r="U86" i="9"/>
  <c r="T89" i="9"/>
  <c r="AI82" i="9"/>
  <c r="V86" i="9"/>
  <c r="K713" i="9"/>
  <c r="K442" i="9"/>
  <c r="K444" i="9" s="1"/>
  <c r="T667" i="9"/>
  <c r="U661" i="9"/>
  <c r="T666" i="9"/>
  <c r="T665" i="9"/>
  <c r="V661" i="9"/>
  <c r="T133" i="9"/>
  <c r="AL130" i="9"/>
  <c r="T134" i="9"/>
  <c r="U130" i="9"/>
  <c r="AI126" i="9"/>
  <c r="T604" i="9"/>
  <c r="T605" i="9" s="1"/>
  <c r="V598" i="9"/>
  <c r="Q713" i="9"/>
  <c r="Q442" i="9"/>
  <c r="Q444" i="9" s="1"/>
  <c r="S713" i="9"/>
  <c r="S442" i="9"/>
  <c r="S444" i="9" s="1"/>
  <c r="U448" i="9"/>
  <c r="W448" i="9" s="1"/>
  <c r="I713" i="9"/>
  <c r="I442" i="9"/>
  <c r="I444" i="9" s="1"/>
  <c r="P713" i="9"/>
  <c r="P442" i="9"/>
  <c r="P444" i="9" s="1"/>
  <c r="V622" i="9"/>
  <c r="U622" i="9"/>
  <c r="T629" i="9"/>
  <c r="T630" i="9"/>
  <c r="W1427" i="9"/>
  <c r="U1427" i="9"/>
  <c r="U1458" i="9" s="1"/>
  <c r="V1427" i="9"/>
  <c r="V1458" i="9" s="1"/>
  <c r="H349" i="9"/>
  <c r="T347" i="9"/>
  <c r="U341" i="9" s="1"/>
  <c r="R713" i="9"/>
  <c r="R442" i="9"/>
  <c r="R444" i="9" s="1"/>
  <c r="H1401" i="9"/>
  <c r="J1401" i="9"/>
  <c r="K1401" i="9"/>
  <c r="I1401" i="9"/>
  <c r="T677" i="9"/>
  <c r="U673" i="9"/>
  <c r="T676" i="9"/>
  <c r="V673" i="9"/>
  <c r="T123" i="9"/>
  <c r="U119" i="9"/>
  <c r="T122" i="9"/>
  <c r="AL119" i="9"/>
  <c r="AI115" i="9"/>
  <c r="V119" i="9"/>
  <c r="J713" i="9"/>
  <c r="J442" i="9"/>
  <c r="J444" i="9" s="1"/>
  <c r="H444" i="9"/>
  <c r="H445" i="9" s="1"/>
  <c r="M713" i="9"/>
  <c r="M442" i="9"/>
  <c r="M444" i="9" s="1"/>
  <c r="AL141" i="9"/>
  <c r="T144" i="9"/>
  <c r="T145" i="9"/>
  <c r="U141" i="9"/>
  <c r="AI137" i="9"/>
  <c r="V141" i="9"/>
  <c r="T157" i="9"/>
  <c r="T156" i="9"/>
  <c r="U152" i="9"/>
  <c r="AI149" i="9"/>
  <c r="V152" i="9"/>
  <c r="AL76" i="9"/>
  <c r="AL78" i="9" s="1"/>
  <c r="AL108" i="9"/>
  <c r="T112" i="9"/>
  <c r="U108" i="9"/>
  <c r="T111" i="9"/>
  <c r="AI104" i="9"/>
  <c r="V108" i="9"/>
  <c r="H345" i="9"/>
  <c r="T345" i="9" s="1"/>
  <c r="V725" i="9"/>
  <c r="T730" i="9"/>
  <c r="V50" i="9"/>
  <c r="V54" i="9"/>
  <c r="T337" i="9"/>
  <c r="U331" i="9" s="1"/>
  <c r="H339" i="9"/>
  <c r="T641" i="9"/>
  <c r="T642" i="9"/>
  <c r="U637" i="9"/>
  <c r="V637" i="9"/>
  <c r="U1460" i="9"/>
  <c r="AL65" i="9"/>
  <c r="AL67" i="9" s="1"/>
  <c r="AI50" i="9"/>
  <c r="T404" i="9"/>
  <c r="T403" i="9"/>
  <c r="T1413" i="9" s="1"/>
  <c r="T1452" i="9" s="1"/>
  <c r="U397" i="9"/>
  <c r="V397" i="9"/>
  <c r="T205" i="9"/>
  <c r="T204" i="9"/>
  <c r="W198" i="9"/>
  <c r="X198" i="9" s="1"/>
  <c r="U198" i="9"/>
  <c r="V198" i="9"/>
  <c r="T234" i="9"/>
  <c r="T236" i="9" s="1"/>
  <c r="H236" i="9"/>
  <c r="U706" i="9"/>
  <c r="T711" i="9"/>
  <c r="T713" i="9" s="1"/>
  <c r="T709" i="9"/>
  <c r="T710" i="9"/>
  <c r="V706" i="9"/>
  <c r="O713" i="9"/>
  <c r="O442" i="9"/>
  <c r="O444" i="9" s="1"/>
  <c r="J1187" i="9"/>
  <c r="K1146" i="9"/>
  <c r="T452" i="9"/>
  <c r="U452" i="9" s="1"/>
  <c r="T1401" i="9"/>
  <c r="T1398" i="9"/>
  <c r="T654" i="9"/>
  <c r="T653" i="9"/>
  <c r="U649" i="9"/>
  <c r="V649" i="9"/>
  <c r="AL97" i="9"/>
  <c r="T101" i="9"/>
  <c r="U97" i="9"/>
  <c r="T100" i="9"/>
  <c r="AI93" i="9"/>
  <c r="V97" i="9"/>
  <c r="V1197" i="9"/>
  <c r="V1215" i="9"/>
  <c r="T1122" i="9"/>
  <c r="T1123" i="9" s="1"/>
  <c r="U378" i="9"/>
  <c r="T387" i="9"/>
  <c r="T385" i="9"/>
  <c r="V378" i="9"/>
  <c r="T386" i="9"/>
  <c r="T491" i="9"/>
  <c r="T490" i="9"/>
  <c r="V484" i="9"/>
  <c r="H1284" i="9"/>
  <c r="H1372" i="9"/>
  <c r="T530" i="9"/>
  <c r="T531" i="9"/>
  <c r="V524" i="9"/>
  <c r="V130" i="9"/>
  <c r="K1284" i="9"/>
  <c r="K1372" i="9"/>
  <c r="K1374" i="9" s="1"/>
  <c r="T277" i="9"/>
  <c r="T276" i="9"/>
  <c r="U269" i="9"/>
  <c r="L1284" i="9"/>
  <c r="L1372" i="9"/>
  <c r="L1374" i="9" s="1"/>
  <c r="U345" i="9" l="1"/>
  <c r="U344" i="9"/>
  <c r="U342" i="9"/>
  <c r="I445" i="9"/>
  <c r="U1452" i="9"/>
  <c r="AL98" i="9"/>
  <c r="AL101" i="9" s="1"/>
  <c r="K1187" i="9"/>
  <c r="L1146" i="9"/>
  <c r="AL142" i="9"/>
  <c r="AL145" i="9" s="1"/>
  <c r="L445" i="9"/>
  <c r="T442" i="9"/>
  <c r="T444" i="9" s="1"/>
  <c r="T445" i="9" s="1"/>
  <c r="T349" i="9"/>
  <c r="U346" i="9"/>
  <c r="U343" i="9"/>
  <c r="AL131" i="9"/>
  <c r="AL134" i="9" s="1"/>
  <c r="T456" i="9"/>
  <c r="U450" i="9"/>
  <c r="W450" i="9" s="1"/>
  <c r="U451" i="9"/>
  <c r="W451" i="9" s="1"/>
  <c r="U449" i="9"/>
  <c r="W449" i="9" s="1"/>
  <c r="U453" i="9"/>
  <c r="W452" i="9" s="1"/>
  <c r="P445" i="9"/>
  <c r="AL120" i="9"/>
  <c r="AL123" i="9" s="1"/>
  <c r="AL109" i="9"/>
  <c r="AL112" i="9" s="1"/>
  <c r="V1452" i="9"/>
  <c r="R445" i="9"/>
  <c r="R1375" i="9"/>
  <c r="N1375" i="9"/>
  <c r="J1375" i="9"/>
  <c r="Q1375" i="9"/>
  <c r="M1375" i="9"/>
  <c r="I1375" i="9"/>
  <c r="O1375" i="9"/>
  <c r="L1375" i="9"/>
  <c r="K1375" i="9"/>
  <c r="H1374" i="9"/>
  <c r="H1375" i="9" s="1"/>
  <c r="P1375" i="9"/>
  <c r="S1375" i="9"/>
  <c r="J445" i="9"/>
  <c r="N445" i="9"/>
  <c r="M445" i="9"/>
  <c r="AL87" i="9"/>
  <c r="AL90" i="9" s="1"/>
  <c r="U160" i="9"/>
  <c r="U162" i="9"/>
  <c r="U161" i="9"/>
  <c r="U159" i="9"/>
  <c r="U158" i="9"/>
  <c r="AL55" i="9"/>
  <c r="AL59" i="9" s="1"/>
  <c r="T339" i="9"/>
  <c r="U333" i="9"/>
  <c r="U332" i="9"/>
  <c r="U336" i="9"/>
  <c r="U335" i="9"/>
  <c r="U334" i="9"/>
  <c r="K445" i="9"/>
  <c r="O445" i="9"/>
  <c r="S445" i="9"/>
  <c r="Q445" i="9"/>
  <c r="U447" i="9"/>
  <c r="W447" i="9" s="1"/>
  <c r="L1187" i="9" l="1"/>
  <c r="M1146" i="9"/>
  <c r="M1187" i="9" l="1"/>
  <c r="N1146" i="9"/>
  <c r="N1187" i="9" l="1"/>
  <c r="O1146" i="9"/>
  <c r="O1187" i="9" l="1"/>
  <c r="P1146" i="9"/>
  <c r="P1187" i="9" l="1"/>
  <c r="Q1146" i="9"/>
  <c r="R1146" i="9" l="1"/>
  <c r="Q1187" i="9"/>
  <c r="S1146" i="9" l="1"/>
  <c r="S1187" i="9" s="1"/>
  <c r="R1187" i="9"/>
  <c r="X31" i="13" l="1"/>
  <c r="S31" i="13"/>
  <c r="R31" i="13"/>
  <c r="Q31" i="13"/>
  <c r="T31" i="13" s="1"/>
  <c r="N31" i="13"/>
  <c r="M31" i="13"/>
  <c r="L31" i="13"/>
  <c r="O31" i="13" s="1"/>
  <c r="I31" i="13"/>
  <c r="H31" i="13"/>
  <c r="G31" i="13"/>
  <c r="J31" i="13" s="1"/>
  <c r="D31" i="13"/>
  <c r="C31" i="13"/>
  <c r="B31" i="13"/>
  <c r="AC30" i="13"/>
  <c r="AB30" i="13"/>
  <c r="AA30" i="13"/>
  <c r="Y30" i="13"/>
  <c r="T30" i="13"/>
  <c r="O30" i="13"/>
  <c r="J30" i="13"/>
  <c r="E30" i="13"/>
  <c r="AC29" i="13"/>
  <c r="AB29" i="13"/>
  <c r="AA29" i="13"/>
  <c r="Y29" i="13"/>
  <c r="T29" i="13"/>
  <c r="O29" i="13"/>
  <c r="J29" i="13"/>
  <c r="E29" i="13"/>
  <c r="AC28" i="13"/>
  <c r="AB28" i="13"/>
  <c r="AA28" i="13"/>
  <c r="Y28" i="13"/>
  <c r="T28" i="13"/>
  <c r="O28" i="13"/>
  <c r="J28" i="13"/>
  <c r="E28" i="13"/>
  <c r="AC27" i="13"/>
  <c r="AB27" i="13"/>
  <c r="AA27" i="13"/>
  <c r="AD27" i="13" s="1"/>
  <c r="Y27" i="13"/>
  <c r="T27" i="13"/>
  <c r="O27" i="13"/>
  <c r="J27" i="13"/>
  <c r="E27" i="13"/>
  <c r="AC26" i="13"/>
  <c r="AB26" i="13"/>
  <c r="AA26" i="13"/>
  <c r="AD26" i="13" s="1"/>
  <c r="Y26" i="13"/>
  <c r="T26" i="13"/>
  <c r="O26" i="13"/>
  <c r="J26" i="13"/>
  <c r="E26" i="13"/>
  <c r="AC25" i="13"/>
  <c r="AB25" i="13"/>
  <c r="AA25" i="13"/>
  <c r="Y25" i="13"/>
  <c r="T25" i="13"/>
  <c r="O25" i="13"/>
  <c r="J25" i="13"/>
  <c r="E25" i="13"/>
  <c r="AC24" i="13"/>
  <c r="AB24" i="13"/>
  <c r="AA24" i="13"/>
  <c r="Y24" i="13"/>
  <c r="T24" i="13"/>
  <c r="O24" i="13"/>
  <c r="J24" i="13"/>
  <c r="E24" i="13"/>
  <c r="AC23" i="13"/>
  <c r="AB23" i="13"/>
  <c r="AA23" i="13"/>
  <c r="AD23" i="13" s="1"/>
  <c r="Y23" i="13"/>
  <c r="T23" i="13"/>
  <c r="O23" i="13"/>
  <c r="J23" i="13"/>
  <c r="E23" i="13"/>
  <c r="AC22" i="13"/>
  <c r="AB22" i="13"/>
  <c r="AA22" i="13"/>
  <c r="AD22" i="13" s="1"/>
  <c r="Y22" i="13"/>
  <c r="T22" i="13"/>
  <c r="O22" i="13"/>
  <c r="J22" i="13"/>
  <c r="E22" i="13"/>
  <c r="AC21" i="13"/>
  <c r="AB21" i="13"/>
  <c r="AA21" i="13"/>
  <c r="Y21" i="13"/>
  <c r="T21" i="13"/>
  <c r="O21" i="13"/>
  <c r="J21" i="13"/>
  <c r="E21" i="13"/>
  <c r="AC20" i="13"/>
  <c r="AB20" i="13"/>
  <c r="AA20" i="13"/>
  <c r="Y20" i="13"/>
  <c r="T20" i="13"/>
  <c r="O20" i="13"/>
  <c r="J20" i="13"/>
  <c r="E20" i="13"/>
  <c r="AC19" i="13"/>
  <c r="AB19" i="13"/>
  <c r="AA19" i="13"/>
  <c r="AD19" i="13" s="1"/>
  <c r="Y19" i="13"/>
  <c r="T19" i="13"/>
  <c r="O19" i="13"/>
  <c r="J19" i="13"/>
  <c r="E19" i="13"/>
  <c r="AC18" i="13"/>
  <c r="AB18" i="13"/>
  <c r="AA18" i="13"/>
  <c r="Y18" i="13"/>
  <c r="T18" i="13"/>
  <c r="O18" i="13"/>
  <c r="J18" i="13"/>
  <c r="E18" i="13"/>
  <c r="AC17" i="13"/>
  <c r="AB17" i="13"/>
  <c r="AA17" i="13"/>
  <c r="Y17" i="13"/>
  <c r="T17" i="13"/>
  <c r="O17" i="13"/>
  <c r="J17" i="13"/>
  <c r="E17" i="13"/>
  <c r="AC16" i="13"/>
  <c r="AB16" i="13"/>
  <c r="AA16" i="13"/>
  <c r="Y16" i="13"/>
  <c r="T16" i="13"/>
  <c r="O16" i="13"/>
  <c r="J16" i="13"/>
  <c r="E16" i="13"/>
  <c r="AC15" i="13"/>
  <c r="AB15" i="13"/>
  <c r="AA15" i="13"/>
  <c r="AD15" i="13" s="1"/>
  <c r="Y15" i="13"/>
  <c r="T15" i="13"/>
  <c r="O15" i="13"/>
  <c r="J15" i="13"/>
  <c r="E15" i="13"/>
  <c r="AC14" i="13"/>
  <c r="AB14" i="13"/>
  <c r="AA14" i="13"/>
  <c r="Y14" i="13"/>
  <c r="T14" i="13"/>
  <c r="O14" i="13"/>
  <c r="J14" i="13"/>
  <c r="E14" i="13"/>
  <c r="AC13" i="13"/>
  <c r="AB13" i="13"/>
  <c r="AA13" i="13"/>
  <c r="Y13" i="13"/>
  <c r="T13" i="13"/>
  <c r="O13" i="13"/>
  <c r="J13" i="13"/>
  <c r="E13" i="13"/>
  <c r="AC12" i="13"/>
  <c r="AB12" i="13"/>
  <c r="AA12" i="13"/>
  <c r="Y12" i="13"/>
  <c r="T12" i="13"/>
  <c r="O12" i="13"/>
  <c r="J12" i="13"/>
  <c r="E12" i="13"/>
  <c r="AC11" i="13"/>
  <c r="AB11" i="13"/>
  <c r="AA11" i="13"/>
  <c r="AD11" i="13" s="1"/>
  <c r="Y11" i="13"/>
  <c r="T11" i="13"/>
  <c r="O11" i="13"/>
  <c r="J11" i="13"/>
  <c r="E11" i="13"/>
  <c r="AC10" i="13"/>
  <c r="AB10" i="13"/>
  <c r="AA10" i="13"/>
  <c r="AD10" i="13" s="1"/>
  <c r="Y10" i="13"/>
  <c r="T10" i="13"/>
  <c r="O10" i="13"/>
  <c r="J10" i="13"/>
  <c r="E10" i="13"/>
  <c r="AC9" i="13"/>
  <c r="AB9" i="13"/>
  <c r="AA9" i="13"/>
  <c r="Y9" i="13"/>
  <c r="T9" i="13"/>
  <c r="O9" i="13"/>
  <c r="J9" i="13"/>
  <c r="E9" i="13"/>
  <c r="AC8" i="13"/>
  <c r="AC31" i="13" s="1"/>
  <c r="W8" i="13"/>
  <c r="AB8" i="13" s="1"/>
  <c r="V8" i="13"/>
  <c r="AA8" i="13" s="1"/>
  <c r="T8" i="13"/>
  <c r="O8" i="13"/>
  <c r="J8" i="13"/>
  <c r="E8" i="13"/>
  <c r="X7" i="13"/>
  <c r="AC7" i="13" s="1"/>
  <c r="W7" i="13"/>
  <c r="AB7" i="13" s="1"/>
  <c r="T7" i="13"/>
  <c r="L7" i="13"/>
  <c r="V7" i="13" s="1"/>
  <c r="J7" i="13"/>
  <c r="E7" i="13"/>
  <c r="AD30" i="13" l="1"/>
  <c r="AD12" i="13"/>
  <c r="AD13" i="13"/>
  <c r="AD18" i="13"/>
  <c r="AD24" i="13"/>
  <c r="AD29" i="13"/>
  <c r="AD17" i="13"/>
  <c r="AD28" i="13"/>
  <c r="AD16" i="13"/>
  <c r="AD21" i="13"/>
  <c r="E31" i="13"/>
  <c r="V31" i="13"/>
  <c r="AD9" i="13"/>
  <c r="AD14" i="13"/>
  <c r="AD20" i="13"/>
  <c r="AD25" i="13"/>
  <c r="AA7" i="13"/>
  <c r="AD7" i="13" s="1"/>
  <c r="Y7" i="13"/>
  <c r="AB31" i="13"/>
  <c r="AD8" i="13"/>
  <c r="AA31" i="13"/>
  <c r="O7" i="13"/>
  <c r="Y8" i="13"/>
  <c r="W31" i="13"/>
  <c r="Y31" i="13" s="1"/>
  <c r="AD31" i="13" l="1"/>
  <c r="H33" i="12" l="1"/>
  <c r="H32" i="12"/>
  <c r="H31" i="12"/>
  <c r="K30" i="12"/>
  <c r="K29" i="12"/>
  <c r="K28" i="12"/>
  <c r="H28" i="12"/>
  <c r="D28" i="12"/>
  <c r="K27" i="12"/>
  <c r="K26" i="12"/>
  <c r="K25" i="12"/>
  <c r="H25" i="12"/>
  <c r="K24" i="12"/>
  <c r="K23" i="12"/>
  <c r="K22" i="12"/>
  <c r="K21" i="12"/>
  <c r="K20" i="12"/>
  <c r="H20" i="12"/>
  <c r="F20" i="12"/>
  <c r="H19" i="12"/>
  <c r="K18" i="12"/>
  <c r="K17" i="12"/>
  <c r="H17" i="12"/>
  <c r="F17" i="12"/>
  <c r="K16" i="12"/>
  <c r="K15" i="12"/>
  <c r="H15" i="12"/>
  <c r="K14" i="12"/>
  <c r="K13" i="12"/>
  <c r="H13" i="12"/>
  <c r="F13" i="12"/>
  <c r="K12" i="12"/>
  <c r="K11" i="12"/>
  <c r="H11" i="12"/>
  <c r="K10" i="12"/>
  <c r="K9" i="12"/>
  <c r="H9" i="12"/>
  <c r="F9" i="12"/>
  <c r="D9" i="12"/>
  <c r="F8" i="12"/>
  <c r="K7" i="12"/>
  <c r="K6" i="12"/>
  <c r="F6" i="12"/>
  <c r="K5" i="12"/>
  <c r="K4" i="12"/>
  <c r="F4" i="12"/>
  <c r="F3" i="12"/>
  <c r="D3" i="12"/>
  <c r="L6" i="10" l="1"/>
  <c r="D9" i="11" l="1"/>
  <c r="F9" i="11" s="1"/>
  <c r="E6" i="11" l="1"/>
  <c r="F6" i="11"/>
  <c r="E4" i="11"/>
  <c r="F3" i="11"/>
  <c r="F8" i="11"/>
  <c r="F4" i="11"/>
  <c r="F7" i="11"/>
  <c r="E9" i="11"/>
  <c r="E3" i="11"/>
  <c r="F5" i="11"/>
  <c r="E8" i="11"/>
  <c r="N6" i="10" l="1"/>
  <c r="M6" i="10"/>
  <c r="N5" i="10"/>
  <c r="M5" i="10"/>
  <c r="L5" i="10"/>
  <c r="G21" i="8" l="1"/>
  <c r="G22" i="8" s="1"/>
  <c r="G14" i="8"/>
  <c r="AC12" i="8"/>
  <c r="AA12" i="8" s="1"/>
  <c r="Y12" i="8" s="1"/>
  <c r="G12" i="8"/>
  <c r="AC11" i="8"/>
  <c r="AE11" i="8" s="1"/>
  <c r="AC10" i="8"/>
  <c r="AG10" i="8" s="1"/>
  <c r="AC9" i="8"/>
  <c r="AA9" i="8" s="1"/>
  <c r="Y9" i="8" s="1"/>
  <c r="AC8" i="8"/>
  <c r="AG8" i="8" s="1"/>
  <c r="AC7" i="8"/>
  <c r="AA7" i="8" s="1"/>
  <c r="Y7" i="8" s="1"/>
  <c r="G7" i="8"/>
  <c r="AC6" i="8"/>
  <c r="AE6" i="8" s="1"/>
  <c r="G6" i="8"/>
  <c r="G10" i="8" s="1"/>
  <c r="AC5" i="8"/>
  <c r="AA5" i="8" s="1"/>
  <c r="Y5" i="8" s="1"/>
  <c r="G5" i="8"/>
  <c r="G9" i="8" s="1"/>
  <c r="AG11" i="8" l="1"/>
  <c r="AA8" i="8"/>
  <c r="Y8" i="8" s="1"/>
  <c r="AA11" i="8"/>
  <c r="Y11" i="8" s="1"/>
  <c r="AG6" i="8"/>
  <c r="AE9" i="8"/>
  <c r="AG9" i="8"/>
  <c r="AA6" i="8"/>
  <c r="Y6" i="8" s="1"/>
  <c r="AA10" i="8"/>
  <c r="Y10" i="8" s="1"/>
  <c r="AE5" i="8"/>
  <c r="AE7" i="8"/>
  <c r="AE12" i="8"/>
  <c r="AG5" i="8"/>
  <c r="AG7" i="8"/>
  <c r="AE8" i="8"/>
  <c r="AE10" i="8"/>
  <c r="AG12" i="8"/>
</calcChain>
</file>

<file path=xl/comments1.xml><?xml version="1.0" encoding="utf-8"?>
<comments xmlns="http://schemas.openxmlformats.org/spreadsheetml/2006/main">
  <authors>
    <author>nbc</author>
    <author>alongorn</author>
    <author>Alongkorn Ayuwatana</author>
    <author>vaio</author>
    <author>ORSP</author>
  </authors>
  <commentList>
    <comment ref="E40" authorId="0" shapeId="0">
      <text>
        <r>
          <rPr>
            <b/>
            <sz val="9"/>
            <color indexed="81"/>
            <rFont val="Tahoma"/>
            <family val="2"/>
          </rPr>
          <t>ติดตั้ง heater hot oil เพิ่ม ปี 2013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82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จากตารางคำนวณคุณบัญชา
</t>
        </r>
      </text>
    </comment>
    <comment ref="E191" authorId="1" shapeId="0">
      <text>
        <r>
          <rPr>
            <b/>
            <sz val="8"/>
            <color indexed="81"/>
            <rFont val="Tahoma"/>
            <family val="2"/>
          </rPr>
          <t>alongorn: แก้ไขค่าความร้อนโดยคุณวิชิต PE2 จาก 13.5 เป็น 51.89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206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Nitiphat revise data because of  Plant S/D, see at June-12 report</t>
        </r>
      </text>
    </comment>
    <comment ref="I247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I299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I308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O367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ปรับมิเตอร์heater, clean HE 2 set, ปรับตัว FG ที่ไท่ balance เข้า loss</t>
        </r>
      </text>
    </comment>
    <comment ref="P367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ปรับมิเตอร์heater, clean HE 2 set, ปรับตัว FG ที่ไท่ balance เข้า loss</t>
        </r>
      </text>
    </comment>
    <comment ref="E782" authorId="2" shapeId="0">
      <text>
        <r>
          <rPr>
            <b/>
            <sz val="9"/>
            <color indexed="81"/>
            <rFont val="Tahoma"/>
            <family val="2"/>
          </rPr>
          <t xml:space="preserve">Alongkorn Ayuwatana: ไอน้ำไม่มีมิเตอร์จึงใช้ตัวเลขเดียวกันกับการคำนวณ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98" authorId="1" shapeId="0">
      <text>
        <r>
          <rPr>
            <b/>
            <sz val="8"/>
            <color indexed="81"/>
            <rFont val="Tahoma"/>
            <family val="2"/>
          </rPr>
          <t>alongorn: ปรับแก้ค่าความร้อนตั้งแต่เดือนเมษายน-54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798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แก้ไขปริมาณโดยปริญญา</t>
        </r>
      </text>
    </comment>
    <comment ref="O977" authorId="1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แก้ไขตาม sap โดยปริญญา</t>
        </r>
      </text>
    </comment>
    <comment ref="T1156" authorId="3" shapeId="0">
      <text>
        <r>
          <rPr>
            <b/>
            <sz val="9"/>
            <color indexed="81"/>
            <rFont val="Tahoma"/>
            <family val="2"/>
          </rPr>
          <t>vaio:</t>
        </r>
        <r>
          <rPr>
            <sz val="9"/>
            <color indexed="81"/>
            <rFont val="Tahoma"/>
            <family val="2"/>
          </rPr>
          <t xml:space="preserve">
ผิด sum acc ทำไม</t>
        </r>
      </text>
    </comment>
    <comment ref="L1354" authorId="2" shapeId="0">
      <text>
        <r>
          <rPr>
            <b/>
            <sz val="9"/>
            <color indexed="81"/>
            <rFont val="Tahoma"/>
            <family val="2"/>
          </rPr>
          <t>Alongkorn Ayuwatana:</t>
        </r>
        <r>
          <rPr>
            <sz val="9"/>
            <color indexed="81"/>
            <rFont val="Tahoma"/>
            <family val="2"/>
          </rPr>
          <t xml:space="preserve">
base ทีความชื้นสูงกว่าปกติ
อาจเกิด slop ที่คลังพระแดงส่งให้ Lube Blending</t>
        </r>
      </text>
    </comment>
    <comment ref="H1413" authorId="4" shapeId="0">
      <text>
        <r>
          <rPr>
            <b/>
            <sz val="8"/>
            <color indexed="81"/>
            <rFont val="Tahoma"/>
            <family val="2"/>
          </rPr>
          <t>ORSP:</t>
        </r>
        <r>
          <rPr>
            <sz val="8"/>
            <color indexed="81"/>
            <rFont val="Tahoma"/>
            <family val="2"/>
          </rPr>
          <t xml:space="preserve">
คิดเฉพาะโรงงานที่นำมาจัดทำรายงานเท่านั้น</t>
        </r>
      </text>
    </comment>
    <comment ref="C1421" authorId="4" shapeId="0">
      <text>
        <r>
          <rPr>
            <b/>
            <sz val="8"/>
            <color indexed="81"/>
            <rFont val="Tahoma"/>
            <family val="2"/>
          </rPr>
          <t>ORSP:</t>
        </r>
        <r>
          <rPr>
            <sz val="8"/>
            <color indexed="81"/>
            <rFont val="Tahoma"/>
            <family val="2"/>
          </rPr>
          <t xml:space="preserve">
ข้อมูลจาก EQC File : EE_AC_2007</t>
        </r>
      </text>
    </comment>
  </commentList>
</comments>
</file>

<file path=xl/comments2.xml><?xml version="1.0" encoding="utf-8"?>
<comments xmlns="http://schemas.openxmlformats.org/spreadsheetml/2006/main">
  <authors>
    <author>alongorn</author>
    <author>Lenovo User</author>
    <author>preeda</author>
    <author>WindowsXP2Go 2017</author>
    <author>vaio</author>
    <author>ORSP</author>
  </authors>
  <commentList>
    <comment ref="H201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จากตารางคำนวณคุณบัญชา
</t>
        </r>
      </text>
    </comment>
    <comment ref="I208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แก้ไขจาก 1377000 เป้น 1321990 โดย BTX</t>
        </r>
      </text>
    </comment>
    <comment ref="E211" authorId="0" shapeId="0">
      <text>
        <r>
          <rPr>
            <b/>
            <sz val="8"/>
            <color indexed="81"/>
            <rFont val="Tahoma"/>
            <family val="2"/>
          </rPr>
          <t>alongorn: แก้ไขค่าความร้อนโดยคุณวิชิต PE2 จาก 13.5 เป็น 51.89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229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แก้ไขโดยคุณกำธร EBSM</t>
        </r>
      </text>
    </comment>
    <comment ref="M229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แก้ไขโดยคุณกำธร EBSM
</t>
        </r>
      </text>
    </comment>
    <comment ref="I259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H266" authorId="1" shapeId="0">
      <text>
        <r>
          <rPr>
            <b/>
            <sz val="8"/>
            <color indexed="81"/>
            <rFont val="Tahoma"/>
            <family val="2"/>
          </rPr>
          <t>Lenovo User:</t>
        </r>
        <r>
          <rPr>
            <sz val="8"/>
            <color indexed="81"/>
            <rFont val="Tahoma"/>
            <family val="2"/>
          </rPr>
          <t xml:space="preserve">
ค่าไฟฟ้าระหว่างวันที่ 1-17 มกราคม 2554 และ Shut down วันที่ 18-31 มกราคม 2554</t>
        </r>
      </text>
    </comment>
    <comment ref="H267" authorId="1" shapeId="0">
      <text>
        <r>
          <rPr>
            <b/>
            <sz val="8"/>
            <color indexed="81"/>
            <rFont val="Tahoma"/>
            <family val="2"/>
          </rPr>
          <t>Lenovo User:</t>
        </r>
        <r>
          <rPr>
            <sz val="8"/>
            <color indexed="81"/>
            <rFont val="Tahoma"/>
            <family val="2"/>
          </rPr>
          <t xml:space="preserve">
ค่าไอน้ำในช่วงที่ผลิตปกติวันที่ 1-17 มกราคม 54</t>
        </r>
      </text>
    </comment>
    <comment ref="I301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I314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ข้อมูลจากตารางคุณบัญชา</t>
        </r>
      </text>
    </comment>
    <comment ref="O359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ปรับมิเตอร์heater, clean HE 2 set, ปรับตัว FG ที่ไท่ balance เข้า loss</t>
        </r>
      </text>
    </comment>
    <comment ref="K418" authorId="2" shapeId="0">
      <text>
        <r>
          <rPr>
            <b/>
            <sz val="8"/>
            <color indexed="81"/>
            <rFont val="Tahoma"/>
            <family val="2"/>
          </rPr>
          <t>alongkorn:</t>
        </r>
        <r>
          <rPr>
            <sz val="8"/>
            <color indexed="81"/>
            <rFont val="Tahoma"/>
            <family val="2"/>
          </rPr>
          <t xml:space="preserve">
Cat Cooler Start up this month, So DCC do not received steam from out side any more . </t>
        </r>
      </text>
    </comment>
    <comment ref="F776" authorId="0" shapeId="0">
      <text>
        <r>
          <rPr>
            <b/>
            <sz val="8"/>
            <color indexed="81"/>
            <rFont val="Tahoma"/>
            <family val="2"/>
          </rPr>
          <t>alongorn: ปรับแก้ค่าความร้อนตั้งแต่เดือนเมษายน-54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776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แก้ไขปริมาณโดยปริญญา</t>
        </r>
      </text>
    </comment>
    <comment ref="O955" authorId="0" shapeId="0">
      <text>
        <r>
          <rPr>
            <b/>
            <sz val="8"/>
            <color indexed="81"/>
            <rFont val="Tahoma"/>
            <family val="2"/>
          </rPr>
          <t>alongorn:</t>
        </r>
        <r>
          <rPr>
            <sz val="8"/>
            <color indexed="81"/>
            <rFont val="Tahoma"/>
            <family val="2"/>
          </rPr>
          <t xml:space="preserve">
แก้ไขตาม sap โดยปริญญา</t>
        </r>
      </text>
    </comment>
    <comment ref="R1112" authorId="3" shapeId="0">
      <text>
        <r>
          <rPr>
            <b/>
            <sz val="8"/>
            <color indexed="81"/>
            <rFont val="Tahoma"/>
            <family val="2"/>
          </rPr>
          <t>WindowsXP2Go 2017:</t>
        </r>
        <r>
          <rPr>
            <sz val="8"/>
            <color indexed="81"/>
            <rFont val="Tahoma"/>
            <family val="2"/>
          </rPr>
          <t xml:space="preserve">
งง ว่าคูณ 1000 ไม ในเมื่อใน PW มันเปน GJ ยุแล้วอะ</t>
        </r>
      </text>
    </comment>
    <comment ref="T1130" authorId="4" shapeId="0">
      <text>
        <r>
          <rPr>
            <b/>
            <sz val="9"/>
            <color indexed="81"/>
            <rFont val="Tahoma"/>
            <family val="2"/>
          </rPr>
          <t>vaio:</t>
        </r>
        <r>
          <rPr>
            <sz val="9"/>
            <color indexed="81"/>
            <rFont val="Tahoma"/>
            <family val="2"/>
          </rPr>
          <t xml:space="preserve">
ผิด sum acc ทำไม</t>
        </r>
      </text>
    </comment>
    <comment ref="H1434" authorId="5" shapeId="0">
      <text>
        <r>
          <rPr>
            <b/>
            <sz val="8"/>
            <color indexed="81"/>
            <rFont val="Tahoma"/>
            <family val="2"/>
          </rPr>
          <t>ORSP:</t>
        </r>
        <r>
          <rPr>
            <sz val="8"/>
            <color indexed="81"/>
            <rFont val="Tahoma"/>
            <family val="2"/>
          </rPr>
          <t xml:space="preserve">
คิดเฉพาะโรงงานที่นำมาจัดทำรายงานเท่านั้น</t>
        </r>
      </text>
    </comment>
    <comment ref="C1442" authorId="5" shapeId="0">
      <text>
        <r>
          <rPr>
            <b/>
            <sz val="8"/>
            <color indexed="81"/>
            <rFont val="Tahoma"/>
            <family val="2"/>
          </rPr>
          <t>ORSP:</t>
        </r>
        <r>
          <rPr>
            <sz val="8"/>
            <color indexed="81"/>
            <rFont val="Tahoma"/>
            <family val="2"/>
          </rPr>
          <t xml:space="preserve">
ข้อมูลจาก EQC File : EE_AC_2007</t>
        </r>
      </text>
    </comment>
  </commentList>
</comments>
</file>

<file path=xl/sharedStrings.xml><?xml version="1.0" encoding="utf-8"?>
<sst xmlns="http://schemas.openxmlformats.org/spreadsheetml/2006/main" count="6845" uniqueCount="1351">
  <si>
    <t>WT</t>
  </si>
  <si>
    <t>Level</t>
  </si>
  <si>
    <t>Net Profit</t>
  </si>
  <si>
    <t>≥ 74</t>
  </si>
  <si>
    <t>≥ 80</t>
  </si>
  <si>
    <t>≤ 0.55</t>
  </si>
  <si>
    <t>≤ 0.45</t>
  </si>
  <si>
    <t>&lt; 60</t>
  </si>
  <si>
    <t>≥ 60</t>
  </si>
  <si>
    <t>≥ 70</t>
  </si>
  <si>
    <t>≥ 86</t>
  </si>
  <si>
    <t>≥ 90</t>
  </si>
  <si>
    <t>&lt; 85</t>
  </si>
  <si>
    <t>≥ 85</t>
  </si>
  <si>
    <t>≥ 95</t>
  </si>
  <si>
    <t>Plant Reliability</t>
  </si>
  <si>
    <t>≥ 98.5</t>
  </si>
  <si>
    <t>≥ 99.0</t>
  </si>
  <si>
    <t>≥ 99.5</t>
  </si>
  <si>
    <t>&lt; 97.96</t>
  </si>
  <si>
    <t>≥ 97.96</t>
  </si>
  <si>
    <t>≥ 1</t>
  </si>
  <si>
    <t>≥ 2</t>
  </si>
  <si>
    <t>OEMS Achievement</t>
  </si>
  <si>
    <t>&lt; 80</t>
  </si>
  <si>
    <t>Total</t>
  </si>
  <si>
    <t>KPI LV</t>
  </si>
  <si>
    <t>Plant</t>
  </si>
  <si>
    <t>Target 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</si>
  <si>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</si>
  <si>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</si>
  <si>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</si>
  <si>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</si>
  <si>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</si>
  <si>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</si>
  <si>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</si>
  <si>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</si>
  <si>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</si>
  <si>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</si>
  <si>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</si>
  <si>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</si>
  <si>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</si>
  <si>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LV1</t>
  </si>
  <si>
    <t>LV2</t>
  </si>
  <si>
    <t>LV3</t>
  </si>
  <si>
    <t>LV4</t>
  </si>
  <si>
    <t>LV5</t>
  </si>
  <si>
    <t>PP</t>
  </si>
  <si>
    <t>CD1</t>
  </si>
  <si>
    <t>BIC</t>
  </si>
  <si>
    <t>&gt; 3</t>
  </si>
  <si>
    <t>RA</t>
  </si>
  <si>
    <t>PL</t>
  </si>
  <si>
    <t>C11</t>
  </si>
  <si>
    <t>≤ 3</t>
  </si>
  <si>
    <t>C12</t>
  </si>
  <si>
    <t>C13</t>
  </si>
  <si>
    <t>HD</t>
  </si>
  <si>
    <t>≥ 100</t>
  </si>
  <si>
    <t>Actual 2015</t>
  </si>
  <si>
    <t>&gt;</t>
  </si>
  <si>
    <t>≤</t>
  </si>
  <si>
    <t>UH</t>
  </si>
  <si>
    <t>UT1</t>
  </si>
  <si>
    <t>PLE</t>
  </si>
  <si>
    <t>PLP</t>
  </si>
  <si>
    <t>Base Line</t>
  </si>
  <si>
    <t>Average 2017</t>
  </si>
  <si>
    <t>Actual 2017</t>
  </si>
  <si>
    <t>NO KPI</t>
  </si>
  <si>
    <r>
      <t>Re-Calculate PP Product &gt;</t>
    </r>
    <r>
      <rPr>
        <sz val="11"/>
        <color theme="1"/>
        <rFont val="Tahoma"/>
        <family val="2"/>
      </rPr>
      <t xml:space="preserve"> </t>
    </r>
  </si>
  <si>
    <t xml:space="preserve"> - ตัดปริมาณการผลิต 3375RM, 5175SM ที่เพิ่มขึ้นจากปี 2016 ออก ( เนื่องจากใช้ additive LDPE, PB ที่มีปริมาณมาก และมูลค่าสูงกว่าเกรดอื่นๆ มาก)</t>
  </si>
  <si>
    <t xml:space="preserve"> - ปรับราคา LDPE Polymer สำหรับ ดังกล่าวเท่ากับ เฉลี่ยปี 2016 = 47.62 บาท/กิโลกรัม (ปี 2017 เฉลี่ย 50.73)</t>
  </si>
  <si>
    <t xml:space="preserve"> - ตัดยอดการใช้ WS, N2 ที่เพิ่มขึ้นจากปกติ ( เดือนเมษายน - กรกฎาคม) จาก PPE Plant ก่อนที่ PPE Start up เดือนสิงหาคม </t>
  </si>
  <si>
    <t>Cash Cost 2018(Operation Cost)</t>
  </si>
  <si>
    <t>Target Reduce 2%</t>
  </si>
  <si>
    <t>เดือน</t>
  </si>
  <si>
    <t>No.</t>
  </si>
  <si>
    <t>โรงงาน</t>
  </si>
  <si>
    <t>ชนิดพลังงาน</t>
  </si>
  <si>
    <t>หน่วยเดิม</t>
  </si>
  <si>
    <t>ค่าความร้อน</t>
  </si>
  <si>
    <t>Density</t>
  </si>
  <si>
    <t>ราคาต่อหน่วย</t>
  </si>
  <si>
    <t>มูลค่า (บาท)</t>
  </si>
  <si>
    <t>(MJ/หน่วยเดิม)</t>
  </si>
  <si>
    <t>(kg/l)</t>
  </si>
  <si>
    <t>(บาท/หน่วย)</t>
  </si>
  <si>
    <t>HDPE</t>
  </si>
  <si>
    <t>1) พลังงานไฟฟ้า</t>
  </si>
  <si>
    <t>kWh</t>
  </si>
  <si>
    <t>2) ไอน้ำ  45 bar</t>
  </si>
  <si>
    <t xml:space="preserve">Ton </t>
  </si>
  <si>
    <t>Electricity</t>
  </si>
  <si>
    <t>Steam</t>
  </si>
  <si>
    <t>Diesel</t>
  </si>
  <si>
    <t>LPG</t>
  </si>
  <si>
    <t>Product</t>
  </si>
  <si>
    <t>3) ไอน้ำ  26 bar</t>
  </si>
  <si>
    <t>PW</t>
  </si>
  <si>
    <t>4) ไอน้ำ  10 bar</t>
  </si>
  <si>
    <t>3) LPG</t>
  </si>
  <si>
    <t>Kg</t>
  </si>
  <si>
    <t>PTK</t>
  </si>
  <si>
    <t>DCC</t>
  </si>
  <si>
    <t>ADU2</t>
  </si>
  <si>
    <t>LTU</t>
  </si>
  <si>
    <t xml:space="preserve">Product </t>
  </si>
  <si>
    <t>LDU</t>
  </si>
  <si>
    <t>ADU1</t>
  </si>
  <si>
    <t>2) ไอน้ำ (รับจาก LDPE)</t>
  </si>
  <si>
    <t>NTU</t>
  </si>
  <si>
    <t>3)  LPG</t>
  </si>
  <si>
    <t>PRP</t>
  </si>
  <si>
    <t>BTX</t>
  </si>
  <si>
    <t>PGH Unit</t>
  </si>
  <si>
    <t>ARU</t>
  </si>
  <si>
    <t>ไฟฟ้า</t>
  </si>
  <si>
    <t>ABS</t>
  </si>
  <si>
    <t>BD Unit</t>
  </si>
  <si>
    <t>ไอน้ำ</t>
  </si>
  <si>
    <t>Ton</t>
  </si>
  <si>
    <t>EPS</t>
  </si>
  <si>
    <t>1) ไอน้ำ 25 Bar (รับจาก UT1)</t>
  </si>
  <si>
    <t>Fuel Gas</t>
  </si>
  <si>
    <t>H2</t>
  </si>
  <si>
    <t>PS</t>
  </si>
  <si>
    <t>DK</t>
  </si>
  <si>
    <t>2) ไอน้ำ 45 Bar (รับจากPW)</t>
  </si>
  <si>
    <t>SAN</t>
  </si>
  <si>
    <t>SWS2</t>
  </si>
  <si>
    <t>CCM</t>
  </si>
  <si>
    <t>SRU</t>
  </si>
  <si>
    <t>Bagging</t>
  </si>
  <si>
    <t>Homo</t>
  </si>
  <si>
    <t>Bloco</t>
  </si>
  <si>
    <t>SWS3</t>
  </si>
  <si>
    <t>Baht/Ton</t>
  </si>
  <si>
    <t>1) ไฟฟ้า</t>
  </si>
  <si>
    <t>2) ไอน้ำ 25 bar</t>
  </si>
  <si>
    <t>FO</t>
  </si>
  <si>
    <t>3) ไอน้ำ 45 bar</t>
  </si>
  <si>
    <t>LODT</t>
  </si>
  <si>
    <t>LODR</t>
  </si>
  <si>
    <t>LODP</t>
  </si>
  <si>
    <t>LODA</t>
  </si>
  <si>
    <t>ไอน้ำ 26 bar (รับจาก UT1)</t>
  </si>
  <si>
    <t>ตัน</t>
  </si>
  <si>
    <t>LOGM</t>
  </si>
  <si>
    <t>LODL</t>
  </si>
  <si>
    <t>ACB Unit</t>
  </si>
  <si>
    <t>CPD</t>
  </si>
  <si>
    <t>2) ไอน้ำ</t>
  </si>
  <si>
    <t>SH</t>
  </si>
  <si>
    <t>Coke</t>
  </si>
  <si>
    <t>H2S</t>
  </si>
  <si>
    <t>AWH 41</t>
  </si>
  <si>
    <t>AWH 43</t>
  </si>
  <si>
    <t>Baht/GJ</t>
  </si>
  <si>
    <t xml:space="preserve"> น้ำมันดีเซล</t>
  </si>
  <si>
    <t>ลิตร</t>
  </si>
  <si>
    <t>2) น้ำมันดีเซล</t>
  </si>
  <si>
    <t>กระบวนการผลิตและส่งจ่ายน้ำประปา</t>
  </si>
  <si>
    <t>NM3</t>
  </si>
  <si>
    <t>กระบวนการผลิตน้ำปราศจากเกลือแร่</t>
  </si>
  <si>
    <t>ถ่านหินนำเข้า</t>
  </si>
  <si>
    <t>กระบวนการผลิตน้ำหล่อเย็น</t>
  </si>
  <si>
    <t>AWH</t>
  </si>
  <si>
    <t>MWH</t>
  </si>
  <si>
    <t>LOD</t>
  </si>
  <si>
    <t>กระบวนการผลิตลมมีแรงดัน</t>
  </si>
  <si>
    <t>Crude Intake</t>
  </si>
  <si>
    <t>กระบวนการผลิตลมแห้งมีแรงดัน</t>
  </si>
  <si>
    <t>GJ</t>
  </si>
  <si>
    <t>EI</t>
  </si>
  <si>
    <t>กระบวนการผลิตไนโตรเจน</t>
  </si>
  <si>
    <t>Litre</t>
  </si>
  <si>
    <t>PP1</t>
  </si>
  <si>
    <t>PP2</t>
  </si>
  <si>
    <t>PPC</t>
  </si>
  <si>
    <t>Target 2018</t>
  </si>
  <si>
    <t xml:space="preserve"> KPIs ระดับฝ่าย</t>
  </si>
  <si>
    <t>Description</t>
  </si>
  <si>
    <t>FORMULA
(สูตรการคำนวณ/คำอธิบาย)</t>
  </si>
  <si>
    <t>Performance Levels</t>
  </si>
  <si>
    <t>WT (%)</t>
  </si>
  <si>
    <t>Corporate KPI</t>
  </si>
  <si>
    <t>กำไรสุทธิ</t>
  </si>
  <si>
    <t>EBIT - Financial Expenses - Tax Expenses</t>
  </si>
  <si>
    <t>ผลประโยชน์รวมจากการดำเนินโครงการ Everest ทั้ง 4 ด้าน ได้แก่ Operation, Commercial, Procurement และ Corporate</t>
  </si>
  <si>
    <t>Employee Engagement</t>
  </si>
  <si>
    <t>ค่าเฉลี่ยของผลคะแนนจากข้อคำถามในแบบประเมินความผูกพันของพนักงานที่มีต่อองค์กร (Employee engagement survey)</t>
  </si>
  <si>
    <t>จำนวนผู้บาดเจ็บจากการทำงานตั้งแต่ระดับ Medical Treatment ขึ้นไปที่หนึ่งล้านชั่วโมงการทำงาน (โดยเป็นผลรวมของพนักงาน IRPC และ Outsource + Contractor)</t>
  </si>
  <si>
    <t>(จำนวนผู้บาดเจ็บจากการทำงานตั้งแต่ระดับ Medical Treatment ขึ้นไป
 x 106) / จำนวนชั่วโมงการทำงาน</t>
  </si>
  <si>
    <t>(Avg. environment management satisfaction score * 0.60) + (Avg. CSR activity satisfaction score * 0.35) +(Avg. IRPC personal satisfaction score * 0.05)</t>
  </si>
  <si>
    <t>ความสำเร็จในการขอรับรองมาตรฐานความรับผิดชอบต่อสังคม (CSR-DIW) (แผนกที่มีเลขทะเบียนโรงงาน)</t>
  </si>
  <si>
    <t>ได้รับการรับรองมาตรฐานความรับผิดชอบต่อสังคม (CSR-DIW) จากกรมโรงงานอุตสาหกรรม</t>
  </si>
  <si>
    <t>ได้รับการรับรอง</t>
  </si>
  <si>
    <t>ดำเนินการไม่แล้วเสร็จ</t>
  </si>
  <si>
    <r>
      <t>&gt;</t>
    </r>
    <r>
      <rPr>
        <b/>
        <sz val="22"/>
        <color rgb="FF000000"/>
        <rFont val="BrowalliaUPC"/>
        <family val="2"/>
      </rPr>
      <t xml:space="preserve"> 84</t>
    </r>
  </si>
  <si>
    <t>ดำเนินการเสร็จแต่ไม่ได้ใบรับรอง</t>
  </si>
  <si>
    <r>
      <t>&gt;</t>
    </r>
    <r>
      <rPr>
        <b/>
        <sz val="22"/>
        <color rgb="FF000000"/>
        <rFont val="BrowalliaUPC"/>
        <family val="2"/>
      </rPr>
      <t xml:space="preserve"> 88</t>
    </r>
  </si>
  <si>
    <t>ความสำเร็จในการดำเนินงานตามระบบการจัดการ OEMS ที่บูรณาการกับระบบการจัดการ  QSHE ตาม Functional ที่เกี่ยวข้อง</t>
  </si>
  <si>
    <t>Actual Progression / Plan Progress x 100</t>
  </si>
  <si>
    <t xml:space="preserve">Operating Expense per ton product 
</t>
  </si>
  <si>
    <t xml:space="preserve">ความน่าเชื่อถือของโรงงานในการดำเนินการผลิต
</t>
  </si>
  <si>
    <t>Plant Reliability = (Days in Year – Planned SD – Unplanned )/ (Days in Year – Planned SD)*100</t>
  </si>
  <si>
    <t>การเปรียบเทียบปริมาณการผลิตจริงกับแผนการผลิตตาม Final Plan Rev. 0</t>
  </si>
  <si>
    <r>
      <t xml:space="preserve">Standard Deviation      ( </t>
    </r>
    <r>
      <rPr>
        <b/>
        <u/>
        <sz val="26"/>
        <rFont val="BrowalliaUPC"/>
        <family val="2"/>
      </rPr>
      <t>Actual – Plan ) /Plan X 100</t>
    </r>
  </si>
  <si>
    <t xml:space="preserve">ปัญหาที่เกิดขึ้นในหน่วยงานทั้งการบริการหรือผลิตภัณน์ที่มีผลทำให้การผลิตของแผนก PP,HD, ต้องหยุดการผลิต </t>
  </si>
  <si>
    <t>จำนวนครั้งที่เกิดปัญหาที่แผนกC12C แล้วทำให้ HD,PP plant ต้องShutdown</t>
  </si>
  <si>
    <t>0 ครั้ง</t>
  </si>
  <si>
    <t>-</t>
  </si>
  <si>
    <t xml:space="preserve">ปริมาณผลิตภัณฑ์ที่ผลิตได้โดยมีคุณภาพผ่าน specification ( Premium product โดยฝ่าย SI เป็นผู้ระบุในแต่ละชนิดของผลิตภัณฑ์) เทียบกับปริมาณผลิตภัณฑ์ที่ผลิตได้ทั้งหมดในแต่ละเดือน
</t>
  </si>
  <si>
    <t xml:space="preserve">ข้อร้องเรียนของลูกค้าผ่านทาง Marketing ในเรื่องของคุณภาพผลิตภัณฑ์ที่ทางบริษัทได้ส่งมอบให้แก่ลูกค้าไม่ได้ตามที่ระบุไว้ใน Specification  ( นับรวมทั้งปี ) 
</t>
  </si>
  <si>
    <t>Individual KPI</t>
  </si>
  <si>
    <t>Safety Excellence</t>
  </si>
  <si>
    <t>วัดผลการบริหารจัดการด้านกิจกรรมความปลอดภัย 8 เรื่อง (Safety man,Team meeting,Safety Audit,Toolbox safety meeting,Safety suggestion,Safety talk,BBS และการตรวจสอบอุปกรณ์ความปลอดภัยประจำเดือน)</t>
  </si>
  <si>
    <t>จำนวนพนักงานกะที่ได้ L5 ครบทั้ง 8 กิจกรรม*100/จำนวนพนักงานกะ</t>
  </si>
  <si>
    <t>Waste pellet generation</t>
  </si>
  <si>
    <t>% Waste Pallet ที่เกิดขึ้นจากกระบวนการ Bag out</t>
  </si>
  <si>
    <t>=Actual Waste Pellet/Good Pellet bag out*100</t>
  </si>
  <si>
    <t>Waste Film generation</t>
  </si>
  <si>
    <t>% Waste Film ที่เกิดขึ้นจากกระบวนการ Bag out</t>
  </si>
  <si>
    <t>=Actual Waste Film/Good Film bag out*99</t>
  </si>
  <si>
    <t>Give away Pellet(TQA)</t>
  </si>
  <si>
    <t>ควบคุมจำนวนน้ำหนักเม็ดพลาสติกที่ชั่งเกินให้กับลูกค้าในแต่ถุง</t>
  </si>
  <si>
    <t>≥ 98.16</t>
  </si>
  <si>
    <t>Plant Capacity of PL 2018</t>
  </si>
  <si>
    <t>Unit</t>
  </si>
  <si>
    <t>Capacity (Tons/Year)</t>
  </si>
  <si>
    <t>Plant Ratio</t>
  </si>
  <si>
    <t>Unit Ratio</t>
  </si>
  <si>
    <t>PP3</t>
  </si>
  <si>
    <t>เดิม 225,000</t>
  </si>
  <si>
    <t>PP4</t>
  </si>
  <si>
    <t>ส่วนขยาย 160,000</t>
  </si>
  <si>
    <t>≤ 0.40</t>
  </si>
  <si>
    <t>(จำนวนผู้บาดเจ็บจากการทำงานตั้งแต่ระดับ Medical Treatment ขึ้นไป
 x 106) / จำนวนชั่วโมงการทำงาน)</t>
  </si>
  <si>
    <t>Functional Risks Management Acheivement</t>
  </si>
  <si>
    <t>CAPEX Achievement</t>
  </si>
  <si>
    <t>&lt; 2</t>
  </si>
  <si>
    <t>≥ 3</t>
  </si>
  <si>
    <t>≥ 4</t>
  </si>
  <si>
    <t>Functional and Cross Function KPI</t>
  </si>
  <si>
    <t>≥ 98.36</t>
  </si>
  <si>
    <t>≥ 98.56</t>
  </si>
  <si>
    <t>≤ 2</t>
  </si>
  <si>
    <t>&gt; 5</t>
  </si>
  <si>
    <t xml:space="preserve">Zero Accident
Zero Accident
</t>
  </si>
  <si>
    <t>Operation</t>
  </si>
  <si>
    <t>Operation Weight</t>
  </si>
  <si>
    <t>Complex</t>
  </si>
  <si>
    <t>CPX Weight</t>
  </si>
  <si>
    <t>Division</t>
  </si>
  <si>
    <t>Div. Weight</t>
  </si>
  <si>
    <t>Section</t>
  </si>
  <si>
    <t>Section Weight</t>
  </si>
  <si>
    <t>2018
Production Capacity
MT/Year</t>
  </si>
  <si>
    <t>Unit weight (Percent)</t>
  </si>
  <si>
    <t>Remark</t>
  </si>
  <si>
    <t>Base on (New agreement)
Updated in 2017</t>
  </si>
  <si>
    <t>First Startup capactiry</t>
  </si>
  <si>
    <t>Revamp history
(Production Capacity; MT/Year)</t>
  </si>
  <si>
    <t>O1</t>
  </si>
  <si>
    <t>Complex1</t>
  </si>
  <si>
    <t>PLE (HDPE)</t>
  </si>
  <si>
    <t>PLEH</t>
  </si>
  <si>
    <t>POLY</t>
  </si>
  <si>
    <t xml:space="preserve">Base on: Production rate
</t>
  </si>
  <si>
    <t>PLP (PP)</t>
  </si>
  <si>
    <t>PLP1</t>
  </si>
  <si>
    <t>Poly1</t>
  </si>
  <si>
    <t xml:space="preserve">Base on: Production rate
</t>
  </si>
  <si>
    <t>Poly2</t>
  </si>
  <si>
    <t>PLP2</t>
  </si>
  <si>
    <t>Poly3</t>
  </si>
  <si>
    <t>Poly4</t>
  </si>
  <si>
    <t>PLC (PPC)</t>
  </si>
  <si>
    <t>PLCC</t>
  </si>
  <si>
    <t>SA</t>
  </si>
  <si>
    <t>Styrenics
SAA (ABS)</t>
  </si>
  <si>
    <t>SAA1 (ABS1)</t>
  </si>
  <si>
    <t>GRAFT</t>
  </si>
  <si>
    <t>AM-SAN</t>
  </si>
  <si>
    <t>SAA3 (ABS3)</t>
  </si>
  <si>
    <t>E-SAN</t>
  </si>
  <si>
    <t>Styrenics
PS&amp;EPS</t>
  </si>
  <si>
    <t>SAPP (PS)</t>
  </si>
  <si>
    <t>GPPS</t>
  </si>
  <si>
    <t>HIPS</t>
  </si>
  <si>
    <t>SACE (EPS)</t>
  </si>
  <si>
    <t>DOWNSTREAM</t>
  </si>
  <si>
    <t>Styrenics
SAS (SAN)</t>
  </si>
  <si>
    <t>SAS1 (SAN L1&amp;L2)</t>
  </si>
  <si>
    <t>LINE 1</t>
  </si>
  <si>
    <t>LINE 2</t>
  </si>
  <si>
    <t>SAS3 (SAN L3)</t>
  </si>
  <si>
    <t>LINE 3</t>
  </si>
  <si>
    <t>Aromatics</t>
  </si>
  <si>
    <t>SACB (BTX)</t>
  </si>
  <si>
    <t>U100</t>
  </si>
  <si>
    <t xml:space="preserve">C7-,Mixed Xylene, C9+ Aromatics  </t>
  </si>
  <si>
    <t xml:space="preserve">Base on: Feed rate
เนื่องจากเป็น reaction และมีหลาย product
</t>
  </si>
  <si>
    <t>C9</t>
  </si>
  <si>
    <t xml:space="preserve">C9 Aromatics , C10+ Aromatics </t>
  </si>
  <si>
    <t>U200</t>
  </si>
  <si>
    <t>Reformate Extract,Raffinate</t>
  </si>
  <si>
    <t>U300</t>
  </si>
  <si>
    <t xml:space="preserve">Bezene,Toluene,Xylene ,C9+ Aromatics </t>
  </si>
  <si>
    <t>U400</t>
  </si>
  <si>
    <t>Pygas Extract,Raffinate</t>
  </si>
  <si>
    <t>SAPE (EBSM)</t>
  </si>
  <si>
    <t>Unit 0102</t>
  </si>
  <si>
    <t>Ethybenzene</t>
  </si>
  <si>
    <t>Unit 03</t>
  </si>
  <si>
    <t>Dehydrogenation Mixture,Hydrogen</t>
  </si>
  <si>
    <t>Unit 04</t>
  </si>
  <si>
    <t>Styrene</t>
  </si>
  <si>
    <t>Complex4</t>
  </si>
  <si>
    <t>OLE</t>
  </si>
  <si>
    <t>For OE to confirm</t>
  </si>
  <si>
    <t>ETH1</t>
  </si>
  <si>
    <t>Product:Ethylene</t>
  </si>
  <si>
    <t>ETH2</t>
  </si>
  <si>
    <t>Product:Propylene</t>
  </si>
  <si>
    <t>PGH</t>
  </si>
  <si>
    <t>OLH</t>
  </si>
  <si>
    <t>OLPB (BD)</t>
  </si>
  <si>
    <t>BD</t>
  </si>
  <si>
    <t>OLPP (PRP)</t>
  </si>
  <si>
    <t>OLPA (ACB)</t>
  </si>
  <si>
    <t>ACB1</t>
  </si>
  <si>
    <t>ACB2</t>
  </si>
  <si>
    <t>ACB3</t>
  </si>
  <si>
    <t>ACB4</t>
  </si>
  <si>
    <t xml:space="preserve">CSR-DIW Program Achievement/ECO Industry
</t>
  </si>
  <si>
    <t>(หน่วยเดิม)</t>
  </si>
  <si>
    <t>(MJ)</t>
  </si>
  <si>
    <t>forecast Total 2013</t>
  </si>
  <si>
    <t>Powder</t>
  </si>
  <si>
    <t>Pellet</t>
  </si>
  <si>
    <t>ไอน้ำใหม่ที่เพิ่มขึ้นและนำไปรวมกับพลังงานปีฐานแต่ละเดือน</t>
  </si>
  <si>
    <t>Total HDPE</t>
  </si>
  <si>
    <t>Baseline 2012</t>
  </si>
  <si>
    <t>Energy Std.</t>
  </si>
  <si>
    <t>y=(1.5815x+ 3808.3)*93.1084177363635/100</t>
  </si>
  <si>
    <t>GJ/Ton</t>
  </si>
  <si>
    <t>HDPE EI</t>
  </si>
  <si>
    <t>HDPE EII</t>
  </si>
  <si>
    <t>LOW MFI</t>
  </si>
  <si>
    <t>MEDIUM MFI</t>
  </si>
  <si>
    <t>HIGH MFI</t>
  </si>
  <si>
    <t>Total PP</t>
  </si>
  <si>
    <t>Hot oil,Catalyst</t>
  </si>
  <si>
    <t>PNRU</t>
  </si>
  <si>
    <t>PP EI</t>
  </si>
  <si>
    <t>PP EII</t>
  </si>
  <si>
    <t>Total PTK</t>
  </si>
  <si>
    <t>y=(356.36x+250.18)*85.885325498776/100</t>
  </si>
  <si>
    <t>EII 2012</t>
  </si>
  <si>
    <t>PTK EI</t>
  </si>
  <si>
    <t>PTK EII</t>
  </si>
  <si>
    <t>Total Energy (MJ)</t>
  </si>
  <si>
    <t>y=(0.2226x+(786.59*0.98))*(95.88/100)*(91.86/100))</t>
  </si>
  <si>
    <t>EII 2011</t>
  </si>
  <si>
    <t>RA EI</t>
  </si>
  <si>
    <t>RA EII</t>
  </si>
  <si>
    <t>Only Pipe Grade</t>
  </si>
  <si>
    <t>y=(1.4753x-500.51)*(108.5/100)*(93.06/100)</t>
  </si>
  <si>
    <t>Total Energy</t>
  </si>
  <si>
    <t>CD1 EI</t>
  </si>
  <si>
    <t>CD1 EII</t>
  </si>
  <si>
    <t>Total UT1 (WP)</t>
  </si>
  <si>
    <t>MJ/NM3</t>
  </si>
  <si>
    <t>UT1 (WP) EI</t>
  </si>
  <si>
    <t>UT1 (WP) EII</t>
  </si>
  <si>
    <t>Total UT1 (WDS)</t>
  </si>
  <si>
    <t>UT1 (WDS) EI</t>
  </si>
  <si>
    <t>UT1 (WDS) EII</t>
  </si>
  <si>
    <t>Total UT1 (WS)</t>
  </si>
  <si>
    <t>UT1 (WS) EI</t>
  </si>
  <si>
    <t>UT1 (WS) EII</t>
  </si>
  <si>
    <t xml:space="preserve">Total Energy (MJ) </t>
  </si>
  <si>
    <t>Total UT1 (AIP)</t>
  </si>
  <si>
    <t>UT1 (AIP) EI</t>
  </si>
  <si>
    <t>UT1 (AIP) EII</t>
  </si>
  <si>
    <t>Total UT1 (AII)</t>
  </si>
  <si>
    <t>UT1 (AII) EI</t>
  </si>
  <si>
    <t>UT1 (AII) EII</t>
  </si>
  <si>
    <t>Total UT1 (NL)</t>
  </si>
  <si>
    <t>UT1 (NL) EI</t>
  </si>
  <si>
    <t>UT1 (NL) EII</t>
  </si>
  <si>
    <t>Total BIC</t>
  </si>
  <si>
    <t>MJ/Ton</t>
  </si>
  <si>
    <t>BIC EI</t>
  </si>
  <si>
    <t>BIC EII</t>
  </si>
  <si>
    <t>Thermal</t>
  </si>
  <si>
    <t>Actual Energy</t>
  </si>
  <si>
    <t>Energy Standard</t>
  </si>
  <si>
    <t>EII Complex 1</t>
  </si>
  <si>
    <t>%</t>
  </si>
  <si>
    <t>Total Complex1</t>
  </si>
  <si>
    <t>Total ABS</t>
  </si>
  <si>
    <t>ABS EI</t>
  </si>
  <si>
    <t>ABS EII</t>
  </si>
  <si>
    <t>3) FG</t>
  </si>
  <si>
    <t>kg</t>
  </si>
  <si>
    <t>3) น้ำมันเตา</t>
  </si>
  <si>
    <t>4) Fuel Gas (Waste Gas)</t>
  </si>
  <si>
    <t>EBSM</t>
  </si>
  <si>
    <t>Total Product</t>
  </si>
  <si>
    <t>Total BTX</t>
  </si>
  <si>
    <t>BTX EI</t>
  </si>
  <si>
    <t>BTX EII</t>
  </si>
  <si>
    <t>2) ไอน้ำ 45 bar</t>
  </si>
  <si>
    <t>3) ไอน้ำ 3.5 bar</t>
  </si>
  <si>
    <t>4) น้ำมันเตา (FTO)</t>
  </si>
  <si>
    <t>5) LPG</t>
  </si>
  <si>
    <t>6) น้ำมันดีเซล</t>
  </si>
  <si>
    <t>7) H2</t>
  </si>
  <si>
    <t>Product (SM Product only)</t>
  </si>
  <si>
    <t xml:space="preserve">SM Tar </t>
  </si>
  <si>
    <t>BT</t>
  </si>
  <si>
    <t>4) น้ำมันเตา</t>
  </si>
  <si>
    <t>Total EBSM</t>
  </si>
  <si>
    <t>y = 7.9929x + 48434 (Jan-May-13)</t>
  </si>
  <si>
    <t>y =(5.246215*(SM+SM Tar))+(66.049738*(H2))+(46.56947*(BT))+38711</t>
  </si>
  <si>
    <t>ไอน้ำ 3.5 บาร์</t>
  </si>
  <si>
    <t>4) LPG</t>
  </si>
  <si>
    <t>5) น้ำมันดีเซล</t>
  </si>
  <si>
    <t>EBSM EI</t>
  </si>
  <si>
    <t>EBSM EII</t>
  </si>
  <si>
    <t>Complex 2</t>
  </si>
  <si>
    <t>3) น้ำมันดีเซล</t>
  </si>
  <si>
    <t>STD</t>
  </si>
  <si>
    <t>SE</t>
  </si>
  <si>
    <t>Total EPS</t>
  </si>
  <si>
    <t>EPS EI</t>
  </si>
  <si>
    <t>EPS EII</t>
  </si>
  <si>
    <t>4) FG</t>
  </si>
  <si>
    <t>5) Recycle monomer</t>
  </si>
  <si>
    <t>Total PS</t>
  </si>
  <si>
    <t>PS EI</t>
  </si>
  <si>
    <t>PS EII</t>
  </si>
  <si>
    <t>4) Waste Monomer</t>
  </si>
  <si>
    <t>Total SAN</t>
  </si>
  <si>
    <t>SAN EI</t>
  </si>
  <si>
    <t>SAN EII</t>
  </si>
  <si>
    <t>Total CCM</t>
  </si>
  <si>
    <t>CCM EI</t>
  </si>
  <si>
    <t>CCM EII</t>
  </si>
  <si>
    <t>Bagging EII</t>
  </si>
  <si>
    <t>IRPC</t>
  </si>
  <si>
    <t>Polyol</t>
  </si>
  <si>
    <t>2) ไอน้ำ (10 Bar)</t>
  </si>
  <si>
    <t>4)  LPG</t>
  </si>
  <si>
    <t>Total IRPC Polyol</t>
  </si>
  <si>
    <t>IRPC Polyol EI</t>
  </si>
  <si>
    <t>IRPC Polyol EII</t>
  </si>
  <si>
    <t>Recycle Monomer</t>
  </si>
  <si>
    <t>Energy standard</t>
  </si>
  <si>
    <t>Thai ABS</t>
  </si>
  <si>
    <t>Complex2</t>
  </si>
  <si>
    <t>2) ไอน้ำ 25 Bar (รับจาก PW)</t>
  </si>
  <si>
    <t>Total ADU1</t>
  </si>
  <si>
    <t>ADU1 EI</t>
  </si>
  <si>
    <t>ADU1 EII</t>
  </si>
  <si>
    <t>Feed</t>
  </si>
  <si>
    <t>Total DK</t>
  </si>
  <si>
    <t>DK EI</t>
  </si>
  <si>
    <t>DK EII</t>
  </si>
  <si>
    <t>ADU1+DK EII</t>
  </si>
  <si>
    <t>Total NTU</t>
  </si>
  <si>
    <t>NTU EI</t>
  </si>
  <si>
    <t>NTU EII</t>
  </si>
  <si>
    <t xml:space="preserve">2) ไอน้ำ </t>
  </si>
  <si>
    <t>Total ADU2</t>
  </si>
  <si>
    <t>y = 0.3213x + 101362</t>
  </si>
  <si>
    <t>ADU2 EI</t>
  </si>
  <si>
    <t>ADU2 EII</t>
  </si>
  <si>
    <t>2) Coke</t>
  </si>
  <si>
    <t>3) ไอน้ำ 45 Bar</t>
  </si>
  <si>
    <t>กิโลกรัม</t>
  </si>
  <si>
    <t>Total DCC</t>
  </si>
  <si>
    <t>y = 2.9616x + 56889</t>
  </si>
  <si>
    <t>รวม GHU</t>
  </si>
  <si>
    <t>2) ไอน้ำ 4.5 Bar</t>
  </si>
  <si>
    <t>4) ก๊าซเชื้อเพลิง</t>
  </si>
  <si>
    <t>DCC EI</t>
  </si>
  <si>
    <t>DCC EII</t>
  </si>
  <si>
    <t>DCC+SRU</t>
  </si>
  <si>
    <t>Std Energy</t>
  </si>
  <si>
    <t>EII DCC+SRU</t>
  </si>
  <si>
    <t>Acc EII DCC+SRU</t>
  </si>
  <si>
    <t>Complex3</t>
  </si>
  <si>
    <t>SEU</t>
  </si>
  <si>
    <t>EII</t>
  </si>
  <si>
    <t>PDU</t>
  </si>
  <si>
    <t>2) ไอน้ำ (รับจาก LUT)</t>
  </si>
  <si>
    <t>LUT</t>
  </si>
  <si>
    <t>รวม</t>
  </si>
  <si>
    <t>Total LTU</t>
  </si>
  <si>
    <t>3)  ก๊าซเชื้อเพลิง</t>
  </si>
  <si>
    <t>LTU EI</t>
  </si>
  <si>
    <t>LTU EII</t>
  </si>
  <si>
    <t>VDU</t>
  </si>
  <si>
    <t>DAU</t>
  </si>
  <si>
    <t>ABU</t>
  </si>
  <si>
    <t>Total LDU</t>
  </si>
  <si>
    <t>LDU EI</t>
  </si>
  <si>
    <t>LDU EII</t>
  </si>
  <si>
    <t>QC5</t>
  </si>
  <si>
    <t>Area</t>
  </si>
  <si>
    <t>M2</t>
  </si>
  <si>
    <t>Demin water unit</t>
  </si>
  <si>
    <t>Total LUT (WDS)</t>
  </si>
  <si>
    <t>LUT (WDS) EI</t>
  </si>
  <si>
    <t>LUT (WDS) EII</t>
  </si>
  <si>
    <t>Cooling water unit</t>
  </si>
  <si>
    <t>Total LUT (WS)</t>
  </si>
  <si>
    <t>LUT (WS) EI</t>
  </si>
  <si>
    <t>LUT (WS) EII</t>
  </si>
  <si>
    <t>Compress air unit</t>
  </si>
  <si>
    <t>Total LUT (AIP)</t>
  </si>
  <si>
    <t>LUT (AIP) EI</t>
  </si>
  <si>
    <t>LUT (AIP) EII</t>
  </si>
  <si>
    <t>Instrument air unit</t>
  </si>
  <si>
    <t>Total LUT (AII)</t>
  </si>
  <si>
    <t>LUT (AII) EI</t>
  </si>
  <si>
    <t>LUT (AII) EII</t>
  </si>
  <si>
    <t>Super heat steam 45 bar unit</t>
  </si>
  <si>
    <t>Boiler หยุดการผลิตไปแล้วครับ จึงไม่มีข้อมูล</t>
  </si>
  <si>
    <t>2) น้ำมันเตา</t>
  </si>
  <si>
    <t>Energy Export; (หน่วยปริมาณ)</t>
  </si>
  <si>
    <t>1) ไอน้ำ</t>
  </si>
  <si>
    <t>Energy Export (GJ)</t>
  </si>
  <si>
    <t>Total Energy Export (GJ)</t>
  </si>
  <si>
    <t>Net Energy LUT (SH)</t>
  </si>
  <si>
    <t>Total EI</t>
  </si>
  <si>
    <t>LUT (SH) EI</t>
  </si>
  <si>
    <t>LUT (SH) EII</t>
  </si>
  <si>
    <t>Grand Total LUT Atcual Energy</t>
  </si>
  <si>
    <t>Grand Total LUT Std Energy</t>
  </si>
  <si>
    <t>EII LUT</t>
  </si>
  <si>
    <t>ACC EII LUT</t>
  </si>
  <si>
    <t>3) H2S</t>
  </si>
  <si>
    <t>4) ไอน้ำ 4.5 บาร์</t>
  </si>
  <si>
    <t>5) ไอน้ำ 45 บาร์</t>
  </si>
  <si>
    <t>Total SRU</t>
  </si>
  <si>
    <t>2) ก๊าซเชื้อเพลิง</t>
  </si>
  <si>
    <t>SRU EI</t>
  </si>
  <si>
    <t>SRU EII</t>
  </si>
  <si>
    <t>1)ไฟฟ้า</t>
  </si>
  <si>
    <t>2)ไอน้ำ</t>
  </si>
  <si>
    <t>Total SWS2</t>
  </si>
  <si>
    <t>SWS2 EI</t>
  </si>
  <si>
    <t>SWS2 EII</t>
  </si>
  <si>
    <t>Total ARU</t>
  </si>
  <si>
    <t>ARU EI</t>
  </si>
  <si>
    <t>ARU EII</t>
  </si>
  <si>
    <t>Total SWS3</t>
  </si>
  <si>
    <t>SWS3 EI</t>
  </si>
  <si>
    <t>SWS3 EII</t>
  </si>
  <si>
    <t>SRU+SWS2,3+ARU</t>
  </si>
  <si>
    <t>UT2</t>
  </si>
  <si>
    <t>(AIP)</t>
  </si>
  <si>
    <t>Total UT2(AIP)</t>
  </si>
  <si>
    <t>UT2(AIP) EI</t>
  </si>
  <si>
    <t>UT2(AIP) EII</t>
  </si>
  <si>
    <t>(AII)</t>
  </si>
  <si>
    <t>Total UT2(AII)</t>
  </si>
  <si>
    <t>UT2(AII) EI</t>
  </si>
  <si>
    <t>UT2(AII) EII</t>
  </si>
  <si>
    <t>(NL)</t>
  </si>
  <si>
    <t>Total UT2(NL)</t>
  </si>
  <si>
    <t>UT2(NL) EI</t>
  </si>
  <si>
    <t>UT2(NL) EII</t>
  </si>
  <si>
    <t>(WS)</t>
  </si>
  <si>
    <t>Total UT2(WS)</t>
  </si>
  <si>
    <t>UT2(WS) EI</t>
  </si>
  <si>
    <t>UT2(WS) EII</t>
  </si>
  <si>
    <t xml:space="preserve">EII Total SRU </t>
  </si>
  <si>
    <t>Total WT</t>
  </si>
  <si>
    <t>WT EI</t>
  </si>
  <si>
    <t>TFLT</t>
  </si>
  <si>
    <t>EI1</t>
  </si>
  <si>
    <t>EI2</t>
  </si>
  <si>
    <t>EI3</t>
  </si>
  <si>
    <t>TFPP</t>
  </si>
  <si>
    <t>TFLL</t>
  </si>
  <si>
    <t>Total TFLT</t>
  </si>
  <si>
    <t>TFLT EI</t>
  </si>
  <si>
    <t>TFLT EII</t>
  </si>
  <si>
    <t>Total TFPP</t>
  </si>
  <si>
    <t>Y  =  (0.021X + 14784)*0.7162</t>
  </si>
  <si>
    <t>TFPP EI</t>
  </si>
  <si>
    <t>TFPP EII</t>
  </si>
  <si>
    <t>Movement</t>
  </si>
  <si>
    <t>Total TFLL</t>
  </si>
  <si>
    <t>TFLL EI</t>
  </si>
  <si>
    <t>TFLL EII</t>
  </si>
  <si>
    <t>TF Dept</t>
  </si>
  <si>
    <t>ETP</t>
  </si>
  <si>
    <t>ETH Unit</t>
  </si>
  <si>
    <t>2) Fuel Gas</t>
  </si>
  <si>
    <t>3) BFW</t>
  </si>
  <si>
    <t xml:space="preserve">4) HP Steam </t>
  </si>
  <si>
    <t xml:space="preserve">5) MP Steam </t>
  </si>
  <si>
    <t xml:space="preserve">6) LP Steam </t>
  </si>
  <si>
    <t xml:space="preserve">7) LLP Steam </t>
  </si>
  <si>
    <t xml:space="preserve">8) LP Condensate </t>
  </si>
  <si>
    <t>Demineralized Water Unit</t>
  </si>
  <si>
    <t>Plant Air Unit</t>
  </si>
  <si>
    <t>Ethylene</t>
  </si>
  <si>
    <t>Intrument Air Unit</t>
  </si>
  <si>
    <t>Propylene</t>
  </si>
  <si>
    <t>Nitrogen Air Unit</t>
  </si>
  <si>
    <t xml:space="preserve">1) HP Steam </t>
  </si>
  <si>
    <t xml:space="preserve">2) MP Steam </t>
  </si>
  <si>
    <t xml:space="preserve">3) LP Steam </t>
  </si>
  <si>
    <t xml:space="preserve">4) LLP Steam </t>
  </si>
  <si>
    <t xml:space="preserve">5) LP Condensate </t>
  </si>
  <si>
    <t xml:space="preserve">6) LLP Condensate </t>
  </si>
  <si>
    <t>Energy (GJ)</t>
  </si>
  <si>
    <t xml:space="preserve">Total Energy </t>
  </si>
  <si>
    <t xml:space="preserve">Net Energy </t>
  </si>
  <si>
    <t>EI ETH Unit</t>
  </si>
  <si>
    <t xml:space="preserve">EI Total Energy </t>
  </si>
  <si>
    <t xml:space="preserve">EI Net Energy </t>
  </si>
  <si>
    <t xml:space="preserve">EII Net Energy </t>
  </si>
  <si>
    <t xml:space="preserve">2) HP Steam </t>
  </si>
  <si>
    <t xml:space="preserve">3) MP Steam </t>
  </si>
  <si>
    <t xml:space="preserve">4) LP Steam </t>
  </si>
  <si>
    <t xml:space="preserve">5) LLP Steam </t>
  </si>
  <si>
    <t xml:space="preserve"> Product C6/C8</t>
  </si>
  <si>
    <t xml:space="preserve">1) LLP Condensate </t>
  </si>
  <si>
    <t>EI PGH Unit</t>
  </si>
  <si>
    <t xml:space="preserve">2) LP Steam </t>
  </si>
  <si>
    <t xml:space="preserve"> Product Butadiene</t>
  </si>
  <si>
    <t>EI BD Unit</t>
  </si>
  <si>
    <t xml:space="preserve"> Product ACB</t>
  </si>
  <si>
    <t xml:space="preserve">EII Total Energy </t>
  </si>
  <si>
    <t>Boiler Unit</t>
  </si>
  <si>
    <t>2) B.C. Oil</t>
  </si>
  <si>
    <t>4) Fuel Gas</t>
  </si>
  <si>
    <t>5) PFO</t>
  </si>
  <si>
    <t>6) BFW</t>
  </si>
  <si>
    <t>7) LP Steam</t>
  </si>
  <si>
    <t>8) LLP Steam</t>
  </si>
  <si>
    <t>เอามาจาก LLS Consumed ??</t>
  </si>
  <si>
    <t>Product Steam HS</t>
  </si>
  <si>
    <t xml:space="preserve">2) LLP Steam </t>
  </si>
  <si>
    <t>LLS produced</t>
  </si>
  <si>
    <t xml:space="preserve">3) LP Condensate </t>
  </si>
  <si>
    <t>LC produced</t>
  </si>
  <si>
    <t xml:space="preserve">4) LLP Condensate </t>
  </si>
  <si>
    <t>LLC produced</t>
  </si>
  <si>
    <t xml:space="preserve">3) LLP Steam </t>
  </si>
  <si>
    <t>7) LS</t>
  </si>
  <si>
    <t>8) LLS</t>
  </si>
  <si>
    <t>EI2007</t>
  </si>
  <si>
    <t>EI Boiler Unit</t>
  </si>
  <si>
    <t>STG Unit</t>
  </si>
  <si>
    <t>1) HP Steam</t>
  </si>
  <si>
    <t>2) LLP Steam</t>
  </si>
  <si>
    <t xml:space="preserve"> Product Electricity</t>
  </si>
  <si>
    <t>1) Electricity</t>
  </si>
  <si>
    <t xml:space="preserve">4) LP Condensate </t>
  </si>
  <si>
    <t>EI STG Unit</t>
  </si>
  <si>
    <t>EI Total Energy</t>
  </si>
  <si>
    <t>GJ/GJ</t>
  </si>
  <si>
    <t>GJ/kWh</t>
  </si>
  <si>
    <t>Cooling Water Unit</t>
  </si>
  <si>
    <t xml:space="preserve"> Product WS</t>
  </si>
  <si>
    <t>M3</t>
  </si>
  <si>
    <t>EI Cooling Water Unit</t>
  </si>
  <si>
    <t>MJ/M3</t>
  </si>
  <si>
    <t>MJ/M4</t>
  </si>
  <si>
    <t xml:space="preserve"> Product WDS</t>
  </si>
  <si>
    <t>EI Demineralized Water Unit</t>
  </si>
  <si>
    <t xml:space="preserve"> Product AIR</t>
  </si>
  <si>
    <t>EI Plant Air Unit</t>
  </si>
  <si>
    <t>MJ/NM4</t>
  </si>
  <si>
    <t xml:space="preserve"> Product Intrument Air</t>
  </si>
  <si>
    <t>EI Plant Instrument Air Unit</t>
  </si>
  <si>
    <t xml:space="preserve"> Product Nitrogen Air</t>
  </si>
  <si>
    <t>EI Plant Nitrogen Air Unit</t>
  </si>
  <si>
    <t>B.C. Oil</t>
  </si>
  <si>
    <t>PGO/Diesel</t>
  </si>
  <si>
    <t>PFO</t>
  </si>
  <si>
    <t>Complex 4</t>
  </si>
  <si>
    <t>ETH</t>
  </si>
  <si>
    <t>EI (MJ/Ton)</t>
  </si>
  <si>
    <t>EI (GJ/Ton)</t>
  </si>
  <si>
    <t>ACB</t>
  </si>
  <si>
    <t>Complex 4: Exclude PRP</t>
  </si>
  <si>
    <t>FO/Coal</t>
  </si>
  <si>
    <t>NG</t>
  </si>
  <si>
    <t>Total Complex 4</t>
  </si>
  <si>
    <t>Actual Energy Input</t>
  </si>
  <si>
    <t>Boiler 02</t>
  </si>
  <si>
    <t>CHP-1</t>
  </si>
  <si>
    <t>STD2008</t>
  </si>
  <si>
    <t>CHP-2</t>
  </si>
  <si>
    <t>CHP-3</t>
  </si>
  <si>
    <t>CHP-4</t>
  </si>
  <si>
    <t>CHP-5</t>
  </si>
  <si>
    <t>CHP-6</t>
  </si>
  <si>
    <t>Energy Input</t>
  </si>
  <si>
    <t>Energy Input Acc.</t>
  </si>
  <si>
    <t>Actual Energy Output</t>
  </si>
  <si>
    <t>Energy Output Acc.</t>
  </si>
  <si>
    <t>STD2007</t>
  </si>
  <si>
    <t>Energy Output Std.</t>
  </si>
  <si>
    <t>Energy Output Std. Acc.</t>
  </si>
  <si>
    <t>Baht/GJ,Product</t>
  </si>
  <si>
    <t>Grand Total Actual</t>
  </si>
  <si>
    <t>Grand Total STD.</t>
  </si>
  <si>
    <t>EII PW</t>
  </si>
  <si>
    <t>EII PW Acc.</t>
  </si>
  <si>
    <t>1) น้ำมันเตา</t>
  </si>
  <si>
    <t>3) C3 Fraction (Pw ขอใช้ราคาของ Fuel gas)</t>
  </si>
  <si>
    <t>4) Natural Gas</t>
  </si>
  <si>
    <t>5) Import Power form PEA</t>
  </si>
  <si>
    <t>6) Export Power to PEA</t>
  </si>
  <si>
    <t>7) ถ่านหินนำเข้า</t>
  </si>
  <si>
    <t>Product (GJ)</t>
  </si>
  <si>
    <t>Net Energy</t>
  </si>
  <si>
    <t>EI PW</t>
  </si>
  <si>
    <t xml:space="preserve">1) ไฟฟ้า </t>
  </si>
  <si>
    <t>2) น้ำมันดีเซลรถ F/L</t>
  </si>
  <si>
    <t>Product Movement</t>
  </si>
  <si>
    <t>พันตัน</t>
  </si>
  <si>
    <t>Product Movement by F/L</t>
  </si>
  <si>
    <t>Energy Std. 1</t>
  </si>
  <si>
    <t>Std</t>
  </si>
  <si>
    <t>Energy Std. 2</t>
  </si>
  <si>
    <t>AWH 41 EII</t>
  </si>
  <si>
    <t>Product Movement by Truck</t>
  </si>
  <si>
    <t>Energy Std. 3</t>
  </si>
  <si>
    <t>Energy Std. 4</t>
  </si>
  <si>
    <t>Baht/MJ</t>
  </si>
  <si>
    <t>AWH 43 EII</t>
  </si>
  <si>
    <t>Total Std Energy</t>
  </si>
  <si>
    <t>Over all AWH EII</t>
  </si>
  <si>
    <t>การขนย้ายและจัดเก็บผลิตภัณฑ์</t>
  </si>
  <si>
    <t>Total LOGM</t>
  </si>
  <si>
    <t>LOGM EI</t>
  </si>
  <si>
    <t>LOGM EII</t>
  </si>
  <si>
    <t>Baht/พันลิตร</t>
  </si>
  <si>
    <t>Kwh</t>
  </si>
  <si>
    <t>Std. Energy</t>
  </si>
  <si>
    <t>Grand Total Energy LOG</t>
  </si>
  <si>
    <t>Grand Total Energy Std. LOG</t>
  </si>
  <si>
    <t>EII LOG</t>
  </si>
  <si>
    <t>พันลิตร</t>
  </si>
  <si>
    <t>Total LODA</t>
  </si>
  <si>
    <t>Addition</t>
  </si>
  <si>
    <t>kwh/Month</t>
  </si>
  <si>
    <t xml:space="preserve">y = 1.1588x + 131.78
R² = 0.5073
</t>
  </si>
  <si>
    <t>GJ/พันลิตร</t>
  </si>
  <si>
    <t>LODA EI</t>
  </si>
  <si>
    <t>LODA EII</t>
  </si>
  <si>
    <t>Total LODP</t>
  </si>
  <si>
    <t>y = 1.1764x + 210.32</t>
  </si>
  <si>
    <t>LODP EI</t>
  </si>
  <si>
    <t>LODP EII</t>
  </si>
  <si>
    <t>ปรับฐานจาก VRU</t>
  </si>
  <si>
    <t>Total LODR</t>
  </si>
  <si>
    <t>y = 0.7051x + 543.24</t>
  </si>
  <si>
    <t>LODR EI</t>
  </si>
  <si>
    <t>LODR EII</t>
  </si>
  <si>
    <t>Total CPD</t>
  </si>
  <si>
    <t>CPD EI</t>
  </si>
  <si>
    <t>CPD EII</t>
  </si>
  <si>
    <t>Total LODL</t>
  </si>
  <si>
    <t>LODL EI</t>
  </si>
  <si>
    <t>LODL EII</t>
  </si>
  <si>
    <t>LODT EII</t>
  </si>
  <si>
    <t xml:space="preserve">LOD Actual Energy </t>
  </si>
  <si>
    <t xml:space="preserve"> LOD Energy Std.</t>
  </si>
  <si>
    <t>LOD  EII</t>
  </si>
  <si>
    <t>LOD  Acc. EII</t>
  </si>
  <si>
    <t xml:space="preserve">Grand Actual Energy </t>
  </si>
  <si>
    <t xml:space="preserve"> Grand Energy Std.</t>
  </si>
  <si>
    <t>LO EII</t>
  </si>
  <si>
    <t>LO Acc. EII</t>
  </si>
  <si>
    <t>Port</t>
  </si>
  <si>
    <t xml:space="preserve">  1.1) ไฟฟ้า </t>
  </si>
  <si>
    <t>1.1) ไฟฟ้า (สำนักงาน)</t>
  </si>
  <si>
    <t>Energy Std.1</t>
  </si>
  <si>
    <t>GJ/Month</t>
  </si>
  <si>
    <t xml:space="preserve">Port EI </t>
  </si>
  <si>
    <t>Port  EII</t>
  </si>
  <si>
    <t>Port  EII Acc.</t>
  </si>
  <si>
    <t>GA</t>
  </si>
  <si>
    <t>อาคาร 10 ปี</t>
  </si>
  <si>
    <t>ปี 2554</t>
  </si>
  <si>
    <t>ปี 2553</t>
  </si>
  <si>
    <t>จำนวนคนในอาคาร</t>
  </si>
  <si>
    <t>คน</t>
  </si>
  <si>
    <t>MJ/person/day</t>
  </si>
  <si>
    <t>GJ/person/day</t>
  </si>
  <si>
    <t>GJ/m2</t>
  </si>
  <si>
    <t>GA  EII</t>
  </si>
  <si>
    <t>Actual</t>
  </si>
  <si>
    <t>GA  Acc.EII</t>
  </si>
  <si>
    <t>Grand Total (ไม่คิดความซ้ำซ้อน)</t>
  </si>
  <si>
    <t>ไฟฟ้า (ข้อมูลจาก บพร.1,2 เฉพาะ 26 โรงงาน)</t>
  </si>
  <si>
    <t>รวมปริมาณไฟฟ้าทั้งหมด (ผลิตเอง+ซื้อ)</t>
  </si>
  <si>
    <t xml:space="preserve"> - ผลิตใช้เอง (ข้อมูลจาก บพร.2)</t>
  </si>
  <si>
    <t xml:space="preserve"> -  PW</t>
  </si>
  <si>
    <t xml:space="preserve"> -  STG/ETP</t>
  </si>
  <si>
    <r>
      <t xml:space="preserve"> - ซื้อจาก PEA </t>
    </r>
    <r>
      <rPr>
        <sz val="12"/>
        <rFont val="Angsana New"/>
        <family val="1"/>
      </rPr>
      <t>(ข้อมูลจาก sheet ข้อมูลไฟฟ้า 08-09)</t>
    </r>
  </si>
  <si>
    <t xml:space="preserve"> -  PEA 1</t>
  </si>
  <si>
    <t xml:space="preserve"> -  PEA 2</t>
  </si>
  <si>
    <t>ไอน้ำ (รวม)</t>
  </si>
  <si>
    <t>ก๊าซเชื้อเพลิง</t>
  </si>
  <si>
    <t>น้ำมันเตา</t>
  </si>
  <si>
    <t>LPG/Propane</t>
  </si>
  <si>
    <t>น้ำมันดีเซล</t>
  </si>
  <si>
    <t>PS Recycle monomer</t>
  </si>
  <si>
    <t xml:space="preserve"> C3 Fraction</t>
  </si>
  <si>
    <t>ไฟฟ้าที่ซื้อจากภายนอกใช้เฉพาะใน  26 โรงงาน</t>
  </si>
  <si>
    <t xml:space="preserve"> - 4.8 bar</t>
  </si>
  <si>
    <t xml:space="preserve"> - 10 bar</t>
  </si>
  <si>
    <t xml:space="preserve"> - 25 bar</t>
  </si>
  <si>
    <t xml:space="preserve"> - 45 bar</t>
  </si>
  <si>
    <t>Data %Premium of Polyolefin Product</t>
  </si>
  <si>
    <t xml:space="preserve">          Plant</t>
  </si>
  <si>
    <r>
      <t>HDPE</t>
    </r>
    <r>
      <rPr>
        <b/>
        <i/>
        <sz val="9"/>
        <color theme="7" tint="0.39997558519241921"/>
        <rFont val="Arial"/>
        <family val="2"/>
      </rPr>
      <t/>
    </r>
  </si>
  <si>
    <r>
      <t xml:space="preserve">CD-1 </t>
    </r>
    <r>
      <rPr>
        <b/>
        <i/>
        <sz val="9"/>
        <color theme="0"/>
        <rFont val="Arial"/>
        <family val="2"/>
      </rPr>
      <t/>
    </r>
  </si>
  <si>
    <t>PP I</t>
  </si>
  <si>
    <t>PP II</t>
  </si>
  <si>
    <r>
      <t xml:space="preserve"> Total PP</t>
    </r>
    <r>
      <rPr>
        <b/>
        <i/>
        <sz val="9"/>
        <color theme="0"/>
        <rFont val="Arial"/>
        <family val="2"/>
      </rPr>
      <t/>
    </r>
  </si>
  <si>
    <r>
      <t>COM 1</t>
    </r>
    <r>
      <rPr>
        <b/>
        <i/>
        <sz val="11"/>
        <color theme="0"/>
        <rFont val="Arial"/>
        <family val="2"/>
      </rPr>
      <t xml:space="preserve"> </t>
    </r>
  </si>
  <si>
    <t>Month</t>
  </si>
  <si>
    <t>Premium</t>
  </si>
  <si>
    <t>Sub-Std</t>
  </si>
  <si>
    <t>Off grade</t>
  </si>
  <si>
    <t>% premium</t>
  </si>
  <si>
    <t>LV</t>
  </si>
  <si>
    <t>JAN-18 (KPI)</t>
  </si>
  <si>
    <t>FEB-18 (KPI)</t>
  </si>
  <si>
    <t>MAR-18 (KPI)</t>
  </si>
  <si>
    <t>APR-18 (KPI)</t>
  </si>
  <si>
    <t>May-18 (KPI)</t>
  </si>
  <si>
    <t>Jun-18 (KPI)</t>
  </si>
  <si>
    <t>Jul-18 (KPI)</t>
  </si>
  <si>
    <t>Aug-18 (KPI)</t>
  </si>
  <si>
    <t>Sep-18 (KPI)</t>
  </si>
  <si>
    <t>Oct-18 (KPI)</t>
  </si>
  <si>
    <t xml:space="preserve">Nov-18 (KPI) </t>
  </si>
  <si>
    <t>Dec-18 (KPI)</t>
  </si>
  <si>
    <t>YTD (KPI)</t>
  </si>
  <si>
    <t>5) ไอน้ำ  3.5 bar</t>
  </si>
  <si>
    <t>ไฟฟ้าใหม่</t>
  </si>
  <si>
    <t>Total PP-Hot oil-PNRU</t>
  </si>
  <si>
    <t>KPI &lt;= 96.64</t>
  </si>
  <si>
    <t xml:space="preserve">ABS Powder </t>
  </si>
  <si>
    <t xml:space="preserve">ABS Product </t>
  </si>
  <si>
    <t>Product (ทุกชนิด)</t>
  </si>
  <si>
    <t>S/D</t>
  </si>
  <si>
    <t>SD &amp; TA</t>
  </si>
  <si>
    <t>Y = 2.0598X + 63.771*104.53/100</t>
  </si>
  <si>
    <t>Y=(1.4936X+638.67)*94.06/100</t>
  </si>
  <si>
    <t>y = 0.7433x + 9822.6</t>
  </si>
  <si>
    <t>ไมน้อยเกิน</t>
  </si>
  <si>
    <t>y = 2.1199x + 6808.2*99.58/100</t>
  </si>
  <si>
    <t>y = 1.5773x + 2849.4</t>
  </si>
  <si>
    <t>y = 0.2197x + 185500</t>
  </si>
  <si>
    <t>y = (-0.0191x + 42990)*(99.55/100)</t>
  </si>
  <si>
    <t>y = 3E-13x + 1814.4</t>
  </si>
  <si>
    <t>3) PGO/Diesel</t>
  </si>
  <si>
    <t>Energy Output</t>
  </si>
  <si>
    <t>4) ถ่านหินนำเข้า</t>
  </si>
  <si>
    <t>y = 1.7383x + 9.0148</t>
  </si>
  <si>
    <t>y = 0.0612x + 65.968</t>
  </si>
  <si>
    <t>Total LODT</t>
  </si>
  <si>
    <t>y = 0.0452x + 1.8951</t>
  </si>
  <si>
    <t>LODT EI</t>
  </si>
  <si>
    <t xml:space="preserve"> - ไฟฟ้าที่ซื้อและจ่ายลูกค้า(TCL,TSL,TSSI,etc)</t>
  </si>
  <si>
    <t xml:space="preserve"> - ไฟฟ้าที่ Thai ABS+ Pol ใช้</t>
  </si>
  <si>
    <t xml:space="preserve"> - ไฟฟ้าที่ซื้อและใช้เอง</t>
  </si>
  <si>
    <t>ปริมาณไฟฟ้าที่ IRPC ใช้เอง  ทั้งหมด</t>
  </si>
  <si>
    <t>SAN Recycle monomer</t>
  </si>
  <si>
    <t>รวม อื่นๆ (8+9+10+11)</t>
  </si>
  <si>
    <t>Steam purchase from LDPE</t>
  </si>
  <si>
    <t>Steam purchase from TNC</t>
  </si>
  <si>
    <t>ไม่ซ้ำซ้อน</t>
  </si>
  <si>
    <t>ซ้ำซ้อน</t>
  </si>
  <si>
    <t>ม.ค.61</t>
  </si>
  <si>
    <t>ก.พ.61</t>
  </si>
  <si>
    <t>มี.ค.61</t>
  </si>
  <si>
    <t>เม.ย.61</t>
  </si>
  <si>
    <t>พ.ค.61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</si>
  <si>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</si>
  <si>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</si>
  <si>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</si>
  <si>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</si>
  <si>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</si>
  <si>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</si>
  <si>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</si>
  <si>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</si>
  <si>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</si>
  <si>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</si>
  <si>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</si>
  <si>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</si>
  <si>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ข้อมูลการใช้พลังงานตั้งแต่เดือนมกราคม-ธันวาคม 2018</t>
  </si>
  <si>
    <t>มิ.ย.61</t>
  </si>
  <si>
    <t>ก.ค.61</t>
  </si>
  <si>
    <t>ส.ค.61</t>
  </si>
  <si>
    <t>ก.ย.61</t>
  </si>
  <si>
    <t>ต.ค.61</t>
  </si>
  <si>
    <t>พ.ย.61</t>
  </si>
  <si>
    <t>ธ.ค.61</t>
  </si>
  <si>
    <t>EII2011</t>
  </si>
  <si>
    <t>รวมทุกเกรดไหม</t>
  </si>
  <si>
    <t>กระบวนการผลิตไอน้ำ</t>
  </si>
  <si>
    <t>3) LPG (Propane)</t>
  </si>
  <si>
    <t>EI V2</t>
  </si>
  <si>
    <t>Net Energy Cost</t>
  </si>
  <si>
    <t>(Baht)</t>
  </si>
  <si>
    <t>Net Energy UT1 (Steam)</t>
  </si>
  <si>
    <t>UT1 (Steam) EI</t>
  </si>
  <si>
    <t>UT1 (Steam) EII</t>
  </si>
  <si>
    <t>Loss/Ton steam</t>
  </si>
  <si>
    <t>ABS+CMM EII</t>
  </si>
  <si>
    <t>5) Waste Monomer</t>
  </si>
  <si>
    <t>y = 0.5518x + 10358</t>
  </si>
  <si>
    <t>Y2009</t>
  </si>
  <si>
    <t>EI2009</t>
  </si>
  <si>
    <t>Total Energy (MJ)_SRU</t>
  </si>
  <si>
    <t xml:space="preserve">  1.1) ไฟฟ้า (สำนักงาน)</t>
  </si>
  <si>
    <t xml:space="preserve">  1.2) ไฟฟ้า (เครื่องจักร)</t>
  </si>
  <si>
    <t>1.2) ไฟฟ้า (เครื่องจักร)</t>
  </si>
  <si>
    <t>Total 1</t>
  </si>
  <si>
    <t>Total 2</t>
  </si>
  <si>
    <t>Energy Std.2</t>
  </si>
  <si>
    <t>AWH 41 EI</t>
  </si>
  <si>
    <t>AWH 43 EI (สำนักงาน)</t>
  </si>
  <si>
    <t>AWH 43 EI (เครื่องจักร)</t>
  </si>
  <si>
    <t>MWH EI 1 (เครื่องจักร)</t>
  </si>
  <si>
    <t>MWH EI 2</t>
  </si>
  <si>
    <t>MWH  EII</t>
  </si>
  <si>
    <t>Grand Total Energy</t>
  </si>
  <si>
    <t>Grand Total Energy Std.</t>
  </si>
  <si>
    <t>y = 0.0003x + 6645.5+26776*104.82</t>
  </si>
  <si>
    <t>y = 0.0002x + 69946*96.43/100</t>
  </si>
  <si>
    <t>y = (0.0005x + 129158)*101.95/100</t>
  </si>
  <si>
    <t>y = 0.0003x + (1223.8+2047)*106.41/100</t>
  </si>
  <si>
    <t>LOGA</t>
  </si>
  <si>
    <t>AWH41</t>
  </si>
  <si>
    <t>Total LOGA/AWH41</t>
  </si>
  <si>
    <t>LOGA/AWH41 EI</t>
  </si>
  <si>
    <t>LOGA/AWH41 EII</t>
  </si>
  <si>
    <t>AWH43</t>
  </si>
  <si>
    <t>Total LOGA/AWH43</t>
  </si>
  <si>
    <t>LOGA/AWH43 EI</t>
  </si>
  <si>
    <t>LOGA/AWH43 EII</t>
  </si>
  <si>
    <t xml:space="preserve">LOG Actual Energy </t>
  </si>
  <si>
    <t xml:space="preserve"> LOG Energy Std.</t>
  </si>
  <si>
    <t>LOG  EII</t>
  </si>
  <si>
    <t>LOG  Acc. EII</t>
  </si>
  <si>
    <t>Y =  1.6539196 Powder_HD + 1.51113801 Pellet_HD+15382.6018</t>
  </si>
  <si>
    <t>Com1 97.46%</t>
  </si>
  <si>
    <t>≥ 110</t>
  </si>
  <si>
    <t>&lt; 115</t>
  </si>
  <si>
    <t>≤ 1</t>
  </si>
  <si>
    <t>Month/2018</t>
  </si>
  <si>
    <r>
      <t xml:space="preserve">Accumulate Year To Date  </t>
    </r>
    <r>
      <rPr>
        <i/>
        <sz val="16"/>
        <color rgb="FFFF0000"/>
        <rFont val="Browallia New"/>
        <family val="2"/>
      </rPr>
      <t xml:space="preserve"> Plant Reliability</t>
    </r>
  </si>
  <si>
    <t>จำนวนวัน</t>
  </si>
  <si>
    <t>% Weight</t>
  </si>
  <si>
    <t>Calendar Hr.</t>
  </si>
  <si>
    <t>PETROCHEMICAL</t>
  </si>
  <si>
    <t xml:space="preserve"> </t>
  </si>
  <si>
    <t>PLEH (HDPE)</t>
  </si>
  <si>
    <t>PLPP (PP)</t>
  </si>
  <si>
    <t>SA (Styrenics)</t>
  </si>
  <si>
    <t>SAA</t>
  </si>
  <si>
    <t>SAP,SAC</t>
  </si>
  <si>
    <t>SAS</t>
  </si>
  <si>
    <t>SAS1 (SAN1)</t>
  </si>
  <si>
    <t>SAS3 (SAN2)</t>
  </si>
  <si>
    <t>SA (Aromatics)</t>
  </si>
  <si>
    <t>OL</t>
  </si>
  <si>
    <t>OLEH &amp; OLE1 (ETH1)</t>
  </si>
  <si>
    <t>OLE2 (ETH2)</t>
  </si>
  <si>
    <t>OLE2 (PGH)</t>
  </si>
  <si>
    <t>OLP</t>
  </si>
  <si>
    <t>REFINERY</t>
  </si>
  <si>
    <t>RE</t>
  </si>
  <si>
    <t>REA</t>
  </si>
  <si>
    <t>REA1 (ADU1)</t>
  </si>
  <si>
    <t>REAN (NTU)</t>
  </si>
  <si>
    <t>REA2 (ADU2)</t>
  </si>
  <si>
    <t>RED</t>
  </si>
  <si>
    <t>REDC (DCC)</t>
  </si>
  <si>
    <t>REDV (VGO)</t>
  </si>
  <si>
    <t>REDS (SRU)</t>
  </si>
  <si>
    <t>LB</t>
  </si>
  <si>
    <t>LBO</t>
  </si>
  <si>
    <t>LBOD</t>
  </si>
  <si>
    <t>LBOT</t>
  </si>
  <si>
    <t>RC</t>
  </si>
  <si>
    <t>RCP</t>
  </si>
  <si>
    <t>RCPP</t>
  </si>
  <si>
    <t>RCPR</t>
  </si>
  <si>
    <t>RCH</t>
  </si>
  <si>
    <t>RCHS</t>
  </si>
  <si>
    <t>RCHR</t>
  </si>
  <si>
    <t>L</t>
  </si>
  <si>
    <t>U</t>
  </si>
  <si>
    <t>AD</t>
  </si>
  <si>
    <t>AM</t>
  </si>
  <si>
    <t>AV</t>
  </si>
  <si>
    <t>BE</t>
  </si>
  <si>
    <t>BN</t>
  </si>
  <si>
    <t>BW</t>
  </si>
  <si>
    <t>CF</t>
  </si>
  <si>
    <t>CO</t>
  </si>
  <si>
    <t>CX</t>
  </si>
  <si>
    <t>DG</t>
  </si>
  <si>
    <t>DP</t>
  </si>
  <si>
    <t>YTD - 2018</t>
  </si>
  <si>
    <t>Weight</t>
  </si>
  <si>
    <t>P-TA</t>
  </si>
  <si>
    <t>P-NTAMDD</t>
  </si>
  <si>
    <t>P-RPDD</t>
  </si>
  <si>
    <t>∑ P</t>
  </si>
  <si>
    <t>UP-TA</t>
  </si>
  <si>
    <t>UP-NTAMDD</t>
  </si>
  <si>
    <t>UP-RPDD</t>
  </si>
  <si>
    <t>∑ UP</t>
  </si>
  <si>
    <t>R</t>
  </si>
  <si>
    <t>P-PMMDT</t>
  </si>
  <si>
    <t>UP-PMMDT</t>
  </si>
  <si>
    <t>Poly</t>
  </si>
  <si>
    <t>SAA1</t>
  </si>
  <si>
    <t>SAA3</t>
  </si>
  <si>
    <t>SAS1</t>
  </si>
  <si>
    <t>LINE1</t>
  </si>
  <si>
    <t>LINE2</t>
  </si>
  <si>
    <t>SAS3</t>
  </si>
  <si>
    <t>LINE3</t>
  </si>
  <si>
    <t>SACB</t>
  </si>
  <si>
    <t>SAPE</t>
  </si>
  <si>
    <t>REA1</t>
  </si>
  <si>
    <t>DKHT</t>
  </si>
  <si>
    <t>REAN</t>
  </si>
  <si>
    <t>RFM</t>
  </si>
  <si>
    <t>NHTU</t>
  </si>
  <si>
    <t>ISOM</t>
  </si>
  <si>
    <t>REA2</t>
  </si>
  <si>
    <t>REDC</t>
  </si>
  <si>
    <t>DCC-31</t>
  </si>
  <si>
    <t>ERU-33</t>
  </si>
  <si>
    <t>PPSU-34</t>
  </si>
  <si>
    <t>REDV</t>
  </si>
  <si>
    <t>VGOU-30</t>
  </si>
  <si>
    <t>GHU-32</t>
  </si>
  <si>
    <t>PSA-37</t>
  </si>
  <si>
    <t>REDS</t>
  </si>
  <si>
    <t>RDCC-53</t>
  </si>
  <si>
    <t>SUX-56</t>
  </si>
  <si>
    <t>PRU-57</t>
  </si>
  <si>
    <t>PRI-54</t>
  </si>
  <si>
    <t>HMU-51</t>
  </si>
  <si>
    <t>SRU-72</t>
  </si>
  <si>
    <t>HYV-52</t>
  </si>
  <si>
    <t>PNU-55</t>
  </si>
  <si>
    <t>Shift PG3-5 PP3</t>
  </si>
  <si>
    <t>Shift PG3-5 PP12</t>
  </si>
  <si>
    <t>Shift PG3-5   HD</t>
  </si>
  <si>
    <t>Day Staff รุ่งรัตน์</t>
  </si>
  <si>
    <t>Day Staff PG8         กิตติธัช</t>
  </si>
  <si>
    <t>Shift PG3-5 PPE</t>
  </si>
  <si>
    <t>Shift PG3-5  PPC</t>
  </si>
  <si>
    <t>การปฏิบัติตามคู่มือการปฏิบัติงาน</t>
  </si>
  <si>
    <t>Actual /Plan*100</t>
  </si>
  <si>
    <t>&lt;70%</t>
  </si>
  <si>
    <r>
      <rPr>
        <b/>
        <sz val="18"/>
        <rFont val="BrowalliaUPC"/>
        <family val="2"/>
        <charset val="222"/>
      </rPr>
      <t>≥</t>
    </r>
    <r>
      <rPr>
        <b/>
        <sz val="26"/>
        <rFont val="BrowalliaUPC"/>
        <family val="2"/>
      </rPr>
      <t>70%</t>
    </r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</si>
  <si>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80%</t>
    </r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</si>
  <si>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90%</t>
    </r>
  </si>
  <si>
    <t>TPM Activity</t>
  </si>
  <si>
    <t>ดำเนินกิจกรรม TPM ตามแผนงาน</t>
  </si>
  <si>
    <t>ตามเอกสารแนบ</t>
  </si>
  <si>
    <t>≥ 90%</t>
  </si>
  <si>
    <t>&lt; 80%</t>
  </si>
  <si>
    <t>≥ 80%</t>
  </si>
  <si>
    <t>≥ 85%</t>
  </si>
  <si>
    <t>≥ 95%</t>
  </si>
  <si>
    <t>ต้องเตรียมอุปกรณ์ที่จำเป็นสำหรับการ Bag out ให้เพียงพอต่อการใช้งาน</t>
  </si>
  <si>
    <t>จำนวนครั้งที่หน่วยผลิตหลัก PP,HD ได้รับผลการกระทบ</t>
  </si>
  <si>
    <t>Down time ที่เกิดขึ้นจาก Unplan ของ Line Bagging</t>
  </si>
  <si>
    <t>Down time/Operating time*100</t>
  </si>
  <si>
    <t>Down time/Operating time*101</t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</si>
  <si>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7</t>
    </r>
    <r>
      <rPr>
        <b/>
        <sz val="26"/>
        <rFont val="BrowalliaUPC"/>
        <family val="2"/>
        <charset val="222"/>
      </rPr>
      <t>.50%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</si>
  <si>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6</t>
    </r>
    <r>
      <rPr>
        <b/>
        <sz val="26"/>
        <rFont val="BrowalliaUPC"/>
        <family val="2"/>
        <charset val="222"/>
      </rPr>
      <t>.50%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</si>
  <si>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5</t>
    </r>
    <r>
      <rPr>
        <b/>
        <sz val="26"/>
        <rFont val="BrowalliaUPC"/>
        <family val="2"/>
        <charset val="222"/>
      </rPr>
      <t>.50%</t>
    </r>
  </si>
  <si>
    <t>Down time/Operating time*102</t>
  </si>
  <si>
    <t>&gt;9.00%</t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</si>
  <si>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9.00%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</si>
  <si>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8</t>
    </r>
    <r>
      <rPr>
        <b/>
        <sz val="26"/>
        <rFont val="BrowalliaUPC"/>
        <family val="2"/>
        <charset val="222"/>
      </rPr>
      <t>.00%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</si>
  <si>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7.00%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</si>
  <si>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6.00%</t>
    </r>
  </si>
  <si>
    <t>Down time/Operating time*103</t>
  </si>
  <si>
    <t>วัดโดยใช้ % ประสิทธิภาพโดยรวมเทียบกับ target</t>
  </si>
  <si>
    <t>Actual /Target</t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</si>
  <si>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81</t>
    </r>
    <r>
      <rPr>
        <b/>
        <sz val="26"/>
        <rFont val="BrowalliaUPC"/>
        <family val="2"/>
        <charset val="222"/>
      </rPr>
      <t>.00%</t>
    </r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</si>
  <si>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83</t>
    </r>
    <r>
      <rPr>
        <b/>
        <sz val="26"/>
        <rFont val="BrowalliaUPC"/>
        <family val="2"/>
        <charset val="222"/>
      </rPr>
      <t>.00%</t>
    </r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</si>
  <si>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85</t>
    </r>
    <r>
      <rPr>
        <b/>
        <sz val="26"/>
        <rFont val="BrowalliaUPC"/>
        <family val="2"/>
        <charset val="222"/>
      </rPr>
      <t>.00%</t>
    </r>
  </si>
  <si>
    <r>
      <rPr>
        <b/>
        <u/>
        <sz val="26"/>
        <rFont val="BrowalliaUPC"/>
        <family val="2"/>
        <charset val="222"/>
      </rPr>
      <t>&gt;</t>
    </r>
    <r>
      <rPr>
        <b/>
        <sz val="26"/>
        <rFont val="BrowalliaUPC"/>
        <family val="2"/>
      </rPr>
      <t>87</t>
    </r>
    <r>
      <rPr>
        <b/>
        <sz val="26"/>
        <rFont val="BrowalliaUPC"/>
        <family val="2"/>
        <charset val="222"/>
      </rPr>
      <t>.00%</t>
    </r>
  </si>
  <si>
    <t>Down time/Operating time*104</t>
  </si>
  <si>
    <t>Down time/Operating time*105</t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</si>
  <si>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8</t>
    </r>
    <r>
      <rPr>
        <b/>
        <sz val="26"/>
        <rFont val="BrowalliaUPC"/>
        <family val="2"/>
        <charset val="222"/>
      </rPr>
      <t>.50%</t>
    </r>
  </si>
  <si>
    <t>&gt;8.50%</t>
  </si>
  <si>
    <t>&lt;81.00%</t>
  </si>
  <si>
    <t>ผลการประเมิน safety Team</t>
  </si>
  <si>
    <t>การประเมินsafety Team รายละเอียดตามเอกสารแนบ</t>
  </si>
  <si>
    <t>&lt; 70%</t>
  </si>
  <si>
    <t>≥ 70%</t>
  </si>
  <si>
    <t>≥ 100%</t>
  </si>
  <si>
    <t>จัดการแก้ไขสภาพการณ์ไม่ปลอดภัยที่พนักงานรายงาน บันทึกในระบบ e unsafe tracking system</t>
  </si>
  <si>
    <t>%การแก้ไขในกะตัวเองมีนาคม-ตุลาคม 2559</t>
  </si>
  <si>
    <t>&lt; 60%</t>
  </si>
  <si>
    <t>≥ 60%</t>
  </si>
  <si>
    <t>จัดประชุมหลังรับกะทุกวันเพื่อทบทวนขั้นตอนการทำงานในกิจกรรมที่มีความเสี่ยงในกะตัวเอง ทำการบันทึกผลใน Shift handover</t>
  </si>
  <si>
    <t>%การดำเนินการเดือนมีนาคม-ตุลาคม 2559</t>
  </si>
  <si>
    <t>ทุกกะดึกแรกรอบการทำงานปลายเดือน จัดซ้อมแผนฉุกเฉินแห้งเดือนละครั้งโดยบันทึกผลใน shift Handover</t>
  </si>
  <si>
    <t>%การทำเดือนมีนาคม-ตุลาคม 2559</t>
  </si>
  <si>
    <t>≥80%</t>
  </si>
  <si>
    <t>รายงานสภาพการณ์ไม่ปลอดภัย 2 เรื่องต่อเดือนต่อคนในระบบ E unsafe tracking system</t>
  </si>
  <si>
    <t>%การรายงานเดือนมีนาคม-ตุลาคม 2559</t>
  </si>
  <si>
    <t>เมื่อเกิดบาดเจ็บจากการทำงานและพบว่าไม่ใส่PPE จะตกKPI ข้อนี้</t>
  </si>
  <si>
    <t>ไม่เกิด L5 เกิด L1</t>
  </si>
  <si>
    <t>0 case</t>
  </si>
  <si>
    <t>1</t>
  </si>
  <si>
    <t>0</t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</si>
  <si>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0.08%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</si>
  <si>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0.06%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</si>
  <si>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0.10%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</si>
  <si>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0.12%</t>
    </r>
  </si>
  <si>
    <t>&gt;0.12%</t>
  </si>
  <si>
    <t>=Actual Waste Film/Good Film bag out*100</t>
  </si>
  <si>
    <t>=Actual Waste Pellet/Good Pellet bag out*101</t>
  </si>
  <si>
    <t>=Actual Waste Pellet/Good Pellet bag out*102</t>
  </si>
  <si>
    <t>&gt;0.014</t>
  </si>
  <si>
    <t>เปอร์เซ็นค่าเฉลี่ยน้ำหนักต่อถุงที่แถมให้ลูกค้า</t>
  </si>
  <si>
    <t>5.1 Deviation  from plan (SI)</t>
  </si>
  <si>
    <t xml:space="preserve">5.3 % Plant  Down Time </t>
  </si>
  <si>
    <t xml:space="preserve">     5.3.1 % Plant Down Time of Bagging HD</t>
  </si>
  <si>
    <t xml:space="preserve">     5.3.2 % Plant Down Time of Bagging PP12</t>
  </si>
  <si>
    <t>&lt; 70</t>
  </si>
  <si>
    <t xml:space="preserve">Employee Volunteer Achievement
</t>
  </si>
  <si>
    <t>การมีส่วนร่วมของพนักงานในการร่วมทำกิจกรรมหรือโครงการพัฒนาชุมชน สังคมรอบเขตประกอบการหรือรอบๆพื้นที่ๆมีกิจการของบริษัทตั้งอยู่</t>
  </si>
  <si>
    <t>จำนวนชั่งโมงจิตอาสารวมหารด้วยจำนวนชั่งโมงทำงานรวมของพนักงานในหนึ่งปี (คิดรายหน่วยงาน)</t>
  </si>
  <si>
    <r>
      <rPr>
        <b/>
        <sz val="26"/>
        <color rgb="FF000000"/>
        <rFont val="BrowalliaUPC"/>
        <family val="2"/>
      </rPr>
      <t xml:space="preserve"> </t>
    </r>
    <r>
      <rPr>
        <b/>
        <u/>
        <sz val="26"/>
        <color rgb="FF000000"/>
        <rFont val="BrowalliaUPC"/>
        <family val="2"/>
      </rPr>
      <t>&gt;</t>
    </r>
    <r>
      <rPr>
        <b/>
        <sz val="26"/>
        <color rgb="FF000000"/>
        <rFont val="BrowalliaUPC"/>
        <family val="2"/>
      </rPr>
      <t xml:space="preserve"> 8 Hr / คน (รายหน่วยงาน)</t>
    </r>
  </si>
  <si>
    <t>&lt; 2 Hr/คน</t>
  </si>
  <si>
    <r>
      <rPr>
        <b/>
        <u/>
        <sz val="20"/>
        <rFont val="BrowalliaUPC"/>
        <family val="2"/>
      </rPr>
      <t>&gt;</t>
    </r>
    <r>
      <rPr>
        <b/>
        <sz val="20"/>
        <rFont val="BrowalliaUPC"/>
        <family val="2"/>
      </rPr>
      <t xml:space="preserve"> 2 Hr / </t>
    </r>
    <r>
      <rPr>
        <b/>
        <sz val="20"/>
        <rFont val="Arial"/>
        <family val="2"/>
      </rPr>
      <t>คน</t>
    </r>
  </si>
  <si>
    <r>
      <rPr>
        <b/>
        <u/>
        <sz val="20"/>
        <rFont val="BrowalliaUPC"/>
        <family val="2"/>
      </rPr>
      <t>&gt;</t>
    </r>
    <r>
      <rPr>
        <b/>
        <sz val="20"/>
        <rFont val="BrowalliaUPC"/>
        <family val="2"/>
      </rPr>
      <t xml:space="preserve"> 4 Hr / </t>
    </r>
    <r>
      <rPr>
        <b/>
        <sz val="20"/>
        <rFont val="Arial"/>
        <family val="2"/>
      </rPr>
      <t>คน</t>
    </r>
  </si>
  <si>
    <r>
      <rPr>
        <b/>
        <u/>
        <sz val="20"/>
        <rFont val="BrowalliaUPC"/>
        <family val="2"/>
      </rPr>
      <t>&gt;</t>
    </r>
    <r>
      <rPr>
        <b/>
        <sz val="20"/>
        <rFont val="BrowalliaUPC"/>
        <family val="2"/>
      </rPr>
      <t xml:space="preserve"> 6 Hr / </t>
    </r>
    <r>
      <rPr>
        <b/>
        <sz val="20"/>
        <rFont val="Arial"/>
        <family val="2"/>
      </rPr>
      <t>คน</t>
    </r>
  </si>
  <si>
    <r>
      <rPr>
        <b/>
        <u/>
        <sz val="20"/>
        <rFont val="BrowalliaUPC"/>
        <family val="2"/>
      </rPr>
      <t>&gt;</t>
    </r>
    <r>
      <rPr>
        <b/>
        <sz val="20"/>
        <rFont val="BrowalliaUPC"/>
        <family val="2"/>
      </rPr>
      <t xml:space="preserve"> 8 Hr / </t>
    </r>
    <r>
      <rPr>
        <b/>
        <sz val="20"/>
        <rFont val="Arial"/>
        <family val="2"/>
      </rPr>
      <t>คน</t>
    </r>
  </si>
  <si>
    <t xml:space="preserve">     5.3.4% Plant Down Time of Bagging PP3</t>
  </si>
  <si>
    <t xml:space="preserve">     5.3.5% Plant Down Time of Bagging PPE</t>
  </si>
  <si>
    <t xml:space="preserve">     5.3.6 % Plant Down Time of Bagging PPC</t>
  </si>
  <si>
    <t xml:space="preserve">     5.3.3 % Plant Down Time of Bagging PP3&amp;PPE</t>
  </si>
  <si>
    <t>=Actual Waste Pellet/Good Pellet bag out*103</t>
  </si>
  <si>
    <t>11,575 MB</t>
  </si>
  <si>
    <t>&lt; 9,260</t>
  </si>
  <si>
    <t>≥ 9,260</t>
  </si>
  <si>
    <t>≥ 10,418</t>
  </si>
  <si>
    <t>≥ 11,575</t>
  </si>
  <si>
    <t>≥ 12,735</t>
  </si>
  <si>
    <t>Benefit from E4E project</t>
  </si>
  <si>
    <t>ผลประโยชน์ทางการเงินที่เกิดจากการดำเนินโครงการ E4E</t>
  </si>
  <si>
    <t>12,700 MB</t>
  </si>
  <si>
    <t>&lt;10,100</t>
  </si>
  <si>
    <t>≥10,100</t>
  </si>
  <si>
    <t>≥11,400</t>
  </si>
  <si>
    <t>≥12,700</t>
  </si>
  <si>
    <t>≥14,000</t>
  </si>
  <si>
    <t>ผลสำรวจความผูกพันของพนักงานต่อองค์กร</t>
  </si>
  <si>
    <t>&lt; 68</t>
  </si>
  <si>
    <t>≥ 68</t>
  </si>
  <si>
    <t>Total Recordable Injury Rate (TRIR)</t>
  </si>
  <si>
    <t>จำนวนผู้บาดเจ็บจากการทำงานตั้งแต่ระดับ Medical Treatment ขึ้นไปต่อหนึ่งล้านชั่วโมงการทำงาน (ใช้ผลรวมของพนักงาน,  Outsource และ Contractor)</t>
  </si>
  <si>
    <t>&gt; 0.55</t>
  </si>
  <si>
    <t>≤ 0.35</t>
  </si>
  <si>
    <t>Community Satisfaction (Top 2 Box Concept)</t>
  </si>
  <si>
    <t>ผลสำรวจความพึงพอใจของชุมชนและข้าราชการ/ผู้นำชุมชน โดยรอบเขตประกอบการอุตสาหกรรมไออาร์พีซี</t>
  </si>
  <si>
    <t>&lt; 62</t>
  </si>
  <si>
    <t>≥ 62</t>
  </si>
  <si>
    <t>≥ 64</t>
  </si>
  <si>
    <t>≥ 67</t>
  </si>
  <si>
    <t xml:space="preserve">No. of plant Zero unplanned shutdown </t>
  </si>
  <si>
    <t>จำนวนโรงงานที่ไม่มีการหยุดการทำงานอย่างกะทันหัน</t>
  </si>
  <si>
    <t>4 Plants</t>
  </si>
  <si>
    <t>Energy Intensity Index</t>
  </si>
  <si>
    <t>ค่าดัชนีความเข้มข้นในการใช้พลังงาน (ใช้ข้อมูลการใช้พลังงานปี 2012 เป็นค่าฐาน)</t>
  </si>
  <si>
    <t>Day Staffลิขิต</t>
  </si>
  <si>
    <t>Day Staff PG8       นฤบาล</t>
  </si>
  <si>
    <t>TPM &amp; Productivities Work Program Achievement:</t>
  </si>
  <si>
    <t>ความสำเร็จของแผนงานหลักและตัวชี้วัดหลักของ TPM &amp; Productivity (TPM Assessment, %OPE, %Loss Reduction, PTT Group 5 S Award, Thailand Quality Prize)</t>
  </si>
  <si>
    <t>(%Actual progress / %Plan progress ) x 100</t>
  </si>
  <si>
    <t>Overall Equipment Effectiveness (%OEE)</t>
  </si>
  <si>
    <t>Overall Plant Effectiveness (%OPE)  พิจารณาครอบคลุมทั้ง ประสิทธิภาพของโรงงาน ประสิทธิภาพเครื่องจักร การซ่อมบำรุง และ คุณภาพผลิตภัณฑ์</t>
  </si>
  <si>
    <t>%OPE= % Quality x % Operation Availability x 
              % Deviation on Plan</t>
  </si>
  <si>
    <t>%  Premium Product  =  Actual premium product   X 100% Total  Actual product</t>
  </si>
  <si>
    <t>No. of Customer Complaints</t>
  </si>
  <si>
    <t>จำนวนข้อร้องเรียนฯ (คุณภาพผลิตภัณฑ์ และการส่งมอบ)</t>
  </si>
  <si>
    <t>Cash Conversion Cost</t>
  </si>
  <si>
    <t>วัดผลสำเร็จการจัดการต้นทุนการผลิต (Operating Expense) ที่เกิดขึ้น
กับกระบวนการผลิต โดยเทียบกับกระบวนการผลิต หรือเปรียบเทียบต่อหนึ่งหน่วยผลิตภัณฑ์ ซึ่งจะเป็นตัวชี้วัดเพื่อการควบคุมกระบวนการ และสะท้อนให้เห็นถึงผลิตภาพ (Productivity)</t>
  </si>
  <si>
    <t>100% Target</t>
  </si>
  <si>
    <t>&lt; 90</t>
  </si>
  <si>
    <t>≥ 105</t>
  </si>
  <si>
    <t xml:space="preserve">% Operation Loss </t>
  </si>
  <si>
    <t>การเปรียบเทียบค่า ปริมาณการสูญเสีย Hydrocarbon ทั้งระบบ เทียบกับ Feed Intake 
(ตามหลักการคำนวณ Mass Balance ของ Solomon-HM31 ทุกหน่วยงานที่เกี่ยวข้องกันรับค่า  % HC Loss ร่วมกัน (ยกเว้น Ocean Loss และ Turnaround 2017 )</t>
  </si>
  <si>
    <t xml:space="preserve">Loss = (Actual loss/ Actual intake) x 100%
</t>
  </si>
  <si>
    <t>0.80%</t>
  </si>
  <si>
    <t>&gt; 0.90</t>
  </si>
  <si>
    <t>≤ 0.90</t>
  </si>
  <si>
    <t>&lt; 0.85</t>
  </si>
  <si>
    <t>&lt; 0.80</t>
  </si>
  <si>
    <t>&lt; 0.75</t>
  </si>
  <si>
    <t>(KPI-1 MA Score Achievement) x 50%  +
(KPI-2 QSHE KPI Achievement) x 50%</t>
  </si>
  <si>
    <t>&lt; 86</t>
  </si>
  <si>
    <t>≥ 89</t>
  </si>
  <si>
    <t>≥ 92</t>
  </si>
  <si>
    <t>% ความก้าวหน้าของงานเทียบกับแผนงานที่พนักงานในฝ่าย
เป็นผู้จัดการโครงการหรือผู้รับผิดชอบโครงการ โดยวัด 2 ด้าน คือ 
% Progression (CAPEX) และ % Budget Control (CAPEX)</t>
  </si>
  <si>
    <t xml:space="preserve">% CAPEX Project Achievement = (% Project Progression x 80%) + (% Budget Control x 20%)
</t>
  </si>
  <si>
    <t xml:space="preserve">Competence Assurance Program  Achievement
</t>
  </si>
  <si>
    <t>ความสำเร็จในการพัฒนาสมรรถนะพนักงานสายการผลิตของกลุ่มปิโตรเคมีและการกลั่น สนับสนุนการผลิต</t>
  </si>
  <si>
    <t>(Actual Progression / Plan ) x 100</t>
  </si>
  <si>
    <t xml:space="preserve">ความสำเร็จของการดำเนินการตามมาตรการจัดการความเสี่ยง Risk treatment ใน Functional Risks Management Achievement เป็นไปตามแผนงาน
</t>
  </si>
  <si>
    <t>Cross Function KPI</t>
  </si>
  <si>
    <t>E4E EBIT (OPS)</t>
  </si>
  <si>
    <t>กำไรก่อนหักดอกเบี้ยและภาษี จากการดำเนินโครงการ E4E (เป้าหมายตาม Area/Workstream ที่รับผิดชอบ)</t>
  </si>
  <si>
    <t>5,210 MB</t>
  </si>
  <si>
    <t>&lt; 4,168</t>
  </si>
  <si>
    <t>≥ 4,168</t>
  </si>
  <si>
    <t>≥ 4,689</t>
  </si>
  <si>
    <t xml:space="preserve"> ≥5,210</t>
  </si>
  <si>
    <t>≥ 5,731</t>
  </si>
  <si>
    <t>E4E IL4 (OPS)</t>
  </si>
  <si>
    <t>IL4 จากการดำเนินโครงการ E4E (เป้าหมายตาม Area/Workstream ที่รับผิดชอบ)</t>
  </si>
  <si>
    <t>1,270 MB</t>
  </si>
  <si>
    <t>&lt; 889</t>
  </si>
  <si>
    <t>≥ 889</t>
  </si>
  <si>
    <t>≥ 1,016</t>
  </si>
  <si>
    <t>≥ 1,143</t>
  </si>
  <si>
    <t>≥ 1,270</t>
  </si>
  <si>
    <t>Benefit from IRPC4.0 (OPS4.0)</t>
  </si>
  <si>
    <t>ผลดำเนินงานทางการเงินโครงการ IRPC 4.0 (เป้าหมายตาม Area/Workstream ที่รับผิดชอบ)</t>
  </si>
  <si>
    <t>PSM</t>
  </si>
  <si>
    <t>วัดโดยใช้ % ความคืบหน้าเมื่อเทียบกับแผน ในแต่ละด้าน คือ IT PSM Software progression , Mapping checklist II OEMS&amp;PSM</t>
  </si>
  <si>
    <t>&gt;0.015</t>
  </si>
  <si>
    <t>Shift Sup. PG 8 รวม AC</t>
  </si>
  <si>
    <t>Shift  PG6-7  PP3+PPE</t>
  </si>
  <si>
    <t>Shift  PG6-7  PP12</t>
  </si>
  <si>
    <t>Shift  PG6-7    HD</t>
  </si>
  <si>
    <t>Shift  PG6-7   PPC</t>
  </si>
  <si>
    <t>2019 KEY PERFORMANCE INDICATOR</t>
  </si>
  <si>
    <t xml:space="preserve">TARGET 2019
</t>
  </si>
  <si>
    <t>PLEB KPI Deployment</t>
  </si>
  <si>
    <t>≤ 82.75</t>
  </si>
  <si>
    <t>≤ 83.75</t>
  </si>
  <si>
    <t>≤ 84.75</t>
  </si>
  <si>
    <t>0 times</t>
  </si>
  <si>
    <t>&lt; 98.5</t>
  </si>
  <si>
    <t>≥ 99.6</t>
  </si>
  <si>
    <t>Overall Plant Effectiveness (%OPE)</t>
  </si>
  <si>
    <t>0 Case</t>
  </si>
  <si>
    <t>5.2 % Premium Product</t>
  </si>
  <si>
    <t xml:space="preserve">    9.1การปฏิบัติงานตามมาตรฐาน</t>
  </si>
  <si>
    <t xml:space="preserve">   16.1 Safety team Performance</t>
  </si>
  <si>
    <t xml:space="preserve">          16.1.1 %การแก้ไข Unsafe Condition</t>
  </si>
  <si>
    <t xml:space="preserve">          16.1.2 Tool box</t>
  </si>
  <si>
    <t xml:space="preserve">          16.1.3  Table top</t>
  </si>
  <si>
    <t xml:space="preserve">          16.1.4 การรายงานสภาพการณ์ไม่ปลอดภัย</t>
  </si>
  <si>
    <t xml:space="preserve">          16.1.5 การสวมใส่ PPE ในการทำงาน</t>
  </si>
  <si>
    <t>18.1 Waste pellet generation PP3</t>
  </si>
  <si>
    <t>18.2Waste pellet generation PP12</t>
  </si>
  <si>
    <t>18.3 Waste pellet generation HD</t>
  </si>
  <si>
    <t>18.4Waste pellet generation PPE</t>
  </si>
  <si>
    <t>18.5 Waste pellet generation PPC</t>
  </si>
  <si>
    <t>18.6 Waste pellet generation PP3+PPE</t>
  </si>
  <si>
    <t>19.1Waste Film generation PP3</t>
  </si>
  <si>
    <t>19.2 Waste Film generation PP12</t>
  </si>
  <si>
    <t>19.3 Waste Film generation HD</t>
  </si>
  <si>
    <t>19.4 Waste Film generation PPE</t>
  </si>
  <si>
    <t>19.5 Waste Film generation PPC</t>
  </si>
  <si>
    <t>19.6 Waste Film generation PP3+PPE</t>
  </si>
  <si>
    <t xml:space="preserve">     4.2 % Overall Equipment Effectiveness PP12</t>
  </si>
  <si>
    <t xml:space="preserve">    4.3 % Overall Equipment Effectiveness PP3+PPE</t>
  </si>
  <si>
    <t xml:space="preserve">    4.5 % Overall Equipment Effectiveness PPE</t>
  </si>
  <si>
    <t xml:space="preserve">    4.4% Overall Equipment Effectiveness PP3</t>
  </si>
  <si>
    <t xml:space="preserve">     4.1 % Overall Equipment Effectiveness HD</t>
  </si>
  <si>
    <t xml:space="preserve">    4.6% Overall Equipment Effectiveness PPC</t>
  </si>
  <si>
    <t>ข้อร้องเรียนภายในชนิดเป็นลายลักษณ์อักษรในเรื่องความปลอดภัย สิ่งแวดล้อม และคุณภาพผลิตภัณฑ์(นับรวมทั้งปี)</t>
  </si>
  <si>
    <t>No. Of Internal Complain (Safety Environment &amp;Quality)</t>
  </si>
  <si>
    <t>&gt; 85.75</t>
  </si>
  <si>
    <t>≤ 85.75</t>
  </si>
  <si>
    <t>Overall Plant Effectiveness (%OEE)  ประสิทธิภาพเครื่องจักร การซ่อมบำรุง และ คุณภาพผลิตภัณฑ์</t>
  </si>
  <si>
    <t>%OEE= % (Avaliability rate  x Performance rate x Quality rate) 
              % Deviation on Plan</t>
  </si>
  <si>
    <t xml:space="preserve">bh </t>
  </si>
  <si>
    <t>≥ 85.00</t>
  </si>
  <si>
    <t>≥ 87.00</t>
  </si>
  <si>
    <t>≥ 83.00</t>
  </si>
  <si>
    <t>≥ 81.00</t>
  </si>
  <si>
    <t>&lt; 81.00</t>
  </si>
  <si>
    <r>
      <t>&gt;</t>
    </r>
    <r>
      <rPr>
        <b/>
        <sz val="24"/>
        <rFont val="BrowalliaUPC"/>
        <family val="2"/>
      </rPr>
      <t xml:space="preserve"> 110</t>
    </r>
  </si>
  <si>
    <r>
      <t>&gt;</t>
    </r>
    <r>
      <rPr>
        <b/>
        <sz val="24"/>
        <rFont val="BrowalliaUPC"/>
        <family val="2"/>
      </rPr>
      <t xml:space="preserve"> 120</t>
    </r>
  </si>
  <si>
    <r>
      <t>&gt;</t>
    </r>
    <r>
      <rPr>
        <b/>
        <sz val="24"/>
        <rFont val="BrowalliaUPC"/>
        <family val="2"/>
      </rPr>
      <t xml:space="preserve"> 130</t>
    </r>
  </si>
  <si>
    <r>
      <t>&gt;</t>
    </r>
    <r>
      <rPr>
        <b/>
        <sz val="24"/>
        <rFont val="BrowalliaUPC"/>
        <family val="2"/>
      </rPr>
      <t xml:space="preserve"> 140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</si>
  <si>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6</t>
    </r>
    <r>
      <rPr>
        <b/>
        <sz val="26"/>
        <rFont val="BrowalliaUPC"/>
        <family val="2"/>
        <charset val="222"/>
      </rPr>
      <t>.83%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</si>
  <si>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9</t>
    </r>
    <r>
      <rPr>
        <b/>
        <sz val="26"/>
        <rFont val="BrowalliaUPC"/>
        <family val="2"/>
        <charset val="222"/>
      </rPr>
      <t>.50%</t>
    </r>
  </si>
  <si>
    <t>&gt;9.50%</t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</si>
  <si>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5</t>
    </r>
    <r>
      <rPr>
        <b/>
        <sz val="26"/>
        <rFont val="BrowalliaUPC"/>
        <family val="2"/>
        <charset val="222"/>
      </rPr>
      <t>.83%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</si>
  <si>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</rPr>
      <t>7</t>
    </r>
    <r>
      <rPr>
        <b/>
        <sz val="26"/>
        <rFont val="BrowalliaUPC"/>
        <family val="2"/>
        <charset val="222"/>
      </rPr>
      <t>.83%</t>
    </r>
  </si>
  <si>
    <r>
      <rPr>
        <b/>
        <u/>
        <sz val="26"/>
        <rFont val="BrowalliaUPC"/>
        <family val="2"/>
        <charset val="222"/>
      </rPr>
      <t>&lt;</t>
    </r>
    <r>
      <rPr>
        <b/>
        <sz val="26"/>
        <rFont val="BrowalliaUPC"/>
        <family val="2"/>
        <charset val="222"/>
      </rPr>
      <t>8.83%</t>
    </r>
  </si>
  <si>
    <t>&gt;8.83%</t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</si>
  <si>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0.015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</si>
  <si>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0.012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</si>
  <si>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0.009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</si>
  <si>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0.006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</si>
  <si>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0.014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</si>
  <si>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0.011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</si>
  <si>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0.008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</si>
  <si>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0.005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</si>
  <si>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0.30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</si>
  <si>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0.50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</si>
  <si>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0.70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</si>
  <si>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0.80</t>
    </r>
  </si>
  <si>
    <t>&gt;0.80</t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</si>
  <si>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0.45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</si>
  <si>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0.65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</si>
  <si>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0.85</t>
    </r>
  </si>
  <si>
    <t>&gt;0.85</t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</si>
  <si>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0.40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</si>
  <si>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0.60</t>
    </r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</si>
  <si>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1.00</t>
    </r>
  </si>
  <si>
    <t>&gt;1.00</t>
  </si>
  <si>
    <r>
      <rPr>
        <b/>
        <u/>
        <sz val="24"/>
        <color theme="1"/>
        <rFont val="BrowalliaUPC"/>
        <family val="2"/>
      </rPr>
      <t>&lt;</t>
    </r>
    <r>
      <rPr>
        <b/>
        <sz val="24"/>
        <color theme="1"/>
        <rFont val="BrowalliaUPC"/>
        <family val="2"/>
      </rPr>
      <t>0.25</t>
    </r>
  </si>
  <si>
    <t xml:space="preserve"> จำนวนครั้งที่ทำให้เกิดป้ญหากับการผลิตของแผนก(รวมลดRate) PP,HD</t>
  </si>
  <si>
    <t xml:space="preserve">    21.1 จำนวนครั้งที่ Plant PP HD ลดกำลังการผลิตอันเกิดจากสาเหตุการบรรจุเม็ดพลาสติก (อุปกรณ์สำหรับ Bag out) รวมถึง Jumbo Bag และการ Repack</t>
  </si>
  <si>
    <t xml:space="preserve">No. of  Internal CR ระบบ Halal </t>
  </si>
  <si>
    <t>No. of  Internal CR ระบบ ISO, (Safety,Env,Quality)</t>
  </si>
  <si>
    <t>ข้อร้องเรียนภายในชนิดเป็นลายลักษณ์อักษรในเรื่อง Halal (นับรวมทั้งปี)</t>
  </si>
  <si>
    <t>No. Of Internal Complain (Halal)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</si>
</sst>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B1mmm\-yy"/>
    <numFmt numFmtId="167" formatCode="0.0"/>
    <numFmt numFmtId="168" formatCode="_-* #,##0.0_-;\-* #,##0.0_-;_-* &quot;-&quot;??_-;_-@_-"/>
    <numFmt numFmtId="169" formatCode="_(* #,##0.0_);_(* \(#,##0.0\);_(* &quot;-&quot;??_);_(@_)"/>
    <numFmt numFmtId="170" formatCode="#,##0.000000"/>
    <numFmt numFmtId="171" formatCode="#,##0.0000"/>
    <numFmt numFmtId="172" formatCode="#,##0.0"/>
    <numFmt numFmtId="173" formatCode="#,##0.000"/>
    <numFmt numFmtId="174" formatCode="#,##0.0000000"/>
    <numFmt numFmtId="175" formatCode="0.000"/>
    <numFmt numFmtId="176" formatCode="#,##0.00000"/>
    <numFmt numFmtId="177" formatCode="#,##0.00_ ;\-#,##0.00\ "/>
    <numFmt numFmtId="178" formatCode="[$-409]mmm\-yy;@"/>
    <numFmt numFmtId="179" formatCode="0.000%"/>
    <numFmt numFmtId="180" formatCode="_(* #,##0_);_(* \(#,##0\);_(* &quot;-&quot;??_);_(@_)"/>
    <numFmt numFmtId="181" formatCode="0.00000"/>
    <numFmt numFmtId="182" formatCode="_-* #,##0_-;\-* #,##0_-;_-* &quot;-&quot;??_-;_-@_-"/>
    <numFmt numFmtId="183" formatCode="0.0000"/>
    <numFmt numFmtId="184" formatCode="_-* #,##0.000_-;\-* #,##0.000_-;_-* &quot;-&quot;??_-;_-@_-"/>
    <numFmt numFmtId="185" formatCode="#,##0.000_ ;\-#,##0.000\ "/>
    <numFmt numFmtId="186" formatCode="#,##0_ ;\-#,##0\ "/>
    <numFmt numFmtId="187" formatCode="[$-409]d\-mmm\-yy;@"/>
  </numFmts>
  <fonts count="14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8"/>
      <color theme="1"/>
      <name val="Tahoma"/>
      <family val="2"/>
    </font>
    <font>
      <b/>
      <sz val="12"/>
      <color theme="1"/>
      <name val="Tahoma"/>
      <family val="2"/>
    </font>
    <font>
      <b/>
      <sz val="12"/>
      <name val="Tahoma"/>
      <family val="2"/>
    </font>
    <font>
      <b/>
      <sz val="10"/>
      <name val="Tahoma"/>
      <family val="2"/>
    </font>
    <font>
      <b/>
      <sz val="14"/>
      <name val="Tahoma"/>
      <family val="2"/>
    </font>
    <font>
      <sz val="10"/>
      <name val="Tahoma"/>
      <family val="2"/>
    </font>
    <font>
      <b/>
      <sz val="14"/>
      <color rgb="FFFF0000"/>
      <name val="Tahoma"/>
      <family val="2"/>
    </font>
    <font>
      <b/>
      <sz val="10"/>
      <color rgb="FF000000"/>
      <name val="Tahoma"/>
      <family val="2"/>
    </font>
    <font>
      <sz val="8"/>
      <name val="Tahoma"/>
      <family val="2"/>
    </font>
    <font>
      <b/>
      <sz val="11"/>
      <name val="Tahoma"/>
      <family val="2"/>
    </font>
    <font>
      <sz val="8"/>
      <color rgb="FF000000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Tahoma"/>
      <family val="2"/>
    </font>
    <font>
      <sz val="8"/>
      <color theme="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name val="Tahoma"/>
      <family val="2"/>
    </font>
    <font>
      <b/>
      <sz val="8"/>
      <color theme="1"/>
      <name val="Tahoma"/>
      <family val="2"/>
    </font>
    <font>
      <sz val="12"/>
      <name val="Tahoma"/>
      <family val="2"/>
    </font>
    <font>
      <b/>
      <sz val="11"/>
      <color theme="1"/>
      <name val="Tahoma"/>
      <family val="2"/>
    </font>
    <font>
      <sz val="8"/>
      <color theme="1"/>
      <name val="Tahoma"/>
      <family val="2"/>
    </font>
    <font>
      <sz val="9"/>
      <color theme="1"/>
      <name val="Tahoma"/>
      <family val="2"/>
    </font>
    <font>
      <sz val="10"/>
      <color theme="1"/>
      <name val="Tahoma"/>
      <family val="2"/>
    </font>
    <font>
      <sz val="10"/>
      <name val="Arial"/>
      <family val="2"/>
    </font>
    <font>
      <b/>
      <sz val="18"/>
      <name val="Angsana New"/>
      <family val="1"/>
      <charset val="222"/>
    </font>
    <font>
      <sz val="14"/>
      <name val="Angsana New"/>
      <family val="1"/>
      <charset val="222"/>
    </font>
    <font>
      <b/>
      <u/>
      <sz val="14"/>
      <name val="Angsana New"/>
      <family val="1"/>
    </font>
    <font>
      <b/>
      <sz val="14"/>
      <name val="Angsana New"/>
      <family val="1"/>
      <charset val="222"/>
    </font>
    <font>
      <b/>
      <sz val="16"/>
      <name val="Angsana New"/>
      <family val="1"/>
    </font>
    <font>
      <sz val="14"/>
      <color rgb="FFFF0000"/>
      <name val="Angsana New"/>
      <family val="1"/>
      <charset val="222"/>
    </font>
    <font>
      <b/>
      <sz val="14"/>
      <name val="Angsana New"/>
      <family val="1"/>
    </font>
    <font>
      <sz val="14"/>
      <name val="Angsana New"/>
      <family val="1"/>
    </font>
    <font>
      <u/>
      <sz val="14"/>
      <name val="Angsana New"/>
      <family val="1"/>
      <charset val="222"/>
    </font>
    <font>
      <b/>
      <sz val="14"/>
      <color rgb="FFFF0000"/>
      <name val="Angsana New"/>
      <family val="1"/>
    </font>
    <font>
      <sz val="8"/>
      <name val="Calibri"/>
      <family val="2"/>
      <scheme val="minor"/>
    </font>
    <font>
      <sz val="26"/>
      <color theme="1"/>
      <name val="BrowalliaUPC"/>
      <family val="2"/>
    </font>
    <font>
      <b/>
      <sz val="40"/>
      <color theme="1"/>
      <name val="BrowalliaUPC"/>
      <family val="2"/>
    </font>
    <font>
      <b/>
      <sz val="24"/>
      <color theme="1"/>
      <name val="BrowalliaUPC"/>
      <family val="2"/>
    </font>
    <font>
      <b/>
      <sz val="32"/>
      <color theme="1"/>
      <name val="BrowalliaUPC"/>
      <family val="2"/>
    </font>
    <font>
      <b/>
      <sz val="28"/>
      <color theme="1"/>
      <name val="BrowalliaUPC"/>
      <family val="2"/>
    </font>
    <font>
      <b/>
      <sz val="26"/>
      <color theme="1"/>
      <name val="BrowalliaUPC"/>
      <family val="2"/>
    </font>
    <font>
      <sz val="28"/>
      <color theme="1"/>
      <name val="BrowalliaUPC"/>
      <family val="2"/>
    </font>
    <font>
      <b/>
      <sz val="36"/>
      <color theme="1"/>
      <name val="BrowalliaUPC"/>
      <family val="2"/>
    </font>
    <font>
      <b/>
      <sz val="28"/>
      <name val="BrowalliaUPC"/>
      <family val="2"/>
    </font>
    <font>
      <b/>
      <sz val="14"/>
      <color theme="0"/>
      <name val="Tahoma"/>
      <family val="2"/>
    </font>
    <font>
      <i/>
      <sz val="28"/>
      <color theme="1"/>
      <name val="BrowalliaUPC"/>
      <family val="2"/>
    </font>
    <font>
      <b/>
      <sz val="26"/>
      <name val="BrowalliaUPC"/>
      <family val="2"/>
    </font>
    <font>
      <b/>
      <sz val="26"/>
      <color rgb="FFFF0000"/>
      <name val="BrowalliaUPC"/>
      <family val="2"/>
    </font>
    <font>
      <b/>
      <sz val="28"/>
      <color rgb="FFFF0000"/>
      <name val="BrowalliaUPC"/>
      <family val="2"/>
    </font>
    <font>
      <b/>
      <sz val="22"/>
      <name val="BrowalliaUPC"/>
      <family val="2"/>
    </font>
    <font>
      <sz val="26"/>
      <color indexed="16"/>
      <name val="BrowalliaUPC"/>
      <family val="2"/>
    </font>
    <font>
      <sz val="26"/>
      <color indexed="10"/>
      <name val="BrowalliaUPC"/>
      <family val="2"/>
    </font>
    <font>
      <b/>
      <sz val="26"/>
      <color rgb="FF000000"/>
      <name val="BrowalliaUPC"/>
      <family val="2"/>
    </font>
    <font>
      <b/>
      <sz val="22"/>
      <color rgb="FF000000"/>
      <name val="BrowalliaUPC"/>
      <family val="2"/>
    </font>
    <font>
      <b/>
      <u/>
      <sz val="22"/>
      <color rgb="FF000000"/>
      <name val="BrowalliaUPC"/>
      <family val="2"/>
    </font>
    <font>
      <sz val="20"/>
      <name val="BrowalliaUPC"/>
      <family val="2"/>
    </font>
    <font>
      <sz val="14"/>
      <name val="BrowalliaUPC"/>
      <family val="2"/>
    </font>
    <font>
      <b/>
      <u/>
      <sz val="26"/>
      <name val="BrowalliaUPC"/>
      <family val="2"/>
    </font>
    <font>
      <b/>
      <sz val="24"/>
      <name val="BrowalliaUPC"/>
      <family val="2"/>
    </font>
    <font>
      <sz val="16"/>
      <name val="BrowalliaUPC"/>
      <family val="2"/>
    </font>
    <font>
      <b/>
      <sz val="14"/>
      <name val="BrowalliaUPC"/>
      <family val="2"/>
    </font>
    <font>
      <b/>
      <sz val="26"/>
      <name val="BrowalliaUPC"/>
      <family val="2"/>
      <charset val="222"/>
    </font>
    <font>
      <b/>
      <u/>
      <sz val="26"/>
      <name val="BrowalliaUPC"/>
      <family val="2"/>
      <charset val="222"/>
    </font>
    <font>
      <b/>
      <sz val="14"/>
      <color rgb="FF0000CC"/>
      <name val="BrowalliaUPC"/>
      <family val="2"/>
    </font>
    <font>
      <sz val="14"/>
      <color theme="1"/>
      <name val="Tahoma"/>
      <family val="2"/>
    </font>
    <font>
      <sz val="12"/>
      <color theme="1"/>
      <name val="Tahoma"/>
      <family val="2"/>
    </font>
    <font>
      <sz val="14"/>
      <name val="Cordia New"/>
      <family val="2"/>
    </font>
    <font>
      <sz val="36"/>
      <color theme="1"/>
      <name val="Browallia New"/>
      <family val="2"/>
    </font>
    <font>
      <sz val="28"/>
      <color theme="1"/>
      <name val="Browallia New"/>
      <family val="2"/>
    </font>
    <font>
      <sz val="12"/>
      <name val="Angsana New"/>
      <family val="1"/>
      <charset val="222"/>
    </font>
    <font>
      <sz val="13"/>
      <name val="Angsana New"/>
      <family val="1"/>
      <charset val="222"/>
    </font>
    <font>
      <sz val="14"/>
      <color theme="1"/>
      <name val="Angsana New"/>
      <family val="1"/>
    </font>
    <font>
      <b/>
      <sz val="16"/>
      <color rgb="FFFF0000"/>
      <name val="Angsana New"/>
      <family val="1"/>
    </font>
    <font>
      <b/>
      <sz val="8"/>
      <color rgb="FFFF0000"/>
      <name val="Arial"/>
      <family val="2"/>
    </font>
    <font>
      <b/>
      <sz val="8"/>
      <name val="Arial"/>
      <family val="2"/>
    </font>
    <font>
      <b/>
      <sz val="9"/>
      <color theme="1"/>
      <name val="Arial"/>
      <family val="2"/>
    </font>
    <font>
      <sz val="11"/>
      <name val="Cordia New"/>
      <family val="2"/>
      <charset val="222"/>
    </font>
    <font>
      <sz val="12"/>
      <name val="Cordia New"/>
      <family val="2"/>
      <charset val="222"/>
    </font>
    <font>
      <b/>
      <u/>
      <sz val="16"/>
      <name val="Angsana New"/>
      <family val="1"/>
    </font>
    <font>
      <b/>
      <u/>
      <sz val="16"/>
      <name val="Angsana New"/>
      <family val="1"/>
      <charset val="222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FF0000"/>
      <name val="Arial"/>
      <family val="2"/>
    </font>
    <font>
      <sz val="12"/>
      <name val="Angsana New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4"/>
      <color theme="1"/>
      <name val="Arial Black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b/>
      <i/>
      <sz val="9"/>
      <color theme="7" tint="0.39997558519241921"/>
      <name val="Arial"/>
      <family val="2"/>
    </font>
    <font>
      <b/>
      <i/>
      <sz val="9"/>
      <color theme="0"/>
      <name val="Arial"/>
      <family val="2"/>
    </font>
    <font>
      <b/>
      <i/>
      <sz val="11"/>
      <color theme="0"/>
      <name val="Arial"/>
      <family val="2"/>
    </font>
    <font>
      <b/>
      <sz val="9"/>
      <color rgb="FFC00000"/>
      <name val="Arial"/>
      <family val="2"/>
    </font>
    <font>
      <b/>
      <sz val="9"/>
      <name val="Arial"/>
      <family val="2"/>
    </font>
    <font>
      <sz val="10"/>
      <color rgb="FFC00000"/>
      <name val="Arial"/>
      <family val="2"/>
    </font>
    <font>
      <b/>
      <i/>
      <sz val="9"/>
      <color theme="3"/>
      <name val="Arial"/>
      <family val="2"/>
    </font>
    <font>
      <sz val="8"/>
      <color theme="1"/>
      <name val="Arial"/>
      <family val="2"/>
    </font>
    <font>
      <sz val="14"/>
      <color theme="1"/>
      <name val="Angsana New"/>
      <family val="1"/>
      <charset val="222"/>
    </font>
    <font>
      <sz val="14"/>
      <color rgb="FF003300"/>
      <name val="Angsana New"/>
      <family val="1"/>
      <charset val="222"/>
    </font>
    <font>
      <b/>
      <sz val="14"/>
      <color indexed="12"/>
      <name val="Angsana New"/>
      <family val="1"/>
    </font>
    <font>
      <sz val="14"/>
      <name val="AngsanaUPC"/>
      <family val="1"/>
      <charset val="222"/>
    </font>
    <font>
      <b/>
      <sz val="8"/>
      <color rgb="FFFF0000"/>
      <name val="Calibri"/>
      <family val="2"/>
      <scheme val="minor"/>
    </font>
    <font>
      <sz val="14"/>
      <color theme="1"/>
      <name val="Cordia New"/>
      <family val="2"/>
    </font>
    <font>
      <sz val="14"/>
      <color indexed="12"/>
      <name val="CordiaUPC"/>
      <family val="2"/>
      <charset val="222"/>
    </font>
    <font>
      <b/>
      <u/>
      <sz val="14"/>
      <name val="Cordia New"/>
      <family val="2"/>
    </font>
    <font>
      <b/>
      <sz val="14"/>
      <color indexed="10"/>
      <name val="Angsana New"/>
      <family val="1"/>
    </font>
    <font>
      <b/>
      <sz val="11"/>
      <color rgb="FFFF0000"/>
      <name val="Angsana New"/>
      <family val="1"/>
    </font>
    <font>
      <sz val="14"/>
      <color rgb="FFFF0000"/>
      <name val="Cordia New"/>
      <family val="2"/>
    </font>
    <font>
      <sz val="14"/>
      <name val="Browallia New"/>
      <family val="2"/>
    </font>
    <font>
      <i/>
      <sz val="16"/>
      <name val="Browallia New"/>
      <family val="2"/>
    </font>
    <font>
      <i/>
      <sz val="16"/>
      <color rgb="FFFF0000"/>
      <name val="Browallia New"/>
      <family val="2"/>
    </font>
    <font>
      <b/>
      <sz val="14"/>
      <name val="Cordia New"/>
      <family val="2"/>
    </font>
    <font>
      <sz val="13"/>
      <name val="CordiaUPC"/>
      <family val="2"/>
      <charset val="222"/>
    </font>
    <font>
      <sz val="18"/>
      <name val="Cordia New"/>
      <family val="2"/>
    </font>
    <font>
      <b/>
      <i/>
      <sz val="14"/>
      <color theme="1"/>
      <name val="Cordia New"/>
      <family val="2"/>
    </font>
    <font>
      <sz val="13"/>
      <color theme="1"/>
      <name val="Calibri Light"/>
      <family val="2"/>
      <scheme val="major"/>
    </font>
    <font>
      <sz val="13"/>
      <color theme="1"/>
      <name val="CordiaUPC"/>
      <family val="2"/>
      <charset val="222"/>
    </font>
    <font>
      <sz val="14"/>
      <color theme="1"/>
      <name val="Browallia New"/>
      <family val="2"/>
    </font>
    <font>
      <sz val="13"/>
      <color theme="1"/>
      <name val="Calibri"/>
      <family val="2"/>
      <scheme val="minor"/>
    </font>
    <font>
      <b/>
      <i/>
      <sz val="18"/>
      <color theme="1"/>
      <name val="Cordia New"/>
      <family val="2"/>
    </font>
    <font>
      <b/>
      <sz val="18"/>
      <color theme="1"/>
      <name val="Cordia New"/>
      <family val="2"/>
    </font>
    <font>
      <b/>
      <i/>
      <sz val="14"/>
      <name val="Cordia New"/>
      <family val="2"/>
    </font>
    <font>
      <sz val="10"/>
      <name val="Cordia New"/>
      <family val="2"/>
    </font>
    <font>
      <b/>
      <sz val="10"/>
      <name val="Cordia New"/>
      <family val="2"/>
    </font>
    <font>
      <sz val="10"/>
      <color theme="1"/>
      <name val="Cordia New"/>
      <family val="2"/>
    </font>
    <font>
      <b/>
      <sz val="10"/>
      <color theme="1"/>
      <name val="Cordia New"/>
      <family val="2"/>
    </font>
    <font>
      <sz val="28"/>
      <name val="BrowalliaUPC"/>
      <family val="2"/>
    </font>
    <font>
      <b/>
      <sz val="26"/>
      <color rgb="FF000000"/>
      <name val="BrowalliaUPC"/>
      <family val="2"/>
      <charset val="222"/>
    </font>
    <font>
      <b/>
      <sz val="18"/>
      <name val="BrowalliaUPC"/>
      <family val="2"/>
      <charset val="222"/>
    </font>
    <font>
      <b/>
      <u/>
      <sz val="26"/>
      <color rgb="FF000000"/>
      <name val="BrowalliaUPC"/>
      <family val="2"/>
    </font>
    <font>
      <b/>
      <sz val="20"/>
      <name val="BrowalliaUPC"/>
      <family val="2"/>
    </font>
    <font>
      <b/>
      <u/>
      <sz val="20"/>
      <name val="BrowalliaUPC"/>
      <family val="2"/>
    </font>
    <font>
      <b/>
      <sz val="20"/>
      <name val="Arial"/>
      <family val="2"/>
    </font>
    <font>
      <b/>
      <sz val="14"/>
      <color rgb="FF000000"/>
      <name val="Tahoma"/>
      <family val="2"/>
    </font>
    <font>
      <b/>
      <sz val="26"/>
      <name val="Browallia New"/>
      <family val="2"/>
    </font>
    <font>
      <sz val="18"/>
      <name val="Tahoma"/>
      <family val="2"/>
    </font>
    <font>
      <sz val="18"/>
      <color rgb="FF000000"/>
      <name val="Tahoma"/>
      <family val="2"/>
    </font>
    <font>
      <b/>
      <u/>
      <sz val="24"/>
      <name val="BrowalliaUPC"/>
      <family val="2"/>
    </font>
    <font>
      <b/>
      <u/>
      <sz val="24"/>
      <color theme="1"/>
      <name val="BrowalliaUPC"/>
      <family val="2"/>
    </font>
  </fonts>
  <fills count="5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5D1CB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1616DA"/>
        <bgColor indexed="64"/>
      </patternFill>
    </fill>
    <fill>
      <patternFill patternType="solid">
        <fgColor rgb="FFBBD5E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</fills>
  <borders count="9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rgb="FF003300"/>
      </left>
      <right style="thin">
        <color indexed="64"/>
      </right>
      <top style="hair">
        <color rgb="FF003300"/>
      </top>
      <bottom style="hair">
        <color rgb="FF003300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indexed="64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/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4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6" fillId="0" borderId="0"/>
    <xf numFmtId="0" fontId="2" fillId="0" borderId="0"/>
    <xf numFmtId="0" fontId="26" fillId="0" borderId="0"/>
    <xf numFmtId="0" fontId="2" fillId="0" borderId="0"/>
    <xf numFmtId="0" fontId="2" fillId="0" borderId="0"/>
    <xf numFmtId="178" fontId="14" fillId="0" borderId="0"/>
    <xf numFmtId="0" fontId="26" fillId="0" borderId="0"/>
    <xf numFmtId="0" fontId="14" fillId="0" borderId="0"/>
    <xf numFmtId="0" fontId="26" fillId="0" borderId="0"/>
    <xf numFmtId="9" fontId="26" fillId="0" borderId="0" applyFont="0" applyFill="0" applyBorder="0" applyAlignment="0" applyProtection="0"/>
    <xf numFmtId="0" fontId="69" fillId="0" borderId="0"/>
    <xf numFmtId="0" fontId="14" fillId="0" borderId="0"/>
    <xf numFmtId="0" fontId="14" fillId="0" borderId="0"/>
    <xf numFmtId="178" fontId="26" fillId="0" borderId="0"/>
    <xf numFmtId="16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0" borderId="0"/>
    <xf numFmtId="0" fontId="69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0" borderId="0"/>
    <xf numFmtId="43" fontId="26" fillId="0" borderId="0" applyFont="0" applyFill="0" applyBorder="0" applyAlignment="0" applyProtection="0"/>
    <xf numFmtId="0" fontId="103" fillId="0" borderId="0"/>
    <xf numFmtId="43" fontId="26" fillId="0" borderId="0" applyFont="0" applyFill="0" applyBorder="0" applyAlignment="0" applyProtection="0"/>
    <xf numFmtId="0" fontId="26" fillId="0" borderId="0"/>
    <xf numFmtId="164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87" fontId="69" fillId="0" borderId="0"/>
    <xf numFmtId="187" fontId="26" fillId="0" borderId="0"/>
    <xf numFmtId="187" fontId="26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903">
    <xf numFmtId="0" fontId="0" fillId="0" borderId="0" xfId="0"/>
    <xf numFmtId="0" fontId="6" fillId="0" borderId="5" xfId="0" applyFont="1" applyBorder="1" applyAlignment="1">
      <alignment horizontal="center" vertical="center"/>
    </xf>
    <xf numFmtId="0" fontId="8" fillId="0" borderId="0" xfId="0" applyFont="1"/>
    <xf numFmtId="166" fontId="8" fillId="11" borderId="5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0" fillId="2" borderId="5" xfId="0" applyFont="1" applyFill="1" applyBorder="1" applyAlignment="1">
      <alignment horizontal="center" vertical="center" wrapText="1" readingOrder="1"/>
    </xf>
    <xf numFmtId="0" fontId="10" fillId="3" borderId="5" xfId="0" applyFont="1" applyFill="1" applyBorder="1" applyAlignment="1">
      <alignment horizontal="center" vertical="center" wrapText="1" readingOrder="1"/>
    </xf>
    <xf numFmtId="0" fontId="10" fillId="4" borderId="5" xfId="0" applyFont="1" applyFill="1" applyBorder="1" applyAlignment="1">
      <alignment horizontal="center" vertical="center" wrapText="1" readingOrder="1"/>
    </xf>
    <xf numFmtId="0" fontId="10" fillId="5" borderId="5" xfId="0" applyFont="1" applyFill="1" applyBorder="1" applyAlignment="1">
      <alignment horizontal="center" vertical="center" wrapText="1" readingOrder="1"/>
    </xf>
    <xf numFmtId="0" fontId="10" fillId="6" borderId="5" xfId="0" applyFont="1" applyFill="1" applyBorder="1" applyAlignment="1">
      <alignment horizontal="center" vertical="center" wrapText="1" readingOrder="1"/>
    </xf>
    <xf numFmtId="1" fontId="12" fillId="5" borderId="5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 wrapText="1" readingOrder="1"/>
    </xf>
    <xf numFmtId="0" fontId="5" fillId="0" borderId="5" xfId="0" applyFont="1" applyBorder="1" applyAlignment="1">
      <alignment horizontal="center" vertical="center"/>
    </xf>
    <xf numFmtId="0" fontId="15" fillId="8" borderId="0" xfId="0" applyFont="1" applyFill="1"/>
    <xf numFmtId="0" fontId="15" fillId="0" borderId="0" xfId="0" applyFont="1"/>
    <xf numFmtId="2" fontId="6" fillId="0" borderId="5" xfId="0" applyNumberFormat="1" applyFont="1" applyBorder="1" applyAlignment="1">
      <alignment horizontal="center" vertical="center"/>
    </xf>
    <xf numFmtId="167" fontId="11" fillId="0" borderId="5" xfId="2" applyNumberFormat="1" applyFont="1" applyFill="1" applyBorder="1" applyAlignment="1">
      <alignment horizontal="center" vertical="center"/>
    </xf>
    <xf numFmtId="2" fontId="11" fillId="0" borderId="5" xfId="2" applyNumberFormat="1" applyFont="1" applyFill="1" applyBorder="1" applyAlignment="1">
      <alignment horizontal="center" vertical="center"/>
    </xf>
    <xf numFmtId="0" fontId="11" fillId="8" borderId="19" xfId="0" applyFont="1" applyFill="1" applyBorder="1" applyAlignment="1">
      <alignment horizontal="right" vertical="center"/>
    </xf>
    <xf numFmtId="0" fontId="13" fillId="8" borderId="19" xfId="0" applyFont="1" applyFill="1" applyBorder="1" applyAlignment="1">
      <alignment horizontal="right" vertical="center" wrapText="1" readingOrder="1"/>
    </xf>
    <xf numFmtId="0" fontId="6" fillId="0" borderId="20" xfId="0" applyFont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167" fontId="11" fillId="0" borderId="20" xfId="2" applyNumberFormat="1" applyFont="1" applyFill="1" applyBorder="1" applyAlignment="1">
      <alignment horizontal="center" vertical="center"/>
    </xf>
    <xf numFmtId="1" fontId="12" fillId="5" borderId="20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2" fontId="6" fillId="0" borderId="8" xfId="0" applyNumberFormat="1" applyFont="1" applyBorder="1" applyAlignment="1">
      <alignment horizontal="center" vertical="center"/>
    </xf>
    <xf numFmtId="1" fontId="12" fillId="5" borderId="8" xfId="0" applyNumberFormat="1" applyFont="1" applyFill="1" applyBorder="1" applyAlignment="1">
      <alignment horizontal="center" vertical="center"/>
    </xf>
    <xf numFmtId="0" fontId="8" fillId="0" borderId="22" xfId="0" applyFont="1" applyBorder="1"/>
    <xf numFmtId="167" fontId="11" fillId="0" borderId="8" xfId="2" applyNumberFormat="1" applyFont="1" applyFill="1" applyBorder="1" applyAlignment="1">
      <alignment horizontal="center" vertical="center"/>
    </xf>
    <xf numFmtId="2" fontId="11" fillId="0" borderId="8" xfId="2" applyNumberFormat="1" applyFont="1" applyFill="1" applyBorder="1" applyAlignment="1">
      <alignment horizontal="center" vertical="center"/>
    </xf>
    <xf numFmtId="0" fontId="11" fillId="8" borderId="23" xfId="0" applyFont="1" applyFill="1" applyBorder="1" applyAlignment="1">
      <alignment horizontal="right" vertical="center"/>
    </xf>
    <xf numFmtId="0" fontId="13" fillId="8" borderId="23" xfId="0" applyFont="1" applyFill="1" applyBorder="1" applyAlignment="1">
      <alignment horizontal="right" vertical="center" wrapText="1" readingOrder="1"/>
    </xf>
    <xf numFmtId="2" fontId="16" fillId="0" borderId="0" xfId="0" applyNumberFormat="1" applyFont="1"/>
    <xf numFmtId="0" fontId="7" fillId="9" borderId="5" xfId="0" applyFont="1" applyFill="1" applyBorder="1" applyAlignment="1">
      <alignment horizontal="center" vertical="center"/>
    </xf>
    <xf numFmtId="0" fontId="19" fillId="11" borderId="5" xfId="0" applyFont="1" applyFill="1" applyBorder="1" applyAlignment="1">
      <alignment horizontal="center" vertical="center" wrapText="1"/>
    </xf>
    <xf numFmtId="168" fontId="8" fillId="0" borderId="5" xfId="3" applyNumberFormat="1" applyFont="1" applyFill="1" applyBorder="1" applyAlignment="1">
      <alignment horizontal="center" vertical="center"/>
    </xf>
    <xf numFmtId="168" fontId="11" fillId="0" borderId="5" xfId="3" applyNumberFormat="1" applyFont="1" applyFill="1" applyBorder="1" applyAlignment="1">
      <alignment horizontal="center" vertical="center"/>
    </xf>
    <xf numFmtId="168" fontId="11" fillId="3" borderId="5" xfId="3" applyNumberFormat="1" applyFont="1" applyFill="1" applyBorder="1" applyAlignment="1">
      <alignment horizontal="center" vertical="center"/>
    </xf>
    <xf numFmtId="169" fontId="11" fillId="0" borderId="5" xfId="1" applyNumberFormat="1" applyFont="1" applyFill="1" applyBorder="1" applyAlignment="1">
      <alignment horizontal="center" vertical="center"/>
    </xf>
    <xf numFmtId="1" fontId="12" fillId="6" borderId="5" xfId="0" applyNumberFormat="1" applyFont="1" applyFill="1" applyBorder="1" applyAlignment="1">
      <alignment horizontal="center" vertical="center"/>
    </xf>
    <xf numFmtId="168" fontId="13" fillId="8" borderId="13" xfId="3" applyNumberFormat="1" applyFont="1" applyFill="1" applyBorder="1" applyAlignment="1">
      <alignment horizontal="left" vertical="center" wrapText="1" readingOrder="1"/>
    </xf>
    <xf numFmtId="168" fontId="13" fillId="8" borderId="19" xfId="3" applyNumberFormat="1" applyFont="1" applyFill="1" applyBorder="1" applyAlignment="1">
      <alignment horizontal="right" vertical="center" wrapText="1" readingOrder="1"/>
    </xf>
    <xf numFmtId="168" fontId="8" fillId="0" borderId="8" xfId="3" applyNumberFormat="1" applyFont="1" applyFill="1" applyBorder="1" applyAlignment="1">
      <alignment horizontal="center" vertical="center"/>
    </xf>
    <xf numFmtId="168" fontId="11" fillId="0" borderId="8" xfId="3" applyNumberFormat="1" applyFont="1" applyFill="1" applyBorder="1" applyAlignment="1">
      <alignment horizontal="center" vertical="center"/>
    </xf>
    <xf numFmtId="168" fontId="11" fillId="3" borderId="8" xfId="3" applyNumberFormat="1" applyFont="1" applyFill="1" applyBorder="1" applyAlignment="1">
      <alignment horizontal="center" vertical="center"/>
    </xf>
    <xf numFmtId="168" fontId="13" fillId="8" borderId="11" xfId="3" applyNumberFormat="1" applyFont="1" applyFill="1" applyBorder="1" applyAlignment="1">
      <alignment horizontal="left" vertical="center" wrapText="1" readingOrder="1"/>
    </xf>
    <xf numFmtId="168" fontId="8" fillId="0" borderId="20" xfId="3" applyNumberFormat="1" applyFont="1" applyFill="1" applyBorder="1" applyAlignment="1">
      <alignment horizontal="center" vertical="center"/>
    </xf>
    <xf numFmtId="168" fontId="11" fillId="0" borderId="20" xfId="3" applyNumberFormat="1" applyFont="1" applyFill="1" applyBorder="1" applyAlignment="1">
      <alignment horizontal="center" vertical="center"/>
    </xf>
    <xf numFmtId="168" fontId="11" fillId="3" borderId="20" xfId="3" applyNumberFormat="1" applyFont="1" applyFill="1" applyBorder="1" applyAlignment="1">
      <alignment horizontal="center" vertical="center"/>
    </xf>
    <xf numFmtId="2" fontId="11" fillId="0" borderId="20" xfId="2" applyNumberFormat="1" applyFont="1" applyFill="1" applyBorder="1" applyAlignment="1">
      <alignment horizontal="center" vertical="center"/>
    </xf>
    <xf numFmtId="168" fontId="13" fillId="8" borderId="23" xfId="3" applyNumberFormat="1" applyFont="1" applyFill="1" applyBorder="1" applyAlignment="1">
      <alignment horizontal="right" vertical="center" wrapText="1" readingOrder="1"/>
    </xf>
    <xf numFmtId="0" fontId="22" fillId="0" borderId="5" xfId="0" applyFont="1" applyBorder="1" applyAlignment="1">
      <alignment horizontal="center"/>
    </xf>
    <xf numFmtId="0" fontId="15" fillId="0" borderId="5" xfId="0" applyFont="1" applyBorder="1"/>
    <xf numFmtId="43" fontId="23" fillId="0" borderId="5" xfId="0" applyNumberFormat="1" applyFont="1" applyBorder="1"/>
    <xf numFmtId="169" fontId="23" fillId="0" borderId="5" xfId="1" applyNumberFormat="1" applyFont="1" applyBorder="1"/>
    <xf numFmtId="0" fontId="23" fillId="0" borderId="5" xfId="0" applyFont="1" applyBorder="1"/>
    <xf numFmtId="0" fontId="22" fillId="0" borderId="0" xfId="0" applyFont="1"/>
    <xf numFmtId="0" fontId="24" fillId="0" borderId="0" xfId="0" applyFont="1"/>
    <xf numFmtId="0" fontId="25" fillId="0" borderId="0" xfId="0" applyFont="1"/>
    <xf numFmtId="3" fontId="30" fillId="15" borderId="8" xfId="0" quotePrefix="1" applyNumberFormat="1" applyFont="1" applyFill="1" applyBorder="1" applyAlignment="1">
      <alignment horizontal="center"/>
    </xf>
    <xf numFmtId="0" fontId="28" fillId="15" borderId="28" xfId="0" applyFont="1" applyFill="1" applyBorder="1" applyAlignment="1">
      <alignment horizontal="left"/>
    </xf>
    <xf numFmtId="2" fontId="28" fillId="15" borderId="29" xfId="0" applyNumberFormat="1" applyFont="1" applyFill="1" applyBorder="1" applyAlignment="1">
      <alignment horizontal="center"/>
    </xf>
    <xf numFmtId="0" fontId="28" fillId="15" borderId="28" xfId="0" applyFont="1" applyFill="1" applyBorder="1" applyAlignment="1">
      <alignment horizontal="center"/>
    </xf>
    <xf numFmtId="3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Alignment="1">
      <alignment horizontal="center"/>
    </xf>
    <xf numFmtId="177" fontId="28" fillId="15" borderId="28" xfId="1" applyNumberFormat="1" applyFont="1" applyFill="1" applyBorder="1" applyAlignment="1">
      <alignment horizontal="center"/>
    </xf>
    <xf numFmtId="0" fontId="38" fillId="0" borderId="0" xfId="10" applyFont="1" applyFill="1" applyAlignment="1">
      <alignment wrapText="1"/>
    </xf>
    <xf numFmtId="0" fontId="40" fillId="0" borderId="0" xfId="10" applyFont="1" applyFill="1" applyAlignment="1">
      <alignment wrapText="1"/>
    </xf>
    <xf numFmtId="0" fontId="41" fillId="0" borderId="0" xfId="10" applyFont="1" applyFill="1" applyBorder="1" applyAlignment="1">
      <alignment vertical="center"/>
    </xf>
    <xf numFmtId="0" fontId="41" fillId="0" borderId="10" xfId="10" applyFont="1" applyFill="1" applyBorder="1" applyAlignment="1">
      <alignment vertical="center"/>
    </xf>
    <xf numFmtId="0" fontId="44" fillId="0" borderId="0" xfId="10" applyFont="1" applyFill="1" applyAlignment="1"/>
    <xf numFmtId="0" fontId="42" fillId="30" borderId="5" xfId="10" applyFont="1" applyFill="1" applyBorder="1" applyAlignment="1">
      <alignment horizontal="center" wrapText="1"/>
    </xf>
    <xf numFmtId="0" fontId="42" fillId="30" borderId="5" xfId="10" applyFont="1" applyFill="1" applyBorder="1" applyAlignment="1">
      <alignment horizontal="center"/>
    </xf>
    <xf numFmtId="0" fontId="47" fillId="2" borderId="5" xfId="10" applyFont="1" applyFill="1" applyBorder="1" applyAlignment="1">
      <alignment horizontal="center" vertical="center"/>
    </xf>
    <xf numFmtId="0" fontId="7" fillId="3" borderId="5" xfId="10" applyFont="1" applyFill="1" applyBorder="1" applyAlignment="1">
      <alignment horizontal="center" vertical="center"/>
    </xf>
    <xf numFmtId="0" fontId="47" fillId="5" borderId="5" xfId="10" applyFont="1" applyFill="1" applyBorder="1" applyAlignment="1">
      <alignment horizontal="center" vertical="center"/>
    </xf>
    <xf numFmtId="0" fontId="47" fillId="31" borderId="5" xfId="10" applyFont="1" applyFill="1" applyBorder="1" applyAlignment="1">
      <alignment horizontal="center" vertical="center"/>
    </xf>
    <xf numFmtId="0" fontId="47" fillId="32" borderId="5" xfId="10" applyFont="1" applyFill="1" applyBorder="1" applyAlignment="1">
      <alignment horizontal="center" vertical="center"/>
    </xf>
    <xf numFmtId="0" fontId="48" fillId="0" borderId="5" xfId="10" applyFont="1" applyFill="1" applyBorder="1" applyAlignment="1">
      <alignment horizontal="center" vertical="center" wrapText="1"/>
    </xf>
    <xf numFmtId="0" fontId="44" fillId="0" borderId="0" xfId="10" applyFont="1" applyFill="1" applyAlignment="1">
      <alignment vertical="top"/>
    </xf>
    <xf numFmtId="0" fontId="49" fillId="0" borderId="5" xfId="10" applyFont="1" applyFill="1" applyBorder="1" applyAlignment="1">
      <alignment horizontal="left" vertical="top" wrapText="1"/>
    </xf>
    <xf numFmtId="0" fontId="43" fillId="0" borderId="5" xfId="10" applyFont="1" applyFill="1" applyBorder="1" applyAlignment="1">
      <alignment horizontal="left" vertical="top" wrapText="1"/>
    </xf>
    <xf numFmtId="0" fontId="49" fillId="0" borderId="19" xfId="10" applyFont="1" applyFill="1" applyBorder="1" applyAlignment="1">
      <alignment horizontal="center" vertical="top"/>
    </xf>
    <xf numFmtId="0" fontId="50" fillId="0" borderId="5" xfId="10" applyFont="1" applyFill="1" applyBorder="1" applyAlignment="1">
      <alignment horizontal="center" vertical="center"/>
    </xf>
    <xf numFmtId="0" fontId="51" fillId="0" borderId="5" xfId="10" applyFont="1" applyFill="1" applyBorder="1" applyAlignment="1">
      <alignment horizontal="center" vertical="center"/>
    </xf>
    <xf numFmtId="0" fontId="49" fillId="0" borderId="5" xfId="10" applyFont="1" applyFill="1" applyBorder="1" applyAlignment="1">
      <alignment horizontal="center" vertical="center"/>
    </xf>
    <xf numFmtId="0" fontId="49" fillId="0" borderId="5" xfId="10" applyFont="1" applyFill="1" applyBorder="1" applyAlignment="1">
      <alignment horizontal="left" vertical="top"/>
    </xf>
    <xf numFmtId="0" fontId="49" fillId="0" borderId="0" xfId="10" applyFont="1" applyFill="1" applyBorder="1" applyAlignment="1">
      <alignment horizontal="center" vertical="top"/>
    </xf>
    <xf numFmtId="0" fontId="49" fillId="0" borderId="5" xfId="12" applyFont="1" applyFill="1" applyBorder="1" applyAlignment="1">
      <alignment horizontal="left" vertical="top" wrapText="1"/>
    </xf>
    <xf numFmtId="0" fontId="53" fillId="0" borderId="0" xfId="10" applyFont="1" applyFill="1" applyAlignment="1">
      <alignment vertical="top"/>
    </xf>
    <xf numFmtId="0" fontId="52" fillId="0" borderId="6" xfId="10" applyFont="1" applyFill="1" applyBorder="1" applyAlignment="1">
      <alignment horizontal="center" vertical="top" readingOrder="1"/>
    </xf>
    <xf numFmtId="0" fontId="54" fillId="0" borderId="0" xfId="10" applyFont="1" applyFill="1" applyAlignment="1">
      <alignment vertical="top"/>
    </xf>
    <xf numFmtId="0" fontId="49" fillId="17" borderId="5" xfId="10" applyFont="1" applyFill="1" applyBorder="1" applyAlignment="1">
      <alignment horizontal="left" vertical="top" wrapText="1"/>
    </xf>
    <xf numFmtId="0" fontId="49" fillId="0" borderId="0" xfId="10" applyFont="1" applyFill="1" applyBorder="1" applyAlignment="1">
      <alignment horizontal="center" vertical="center"/>
    </xf>
    <xf numFmtId="0" fontId="54" fillId="0" borderId="0" xfId="10" applyFont="1" applyFill="1" applyAlignment="1">
      <alignment vertical="center"/>
    </xf>
    <xf numFmtId="0" fontId="58" fillId="0" borderId="0" xfId="10" applyFont="1" applyFill="1" applyAlignment="1">
      <alignment horizontal="center" vertical="center" wrapText="1"/>
    </xf>
    <xf numFmtId="0" fontId="46" fillId="0" borderId="19" xfId="10" applyFont="1" applyFill="1" applyBorder="1" applyAlignment="1">
      <alignment horizontal="center" vertical="center" wrapText="1"/>
    </xf>
    <xf numFmtId="0" fontId="49" fillId="0" borderId="13" xfId="10" applyFont="1" applyFill="1" applyBorder="1" applyAlignment="1">
      <alignment vertical="top" wrapText="1"/>
    </xf>
    <xf numFmtId="0" fontId="43" fillId="0" borderId="5" xfId="12" applyFont="1" applyFill="1" applyBorder="1" applyAlignment="1">
      <alignment horizontal="left" vertical="top" wrapText="1"/>
    </xf>
    <xf numFmtId="0" fontId="49" fillId="0" borderId="5" xfId="10" applyFont="1" applyFill="1" applyBorder="1" applyAlignment="1">
      <alignment horizontal="center" vertical="center" wrapText="1"/>
    </xf>
    <xf numFmtId="0" fontId="59" fillId="0" borderId="0" xfId="10" applyFont="1" applyFill="1" applyAlignment="1">
      <alignment vertical="center" wrapText="1"/>
    </xf>
    <xf numFmtId="9" fontId="52" fillId="0" borderId="5" xfId="13" applyFont="1" applyFill="1" applyBorder="1" applyAlignment="1">
      <alignment horizontal="center" vertical="top"/>
    </xf>
    <xf numFmtId="0" fontId="49" fillId="17" borderId="5" xfId="10" applyFont="1" applyFill="1" applyBorder="1" applyAlignment="1">
      <alignment horizontal="left" vertical="top"/>
    </xf>
    <xf numFmtId="0" fontId="49" fillId="0" borderId="5" xfId="0" applyFont="1" applyBorder="1" applyAlignment="1">
      <alignment horizontal="left" vertical="center" readingOrder="1"/>
    </xf>
    <xf numFmtId="0" fontId="52" fillId="0" borderId="5" xfId="0" applyFont="1" applyBorder="1" applyAlignment="1">
      <alignment horizontal="center" vertical="center" wrapText="1" readingOrder="1"/>
    </xf>
    <xf numFmtId="0" fontId="49" fillId="0" borderId="5" xfId="10" applyFont="1" applyFill="1" applyBorder="1" applyAlignment="1">
      <alignment vertical="top" wrapText="1"/>
    </xf>
    <xf numFmtId="0" fontId="49" fillId="0" borderId="5" xfId="10" applyFont="1" applyFill="1" applyBorder="1" applyAlignment="1">
      <alignment vertical="center"/>
    </xf>
    <xf numFmtId="2" fontId="52" fillId="0" borderId="5" xfId="10" applyNumberFormat="1" applyFont="1" applyFill="1" applyBorder="1" applyAlignment="1">
      <alignment horizontal="center" vertical="center"/>
    </xf>
    <xf numFmtId="0" fontId="46" fillId="0" borderId="5" xfId="10" applyFont="1" applyFill="1" applyBorder="1" applyAlignment="1">
      <alignment vertical="top"/>
    </xf>
    <xf numFmtId="0" fontId="49" fillId="0" borderId="5" xfId="10" applyFont="1" applyFill="1" applyBorder="1" applyAlignment="1">
      <alignment vertical="top"/>
    </xf>
    <xf numFmtId="9" fontId="49" fillId="0" borderId="5" xfId="10" applyNumberFormat="1" applyFont="1" applyFill="1" applyBorder="1" applyAlignment="1">
      <alignment horizontal="center" vertical="top"/>
    </xf>
    <xf numFmtId="0" fontId="46" fillId="0" borderId="5" xfId="10" applyFont="1" applyFill="1" applyBorder="1" applyAlignment="1">
      <alignment horizontal="center" vertical="center" wrapText="1"/>
    </xf>
    <xf numFmtId="9" fontId="49" fillId="0" borderId="5" xfId="2" applyFont="1" applyFill="1" applyBorder="1" applyAlignment="1">
      <alignment horizontal="center" vertical="center" wrapText="1"/>
    </xf>
    <xf numFmtId="0" fontId="49" fillId="0" borderId="19" xfId="10" applyFont="1" applyFill="1" applyBorder="1" applyAlignment="1">
      <alignment vertical="center"/>
    </xf>
    <xf numFmtId="9" fontId="64" fillId="0" borderId="5" xfId="10" quotePrefix="1" applyNumberFormat="1" applyFont="1" applyFill="1" applyBorder="1" applyAlignment="1">
      <alignment horizontal="left" vertical="center"/>
    </xf>
    <xf numFmtId="179" fontId="64" fillId="0" borderId="5" xfId="10" applyNumberFormat="1" applyFont="1" applyFill="1" applyBorder="1" applyAlignment="1">
      <alignment horizontal="center" vertical="center" wrapText="1"/>
    </xf>
    <xf numFmtId="9" fontId="64" fillId="0" borderId="8" xfId="10" quotePrefix="1" applyNumberFormat="1" applyFont="1" applyFill="1" applyBorder="1" applyAlignment="1">
      <alignment horizontal="left" vertical="center"/>
    </xf>
    <xf numFmtId="0" fontId="64" fillId="0" borderId="5" xfId="10" applyFont="1" applyFill="1" applyBorder="1" applyAlignment="1">
      <alignment horizontal="center" vertical="center" wrapText="1"/>
    </xf>
    <xf numFmtId="0" fontId="62" fillId="0" borderId="0" xfId="10" applyFont="1" applyFill="1" applyAlignment="1">
      <alignment horizontal="right" vertical="center" wrapText="1"/>
    </xf>
    <xf numFmtId="0" fontId="62" fillId="0" borderId="0" xfId="10" applyFont="1" applyFill="1" applyAlignment="1">
      <alignment vertical="center" wrapText="1"/>
    </xf>
    <xf numFmtId="0" fontId="66" fillId="0" borderId="0" xfId="10" applyFont="1" applyFill="1" applyAlignment="1">
      <alignment horizontal="center" vertical="center" wrapText="1"/>
    </xf>
    <xf numFmtId="0" fontId="63" fillId="0" borderId="0" xfId="10" applyFont="1" applyFill="1" applyAlignment="1">
      <alignment horizontal="center" vertical="center" wrapText="1"/>
    </xf>
    <xf numFmtId="3" fontId="42" fillId="0" borderId="5" xfId="1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4" fillId="34" borderId="5" xfId="0" applyFont="1" applyFill="1" applyBorder="1" applyAlignment="1">
      <alignment horizontal="center" vertical="center"/>
    </xf>
    <xf numFmtId="0" fontId="4" fillId="34" borderId="5" xfId="0" applyFont="1" applyFill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0" fontId="68" fillId="0" borderId="5" xfId="1" applyNumberFormat="1" applyFont="1" applyBorder="1" applyAlignment="1">
      <alignment vertical="center"/>
    </xf>
    <xf numFmtId="10" fontId="68" fillId="0" borderId="5" xfId="2" applyNumberFormat="1" applyFont="1" applyBorder="1" applyAlignment="1">
      <alignment vertical="center"/>
    </xf>
    <xf numFmtId="0" fontId="68" fillId="0" borderId="5" xfId="0" applyFont="1" applyBorder="1" applyAlignment="1">
      <alignment vertical="center"/>
    </xf>
    <xf numFmtId="180" fontId="24" fillId="0" borderId="0" xfId="1" applyNumberFormat="1" applyFont="1" applyAlignment="1">
      <alignment vertical="center"/>
    </xf>
    <xf numFmtId="180" fontId="68" fillId="0" borderId="5" xfId="0" applyNumberFormat="1" applyFont="1" applyBorder="1" applyAlignment="1">
      <alignment vertical="center"/>
    </xf>
    <xf numFmtId="0" fontId="55" fillId="0" borderId="5" xfId="0" applyFont="1" applyBorder="1" applyAlignment="1">
      <alignment horizontal="left" vertical="top" wrapText="1" readingOrder="1"/>
    </xf>
    <xf numFmtId="0" fontId="56" fillId="0" borderId="5" xfId="0" applyFont="1" applyBorder="1" applyAlignment="1">
      <alignment horizontal="center" vertical="top" wrapText="1" readingOrder="1"/>
    </xf>
    <xf numFmtId="0" fontId="57" fillId="0" borderId="5" xfId="0" applyFont="1" applyBorder="1" applyAlignment="1">
      <alignment horizontal="center" vertical="top" wrapText="1" readingOrder="1"/>
    </xf>
    <xf numFmtId="0" fontId="49" fillId="12" borderId="5" xfId="10" applyFont="1" applyFill="1" applyBorder="1" applyAlignment="1">
      <alignment horizontal="center" vertical="center" wrapText="1"/>
    </xf>
    <xf numFmtId="3" fontId="43" fillId="12" borderId="13" xfId="10" applyNumberFormat="1" applyFont="1" applyFill="1" applyBorder="1" applyAlignment="1">
      <alignment horizontal="center" vertical="center"/>
    </xf>
    <xf numFmtId="3" fontId="49" fillId="12" borderId="5" xfId="10" applyNumberFormat="1" applyFont="1" applyFill="1" applyBorder="1" applyAlignment="1">
      <alignment horizontal="center" vertical="center"/>
    </xf>
    <xf numFmtId="0" fontId="63" fillId="12" borderId="5" xfId="10" applyFont="1" applyFill="1" applyBorder="1" applyAlignment="1">
      <alignment horizontal="center" vertical="center" wrapText="1"/>
    </xf>
    <xf numFmtId="0" fontId="49" fillId="0" borderId="5" xfId="10" applyFont="1" applyFill="1" applyBorder="1" applyAlignment="1">
      <alignment horizontal="center" vertical="top"/>
    </xf>
    <xf numFmtId="0" fontId="49" fillId="12" borderId="5" xfId="10" applyFont="1" applyFill="1" applyBorder="1" applyAlignment="1">
      <alignment horizontal="center" vertical="center"/>
    </xf>
    <xf numFmtId="0" fontId="50" fillId="12" borderId="5" xfId="10" applyFont="1" applyFill="1" applyBorder="1" applyAlignment="1">
      <alignment horizontal="center" vertical="center"/>
    </xf>
    <xf numFmtId="0" fontId="71" fillId="0" borderId="0" xfId="14" applyFont="1"/>
    <xf numFmtId="0" fontId="70" fillId="0" borderId="17" xfId="14" applyFont="1" applyFill="1" applyBorder="1" applyAlignment="1">
      <alignment horizontal="center" vertical="center" wrapText="1"/>
    </xf>
    <xf numFmtId="0" fontId="70" fillId="0" borderId="17" xfId="14" applyFont="1" applyBorder="1" applyAlignment="1">
      <alignment horizontal="center" vertical="center"/>
    </xf>
    <xf numFmtId="0" fontId="70" fillId="0" borderId="18" xfId="14" applyFont="1" applyBorder="1" applyAlignment="1">
      <alignment horizontal="center" vertical="center"/>
    </xf>
    <xf numFmtId="0" fontId="71" fillId="0" borderId="0" xfId="14" applyFont="1" applyAlignment="1">
      <alignment horizontal="center" vertical="center"/>
    </xf>
    <xf numFmtId="0" fontId="70" fillId="0" borderId="44" xfId="14" applyFont="1" applyFill="1" applyBorder="1" applyAlignment="1">
      <alignment horizontal="left" vertical="center"/>
    </xf>
    <xf numFmtId="9" fontId="70" fillId="0" borderId="46" xfId="2" applyNumberFormat="1" applyFont="1" applyFill="1" applyBorder="1" applyAlignment="1">
      <alignment horizontal="center" vertical="center"/>
    </xf>
    <xf numFmtId="0" fontId="70" fillId="0" borderId="47" xfId="14" applyFont="1" applyFill="1" applyBorder="1" applyAlignment="1">
      <alignment horizontal="left" vertical="center"/>
    </xf>
    <xf numFmtId="9" fontId="70" fillId="0" borderId="48" xfId="2" applyNumberFormat="1" applyFont="1" applyFill="1" applyBorder="1" applyAlignment="1">
      <alignment horizontal="center" vertical="center"/>
    </xf>
    <xf numFmtId="0" fontId="70" fillId="0" borderId="47" xfId="14" applyFont="1" applyFill="1" applyBorder="1" applyAlignment="1">
      <alignment horizontal="center" vertical="center"/>
    </xf>
    <xf numFmtId="180" fontId="70" fillId="3" borderId="42" xfId="1" applyNumberFormat="1" applyFont="1" applyFill="1" applyBorder="1" applyAlignment="1">
      <alignment horizontal="center" vertical="center"/>
    </xf>
    <xf numFmtId="9" fontId="70" fillId="3" borderId="49" xfId="2" applyNumberFormat="1" applyFont="1" applyFill="1" applyBorder="1" applyAlignment="1">
      <alignment horizontal="center" vertical="center"/>
    </xf>
    <xf numFmtId="0" fontId="70" fillId="0" borderId="11" xfId="14" applyFont="1" applyFill="1" applyBorder="1" applyAlignment="1">
      <alignment horizontal="left" vertical="center" wrapText="1"/>
    </xf>
    <xf numFmtId="0" fontId="70" fillId="0" borderId="11" xfId="14" applyFont="1" applyFill="1" applyBorder="1" applyAlignment="1">
      <alignment vertical="top" wrapText="1"/>
    </xf>
    <xf numFmtId="0" fontId="70" fillId="0" borderId="8" xfId="14" applyFont="1" applyFill="1" applyBorder="1" applyAlignment="1">
      <alignment horizontal="left" vertical="center"/>
    </xf>
    <xf numFmtId="0" fontId="70" fillId="0" borderId="8" xfId="14" applyFont="1" applyFill="1" applyBorder="1" applyAlignment="1">
      <alignment vertical="center"/>
    </xf>
    <xf numFmtId="0" fontId="71" fillId="0" borderId="8" xfId="14" applyFont="1" applyBorder="1" applyAlignment="1">
      <alignment vertical="center"/>
    </xf>
    <xf numFmtId="0" fontId="71" fillId="0" borderId="0" xfId="14" applyFont="1" applyAlignment="1">
      <alignment vertical="center"/>
    </xf>
    <xf numFmtId="0" fontId="70" fillId="3" borderId="37" xfId="14" applyFont="1" applyFill="1" applyBorder="1" applyAlignment="1">
      <alignment horizontal="center"/>
    </xf>
    <xf numFmtId="180" fontId="70" fillId="3" borderId="38" xfId="1" applyNumberFormat="1" applyFont="1" applyFill="1" applyBorder="1" applyAlignment="1">
      <alignment horizontal="center" vertical="center"/>
    </xf>
    <xf numFmtId="9" fontId="70" fillId="3" borderId="51" xfId="2" applyNumberFormat="1" applyFont="1" applyFill="1" applyBorder="1" applyAlignment="1">
      <alignment horizontal="center"/>
    </xf>
    <xf numFmtId="0" fontId="70" fillId="0" borderId="19" xfId="14" applyFont="1" applyFill="1" applyBorder="1" applyAlignment="1">
      <alignment vertical="top"/>
    </xf>
    <xf numFmtId="0" fontId="70" fillId="0" borderId="5" xfId="14" applyFont="1" applyFill="1" applyBorder="1" applyAlignment="1">
      <alignment horizontal="left" vertical="top"/>
    </xf>
    <xf numFmtId="0" fontId="70" fillId="0" borderId="5" xfId="14" applyFont="1" applyFill="1" applyBorder="1" applyAlignment="1">
      <alignment vertical="top"/>
    </xf>
    <xf numFmtId="0" fontId="71" fillId="0" borderId="5" xfId="14" applyFont="1" applyBorder="1"/>
    <xf numFmtId="0" fontId="70" fillId="3" borderId="16" xfId="14" applyFont="1" applyFill="1" applyBorder="1" applyAlignment="1">
      <alignment horizontal="center"/>
    </xf>
    <xf numFmtId="180" fontId="70" fillId="3" borderId="18" xfId="1" applyNumberFormat="1" applyFont="1" applyFill="1" applyBorder="1" applyAlignment="1">
      <alignment horizontal="center" vertical="center"/>
    </xf>
    <xf numFmtId="9" fontId="70" fillId="3" borderId="52" xfId="2" applyNumberFormat="1" applyFont="1" applyFill="1" applyBorder="1" applyAlignment="1">
      <alignment horizontal="center"/>
    </xf>
    <xf numFmtId="9" fontId="70" fillId="3" borderId="53" xfId="2" applyNumberFormat="1" applyFont="1" applyFill="1" applyBorder="1" applyAlignment="1">
      <alignment horizontal="center"/>
    </xf>
    <xf numFmtId="0" fontId="70" fillId="3" borderId="54" xfId="14" applyFont="1" applyFill="1" applyBorder="1" applyAlignment="1">
      <alignment horizontal="left" vertical="center"/>
    </xf>
    <xf numFmtId="9" fontId="70" fillId="3" borderId="55" xfId="2" applyNumberFormat="1" applyFont="1" applyFill="1" applyBorder="1" applyAlignment="1">
      <alignment horizontal="center" vertical="center"/>
    </xf>
    <xf numFmtId="0" fontId="70" fillId="3" borderId="44" xfId="14" applyFont="1" applyFill="1" applyBorder="1" applyAlignment="1">
      <alignment horizontal="center"/>
    </xf>
    <xf numFmtId="180" fontId="70" fillId="3" borderId="27" xfId="1" applyNumberFormat="1" applyFont="1" applyFill="1" applyBorder="1" applyAlignment="1">
      <alignment horizontal="center" vertical="center"/>
    </xf>
    <xf numFmtId="9" fontId="70" fillId="3" borderId="46" xfId="2" applyNumberFormat="1" applyFont="1" applyFill="1" applyBorder="1" applyAlignment="1">
      <alignment horizontal="center"/>
    </xf>
    <xf numFmtId="0" fontId="70" fillId="0" borderId="37" xfId="14" applyFont="1" applyFill="1" applyBorder="1" applyAlignment="1">
      <alignment horizontal="center"/>
    </xf>
    <xf numFmtId="180" fontId="70" fillId="0" borderId="36" xfId="1" applyNumberFormat="1" applyFont="1" applyFill="1" applyBorder="1" applyAlignment="1">
      <alignment horizontal="center" vertical="center"/>
    </xf>
    <xf numFmtId="9" fontId="70" fillId="0" borderId="38" xfId="2" applyNumberFormat="1" applyFont="1" applyFill="1" applyBorder="1" applyAlignment="1">
      <alignment horizontal="center"/>
    </xf>
    <xf numFmtId="0" fontId="70" fillId="0" borderId="19" xfId="14" applyFont="1" applyFill="1" applyBorder="1" applyAlignment="1">
      <alignment horizontal="center"/>
    </xf>
    <xf numFmtId="0" fontId="70" fillId="0" borderId="5" xfId="14" applyFont="1" applyFill="1" applyBorder="1" applyAlignment="1">
      <alignment horizontal="left"/>
    </xf>
    <xf numFmtId="0" fontId="70" fillId="0" borderId="16" xfId="14" applyFont="1" applyFill="1" applyBorder="1" applyAlignment="1">
      <alignment horizontal="center"/>
    </xf>
    <xf numFmtId="180" fontId="70" fillId="0" borderId="17" xfId="1" applyNumberFormat="1" applyFont="1" applyFill="1" applyBorder="1" applyAlignment="1">
      <alignment horizontal="center" vertical="center"/>
    </xf>
    <xf numFmtId="9" fontId="70" fillId="0" borderId="18" xfId="2" applyNumberFormat="1" applyFont="1" applyFill="1" applyBorder="1" applyAlignment="1">
      <alignment horizontal="center"/>
    </xf>
    <xf numFmtId="0" fontId="70" fillId="0" borderId="57" xfId="14" applyFont="1" applyFill="1" applyBorder="1" applyAlignment="1">
      <alignment horizontal="center"/>
    </xf>
    <xf numFmtId="180" fontId="70" fillId="0" borderId="8" xfId="1" applyNumberFormat="1" applyFont="1" applyFill="1" applyBorder="1" applyAlignment="1">
      <alignment horizontal="center" vertical="center"/>
    </xf>
    <xf numFmtId="9" fontId="70" fillId="0" borderId="58" xfId="2" applyNumberFormat="1" applyFont="1" applyFill="1" applyBorder="1" applyAlignment="1">
      <alignment horizontal="center"/>
    </xf>
    <xf numFmtId="0" fontId="70" fillId="0" borderId="4" xfId="14" applyFont="1" applyFill="1" applyBorder="1" applyAlignment="1">
      <alignment horizontal="center"/>
    </xf>
    <xf numFmtId="180" fontId="70" fillId="0" borderId="5" xfId="1" applyNumberFormat="1" applyFont="1" applyFill="1" applyBorder="1" applyAlignment="1">
      <alignment horizontal="center" vertical="center"/>
    </xf>
    <xf numFmtId="9" fontId="70" fillId="0" borderId="7" xfId="2" applyNumberFormat="1" applyFont="1" applyFill="1" applyBorder="1" applyAlignment="1">
      <alignment horizontal="center"/>
    </xf>
    <xf numFmtId="0" fontId="70" fillId="0" borderId="54" xfId="14" applyFont="1" applyFill="1" applyBorder="1" applyAlignment="1">
      <alignment horizontal="left"/>
    </xf>
    <xf numFmtId="9" fontId="70" fillId="0" borderId="61" xfId="2" applyNumberFormat="1" applyFont="1" applyFill="1" applyBorder="1" applyAlignment="1">
      <alignment horizontal="center"/>
    </xf>
    <xf numFmtId="0" fontId="70" fillId="0" borderId="54" xfId="14" applyFont="1" applyFill="1" applyBorder="1" applyAlignment="1">
      <alignment horizontal="center"/>
    </xf>
    <xf numFmtId="180" fontId="70" fillId="0" borderId="62" xfId="1" applyNumberFormat="1" applyFont="1" applyFill="1" applyBorder="1" applyAlignment="1">
      <alignment horizontal="center" vertical="center"/>
    </xf>
    <xf numFmtId="9" fontId="70" fillId="0" borderId="55" xfId="2" applyNumberFormat="1" applyFont="1" applyFill="1" applyBorder="1" applyAlignment="1">
      <alignment horizontal="center"/>
    </xf>
    <xf numFmtId="0" fontId="70" fillId="0" borderId="63" xfId="14" applyFont="1" applyFill="1" applyBorder="1" applyAlignment="1">
      <alignment horizontal="left"/>
    </xf>
    <xf numFmtId="0" fontId="70" fillId="0" borderId="19" xfId="0" applyFont="1" applyFill="1" applyBorder="1" applyAlignment="1">
      <alignment horizontal="left" vertical="center"/>
    </xf>
    <xf numFmtId="0" fontId="70" fillId="0" borderId="5" xfId="0" applyFont="1" applyFill="1" applyBorder="1" applyAlignment="1">
      <alignment horizontal="left" vertical="center"/>
    </xf>
    <xf numFmtId="0" fontId="70" fillId="0" borderId="21" xfId="0" applyFont="1" applyFill="1" applyBorder="1" applyAlignment="1">
      <alignment horizontal="left" vertical="center"/>
    </xf>
    <xf numFmtId="0" fontId="70" fillId="0" borderId="5" xfId="0" applyFont="1" applyFill="1" applyBorder="1" applyAlignment="1">
      <alignment horizontal="left" vertical="center" wrapText="1"/>
    </xf>
    <xf numFmtId="0" fontId="70" fillId="11" borderId="37" xfId="14" applyFont="1" applyFill="1" applyBorder="1"/>
    <xf numFmtId="0" fontId="70" fillId="11" borderId="4" xfId="14" applyFont="1" applyFill="1" applyBorder="1"/>
    <xf numFmtId="0" fontId="70" fillId="11" borderId="16" xfId="14" applyFont="1" applyFill="1" applyBorder="1"/>
    <xf numFmtId="0" fontId="70" fillId="0" borderId="37" xfId="14" applyFont="1" applyFill="1" applyBorder="1"/>
    <xf numFmtId="0" fontId="70" fillId="0" borderId="19" xfId="14" applyFont="1" applyFill="1" applyBorder="1" applyAlignment="1">
      <alignment horizontal="left"/>
    </xf>
    <xf numFmtId="0" fontId="70" fillId="0" borderId="4" xfId="14" applyFont="1" applyFill="1" applyBorder="1" applyAlignment="1">
      <alignment horizontal="left"/>
    </xf>
    <xf numFmtId="0" fontId="71" fillId="0" borderId="0" xfId="14" applyFont="1" applyAlignment="1">
      <alignment horizontal="center"/>
    </xf>
    <xf numFmtId="0" fontId="71" fillId="0" borderId="0" xfId="14" applyNumberFormat="1" applyFont="1"/>
    <xf numFmtId="0" fontId="71" fillId="0" borderId="0" xfId="14" applyFont="1" applyAlignment="1">
      <alignment horizontal="left"/>
    </xf>
    <xf numFmtId="3" fontId="42" fillId="5" borderId="5" xfId="10" applyNumberFormat="1" applyFont="1" applyFill="1" applyBorder="1" applyAlignment="1">
      <alignment horizontal="center" vertical="center"/>
    </xf>
    <xf numFmtId="3" fontId="30" fillId="15" borderId="5" xfId="0" applyNumberFormat="1" applyFont="1" applyFill="1" applyBorder="1" applyAlignment="1">
      <alignment horizontal="center"/>
    </xf>
    <xf numFmtId="0" fontId="30" fillId="15" borderId="6" xfId="0" applyFont="1" applyFill="1" applyBorder="1" applyAlignment="1">
      <alignment horizontal="center"/>
    </xf>
    <xf numFmtId="3" fontId="30" fillId="15" borderId="6" xfId="0" applyNumberFormat="1" applyFont="1" applyFill="1" applyBorder="1" applyAlignment="1">
      <alignment horizontal="center"/>
    </xf>
    <xf numFmtId="3" fontId="30" fillId="15" borderId="0" xfId="0" applyNumberFormat="1" applyFont="1" applyFill="1" applyBorder="1" applyAlignment="1">
      <alignment horizontal="center"/>
    </xf>
    <xf numFmtId="3" fontId="28" fillId="15" borderId="0" xfId="0" applyNumberFormat="1" applyFont="1" applyFill="1" applyAlignment="1">
      <alignment horizontal="center"/>
    </xf>
    <xf numFmtId="0" fontId="28" fillId="15" borderId="0" xfId="0" applyFont="1" applyFill="1" applyAlignment="1">
      <alignment horizontal="center"/>
    </xf>
    <xf numFmtId="0" fontId="30" fillId="15" borderId="8" xfId="0" applyFont="1" applyFill="1" applyBorder="1" applyAlignment="1">
      <alignment horizontal="center"/>
    </xf>
    <xf numFmtId="0" fontId="30" fillId="15" borderId="8" xfId="0" applyFont="1" applyFill="1" applyBorder="1" applyAlignment="1">
      <alignment horizontal="left"/>
    </xf>
    <xf numFmtId="3" fontId="30" fillId="15" borderId="8" xfId="0" applyNumberFormat="1" applyFont="1" applyFill="1" applyBorder="1" applyAlignment="1">
      <alignment horizontal="center"/>
    </xf>
    <xf numFmtId="0" fontId="28" fillId="19" borderId="0" xfId="0" applyFont="1" applyFill="1" applyAlignment="1">
      <alignment horizontal="center"/>
    </xf>
    <xf numFmtId="0" fontId="28" fillId="3" borderId="26" xfId="0" applyFont="1" applyFill="1" applyBorder="1" applyAlignment="1">
      <alignment horizontal="center"/>
    </xf>
    <xf numFmtId="0" fontId="28" fillId="15" borderId="26" xfId="0" applyFont="1" applyFill="1" applyBorder="1" applyAlignment="1">
      <alignment horizontal="left"/>
    </xf>
    <xf numFmtId="0" fontId="28" fillId="15" borderId="26" xfId="0" applyFont="1" applyFill="1" applyBorder="1" applyAlignment="1">
      <alignment horizontal="center"/>
    </xf>
    <xf numFmtId="2" fontId="28" fillId="15" borderId="26" xfId="0" applyNumberFormat="1" applyFont="1" applyFill="1" applyBorder="1" applyAlignment="1">
      <alignment horizontal="center"/>
    </xf>
    <xf numFmtId="164" fontId="28" fillId="15" borderId="26" xfId="0" applyNumberFormat="1" applyFont="1" applyFill="1" applyBorder="1" applyAlignment="1">
      <alignment horizontal="center"/>
    </xf>
    <xf numFmtId="3" fontId="28" fillId="15" borderId="28" xfId="0" applyNumberFormat="1" applyFont="1" applyFill="1" applyBorder="1" applyAlignment="1">
      <alignment horizontal="center"/>
    </xf>
    <xf numFmtId="3" fontId="28" fillId="15" borderId="26" xfId="0" applyNumberFormat="1" applyFont="1" applyFill="1" applyBorder="1" applyAlignment="1">
      <alignment horizontal="center"/>
    </xf>
    <xf numFmtId="4" fontId="28" fillId="15" borderId="0" xfId="0" applyNumberFormat="1" applyFont="1" applyFill="1" applyAlignment="1">
      <alignment horizontal="center"/>
    </xf>
    <xf numFmtId="2" fontId="28" fillId="15" borderId="0" xfId="0" applyNumberFormat="1" applyFont="1" applyFill="1" applyAlignment="1">
      <alignment horizontal="center"/>
    </xf>
    <xf numFmtId="0" fontId="28" fillId="15" borderId="29" xfId="0" applyFont="1" applyFill="1" applyBorder="1" applyAlignment="1">
      <alignment horizontal="center"/>
    </xf>
    <xf numFmtId="2" fontId="28" fillId="15" borderId="28" xfId="0" applyNumberFormat="1" applyFont="1" applyFill="1" applyBorder="1" applyAlignment="1">
      <alignment horizontal="right"/>
    </xf>
    <xf numFmtId="3" fontId="28" fillId="3" borderId="28" xfId="0" applyNumberFormat="1" applyFont="1" applyFill="1" applyBorder="1" applyAlignment="1">
      <alignment horizontal="center"/>
    </xf>
    <xf numFmtId="2" fontId="28" fillId="15" borderId="0" xfId="0" applyNumberFormat="1" applyFont="1" applyFill="1" applyBorder="1" applyAlignment="1">
      <alignment horizontal="right"/>
    </xf>
    <xf numFmtId="0" fontId="28" fillId="20" borderId="28" xfId="0" applyFont="1" applyFill="1" applyBorder="1" applyAlignment="1">
      <alignment horizontal="center"/>
    </xf>
    <xf numFmtId="0" fontId="28" fillId="20" borderId="28" xfId="0" applyFont="1" applyFill="1" applyBorder="1" applyAlignment="1">
      <alignment horizontal="left"/>
    </xf>
    <xf numFmtId="2" fontId="28" fillId="20" borderId="28" xfId="0" applyNumberFormat="1" applyFont="1" applyFill="1" applyBorder="1" applyAlignment="1">
      <alignment horizontal="center"/>
    </xf>
    <xf numFmtId="3" fontId="28" fillId="21" borderId="28" xfId="0" applyNumberFormat="1" applyFont="1" applyFill="1" applyBorder="1" applyAlignment="1">
      <alignment horizontal="center"/>
    </xf>
    <xf numFmtId="0" fontId="33" fillId="15" borderId="28" xfId="0" applyFont="1" applyFill="1" applyBorder="1" applyAlignment="1">
      <alignment horizontal="center"/>
    </xf>
    <xf numFmtId="2" fontId="28" fillId="15" borderId="28" xfId="0" applyNumberFormat="1" applyFont="1" applyFill="1" applyBorder="1" applyAlignment="1">
      <alignment horizontal="center"/>
    </xf>
    <xf numFmtId="3" fontId="28" fillId="15" borderId="13" xfId="0" applyNumberFormat="1" applyFont="1" applyFill="1" applyBorder="1" applyAlignment="1">
      <alignment horizontal="center"/>
    </xf>
    <xf numFmtId="0" fontId="28" fillId="3" borderId="28" xfId="0" applyFont="1" applyFill="1" applyBorder="1" applyAlignment="1">
      <alignment horizontal="center"/>
    </xf>
    <xf numFmtId="2" fontId="28" fillId="3" borderId="28" xfId="0" applyNumberFormat="1" applyFont="1" applyFill="1" applyBorder="1" applyAlignment="1">
      <alignment horizontal="center"/>
    </xf>
    <xf numFmtId="3" fontId="28" fillId="26" borderId="28" xfId="0" applyNumberFormat="1" applyFont="1" applyFill="1" applyBorder="1" applyAlignment="1">
      <alignment horizontal="center"/>
    </xf>
    <xf numFmtId="0" fontId="28" fillId="28" borderId="28" xfId="0" applyFont="1" applyFill="1" applyBorder="1" applyAlignment="1">
      <alignment horizontal="center"/>
    </xf>
    <xf numFmtId="0" fontId="28" fillId="28" borderId="28" xfId="0" applyFont="1" applyFill="1" applyBorder="1" applyAlignment="1">
      <alignment horizontal="left"/>
    </xf>
    <xf numFmtId="173" fontId="28" fillId="28" borderId="28" xfId="0" applyNumberFormat="1" applyFont="1" applyFill="1" applyBorder="1" applyAlignment="1">
      <alignment horizontal="center"/>
    </xf>
    <xf numFmtId="3" fontId="28" fillId="28" borderId="28" xfId="0" applyNumberFormat="1" applyFont="1" applyFill="1" applyBorder="1" applyAlignment="1">
      <alignment horizontal="center"/>
    </xf>
    <xf numFmtId="3" fontId="28" fillId="28" borderId="0" xfId="0" applyNumberFormat="1" applyFont="1" applyFill="1" applyBorder="1" applyAlignment="1">
      <alignment horizontal="center"/>
    </xf>
    <xf numFmtId="2" fontId="28" fillId="28" borderId="28" xfId="0" applyNumberFormat="1" applyFont="1" applyFill="1" applyBorder="1" applyAlignment="1">
      <alignment horizontal="center"/>
    </xf>
    <xf numFmtId="0" fontId="33" fillId="28" borderId="28" xfId="0" applyFont="1" applyFill="1" applyBorder="1" applyAlignment="1">
      <alignment horizontal="center"/>
    </xf>
    <xf numFmtId="173" fontId="31" fillId="36" borderId="28" xfId="0" applyNumberFormat="1" applyFont="1" applyFill="1" applyBorder="1" applyAlignment="1">
      <alignment horizontal="center"/>
    </xf>
    <xf numFmtId="4" fontId="28" fillId="28" borderId="28" xfId="0" applyNumberFormat="1" applyFont="1" applyFill="1" applyBorder="1" applyAlignment="1">
      <alignment horizontal="center"/>
    </xf>
    <xf numFmtId="164" fontId="28" fillId="15" borderId="0" xfId="0" applyNumberFormat="1" applyFont="1" applyFill="1" applyAlignment="1">
      <alignment horizontal="center"/>
    </xf>
    <xf numFmtId="0" fontId="28" fillId="15" borderId="30" xfId="0" applyFont="1" applyFill="1" applyBorder="1" applyAlignment="1">
      <alignment horizontal="center"/>
    </xf>
    <xf numFmtId="4" fontId="28" fillId="15" borderId="28" xfId="0" applyNumberFormat="1" applyFont="1" applyFill="1" applyBorder="1" applyAlignment="1">
      <alignment horizontal="center"/>
    </xf>
    <xf numFmtId="173" fontId="28" fillId="15" borderId="28" xfId="0" applyNumberFormat="1" applyFont="1" applyFill="1" applyBorder="1" applyAlignment="1">
      <alignment horizontal="center"/>
    </xf>
    <xf numFmtId="164" fontId="28" fillId="15" borderId="28" xfId="0" applyNumberFormat="1" applyFont="1" applyFill="1" applyBorder="1" applyAlignment="1">
      <alignment horizontal="center"/>
    </xf>
    <xf numFmtId="3" fontId="33" fillId="15" borderId="28" xfId="0" applyNumberFormat="1" applyFont="1" applyFill="1" applyBorder="1" applyAlignment="1">
      <alignment horizontal="center"/>
    </xf>
    <xf numFmtId="0" fontId="28" fillId="18" borderId="0" xfId="0" applyFont="1" applyFill="1" applyAlignment="1">
      <alignment horizontal="center"/>
    </xf>
    <xf numFmtId="3" fontId="28" fillId="20" borderId="28" xfId="0" applyNumberFormat="1" applyFont="1" applyFill="1" applyBorder="1" applyAlignment="1">
      <alignment horizontal="center"/>
    </xf>
    <xf numFmtId="175" fontId="28" fillId="28" borderId="28" xfId="0" applyNumberFormat="1" applyFont="1" applyFill="1" applyBorder="1" applyAlignment="1">
      <alignment horizontal="center"/>
    </xf>
    <xf numFmtId="175" fontId="28" fillId="28" borderId="30" xfId="0" applyNumberFormat="1" applyFont="1" applyFill="1" applyBorder="1" applyAlignment="1">
      <alignment horizontal="center"/>
    </xf>
    <xf numFmtId="4" fontId="33" fillId="15" borderId="28" xfId="0" applyNumberFormat="1" applyFont="1" applyFill="1" applyBorder="1" applyAlignment="1">
      <alignment horizontal="center"/>
    </xf>
    <xf numFmtId="173" fontId="33" fillId="15" borderId="28" xfId="0" applyNumberFormat="1" applyFont="1" applyFill="1" applyBorder="1" applyAlignment="1">
      <alignment horizontal="center"/>
    </xf>
    <xf numFmtId="173" fontId="28" fillId="20" borderId="28" xfId="0" applyNumberFormat="1" applyFont="1" applyFill="1" applyBorder="1" applyAlignment="1">
      <alignment horizontal="center"/>
    </xf>
    <xf numFmtId="3" fontId="28" fillId="15" borderId="32" xfId="0" applyNumberFormat="1" applyFont="1" applyFill="1" applyBorder="1" applyAlignment="1">
      <alignment horizontal="center" vertical="center"/>
    </xf>
    <xf numFmtId="0" fontId="28" fillId="3" borderId="29" xfId="0" applyFont="1" applyFill="1" applyBorder="1" applyAlignment="1">
      <alignment horizontal="center"/>
    </xf>
    <xf numFmtId="0" fontId="28" fillId="3" borderId="5" xfId="0" applyFont="1" applyFill="1" applyBorder="1" applyAlignment="1">
      <alignment horizontal="center"/>
    </xf>
    <xf numFmtId="181" fontId="28" fillId="3" borderId="0" xfId="0" applyNumberFormat="1" applyFont="1" applyFill="1" applyAlignment="1">
      <alignment horizontal="center"/>
    </xf>
    <xf numFmtId="4" fontId="33" fillId="28" borderId="28" xfId="0" applyNumberFormat="1" applyFont="1" applyFill="1" applyBorder="1" applyAlignment="1">
      <alignment horizontal="center"/>
    </xf>
    <xf numFmtId="3" fontId="33" fillId="15" borderId="5" xfId="0" applyNumberFormat="1" applyFont="1" applyFill="1" applyBorder="1" applyAlignment="1">
      <alignment horizontal="center"/>
    </xf>
    <xf numFmtId="3" fontId="33" fillId="26" borderId="28" xfId="0" applyNumberFormat="1" applyFont="1" applyFill="1" applyBorder="1" applyAlignment="1">
      <alignment horizontal="center"/>
    </xf>
    <xf numFmtId="0" fontId="33" fillId="3" borderId="28" xfId="0" applyFont="1" applyFill="1" applyBorder="1" applyAlignment="1">
      <alignment horizontal="center"/>
    </xf>
    <xf numFmtId="0" fontId="33" fillId="16" borderId="28" xfId="0" applyFont="1" applyFill="1" applyBorder="1" applyAlignment="1">
      <alignment horizontal="left"/>
    </xf>
    <xf numFmtId="3" fontId="33" fillId="15" borderId="29" xfId="0" applyNumberFormat="1" applyFont="1" applyFill="1" applyBorder="1" applyAlignment="1">
      <alignment horizontal="center"/>
    </xf>
    <xf numFmtId="3" fontId="28" fillId="15" borderId="29" xfId="0" applyNumberFormat="1" applyFont="1" applyFill="1" applyBorder="1" applyAlignment="1">
      <alignment horizontal="center"/>
    </xf>
    <xf numFmtId="0" fontId="28" fillId="15" borderId="30" xfId="0" applyFont="1" applyFill="1" applyBorder="1" applyAlignment="1">
      <alignment horizontal="left"/>
    </xf>
    <xf numFmtId="3" fontId="28" fillId="15" borderId="30" xfId="0" applyNumberFormat="1" applyFont="1" applyFill="1" applyBorder="1" applyAlignment="1">
      <alignment horizontal="center"/>
    </xf>
    <xf numFmtId="0" fontId="34" fillId="15" borderId="28" xfId="0" applyFont="1" applyFill="1" applyBorder="1" applyAlignment="1">
      <alignment horizontal="left"/>
    </xf>
    <xf numFmtId="3" fontId="28" fillId="26" borderId="30" xfId="0" applyNumberFormat="1" applyFont="1" applyFill="1" applyBorder="1" applyAlignment="1">
      <alignment horizontal="center"/>
    </xf>
    <xf numFmtId="0" fontId="33" fillId="3" borderId="28" xfId="0" applyFont="1" applyFill="1" applyBorder="1" applyAlignment="1">
      <alignment horizontal="left"/>
    </xf>
    <xf numFmtId="0" fontId="28" fillId="3" borderId="30" xfId="0" applyFont="1" applyFill="1" applyBorder="1" applyAlignment="1">
      <alignment horizontal="center"/>
    </xf>
    <xf numFmtId="0" fontId="34" fillId="15" borderId="28" xfId="0" applyFont="1" applyFill="1" applyBorder="1" applyAlignment="1">
      <alignment horizontal="center"/>
    </xf>
    <xf numFmtId="2" fontId="28" fillId="15" borderId="30" xfId="0" applyNumberFormat="1" applyFont="1" applyFill="1" applyBorder="1" applyAlignment="1">
      <alignment horizontal="center"/>
    </xf>
    <xf numFmtId="173" fontId="28" fillId="15" borderId="30" xfId="0" applyNumberFormat="1" applyFont="1" applyFill="1" applyBorder="1" applyAlignment="1">
      <alignment horizontal="center"/>
    </xf>
    <xf numFmtId="173" fontId="28" fillId="26" borderId="30" xfId="0" applyNumberFormat="1" applyFont="1" applyFill="1" applyBorder="1" applyAlignment="1">
      <alignment horizontal="center"/>
    </xf>
    <xf numFmtId="0" fontId="28" fillId="28" borderId="30" xfId="0" applyFont="1" applyFill="1" applyBorder="1" applyAlignment="1">
      <alignment horizontal="center"/>
    </xf>
    <xf numFmtId="4" fontId="33" fillId="28" borderId="30" xfId="0" applyNumberFormat="1" applyFont="1" applyFill="1" applyBorder="1" applyAlignment="1">
      <alignment horizontal="center"/>
    </xf>
    <xf numFmtId="0" fontId="28" fillId="25" borderId="30" xfId="0" applyFont="1" applyFill="1" applyBorder="1" applyAlignment="1">
      <alignment horizontal="center"/>
    </xf>
    <xf numFmtId="0" fontId="33" fillId="25" borderId="30" xfId="0" applyFont="1" applyFill="1" applyBorder="1" applyAlignment="1">
      <alignment horizontal="center"/>
    </xf>
    <xf numFmtId="4" fontId="33" fillId="25" borderId="30" xfId="0" applyNumberFormat="1" applyFont="1" applyFill="1" applyBorder="1" applyAlignment="1">
      <alignment horizontal="center"/>
    </xf>
    <xf numFmtId="4" fontId="28" fillId="25" borderId="30" xfId="0" applyNumberFormat="1" applyFont="1" applyFill="1" applyBorder="1" applyAlignment="1">
      <alignment horizontal="center"/>
    </xf>
    <xf numFmtId="3" fontId="28" fillId="25" borderId="0" xfId="0" applyNumberFormat="1" applyFont="1" applyFill="1" applyAlignment="1">
      <alignment horizontal="center"/>
    </xf>
    <xf numFmtId="0" fontId="28" fillId="25" borderId="0" xfId="0" applyFont="1" applyFill="1" applyAlignment="1">
      <alignment horizontal="center"/>
    </xf>
    <xf numFmtId="0" fontId="33" fillId="3" borderId="30" xfId="0" applyFont="1" applyFill="1" applyBorder="1" applyAlignment="1">
      <alignment horizontal="center"/>
    </xf>
    <xf numFmtId="4" fontId="33" fillId="3" borderId="30" xfId="0" applyNumberFormat="1" applyFont="1" applyFill="1" applyBorder="1" applyAlignment="1">
      <alignment horizontal="center"/>
    </xf>
    <xf numFmtId="4" fontId="28" fillId="3" borderId="30" xfId="0" applyNumberFormat="1" applyFont="1" applyFill="1" applyBorder="1" applyAlignment="1">
      <alignment horizontal="center"/>
    </xf>
    <xf numFmtId="3" fontId="28" fillId="3" borderId="0" xfId="0" applyNumberFormat="1" applyFont="1" applyFill="1" applyBorder="1" applyAlignment="1">
      <alignment horizontal="center"/>
    </xf>
    <xf numFmtId="3" fontId="28" fillId="3" borderId="0" xfId="0" applyNumberFormat="1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0" fontId="33" fillId="15" borderId="30" xfId="0" applyFont="1" applyFill="1" applyBorder="1" applyAlignment="1">
      <alignment horizontal="center"/>
    </xf>
    <xf numFmtId="4" fontId="33" fillId="15" borderId="39" xfId="0" applyNumberFormat="1" applyFont="1" applyFill="1" applyBorder="1" applyAlignment="1">
      <alignment horizontal="center"/>
    </xf>
    <xf numFmtId="4" fontId="33" fillId="15" borderId="30" xfId="0" applyNumberFormat="1" applyFont="1" applyFill="1" applyBorder="1" applyAlignment="1">
      <alignment horizontal="center"/>
    </xf>
    <xf numFmtId="0" fontId="28" fillId="15" borderId="39" xfId="0" applyFont="1" applyFill="1" applyBorder="1" applyAlignment="1">
      <alignment horizontal="center"/>
    </xf>
    <xf numFmtId="0" fontId="29" fillId="15" borderId="39" xfId="0" applyFont="1" applyFill="1" applyBorder="1" applyAlignment="1">
      <alignment horizontal="center"/>
    </xf>
    <xf numFmtId="3" fontId="33" fillId="15" borderId="39" xfId="0" applyNumberFormat="1" applyFont="1" applyFill="1" applyBorder="1" applyAlignment="1">
      <alignment horizontal="center"/>
    </xf>
    <xf numFmtId="0" fontId="28" fillId="15" borderId="23" xfId="0" applyFont="1" applyFill="1" applyBorder="1" applyAlignment="1">
      <alignment horizontal="center"/>
    </xf>
    <xf numFmtId="0" fontId="28" fillId="15" borderId="10" xfId="0" applyFont="1" applyFill="1" applyBorder="1" applyAlignment="1">
      <alignment horizontal="center"/>
    </xf>
    <xf numFmtId="0" fontId="28" fillId="15" borderId="10" xfId="0" applyFont="1" applyFill="1" applyBorder="1" applyAlignment="1">
      <alignment horizontal="left"/>
    </xf>
    <xf numFmtId="1" fontId="28" fillId="15" borderId="28" xfId="0" applyNumberFormat="1" applyFont="1" applyFill="1" applyBorder="1" applyAlignment="1">
      <alignment horizontal="center"/>
    </xf>
    <xf numFmtId="3" fontId="28" fillId="15" borderId="39" xfId="0" applyNumberFormat="1" applyFont="1" applyFill="1" applyBorder="1" applyAlignment="1">
      <alignment horizontal="center"/>
    </xf>
    <xf numFmtId="0" fontId="30" fillId="15" borderId="19" xfId="0" applyFont="1" applyFill="1" applyBorder="1" applyAlignment="1">
      <alignment horizontal="center"/>
    </xf>
    <xf numFmtId="0" fontId="30" fillId="15" borderId="12" xfId="0" applyFont="1" applyFill="1" applyBorder="1" applyAlignment="1">
      <alignment horizontal="center"/>
    </xf>
    <xf numFmtId="0" fontId="30" fillId="15" borderId="12" xfId="0" applyFont="1" applyFill="1" applyBorder="1" applyAlignment="1">
      <alignment horizontal="left"/>
    </xf>
    <xf numFmtId="0" fontId="30" fillId="15" borderId="5" xfId="0" applyFont="1" applyFill="1" applyBorder="1" applyAlignment="1">
      <alignment horizontal="center"/>
    </xf>
    <xf numFmtId="3" fontId="30" fillId="15" borderId="12" xfId="0" applyNumberFormat="1" applyFont="1" applyFill="1" applyBorder="1" applyAlignment="1">
      <alignment horizontal="center"/>
    </xf>
    <xf numFmtId="0" fontId="30" fillId="15" borderId="0" xfId="0" applyFont="1" applyFill="1" applyBorder="1" applyAlignment="1">
      <alignment horizontal="center"/>
    </xf>
    <xf numFmtId="0" fontId="34" fillId="15" borderId="26" xfId="0" applyFont="1" applyFill="1" applyBorder="1" applyAlignment="1">
      <alignment horizontal="left"/>
    </xf>
    <xf numFmtId="4" fontId="34" fillId="20" borderId="28" xfId="0" applyNumberFormat="1" applyFont="1" applyFill="1" applyBorder="1" applyAlignment="1">
      <alignment horizontal="center"/>
    </xf>
    <xf numFmtId="4" fontId="28" fillId="20" borderId="28" xfId="0" applyNumberFormat="1" applyFont="1" applyFill="1" applyBorder="1" applyAlignment="1">
      <alignment horizontal="center"/>
    </xf>
    <xf numFmtId="0" fontId="34" fillId="15" borderId="29" xfId="0" applyFont="1" applyFill="1" applyBorder="1" applyAlignment="1">
      <alignment horizontal="left"/>
    </xf>
    <xf numFmtId="183" fontId="28" fillId="15" borderId="28" xfId="0" applyNumberFormat="1" applyFont="1" applyFill="1" applyBorder="1" applyAlignment="1">
      <alignment horizontal="center"/>
    </xf>
    <xf numFmtId="2" fontId="28" fillId="15" borderId="34" xfId="0" applyNumberFormat="1" applyFont="1" applyFill="1" applyBorder="1" applyAlignment="1">
      <alignment horizontal="right"/>
    </xf>
    <xf numFmtId="43" fontId="28" fillId="15" borderId="0" xfId="0" applyNumberFormat="1" applyFont="1" applyFill="1" applyAlignment="1">
      <alignment horizontal="center"/>
    </xf>
    <xf numFmtId="164" fontId="28" fillId="15" borderId="29" xfId="0" applyNumberFormat="1" applyFont="1" applyFill="1" applyBorder="1" applyAlignment="1">
      <alignment horizontal="center"/>
    </xf>
    <xf numFmtId="178" fontId="28" fillId="20" borderId="28" xfId="9" applyFont="1" applyFill="1" applyBorder="1" applyAlignment="1">
      <alignment horizontal="left"/>
    </xf>
    <xf numFmtId="178" fontId="28" fillId="20" borderId="28" xfId="9" applyFont="1" applyFill="1" applyBorder="1" applyAlignment="1">
      <alignment horizontal="center"/>
    </xf>
    <xf numFmtId="0" fontId="28" fillId="20" borderId="30" xfId="0" applyFont="1" applyFill="1" applyBorder="1" applyAlignment="1">
      <alignment horizontal="center"/>
    </xf>
    <xf numFmtId="2" fontId="28" fillId="20" borderId="30" xfId="0" applyNumberFormat="1" applyFont="1" applyFill="1" applyBorder="1" applyAlignment="1">
      <alignment horizontal="center"/>
    </xf>
    <xf numFmtId="3" fontId="28" fillId="20" borderId="30" xfId="0" applyNumberFormat="1" applyFont="1" applyFill="1" applyBorder="1" applyAlignment="1">
      <alignment horizontal="center"/>
    </xf>
    <xf numFmtId="0" fontId="28" fillId="15" borderId="34" xfId="0" applyFont="1" applyFill="1" applyBorder="1" applyAlignment="1">
      <alignment horizontal="center"/>
    </xf>
    <xf numFmtId="0" fontId="28" fillId="15" borderId="0" xfId="0" applyFont="1" applyFill="1" applyBorder="1" applyAlignment="1">
      <alignment horizontal="center"/>
    </xf>
    <xf numFmtId="4" fontId="28" fillId="15" borderId="30" xfId="0" applyNumberFormat="1" applyFont="1" applyFill="1" applyBorder="1" applyAlignment="1">
      <alignment horizontal="center"/>
    </xf>
    <xf numFmtId="4" fontId="28" fillId="3" borderId="28" xfId="0" applyNumberFormat="1" applyFont="1" applyFill="1" applyBorder="1" applyAlignment="1">
      <alignment horizontal="center"/>
    </xf>
    <xf numFmtId="4" fontId="28" fillId="18" borderId="28" xfId="0" applyNumberFormat="1" applyFont="1" applyFill="1" applyBorder="1" applyAlignment="1">
      <alignment horizontal="center"/>
    </xf>
    <xf numFmtId="3" fontId="28" fillId="25" borderId="30" xfId="0" applyNumberFormat="1" applyFont="1" applyFill="1" applyBorder="1" applyAlignment="1">
      <alignment horizontal="center"/>
    </xf>
    <xf numFmtId="0" fontId="28" fillId="28" borderId="29" xfId="0" applyFont="1" applyFill="1" applyBorder="1" applyAlignment="1">
      <alignment horizontal="center"/>
    </xf>
    <xf numFmtId="0" fontId="34" fillId="28" borderId="28" xfId="0" applyFont="1" applyFill="1" applyBorder="1" applyAlignment="1">
      <alignment horizontal="left"/>
    </xf>
    <xf numFmtId="0" fontId="28" fillId="15" borderId="28" xfId="0" applyFont="1" applyFill="1" applyBorder="1" applyAlignment="1">
      <alignment horizontal="right"/>
    </xf>
    <xf numFmtId="3" fontId="34" fillId="15" borderId="28" xfId="0" applyNumberFormat="1" applyFont="1" applyFill="1" applyBorder="1" applyAlignment="1">
      <alignment horizontal="center"/>
    </xf>
    <xf numFmtId="3" fontId="28" fillId="18" borderId="30" xfId="0" applyNumberFormat="1" applyFont="1" applyFill="1" applyBorder="1" applyAlignment="1">
      <alignment horizontal="center"/>
    </xf>
    <xf numFmtId="0" fontId="34" fillId="15" borderId="30" xfId="0" applyFont="1" applyFill="1" applyBorder="1" applyAlignment="1">
      <alignment horizontal="left"/>
    </xf>
    <xf numFmtId="0" fontId="28" fillId="15" borderId="27" xfId="0" applyFont="1" applyFill="1" applyBorder="1" applyAlignment="1">
      <alignment horizontal="center"/>
    </xf>
    <xf numFmtId="0" fontId="28" fillId="18" borderId="29" xfId="0" applyFont="1" applyFill="1" applyBorder="1" applyAlignment="1">
      <alignment horizontal="center"/>
    </xf>
    <xf numFmtId="164" fontId="28" fillId="15" borderId="30" xfId="0" applyNumberFormat="1" applyFont="1" applyFill="1" applyBorder="1" applyAlignment="1">
      <alignment horizontal="center"/>
    </xf>
    <xf numFmtId="173" fontId="28" fillId="28" borderId="29" xfId="0" applyNumberFormat="1" applyFont="1" applyFill="1" applyBorder="1" applyAlignment="1">
      <alignment horizontal="center"/>
    </xf>
    <xf numFmtId="3" fontId="28" fillId="18" borderId="0" xfId="0" applyNumberFormat="1" applyFont="1" applyFill="1" applyAlignment="1">
      <alignment horizontal="center"/>
    </xf>
    <xf numFmtId="0" fontId="28" fillId="18" borderId="30" xfId="0" applyFont="1" applyFill="1" applyBorder="1" applyAlignment="1">
      <alignment horizontal="center"/>
    </xf>
    <xf numFmtId="0" fontId="28" fillId="18" borderId="28" xfId="0" applyFont="1" applyFill="1" applyBorder="1" applyAlignment="1">
      <alignment horizontal="center"/>
    </xf>
    <xf numFmtId="0" fontId="33" fillId="18" borderId="28" xfId="0" applyFont="1" applyFill="1" applyBorder="1" applyAlignment="1">
      <alignment horizontal="center"/>
    </xf>
    <xf numFmtId="4" fontId="28" fillId="18" borderId="30" xfId="0" applyNumberFormat="1" applyFont="1" applyFill="1" applyBorder="1" applyAlignment="1">
      <alignment horizontal="center"/>
    </xf>
    <xf numFmtId="3" fontId="28" fillId="18" borderId="28" xfId="0" applyNumberFormat="1" applyFont="1" applyFill="1" applyBorder="1" applyAlignment="1">
      <alignment horizontal="center"/>
    </xf>
    <xf numFmtId="183" fontId="28" fillId="15" borderId="30" xfId="0" applyNumberFormat="1" applyFont="1" applyFill="1" applyBorder="1" applyAlignment="1">
      <alignment horizontal="center"/>
    </xf>
    <xf numFmtId="3" fontId="33" fillId="15" borderId="30" xfId="0" applyNumberFormat="1" applyFont="1" applyFill="1" applyBorder="1" applyAlignment="1">
      <alignment horizontal="center"/>
    </xf>
    <xf numFmtId="0" fontId="28" fillId="15" borderId="32" xfId="0" applyFont="1" applyFill="1" applyBorder="1" applyAlignment="1">
      <alignment horizontal="center"/>
    </xf>
    <xf numFmtId="0" fontId="33" fillId="15" borderId="0" xfId="0" applyFont="1" applyFill="1" applyBorder="1" applyAlignment="1">
      <alignment horizontal="center"/>
    </xf>
    <xf numFmtId="4" fontId="33" fillId="15" borderId="27" xfId="0" applyNumberFormat="1" applyFont="1" applyFill="1" applyBorder="1" applyAlignment="1">
      <alignment horizontal="center"/>
    </xf>
    <xf numFmtId="3" fontId="33" fillId="15" borderId="27" xfId="0" applyNumberFormat="1" applyFont="1" applyFill="1" applyBorder="1" applyAlignment="1">
      <alignment horizontal="center"/>
    </xf>
    <xf numFmtId="3" fontId="28" fillId="15" borderId="27" xfId="0" applyNumberFormat="1" applyFont="1" applyFill="1" applyBorder="1" applyAlignment="1">
      <alignment horizontal="center"/>
    </xf>
    <xf numFmtId="3" fontId="28" fillId="16" borderId="26" xfId="0" applyNumberFormat="1" applyFont="1" applyFill="1" applyBorder="1" applyAlignment="1">
      <alignment horizontal="center"/>
    </xf>
    <xf numFmtId="3" fontId="28" fillId="16" borderId="28" xfId="0" applyNumberFormat="1" applyFont="1" applyFill="1" applyBorder="1" applyAlignment="1">
      <alignment horizontal="center"/>
    </xf>
    <xf numFmtId="0" fontId="28" fillId="16" borderId="28" xfId="0" applyFont="1" applyFill="1" applyBorder="1" applyAlignment="1">
      <alignment horizontal="center"/>
    </xf>
    <xf numFmtId="171" fontId="28" fillId="28" borderId="28" xfId="0" applyNumberFormat="1" applyFont="1" applyFill="1" applyBorder="1" applyAlignment="1">
      <alignment horizontal="center"/>
    </xf>
    <xf numFmtId="175" fontId="28" fillId="15" borderId="30" xfId="0" applyNumberFormat="1" applyFont="1" applyFill="1" applyBorder="1" applyAlignment="1">
      <alignment horizontal="center"/>
    </xf>
    <xf numFmtId="0" fontId="33" fillId="28" borderId="29" xfId="0" applyFont="1" applyFill="1" applyBorder="1" applyAlignment="1">
      <alignment horizontal="center"/>
    </xf>
    <xf numFmtId="4" fontId="28" fillId="28" borderId="29" xfId="0" applyNumberFormat="1" applyFont="1" applyFill="1" applyBorder="1" applyAlignment="1">
      <alignment horizontal="center"/>
    </xf>
    <xf numFmtId="3" fontId="28" fillId="28" borderId="29" xfId="0" applyNumberFormat="1" applyFont="1" applyFill="1" applyBorder="1" applyAlignment="1">
      <alignment horizontal="center"/>
    </xf>
    <xf numFmtId="183" fontId="28" fillId="20" borderId="28" xfId="0" applyNumberFormat="1" applyFont="1" applyFill="1" applyBorder="1" applyAlignment="1">
      <alignment horizontal="center"/>
    </xf>
    <xf numFmtId="183" fontId="28" fillId="28" borderId="28" xfId="0" applyNumberFormat="1" applyFont="1" applyFill="1" applyBorder="1" applyAlignment="1">
      <alignment horizontal="center"/>
    </xf>
    <xf numFmtId="164" fontId="28" fillId="15" borderId="34" xfId="0" applyNumberFormat="1" applyFont="1" applyFill="1" applyBorder="1" applyAlignment="1">
      <alignment horizontal="center"/>
    </xf>
    <xf numFmtId="164" fontId="28" fillId="15" borderId="0" xfId="0" applyNumberFormat="1" applyFont="1" applyFill="1" applyBorder="1" applyAlignment="1">
      <alignment horizontal="center"/>
    </xf>
    <xf numFmtId="164" fontId="28" fillId="15" borderId="28" xfId="0" applyNumberFormat="1" applyFont="1" applyFill="1" applyBorder="1" applyAlignment="1">
      <alignment horizontal="right"/>
    </xf>
    <xf numFmtId="164" fontId="28" fillId="15" borderId="34" xfId="0" applyNumberFormat="1" applyFont="1" applyFill="1" applyBorder="1" applyAlignment="1">
      <alignment horizontal="right"/>
    </xf>
    <xf numFmtId="164" fontId="28" fillId="15" borderId="0" xfId="0" applyNumberFormat="1" applyFont="1" applyFill="1" applyBorder="1" applyAlignment="1">
      <alignment horizontal="right"/>
    </xf>
    <xf numFmtId="0" fontId="28" fillId="0" borderId="28" xfId="0" applyFont="1" applyFill="1" applyBorder="1" applyAlignment="1">
      <alignment horizontal="left"/>
    </xf>
    <xf numFmtId="0" fontId="33" fillId="25" borderId="0" xfId="0" applyFont="1" applyFill="1" applyBorder="1" applyAlignment="1">
      <alignment horizontal="center"/>
    </xf>
    <xf numFmtId="4" fontId="28" fillId="25" borderId="0" xfId="0" applyNumberFormat="1" applyFont="1" applyFill="1" applyAlignment="1">
      <alignment horizontal="center"/>
    </xf>
    <xf numFmtId="173" fontId="28" fillId="25" borderId="30" xfId="0" applyNumberFormat="1" applyFont="1" applyFill="1" applyBorder="1" applyAlignment="1">
      <alignment horizontal="center"/>
    </xf>
    <xf numFmtId="173" fontId="28" fillId="25" borderId="0" xfId="0" applyNumberFormat="1" applyFont="1" applyFill="1" applyAlignment="1">
      <alignment horizontal="center"/>
    </xf>
    <xf numFmtId="4" fontId="28" fillId="3" borderId="0" xfId="0" applyNumberFormat="1" applyFont="1" applyFill="1" applyAlignment="1">
      <alignment horizontal="center"/>
    </xf>
    <xf numFmtId="0" fontId="28" fillId="16" borderId="30" xfId="0" applyFont="1" applyFill="1" applyBorder="1" applyAlignment="1">
      <alignment horizontal="center"/>
    </xf>
    <xf numFmtId="4" fontId="28" fillId="15" borderId="27" xfId="0" applyNumberFormat="1" applyFont="1" applyFill="1" applyBorder="1" applyAlignment="1">
      <alignment horizontal="center"/>
    </xf>
    <xf numFmtId="0" fontId="28" fillId="15" borderId="39" xfId="0" applyFont="1" applyFill="1" applyBorder="1" applyAlignment="1">
      <alignment horizontal="left"/>
    </xf>
    <xf numFmtId="0" fontId="28" fillId="15" borderId="67" xfId="0" applyFont="1" applyFill="1" applyBorder="1" applyAlignment="1">
      <alignment horizontal="center"/>
    </xf>
    <xf numFmtId="0" fontId="28" fillId="3" borderId="35" xfId="0" applyFont="1" applyFill="1" applyBorder="1" applyAlignment="1">
      <alignment horizontal="center"/>
    </xf>
    <xf numFmtId="0" fontId="28" fillId="15" borderId="71" xfId="0" applyFont="1" applyFill="1" applyBorder="1" applyAlignment="1">
      <alignment horizontal="left"/>
    </xf>
    <xf numFmtId="0" fontId="28" fillId="15" borderId="27" xfId="0" applyFont="1" applyFill="1" applyBorder="1" applyAlignment="1">
      <alignment horizontal="left"/>
    </xf>
    <xf numFmtId="0" fontId="33" fillId="15" borderId="28" xfId="0" applyFont="1" applyFill="1" applyBorder="1" applyAlignment="1">
      <alignment horizontal="left"/>
    </xf>
    <xf numFmtId="0" fontId="28" fillId="15" borderId="6" xfId="0" applyFont="1" applyFill="1" applyBorder="1" applyAlignment="1">
      <alignment horizontal="center"/>
    </xf>
    <xf numFmtId="0" fontId="33" fillId="25" borderId="28" xfId="0" applyFont="1" applyFill="1" applyBorder="1" applyAlignment="1">
      <alignment horizontal="center"/>
    </xf>
    <xf numFmtId="173" fontId="34" fillId="18" borderId="28" xfId="0" applyNumberFormat="1" applyFont="1" applyFill="1" applyBorder="1" applyAlignment="1">
      <alignment horizontal="center" vertical="center"/>
    </xf>
    <xf numFmtId="0" fontId="33" fillId="15" borderId="30" xfId="0" applyFont="1" applyFill="1" applyBorder="1" applyAlignment="1">
      <alignment horizontal="left"/>
    </xf>
    <xf numFmtId="0" fontId="28" fillId="37" borderId="30" xfId="0" applyFont="1" applyFill="1" applyBorder="1" applyAlignment="1">
      <alignment horizontal="center"/>
    </xf>
    <xf numFmtId="0" fontId="33" fillId="37" borderId="30" xfId="0" applyFont="1" applyFill="1" applyBorder="1" applyAlignment="1">
      <alignment horizontal="left"/>
    </xf>
    <xf numFmtId="173" fontId="28" fillId="37" borderId="30" xfId="0" applyNumberFormat="1" applyFont="1" applyFill="1" applyBorder="1" applyAlignment="1">
      <alignment horizontal="center"/>
    </xf>
    <xf numFmtId="3" fontId="28" fillId="37" borderId="30" xfId="0" applyNumberFormat="1" applyFont="1" applyFill="1" applyBorder="1" applyAlignment="1">
      <alignment horizontal="center"/>
    </xf>
    <xf numFmtId="0" fontId="28" fillId="37" borderId="30" xfId="0" applyFont="1" applyFill="1" applyBorder="1" applyAlignment="1">
      <alignment horizontal="left"/>
    </xf>
    <xf numFmtId="164" fontId="28" fillId="37" borderId="30" xfId="0" applyNumberFormat="1" applyFont="1" applyFill="1" applyBorder="1" applyAlignment="1">
      <alignment horizontal="center"/>
    </xf>
    <xf numFmtId="171" fontId="31" fillId="36" borderId="28" xfId="0" applyNumberFormat="1" applyFont="1" applyFill="1" applyBorder="1" applyAlignment="1">
      <alignment horizontal="center"/>
    </xf>
    <xf numFmtId="4" fontId="33" fillId="18" borderId="28" xfId="0" applyNumberFormat="1" applyFont="1" applyFill="1" applyBorder="1" applyAlignment="1">
      <alignment horizontal="center"/>
    </xf>
    <xf numFmtId="0" fontId="33" fillId="15" borderId="29" xfId="0" applyFont="1" applyFill="1" applyBorder="1" applyAlignment="1">
      <alignment horizontal="center"/>
    </xf>
    <xf numFmtId="2" fontId="76" fillId="18" borderId="29" xfId="0" applyNumberFormat="1" applyFont="1" applyFill="1" applyBorder="1" applyAlignment="1">
      <alignment horizontal="center"/>
    </xf>
    <xf numFmtId="2" fontId="77" fillId="18" borderId="29" xfId="0" applyNumberFormat="1" applyFont="1" applyFill="1" applyBorder="1" applyAlignment="1">
      <alignment horizontal="center"/>
    </xf>
    <xf numFmtId="4" fontId="33" fillId="18" borderId="29" xfId="0" applyNumberFormat="1" applyFont="1" applyFill="1" applyBorder="1" applyAlignment="1">
      <alignment horizontal="center"/>
    </xf>
    <xf numFmtId="0" fontId="28" fillId="15" borderId="29" xfId="0" applyFont="1" applyFill="1" applyBorder="1" applyAlignment="1">
      <alignment horizontal="left"/>
    </xf>
    <xf numFmtId="0" fontId="28" fillId="15" borderId="28" xfId="0" quotePrefix="1" applyFont="1" applyFill="1" applyBorder="1" applyAlignment="1">
      <alignment horizontal="left"/>
    </xf>
    <xf numFmtId="3" fontId="34" fillId="15" borderId="29" xfId="0" applyNumberFormat="1" applyFont="1" applyFill="1" applyBorder="1" applyAlignment="1">
      <alignment horizontal="center"/>
    </xf>
    <xf numFmtId="0" fontId="30" fillId="15" borderId="29" xfId="0" applyFont="1" applyFill="1" applyBorder="1" applyAlignment="1">
      <alignment horizontal="left"/>
    </xf>
    <xf numFmtId="0" fontId="28" fillId="16" borderId="29" xfId="0" applyFont="1" applyFill="1" applyBorder="1" applyAlignment="1">
      <alignment horizontal="center"/>
    </xf>
    <xf numFmtId="4" fontId="34" fillId="15" borderId="28" xfId="0" applyNumberFormat="1" applyFont="1" applyFill="1" applyBorder="1" applyAlignment="1">
      <alignment horizontal="center"/>
    </xf>
    <xf numFmtId="4" fontId="34" fillId="18" borderId="28" xfId="0" applyNumberFormat="1" applyFont="1" applyFill="1" applyBorder="1" applyAlignment="1">
      <alignment horizontal="center"/>
    </xf>
    <xf numFmtId="4" fontId="30" fillId="15" borderId="12" xfId="0" applyNumberFormat="1" applyFont="1" applyFill="1" applyBorder="1" applyAlignment="1">
      <alignment horizontal="center"/>
    </xf>
    <xf numFmtId="3" fontId="30" fillId="15" borderId="0" xfId="0" applyNumberFormat="1" applyFont="1" applyFill="1" applyAlignment="1">
      <alignment horizontal="center"/>
    </xf>
    <xf numFmtId="0" fontId="30" fillId="15" borderId="0" xfId="0" applyFont="1" applyFill="1" applyAlignment="1">
      <alignment horizontal="center"/>
    </xf>
    <xf numFmtId="0" fontId="30" fillId="15" borderId="34" xfId="0" applyFont="1" applyFill="1" applyBorder="1" applyAlignment="1">
      <alignment horizontal="center"/>
    </xf>
    <xf numFmtId="4" fontId="30" fillId="15" borderId="0" xfId="0" applyNumberFormat="1" applyFont="1" applyFill="1" applyBorder="1" applyAlignment="1">
      <alignment horizontal="center"/>
    </xf>
    <xf numFmtId="3" fontId="30" fillId="15" borderId="27" xfId="0" applyNumberFormat="1" applyFont="1" applyFill="1" applyBorder="1" applyAlignment="1">
      <alignment horizontal="center"/>
    </xf>
    <xf numFmtId="0" fontId="30" fillId="15" borderId="0" xfId="0" applyFont="1" applyFill="1" applyBorder="1" applyAlignment="1">
      <alignment horizontal="left"/>
    </xf>
    <xf numFmtId="0" fontId="30" fillId="15" borderId="28" xfId="0" applyFont="1" applyFill="1" applyBorder="1" applyAlignment="1">
      <alignment horizontal="left"/>
    </xf>
    <xf numFmtId="0" fontId="30" fillId="25" borderId="0" xfId="0" applyFont="1" applyFill="1" applyAlignment="1">
      <alignment horizontal="center"/>
    </xf>
    <xf numFmtId="0" fontId="28" fillId="20" borderId="29" xfId="0" applyFont="1" applyFill="1" applyBorder="1" applyAlignment="1">
      <alignment horizontal="center"/>
    </xf>
    <xf numFmtId="173" fontId="28" fillId="20" borderId="29" xfId="0" applyNumberFormat="1" applyFont="1" applyFill="1" applyBorder="1" applyAlignment="1">
      <alignment horizontal="center"/>
    </xf>
    <xf numFmtId="3" fontId="28" fillId="20" borderId="29" xfId="0" applyNumberFormat="1" applyFont="1" applyFill="1" applyBorder="1" applyAlignment="1">
      <alignment horizontal="center"/>
    </xf>
    <xf numFmtId="0" fontId="33" fillId="20" borderId="29" xfId="0" applyFont="1" applyFill="1" applyBorder="1" applyAlignment="1">
      <alignment horizontal="center"/>
    </xf>
    <xf numFmtId="3" fontId="28" fillId="37" borderId="28" xfId="0" applyNumberFormat="1" applyFont="1" applyFill="1" applyBorder="1" applyAlignment="1">
      <alignment horizontal="center"/>
    </xf>
    <xf numFmtId="3" fontId="28" fillId="37" borderId="29" xfId="0" applyNumberFormat="1" applyFont="1" applyFill="1" applyBorder="1" applyAlignment="1">
      <alignment horizontal="center"/>
    </xf>
    <xf numFmtId="0" fontId="34" fillId="15" borderId="29" xfId="0" applyFont="1" applyFill="1" applyBorder="1" applyAlignment="1">
      <alignment horizontal="center"/>
    </xf>
    <xf numFmtId="0" fontId="30" fillId="15" borderId="29" xfId="0" applyFont="1" applyFill="1" applyBorder="1" applyAlignment="1">
      <alignment horizontal="center"/>
    </xf>
    <xf numFmtId="3" fontId="28" fillId="26" borderId="29" xfId="0" applyNumberFormat="1" applyFont="1" applyFill="1" applyBorder="1" applyAlignment="1">
      <alignment horizontal="center"/>
    </xf>
    <xf numFmtId="0" fontId="30" fillId="28" borderId="29" xfId="0" applyFont="1" applyFill="1" applyBorder="1" applyAlignment="1">
      <alignment horizontal="left"/>
    </xf>
    <xf numFmtId="0" fontId="34" fillId="28" borderId="29" xfId="0" applyFont="1" applyFill="1" applyBorder="1" applyAlignment="1">
      <alignment horizontal="left"/>
    </xf>
    <xf numFmtId="0" fontId="34" fillId="28" borderId="29" xfId="0" applyFont="1" applyFill="1" applyBorder="1" applyAlignment="1">
      <alignment horizontal="center"/>
    </xf>
    <xf numFmtId="0" fontId="30" fillId="28" borderId="29" xfId="0" applyFont="1" applyFill="1" applyBorder="1" applyAlignment="1">
      <alignment horizontal="center"/>
    </xf>
    <xf numFmtId="173" fontId="31" fillId="36" borderId="29" xfId="0" applyNumberFormat="1" applyFont="1" applyFill="1" applyBorder="1" applyAlignment="1">
      <alignment horizontal="center"/>
    </xf>
    <xf numFmtId="0" fontId="33" fillId="3" borderId="29" xfId="0" applyFont="1" applyFill="1" applyBorder="1" applyAlignment="1">
      <alignment horizontal="center"/>
    </xf>
    <xf numFmtId="0" fontId="30" fillId="16" borderId="29" xfId="0" applyFont="1" applyFill="1" applyBorder="1" applyAlignment="1">
      <alignment horizontal="left"/>
    </xf>
    <xf numFmtId="0" fontId="79" fillId="15" borderId="24" xfId="0" applyFont="1" applyFill="1" applyBorder="1" applyAlignment="1">
      <alignment horizontal="center"/>
    </xf>
    <xf numFmtId="0" fontId="80" fillId="15" borderId="24" xfId="0" applyFont="1" applyFill="1" applyBorder="1" applyAlignment="1">
      <alignment horizontal="center"/>
    </xf>
    <xf numFmtId="0" fontId="34" fillId="37" borderId="30" xfId="0" applyFont="1" applyFill="1" applyBorder="1" applyAlignment="1">
      <alignment horizontal="left"/>
    </xf>
    <xf numFmtId="3" fontId="33" fillId="26" borderId="29" xfId="0" applyNumberFormat="1" applyFont="1" applyFill="1" applyBorder="1" applyAlignment="1">
      <alignment horizontal="center"/>
    </xf>
    <xf numFmtId="171" fontId="28" fillId="28" borderId="29" xfId="0" applyNumberFormat="1" applyFont="1" applyFill="1" applyBorder="1" applyAlignment="1">
      <alignment horizontal="center"/>
    </xf>
    <xf numFmtId="171" fontId="31" fillId="36" borderId="29" xfId="0" applyNumberFormat="1" applyFont="1" applyFill="1" applyBorder="1" applyAlignment="1">
      <alignment horizontal="center"/>
    </xf>
    <xf numFmtId="0" fontId="30" fillId="3" borderId="29" xfId="0" applyFont="1" applyFill="1" applyBorder="1" applyAlignment="1">
      <alignment horizontal="left"/>
    </xf>
    <xf numFmtId="2" fontId="33" fillId="15" borderId="29" xfId="0" applyNumberFormat="1" applyFont="1" applyFill="1" applyBorder="1" applyAlignment="1">
      <alignment horizontal="center"/>
    </xf>
    <xf numFmtId="0" fontId="33" fillId="28" borderId="29" xfId="0" applyFont="1" applyFill="1" applyBorder="1" applyAlignment="1">
      <alignment horizontal="left"/>
    </xf>
    <xf numFmtId="3" fontId="30" fillId="25" borderId="0" xfId="0" applyNumberFormat="1" applyFont="1" applyFill="1" applyAlignment="1">
      <alignment horizontal="center"/>
    </xf>
    <xf numFmtId="3" fontId="28" fillId="25" borderId="29" xfId="0" applyNumberFormat="1" applyFont="1" applyFill="1" applyBorder="1" applyAlignment="1">
      <alignment horizontal="center"/>
    </xf>
    <xf numFmtId="172" fontId="28" fillId="15" borderId="30" xfId="0" applyNumberFormat="1" applyFont="1" applyFill="1" applyBorder="1" applyAlignment="1">
      <alignment horizontal="center"/>
    </xf>
    <xf numFmtId="0" fontId="28" fillId="15" borderId="0" xfId="0" applyFont="1" applyFill="1" applyAlignment="1">
      <alignment horizontal="left"/>
    </xf>
    <xf numFmtId="3" fontId="28" fillId="38" borderId="0" xfId="0" applyNumberFormat="1" applyFont="1" applyFill="1" applyAlignment="1">
      <alignment horizontal="center"/>
    </xf>
    <xf numFmtId="0" fontId="28" fillId="38" borderId="0" xfId="0" applyFont="1" applyFill="1" applyAlignment="1">
      <alignment horizontal="center"/>
    </xf>
    <xf numFmtId="0" fontId="28" fillId="25" borderId="29" xfId="0" applyFont="1" applyFill="1" applyBorder="1" applyAlignment="1">
      <alignment horizontal="center"/>
    </xf>
    <xf numFmtId="0" fontId="27" fillId="25" borderId="29" xfId="0" applyFont="1" applyFill="1" applyBorder="1" applyAlignment="1">
      <alignment horizontal="left"/>
    </xf>
    <xf numFmtId="4" fontId="28" fillId="38" borderId="0" xfId="0" applyNumberFormat="1" applyFont="1" applyFill="1" applyAlignment="1">
      <alignment horizontal="center"/>
    </xf>
    <xf numFmtId="0" fontId="33" fillId="25" borderId="29" xfId="0" applyFont="1" applyFill="1" applyBorder="1" applyAlignment="1">
      <alignment horizontal="left"/>
    </xf>
    <xf numFmtId="0" fontId="33" fillId="25" borderId="29" xfId="0" applyFont="1" applyFill="1" applyBorder="1" applyAlignment="1">
      <alignment horizontal="center"/>
    </xf>
    <xf numFmtId="173" fontId="28" fillId="25" borderId="29" xfId="0" applyNumberFormat="1" applyFont="1" applyFill="1" applyBorder="1" applyAlignment="1">
      <alignment horizontal="center"/>
    </xf>
    <xf numFmtId="4" fontId="30" fillId="15" borderId="27" xfId="0" applyNumberFormat="1" applyFont="1" applyFill="1" applyBorder="1" applyAlignment="1">
      <alignment horizontal="center"/>
    </xf>
    <xf numFmtId="3" fontId="28" fillId="38" borderId="26" xfId="0" applyNumberFormat="1" applyFont="1" applyFill="1" applyBorder="1" applyAlignment="1">
      <alignment horizontal="center"/>
    </xf>
    <xf numFmtId="4" fontId="28" fillId="38" borderId="29" xfId="0" applyNumberFormat="1" applyFont="1" applyFill="1" applyBorder="1" applyAlignment="1">
      <alignment horizontal="center"/>
    </xf>
    <xf numFmtId="3" fontId="28" fillId="20" borderId="0" xfId="0" applyNumberFormat="1" applyFont="1" applyFill="1" applyAlignment="1">
      <alignment horizontal="center"/>
    </xf>
    <xf numFmtId="0" fontId="28" fillId="20" borderId="0" xfId="0" applyFont="1" applyFill="1" applyAlignment="1">
      <alignment horizontal="center"/>
    </xf>
    <xf numFmtId="3" fontId="28" fillId="38" borderId="29" xfId="0" applyNumberFormat="1" applyFont="1" applyFill="1" applyBorder="1" applyAlignment="1">
      <alignment horizontal="center"/>
    </xf>
    <xf numFmtId="171" fontId="33" fillId="15" borderId="30" xfId="0" applyNumberFormat="1" applyFont="1" applyFill="1" applyBorder="1" applyAlignment="1">
      <alignment horizontal="center"/>
    </xf>
    <xf numFmtId="0" fontId="28" fillId="15" borderId="12" xfId="0" applyFont="1" applyFill="1" applyBorder="1" applyAlignment="1">
      <alignment horizontal="center"/>
    </xf>
    <xf numFmtId="3" fontId="28" fillId="15" borderId="12" xfId="0" applyNumberFormat="1" applyFont="1" applyFill="1" applyBorder="1" applyAlignment="1">
      <alignment horizontal="center"/>
    </xf>
    <xf numFmtId="0" fontId="28" fillId="15" borderId="19" xfId="0" applyFont="1" applyFill="1" applyBorder="1" applyAlignment="1">
      <alignment horizontal="center"/>
    </xf>
    <xf numFmtId="0" fontId="30" fillId="15" borderId="25" xfId="0" applyFont="1" applyFill="1" applyBorder="1" applyAlignment="1">
      <alignment horizontal="center"/>
    </xf>
    <xf numFmtId="0" fontId="30" fillId="15" borderId="25" xfId="0" applyFont="1" applyFill="1" applyBorder="1" applyAlignment="1">
      <alignment horizontal="left"/>
    </xf>
    <xf numFmtId="4" fontId="30" fillId="15" borderId="25" xfId="0" applyNumberFormat="1" applyFont="1" applyFill="1" applyBorder="1" applyAlignment="1">
      <alignment horizontal="center"/>
    </xf>
    <xf numFmtId="3" fontId="30" fillId="15" borderId="25" xfId="0" applyNumberFormat="1" applyFont="1" applyFill="1" applyBorder="1" applyAlignment="1">
      <alignment horizontal="center"/>
    </xf>
    <xf numFmtId="0" fontId="30" fillId="15" borderId="24" xfId="0" applyFont="1" applyFill="1" applyBorder="1" applyAlignment="1">
      <alignment horizontal="center"/>
    </xf>
    <xf numFmtId="0" fontId="28" fillId="38" borderId="26" xfId="0" applyFont="1" applyFill="1" applyBorder="1" applyAlignment="1">
      <alignment horizontal="center"/>
    </xf>
    <xf numFmtId="0" fontId="82" fillId="38" borderId="26" xfId="0" applyFont="1" applyFill="1" applyBorder="1" applyAlignment="1">
      <alignment horizontal="center"/>
    </xf>
    <xf numFmtId="0" fontId="28" fillId="38" borderId="29" xfId="0" applyFont="1" applyFill="1" applyBorder="1" applyAlignment="1">
      <alignment horizontal="center"/>
    </xf>
    <xf numFmtId="0" fontId="30" fillId="38" borderId="29" xfId="0" applyFont="1" applyFill="1" applyBorder="1" applyAlignment="1">
      <alignment horizontal="left"/>
    </xf>
    <xf numFmtId="0" fontId="34" fillId="38" borderId="29" xfId="0" applyFont="1" applyFill="1" applyBorder="1" applyAlignment="1">
      <alignment horizontal="center"/>
    </xf>
    <xf numFmtId="3" fontId="28" fillId="16" borderId="29" xfId="0" applyNumberFormat="1" applyFont="1" applyFill="1" applyBorder="1" applyAlignment="1">
      <alignment horizontal="center"/>
    </xf>
    <xf numFmtId="0" fontId="81" fillId="20" borderId="29" xfId="0" applyFont="1" applyFill="1" applyBorder="1" applyAlignment="1">
      <alignment horizontal="center"/>
    </xf>
    <xf numFmtId="0" fontId="30" fillId="20" borderId="29" xfId="0" applyFont="1" applyFill="1" applyBorder="1" applyAlignment="1">
      <alignment horizontal="left"/>
    </xf>
    <xf numFmtId="3" fontId="28" fillId="3" borderId="29" xfId="0" applyNumberFormat="1" applyFont="1" applyFill="1" applyBorder="1" applyAlignment="1">
      <alignment horizontal="center"/>
    </xf>
    <xf numFmtId="3" fontId="32" fillId="20" borderId="29" xfId="0" applyNumberFormat="1" applyFont="1" applyFill="1" applyBorder="1" applyAlignment="1">
      <alignment horizontal="center"/>
    </xf>
    <xf numFmtId="0" fontId="34" fillId="20" borderId="29" xfId="0" applyFont="1" applyFill="1" applyBorder="1" applyAlignment="1">
      <alignment horizontal="center"/>
    </xf>
    <xf numFmtId="3" fontId="28" fillId="2" borderId="29" xfId="0" applyNumberFormat="1" applyFont="1" applyFill="1" applyBorder="1" applyAlignment="1">
      <alignment horizontal="center"/>
    </xf>
    <xf numFmtId="0" fontId="81" fillId="15" borderId="29" xfId="0" applyFont="1" applyFill="1" applyBorder="1" applyAlignment="1">
      <alignment horizontal="center"/>
    </xf>
    <xf numFmtId="183" fontId="28" fillId="15" borderId="29" xfId="0" applyNumberFormat="1" applyFont="1" applyFill="1" applyBorder="1" applyAlignment="1">
      <alignment horizontal="center"/>
    </xf>
    <xf numFmtId="2" fontId="28" fillId="15" borderId="0" xfId="0" applyNumberFormat="1" applyFont="1" applyFill="1" applyBorder="1" applyAlignment="1"/>
    <xf numFmtId="0" fontId="33" fillId="38" borderId="29" xfId="0" applyFont="1" applyFill="1" applyBorder="1" applyAlignment="1">
      <alignment horizontal="left"/>
    </xf>
    <xf numFmtId="0" fontId="30" fillId="38" borderId="29" xfId="0" applyFont="1" applyFill="1" applyBorder="1" applyAlignment="1">
      <alignment horizontal="center"/>
    </xf>
    <xf numFmtId="171" fontId="28" fillId="38" borderId="29" xfId="0" applyNumberFormat="1" applyFont="1" applyFill="1" applyBorder="1" applyAlignment="1">
      <alignment horizontal="center"/>
    </xf>
    <xf numFmtId="3" fontId="30" fillId="15" borderId="28" xfId="0" applyNumberFormat="1" applyFont="1" applyFill="1" applyBorder="1" applyAlignment="1">
      <alignment horizontal="center"/>
    </xf>
    <xf numFmtId="164" fontId="28" fillId="15" borderId="10" xfId="0" applyNumberFormat="1" applyFont="1" applyFill="1" applyBorder="1" applyAlignment="1"/>
    <xf numFmtId="0" fontId="30" fillId="20" borderId="29" xfId="0" applyFont="1" applyFill="1" applyBorder="1" applyAlignment="1">
      <alignment horizontal="center"/>
    </xf>
    <xf numFmtId="3" fontId="28" fillId="15" borderId="8" xfId="0" applyNumberFormat="1" applyFont="1" applyFill="1" applyBorder="1" applyAlignment="1">
      <alignment horizontal="center"/>
    </xf>
    <xf numFmtId="3" fontId="30" fillId="15" borderId="73" xfId="0" applyNumberFormat="1" applyFont="1" applyFill="1" applyBorder="1" applyAlignment="1">
      <alignment horizontal="center"/>
    </xf>
    <xf numFmtId="0" fontId="30" fillId="15" borderId="73" xfId="0" applyFont="1" applyFill="1" applyBorder="1" applyAlignment="1">
      <alignment horizontal="center"/>
    </xf>
    <xf numFmtId="171" fontId="28" fillId="15" borderId="28" xfId="0" applyNumberFormat="1" applyFont="1" applyFill="1" applyBorder="1" applyAlignment="1">
      <alignment horizontal="center"/>
    </xf>
    <xf numFmtId="176" fontId="28" fillId="15" borderId="28" xfId="0" applyNumberFormat="1" applyFont="1" applyFill="1" applyBorder="1" applyAlignment="1">
      <alignment horizontal="center"/>
    </xf>
    <xf numFmtId="2" fontId="28" fillId="15" borderId="28" xfId="0" applyNumberFormat="1" applyFont="1" applyFill="1" applyBorder="1" applyAlignment="1"/>
    <xf numFmtId="164" fontId="28" fillId="15" borderId="39" xfId="0" applyNumberFormat="1" applyFont="1" applyFill="1" applyBorder="1" applyAlignment="1"/>
    <xf numFmtId="0" fontId="29" fillId="20" borderId="29" xfId="0" applyFont="1" applyFill="1" applyBorder="1" applyAlignment="1">
      <alignment horizontal="left"/>
    </xf>
    <xf numFmtId="3" fontId="34" fillId="15" borderId="73" xfId="0" applyNumberFormat="1" applyFont="1" applyFill="1" applyBorder="1" applyAlignment="1">
      <alignment horizontal="center"/>
    </xf>
    <xf numFmtId="0" fontId="34" fillId="15" borderId="73" xfId="0" applyFont="1" applyFill="1" applyBorder="1" applyAlignment="1">
      <alignment horizontal="center"/>
    </xf>
    <xf numFmtId="0" fontId="30" fillId="15" borderId="28" xfId="0" applyFont="1" applyFill="1" applyBorder="1" applyAlignment="1">
      <alignment horizontal="center"/>
    </xf>
    <xf numFmtId="0" fontId="28" fillId="37" borderId="28" xfId="0" applyFont="1" applyFill="1" applyBorder="1" applyAlignment="1">
      <alignment horizontal="center"/>
    </xf>
    <xf numFmtId="4" fontId="37" fillId="0" borderId="0" xfId="0" applyNumberFormat="1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2" fontId="37" fillId="0" borderId="0" xfId="0" applyNumberFormat="1" applyFont="1" applyFill="1" applyBorder="1" applyAlignment="1">
      <alignment horizontal="right"/>
    </xf>
    <xf numFmtId="3" fontId="37" fillId="0" borderId="0" xfId="0" applyNumberFormat="1" applyFont="1" applyFill="1" applyAlignment="1">
      <alignment horizontal="center"/>
    </xf>
    <xf numFmtId="3" fontId="30" fillId="15" borderId="30" xfId="0" applyNumberFormat="1" applyFont="1" applyFill="1" applyBorder="1" applyAlignment="1">
      <alignment horizontal="center"/>
    </xf>
    <xf numFmtId="3" fontId="37" fillId="0" borderId="26" xfId="0" applyNumberFormat="1" applyFont="1" applyFill="1" applyBorder="1" applyAlignment="1">
      <alignment horizontal="center"/>
    </xf>
    <xf numFmtId="3" fontId="37" fillId="0" borderId="30" xfId="0" applyNumberFormat="1" applyFont="1" applyFill="1" applyBorder="1" applyAlignment="1">
      <alignment horizontal="center"/>
    </xf>
    <xf numFmtId="3" fontId="37" fillId="0" borderId="28" xfId="0" applyNumberFormat="1" applyFont="1" applyFill="1" applyBorder="1" applyAlignment="1">
      <alignment horizontal="center"/>
    </xf>
    <xf numFmtId="4" fontId="37" fillId="0" borderId="0" xfId="0" applyNumberFormat="1" applyFont="1" applyFill="1" applyAlignment="1">
      <alignment horizontal="center"/>
    </xf>
    <xf numFmtId="0" fontId="30" fillId="15" borderId="73" xfId="0" applyFont="1" applyFill="1" applyBorder="1" applyAlignment="1">
      <alignment horizontal="left"/>
    </xf>
    <xf numFmtId="0" fontId="30" fillId="15" borderId="67" xfId="0" applyFont="1" applyFill="1" applyBorder="1" applyAlignment="1">
      <alignment horizontal="center"/>
    </xf>
    <xf numFmtId="0" fontId="28" fillId="15" borderId="73" xfId="0" applyFont="1" applyFill="1" applyBorder="1" applyAlignment="1">
      <alignment horizontal="center"/>
    </xf>
    <xf numFmtId="2" fontId="28" fillId="15" borderId="73" xfId="0" applyNumberFormat="1" applyFont="1" applyFill="1" applyBorder="1" applyAlignment="1">
      <alignment horizontal="center"/>
    </xf>
    <xf numFmtId="3" fontId="34" fillId="18" borderId="28" xfId="0" applyNumberFormat="1" applyFont="1" applyFill="1" applyBorder="1" applyAlignment="1">
      <alignment horizontal="center"/>
    </xf>
    <xf numFmtId="3" fontId="83" fillId="0" borderId="0" xfId="0" applyNumberFormat="1" applyFont="1" applyFill="1" applyBorder="1" applyAlignment="1">
      <alignment horizontal="center"/>
    </xf>
    <xf numFmtId="0" fontId="83" fillId="0" borderId="0" xfId="0" applyFont="1" applyFill="1" applyBorder="1" applyAlignment="1">
      <alignment horizontal="center"/>
    </xf>
    <xf numFmtId="0" fontId="84" fillId="0" borderId="0" xfId="0" applyFont="1" applyFill="1"/>
    <xf numFmtId="3" fontId="37" fillId="4" borderId="28" xfId="0" applyNumberFormat="1" applyFont="1" applyFill="1" applyBorder="1" applyAlignment="1">
      <alignment horizontal="center"/>
    </xf>
    <xf numFmtId="3" fontId="37" fillId="4" borderId="39" xfId="0" applyNumberFormat="1" applyFont="1" applyFill="1" applyBorder="1" applyAlignment="1">
      <alignment horizontal="center"/>
    </xf>
    <xf numFmtId="3" fontId="37" fillId="4" borderId="8" xfId="0" applyNumberFormat="1" applyFont="1" applyFill="1" applyBorder="1" applyAlignment="1">
      <alignment horizontal="center"/>
    </xf>
    <xf numFmtId="3" fontId="28" fillId="0" borderId="26" xfId="0" applyNumberFormat="1" applyFont="1" applyFill="1" applyBorder="1" applyAlignment="1">
      <alignment horizontal="center"/>
    </xf>
    <xf numFmtId="3" fontId="28" fillId="0" borderId="28" xfId="0" applyNumberFormat="1" applyFont="1" applyFill="1" applyBorder="1" applyAlignment="1">
      <alignment horizontal="center"/>
    </xf>
    <xf numFmtId="3" fontId="33" fillId="0" borderId="28" xfId="0" applyNumberFormat="1" applyFont="1" applyFill="1" applyBorder="1" applyAlignment="1">
      <alignment horizontal="center"/>
    </xf>
    <xf numFmtId="0" fontId="84" fillId="0" borderId="0" xfId="0" applyFont="1" applyFill="1" applyAlignment="1">
      <alignment horizontal="center"/>
    </xf>
    <xf numFmtId="4" fontId="28" fillId="18" borderId="0" xfId="0" applyNumberFormat="1" applyFont="1" applyFill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3" fontId="30" fillId="0" borderId="10" xfId="0" applyNumberFormat="1" applyFont="1" applyFill="1" applyBorder="1" applyAlignment="1">
      <alignment horizontal="center"/>
    </xf>
    <xf numFmtId="4" fontId="28" fillId="25" borderId="0" xfId="0" applyNumberFormat="1" applyFont="1" applyFill="1" applyBorder="1" applyAlignment="1">
      <alignment horizontal="center"/>
    </xf>
    <xf numFmtId="0" fontId="30" fillId="0" borderId="23" xfId="0" applyFont="1" applyFill="1" applyBorder="1" applyAlignment="1">
      <alignment horizontal="center"/>
    </xf>
    <xf numFmtId="0" fontId="28" fillId="0" borderId="26" xfId="0" applyFont="1" applyFill="1" applyBorder="1" applyAlignment="1">
      <alignment horizontal="center"/>
    </xf>
    <xf numFmtId="0" fontId="28" fillId="0" borderId="26" xfId="0" applyFont="1" applyFill="1" applyBorder="1" applyAlignment="1">
      <alignment horizontal="left"/>
    </xf>
    <xf numFmtId="2" fontId="28" fillId="0" borderId="26" xfId="0" applyNumberFormat="1" applyFont="1" applyFill="1" applyBorder="1" applyAlignment="1">
      <alignment horizontal="center"/>
    </xf>
    <xf numFmtId="164" fontId="32" fillId="0" borderId="26" xfId="0" applyNumberFormat="1" applyFont="1" applyFill="1" applyBorder="1" applyAlignment="1">
      <alignment horizontal="center"/>
    </xf>
    <xf numFmtId="0" fontId="28" fillId="0" borderId="28" xfId="0" applyFont="1" applyFill="1" applyBorder="1" applyAlignment="1">
      <alignment horizontal="center"/>
    </xf>
    <xf numFmtId="2" fontId="32" fillId="0" borderId="28" xfId="0" applyNumberFormat="1" applyFont="1" applyFill="1" applyBorder="1" applyAlignment="1">
      <alignment horizontal="right"/>
    </xf>
    <xf numFmtId="0" fontId="33" fillId="0" borderId="28" xfId="0" applyFont="1" applyFill="1" applyBorder="1" applyAlignment="1">
      <alignment horizontal="center"/>
    </xf>
    <xf numFmtId="2" fontId="28" fillId="0" borderId="28" xfId="0" applyNumberFormat="1" applyFont="1" applyFill="1" applyBorder="1" applyAlignment="1">
      <alignment horizontal="center"/>
    </xf>
    <xf numFmtId="173" fontId="28" fillId="0" borderId="28" xfId="0" applyNumberFormat="1" applyFont="1" applyFill="1" applyBorder="1" applyAlignment="1">
      <alignment horizontal="center"/>
    </xf>
    <xf numFmtId="173" fontId="31" fillId="0" borderId="28" xfId="0" applyNumberFormat="1" applyFont="1" applyFill="1" applyBorder="1" applyAlignment="1">
      <alignment horizontal="center"/>
    </xf>
    <xf numFmtId="4" fontId="28" fillId="0" borderId="28" xfId="0" applyNumberFormat="1" applyFont="1" applyFill="1" applyBorder="1" applyAlignment="1">
      <alignment horizontal="center"/>
    </xf>
    <xf numFmtId="0" fontId="28" fillId="0" borderId="30" xfId="0" applyFont="1" applyFill="1" applyBorder="1" applyAlignment="1">
      <alignment horizontal="center"/>
    </xf>
    <xf numFmtId="0" fontId="28" fillId="25" borderId="28" xfId="0" applyFont="1" applyFill="1" applyBorder="1" applyAlignment="1">
      <alignment horizontal="center"/>
    </xf>
    <xf numFmtId="0" fontId="28" fillId="18" borderId="0" xfId="0" applyFont="1" applyFill="1" applyBorder="1" applyAlignment="1">
      <alignment horizontal="center"/>
    </xf>
    <xf numFmtId="0" fontId="33" fillId="18" borderId="0" xfId="0" applyFont="1" applyFill="1" applyBorder="1" applyAlignment="1">
      <alignment horizontal="center"/>
    </xf>
    <xf numFmtId="0" fontId="28" fillId="25" borderId="0" xfId="0" applyFont="1" applyFill="1" applyBorder="1" applyAlignment="1">
      <alignment horizontal="center"/>
    </xf>
    <xf numFmtId="0" fontId="28" fillId="15" borderId="28" xfId="0" applyFont="1" applyFill="1" applyBorder="1" applyAlignment="1">
      <alignment horizontal="center" wrapText="1"/>
    </xf>
    <xf numFmtId="3" fontId="28" fillId="18" borderId="26" xfId="0" applyNumberFormat="1" applyFont="1" applyFill="1" applyBorder="1" applyAlignment="1">
      <alignment horizontal="center"/>
    </xf>
    <xf numFmtId="0" fontId="28" fillId="2" borderId="28" xfId="0" applyFont="1" applyFill="1" applyBorder="1" applyAlignment="1">
      <alignment horizontal="center"/>
    </xf>
    <xf numFmtId="3" fontId="28" fillId="39" borderId="28" xfId="0" applyNumberFormat="1" applyFont="1" applyFill="1" applyBorder="1" applyAlignment="1">
      <alignment horizontal="center"/>
    </xf>
    <xf numFmtId="3" fontId="30" fillId="40" borderId="0" xfId="0" applyNumberFormat="1" applyFont="1" applyFill="1" applyBorder="1" applyAlignment="1">
      <alignment horizontal="center"/>
    </xf>
    <xf numFmtId="3" fontId="30" fillId="40" borderId="0" xfId="0" applyNumberFormat="1" applyFont="1" applyFill="1" applyAlignment="1">
      <alignment horizontal="center"/>
    </xf>
    <xf numFmtId="0" fontId="30" fillId="40" borderId="0" xfId="0" applyFont="1" applyFill="1" applyAlignment="1">
      <alignment horizontal="center"/>
    </xf>
    <xf numFmtId="167" fontId="28" fillId="15" borderId="28" xfId="13" applyNumberFormat="1" applyFont="1" applyFill="1" applyBorder="1" applyAlignment="1">
      <alignment horizontal="center"/>
    </xf>
    <xf numFmtId="0" fontId="36" fillId="15" borderId="28" xfId="0" applyFont="1" applyFill="1" applyBorder="1" applyAlignment="1">
      <alignment horizontal="center"/>
    </xf>
    <xf numFmtId="0" fontId="28" fillId="28" borderId="0" xfId="0" applyFont="1" applyFill="1" applyBorder="1" applyAlignment="1">
      <alignment horizontal="center"/>
    </xf>
    <xf numFmtId="4" fontId="28" fillId="28" borderId="0" xfId="0" applyNumberFormat="1" applyFont="1" applyFill="1" applyBorder="1" applyAlignment="1">
      <alignment horizontal="center"/>
    </xf>
    <xf numFmtId="3" fontId="33" fillId="18" borderId="30" xfId="0" applyNumberFormat="1" applyFont="1" applyFill="1" applyBorder="1" applyAlignment="1">
      <alignment horizontal="center"/>
    </xf>
    <xf numFmtId="3" fontId="28" fillId="41" borderId="0" xfId="0" applyNumberFormat="1" applyFont="1" applyFill="1" applyAlignment="1">
      <alignment horizontal="center"/>
    </xf>
    <xf numFmtId="173" fontId="28" fillId="42" borderId="28" xfId="0" applyNumberFormat="1" applyFont="1" applyFill="1" applyBorder="1" applyAlignment="1">
      <alignment horizontal="center"/>
    </xf>
    <xf numFmtId="184" fontId="28" fillId="25" borderId="28" xfId="0" applyNumberFormat="1" applyFont="1" applyFill="1" applyBorder="1" applyAlignment="1">
      <alignment horizontal="center"/>
    </xf>
    <xf numFmtId="4" fontId="28" fillId="28" borderId="30" xfId="0" applyNumberFormat="1" applyFont="1" applyFill="1" applyBorder="1" applyAlignment="1">
      <alignment horizontal="center"/>
    </xf>
    <xf numFmtId="2" fontId="33" fillId="40" borderId="76" xfId="0" applyNumberFormat="1" applyFont="1" applyFill="1" applyBorder="1" applyAlignment="1">
      <alignment horizontal="center"/>
    </xf>
    <xf numFmtId="2" fontId="33" fillId="40" borderId="77" xfId="0" applyNumberFormat="1" applyFont="1" applyFill="1" applyBorder="1" applyAlignment="1">
      <alignment horizontal="center"/>
    </xf>
    <xf numFmtId="0" fontId="28" fillId="15" borderId="12" xfId="0" applyFont="1" applyFill="1" applyBorder="1" applyAlignment="1">
      <alignment horizontal="left"/>
    </xf>
    <xf numFmtId="0" fontId="31" fillId="15" borderId="19" xfId="0" applyFont="1" applyFill="1" applyBorder="1" applyAlignment="1">
      <alignment horizontal="left"/>
    </xf>
    <xf numFmtId="0" fontId="28" fillId="15" borderId="24" xfId="0" applyFont="1" applyFill="1" applyBorder="1" applyAlignment="1">
      <alignment horizontal="center"/>
    </xf>
    <xf numFmtId="0" fontId="28" fillId="15" borderId="40" xfId="0" applyFont="1" applyFill="1" applyBorder="1" applyAlignment="1">
      <alignment horizontal="left"/>
    </xf>
    <xf numFmtId="3" fontId="28" fillId="15" borderId="6" xfId="0" applyNumberFormat="1" applyFont="1" applyFill="1" applyBorder="1" applyAlignment="1">
      <alignment horizontal="center"/>
    </xf>
    <xf numFmtId="0" fontId="28" fillId="15" borderId="32" xfId="0" applyFont="1" applyFill="1" applyBorder="1" applyAlignment="1">
      <alignment horizontal="left"/>
    </xf>
    <xf numFmtId="0" fontId="0" fillId="15" borderId="31" xfId="0" applyFill="1" applyBorder="1"/>
    <xf numFmtId="0" fontId="28" fillId="41" borderId="32" xfId="0" applyFont="1" applyFill="1" applyBorder="1" applyAlignment="1">
      <alignment horizontal="left"/>
    </xf>
    <xf numFmtId="0" fontId="0" fillId="41" borderId="31" xfId="0" applyFill="1" applyBorder="1"/>
    <xf numFmtId="0" fontId="28" fillId="41" borderId="28" xfId="0" applyFont="1" applyFill="1" applyBorder="1" applyAlignment="1">
      <alignment horizontal="center"/>
    </xf>
    <xf numFmtId="3" fontId="28" fillId="41" borderId="28" xfId="0" applyNumberFormat="1" applyFont="1" applyFill="1" applyBorder="1" applyAlignment="1">
      <alignment horizontal="center"/>
    </xf>
    <xf numFmtId="3" fontId="28" fillId="18" borderId="27" xfId="0" applyNumberFormat="1" applyFont="1" applyFill="1" applyBorder="1" applyAlignment="1">
      <alignment horizontal="center"/>
    </xf>
    <xf numFmtId="0" fontId="28" fillId="15" borderId="66" xfId="0" applyFont="1" applyFill="1" applyBorder="1" applyAlignment="1">
      <alignment horizontal="left"/>
    </xf>
    <xf numFmtId="0" fontId="0" fillId="15" borderId="70" xfId="0" applyFill="1" applyBorder="1"/>
    <xf numFmtId="0" fontId="28" fillId="39" borderId="28" xfId="0" applyFont="1" applyFill="1" applyBorder="1" applyAlignment="1">
      <alignment horizontal="center"/>
    </xf>
    <xf numFmtId="0" fontId="28" fillId="15" borderId="31" xfId="0" applyFont="1" applyFill="1" applyBorder="1" applyAlignment="1">
      <alignment horizontal="left"/>
    </xf>
    <xf numFmtId="0" fontId="28" fillId="15" borderId="33" xfId="0" applyFont="1" applyFill="1" applyBorder="1" applyAlignment="1">
      <alignment horizontal="center"/>
    </xf>
    <xf numFmtId="0" fontId="28" fillId="15" borderId="67" xfId="22" applyFont="1" applyFill="1" applyBorder="1" applyAlignment="1">
      <alignment horizontal="center"/>
    </xf>
    <xf numFmtId="0" fontId="90" fillId="0" borderId="0" xfId="0" applyFont="1"/>
    <xf numFmtId="0" fontId="90" fillId="0" borderId="0" xfId="0" applyFont="1" applyAlignment="1">
      <alignment horizontal="center"/>
    </xf>
    <xf numFmtId="0" fontId="78" fillId="42" borderId="1" xfId="0" applyFont="1" applyFill="1" applyBorder="1" applyAlignment="1">
      <alignment horizontal="center"/>
    </xf>
    <xf numFmtId="0" fontId="78" fillId="42" borderId="78" xfId="0" applyFont="1" applyFill="1" applyBorder="1" applyAlignment="1">
      <alignment horizontal="right"/>
    </xf>
    <xf numFmtId="0" fontId="78" fillId="42" borderId="9" xfId="0" applyFont="1" applyFill="1" applyBorder="1"/>
    <xf numFmtId="0" fontId="78" fillId="22" borderId="9" xfId="0" applyFont="1" applyFill="1" applyBorder="1" applyAlignment="1">
      <alignment horizontal="center"/>
    </xf>
    <xf numFmtId="0" fontId="78" fillId="22" borderId="5" xfId="0" applyFont="1" applyFill="1" applyBorder="1" applyAlignment="1">
      <alignment horizontal="center"/>
    </xf>
    <xf numFmtId="0" fontId="78" fillId="22" borderId="5" xfId="0" applyFont="1" applyFill="1" applyBorder="1" applyAlignment="1">
      <alignment horizontal="center" wrapText="1"/>
    </xf>
    <xf numFmtId="0" fontId="78" fillId="22" borderId="51" xfId="0" applyFont="1" applyFill="1" applyBorder="1" applyAlignment="1">
      <alignment horizontal="center"/>
    </xf>
    <xf numFmtId="0" fontId="78" fillId="24" borderId="10" xfId="0" applyFont="1" applyFill="1" applyBorder="1" applyAlignment="1">
      <alignment horizontal="center"/>
    </xf>
    <xf numFmtId="0" fontId="78" fillId="24" borderId="5" xfId="0" applyFont="1" applyFill="1" applyBorder="1" applyAlignment="1">
      <alignment horizontal="center"/>
    </xf>
    <xf numFmtId="0" fontId="78" fillId="24" borderId="10" xfId="0" applyFont="1" applyFill="1" applyBorder="1" applyAlignment="1">
      <alignment horizontal="center" wrapText="1"/>
    </xf>
    <xf numFmtId="0" fontId="78" fillId="24" borderId="7" xfId="0" applyFont="1" applyFill="1" applyBorder="1" applyAlignment="1">
      <alignment horizontal="center"/>
    </xf>
    <xf numFmtId="0" fontId="78" fillId="35" borderId="4" xfId="0" applyFont="1" applyFill="1" applyBorder="1" applyAlignment="1">
      <alignment horizontal="center"/>
    </xf>
    <xf numFmtId="0" fontId="78" fillId="35" borderId="5" xfId="0" applyFont="1" applyFill="1" applyBorder="1" applyAlignment="1">
      <alignment horizontal="center"/>
    </xf>
    <xf numFmtId="0" fontId="78" fillId="35" borderId="10" xfId="0" applyFont="1" applyFill="1" applyBorder="1" applyAlignment="1">
      <alignment horizontal="center" wrapText="1"/>
    </xf>
    <xf numFmtId="0" fontId="78" fillId="35" borderId="7" xfId="0" applyFont="1" applyFill="1" applyBorder="1" applyAlignment="1">
      <alignment horizontal="center"/>
    </xf>
    <xf numFmtId="0" fontId="78" fillId="43" borderId="57" xfId="0" applyFont="1" applyFill="1" applyBorder="1" applyAlignment="1">
      <alignment horizontal="center"/>
    </xf>
    <xf numFmtId="0" fontId="78" fillId="43" borderId="5" xfId="0" applyFont="1" applyFill="1" applyBorder="1" applyAlignment="1">
      <alignment horizontal="center"/>
    </xf>
    <xf numFmtId="0" fontId="78" fillId="43" borderId="23" xfId="0" applyFont="1" applyFill="1" applyBorder="1" applyAlignment="1">
      <alignment horizontal="center" wrapText="1"/>
    </xf>
    <xf numFmtId="0" fontId="78" fillId="43" borderId="7" xfId="0" applyFont="1" applyFill="1" applyBorder="1" applyAlignment="1">
      <alignment horizontal="center"/>
    </xf>
    <xf numFmtId="166" fontId="78" fillId="42" borderId="79" xfId="0" applyNumberFormat="1" applyFont="1" applyFill="1" applyBorder="1" applyAlignment="1">
      <alignment horizontal="left"/>
    </xf>
    <xf numFmtId="164" fontId="78" fillId="22" borderId="79" xfId="1" applyFont="1" applyFill="1" applyBorder="1"/>
    <xf numFmtId="164" fontId="78" fillId="22" borderId="6" xfId="1" applyFont="1" applyFill="1" applyBorder="1"/>
    <xf numFmtId="164" fontId="78" fillId="22" borderId="6" xfId="1" applyNumberFormat="1" applyFont="1" applyFill="1" applyBorder="1" applyAlignment="1"/>
    <xf numFmtId="164" fontId="78" fillId="22" borderId="80" xfId="1" applyNumberFormat="1" applyFont="1" applyFill="1" applyBorder="1" applyAlignment="1">
      <alignment horizontal="center"/>
    </xf>
    <xf numFmtId="164" fontId="78" fillId="24" borderId="25" xfId="1" applyFont="1" applyFill="1" applyBorder="1"/>
    <xf numFmtId="164" fontId="78" fillId="24" borderId="6" xfId="1" applyFont="1" applyFill="1" applyBorder="1"/>
    <xf numFmtId="164" fontId="78" fillId="24" borderId="15" xfId="1" applyFont="1" applyFill="1" applyBorder="1" applyAlignment="1">
      <alignment horizontal="center"/>
    </xf>
    <xf numFmtId="4" fontId="78" fillId="7" borderId="14" xfId="0" applyNumberFormat="1" applyFont="1" applyFill="1" applyBorder="1"/>
    <xf numFmtId="164" fontId="78" fillId="35" borderId="6" xfId="1" applyFont="1" applyFill="1" applyBorder="1"/>
    <xf numFmtId="164" fontId="78" fillId="35" borderId="25" xfId="1" applyFont="1" applyFill="1" applyBorder="1"/>
    <xf numFmtId="164" fontId="78" fillId="35" borderId="15" xfId="1" applyFont="1" applyFill="1" applyBorder="1" applyAlignment="1">
      <alignment horizontal="center"/>
    </xf>
    <xf numFmtId="164" fontId="78" fillId="43" borderId="14" xfId="1" applyFont="1" applyFill="1" applyBorder="1"/>
    <xf numFmtId="164" fontId="78" fillId="43" borderId="6" xfId="1" applyFont="1" applyFill="1" applyBorder="1"/>
    <xf numFmtId="164" fontId="78" fillId="43" borderId="24" xfId="1" applyFont="1" applyFill="1" applyBorder="1"/>
    <xf numFmtId="164" fontId="78" fillId="43" borderId="46" xfId="1" applyFont="1" applyFill="1" applyBorder="1" applyAlignment="1">
      <alignment horizontal="center"/>
    </xf>
    <xf numFmtId="166" fontId="95" fillId="42" borderId="81" xfId="0" applyNumberFormat="1" applyFont="1" applyFill="1" applyBorder="1" applyAlignment="1">
      <alignment horizontal="left"/>
    </xf>
    <xf numFmtId="164" fontId="95" fillId="22" borderId="81" xfId="1" applyFont="1" applyFill="1" applyBorder="1"/>
    <xf numFmtId="164" fontId="95" fillId="22" borderId="29" xfId="1" applyFont="1" applyFill="1" applyBorder="1"/>
    <xf numFmtId="164" fontId="95" fillId="22" borderId="29" xfId="1" applyNumberFormat="1" applyFont="1" applyFill="1" applyBorder="1" applyAlignment="1"/>
    <xf numFmtId="164" fontId="95" fillId="22" borderId="82" xfId="1" applyNumberFormat="1" applyFont="1" applyFill="1" applyBorder="1" applyAlignment="1">
      <alignment horizontal="center"/>
    </xf>
    <xf numFmtId="164" fontId="95" fillId="24" borderId="69" xfId="1" applyFont="1" applyFill="1" applyBorder="1"/>
    <xf numFmtId="164" fontId="95" fillId="24" borderId="29" xfId="1" applyFont="1" applyFill="1" applyBorder="1"/>
    <xf numFmtId="164" fontId="95" fillId="24" borderId="83" xfId="1" applyFont="1" applyFill="1" applyBorder="1" applyAlignment="1">
      <alignment horizontal="center"/>
    </xf>
    <xf numFmtId="4" fontId="95" fillId="7" borderId="84" xfId="0" applyNumberFormat="1" applyFont="1" applyFill="1" applyBorder="1"/>
    <xf numFmtId="164" fontId="95" fillId="35" borderId="29" xfId="1" applyFont="1" applyFill="1" applyBorder="1"/>
    <xf numFmtId="164" fontId="95" fillId="35" borderId="69" xfId="1" applyFont="1" applyFill="1" applyBorder="1"/>
    <xf numFmtId="164" fontId="95" fillId="35" borderId="83" xfId="1" applyFont="1" applyFill="1" applyBorder="1" applyAlignment="1">
      <alignment horizontal="center"/>
    </xf>
    <xf numFmtId="164" fontId="95" fillId="43" borderId="84" xfId="1" applyFont="1" applyFill="1" applyBorder="1"/>
    <xf numFmtId="164" fontId="95" fillId="43" borderId="29" xfId="1" applyFont="1" applyFill="1" applyBorder="1"/>
    <xf numFmtId="164" fontId="95" fillId="43" borderId="66" xfId="1" applyFont="1" applyFill="1" applyBorder="1"/>
    <xf numFmtId="164" fontId="95" fillId="43" borderId="58" xfId="1" applyFont="1" applyFill="1" applyBorder="1" applyAlignment="1">
      <alignment horizontal="center"/>
    </xf>
    <xf numFmtId="166" fontId="95" fillId="42" borderId="85" xfId="0" applyNumberFormat="1" applyFont="1" applyFill="1" applyBorder="1" applyAlignment="1">
      <alignment horizontal="left"/>
    </xf>
    <xf numFmtId="164" fontId="95" fillId="43" borderId="86" xfId="1" applyFont="1" applyFill="1" applyBorder="1" applyAlignment="1">
      <alignment horizontal="center"/>
    </xf>
    <xf numFmtId="166" fontId="78" fillId="42" borderId="85" xfId="0" applyNumberFormat="1" applyFont="1" applyFill="1" applyBorder="1" applyAlignment="1">
      <alignment horizontal="left"/>
    </xf>
    <xf numFmtId="164" fontId="78" fillId="22" borderId="87" xfId="1" applyFont="1" applyFill="1" applyBorder="1"/>
    <xf numFmtId="164" fontId="78" fillId="22" borderId="30" xfId="1" applyFont="1" applyFill="1" applyBorder="1"/>
    <xf numFmtId="164" fontId="78" fillId="22" borderId="88" xfId="1" applyFont="1" applyFill="1" applyBorder="1" applyAlignment="1">
      <alignment horizontal="center"/>
    </xf>
    <xf numFmtId="164" fontId="78" fillId="24" borderId="73" xfId="1" applyFont="1" applyFill="1" applyBorder="1"/>
    <xf numFmtId="164" fontId="78" fillId="24" borderId="30" xfId="0" applyNumberFormat="1" applyFont="1" applyFill="1" applyBorder="1" applyAlignment="1">
      <alignment horizontal="right"/>
    </xf>
    <xf numFmtId="164" fontId="78" fillId="24" borderId="89" xfId="1" applyFont="1" applyFill="1" applyBorder="1" applyAlignment="1">
      <alignment horizontal="center"/>
    </xf>
    <xf numFmtId="164" fontId="78" fillId="35" borderId="90" xfId="1" applyFont="1" applyFill="1" applyBorder="1"/>
    <xf numFmtId="164" fontId="78" fillId="35" borderId="30" xfId="1" applyFont="1" applyFill="1" applyBorder="1"/>
    <xf numFmtId="164" fontId="78" fillId="35" borderId="73" xfId="1" applyFont="1" applyFill="1" applyBorder="1"/>
    <xf numFmtId="164" fontId="78" fillId="35" borderId="89" xfId="1" applyFont="1" applyFill="1" applyBorder="1" applyAlignment="1">
      <alignment horizontal="center"/>
    </xf>
    <xf numFmtId="164" fontId="78" fillId="43" borderId="90" xfId="1" applyFont="1" applyFill="1" applyBorder="1"/>
    <xf numFmtId="164" fontId="78" fillId="43" borderId="30" xfId="1" applyFont="1" applyFill="1" applyBorder="1"/>
    <xf numFmtId="164" fontId="78" fillId="43" borderId="67" xfId="1" applyFont="1" applyFill="1" applyBorder="1"/>
    <xf numFmtId="164" fontId="78" fillId="43" borderId="89" xfId="1" applyFont="1" applyFill="1" applyBorder="1" applyAlignment="1">
      <alignment horizontal="center"/>
    </xf>
    <xf numFmtId="164" fontId="90" fillId="0" borderId="0" xfId="0" applyNumberFormat="1" applyFont="1"/>
    <xf numFmtId="164" fontId="95" fillId="22" borderId="91" xfId="1" applyFont="1" applyFill="1" applyBorder="1"/>
    <xf numFmtId="164" fontId="95" fillId="22" borderId="28" xfId="1" applyFont="1" applyFill="1" applyBorder="1"/>
    <xf numFmtId="164" fontId="95" fillId="22" borderId="92" xfId="1" applyFont="1" applyFill="1" applyBorder="1" applyAlignment="1">
      <alignment horizontal="center"/>
    </xf>
    <xf numFmtId="164" fontId="95" fillId="24" borderId="91" xfId="1" applyFont="1" applyFill="1" applyBorder="1"/>
    <xf numFmtId="164" fontId="95" fillId="24" borderId="28" xfId="0" applyNumberFormat="1" applyFont="1" applyFill="1" applyBorder="1" applyAlignment="1">
      <alignment horizontal="right"/>
    </xf>
    <xf numFmtId="164" fontId="95" fillId="24" borderId="33" xfId="1" applyFont="1" applyFill="1" applyBorder="1"/>
    <xf numFmtId="164" fontId="95" fillId="24" borderId="86" xfId="1" applyFont="1" applyFill="1" applyBorder="1" applyAlignment="1">
      <alignment horizontal="center"/>
    </xf>
    <xf numFmtId="164" fontId="95" fillId="35" borderId="93" xfId="1" applyFont="1" applyFill="1" applyBorder="1"/>
    <xf numFmtId="164" fontId="95" fillId="35" borderId="28" xfId="1" applyFont="1" applyFill="1" applyBorder="1"/>
    <xf numFmtId="164" fontId="95" fillId="35" borderId="33" xfId="1" applyFont="1" applyFill="1" applyBorder="1"/>
    <xf numFmtId="164" fontId="95" fillId="35" borderId="86" xfId="1" applyFont="1" applyFill="1" applyBorder="1" applyAlignment="1">
      <alignment horizontal="center"/>
    </xf>
    <xf numFmtId="164" fontId="95" fillId="43" borderId="93" xfId="1" applyFont="1" applyFill="1" applyBorder="1"/>
    <xf numFmtId="164" fontId="95" fillId="43" borderId="28" xfId="1" applyFont="1" applyFill="1" applyBorder="1"/>
    <xf numFmtId="164" fontId="95" fillId="43" borderId="32" xfId="1" applyFont="1" applyFill="1" applyBorder="1"/>
    <xf numFmtId="164" fontId="78" fillId="24" borderId="0" xfId="1" applyFont="1" applyFill="1" applyBorder="1"/>
    <xf numFmtId="164" fontId="78" fillId="24" borderId="27" xfId="1" applyFont="1" applyFill="1" applyBorder="1"/>
    <xf numFmtId="164" fontId="78" fillId="24" borderId="27" xfId="0" applyNumberFormat="1" applyFont="1" applyFill="1" applyBorder="1" applyAlignment="1">
      <alignment horizontal="right"/>
    </xf>
    <xf numFmtId="164" fontId="78" fillId="24" borderId="46" xfId="1" applyFont="1" applyFill="1" applyBorder="1" applyAlignment="1">
      <alignment horizontal="center"/>
    </xf>
    <xf numFmtId="164" fontId="95" fillId="24" borderId="28" xfId="1" applyFont="1" applyFill="1" applyBorder="1"/>
    <xf numFmtId="164" fontId="78" fillId="22" borderId="91" xfId="1" applyFont="1" applyFill="1" applyBorder="1"/>
    <xf numFmtId="164" fontId="78" fillId="22" borderId="28" xfId="1" applyFont="1" applyFill="1" applyBorder="1"/>
    <xf numFmtId="164" fontId="78" fillId="22" borderId="92" xfId="1" applyFont="1" applyFill="1" applyBorder="1" applyAlignment="1">
      <alignment horizontal="center"/>
    </xf>
    <xf numFmtId="164" fontId="78" fillId="24" borderId="33" xfId="1" applyFont="1" applyFill="1" applyBorder="1"/>
    <xf numFmtId="164" fontId="78" fillId="24" borderId="28" xfId="1" applyFont="1" applyFill="1" applyBorder="1"/>
    <xf numFmtId="164" fontId="78" fillId="24" borderId="86" xfId="1" applyFont="1" applyFill="1" applyBorder="1" applyAlignment="1">
      <alignment horizontal="center"/>
    </xf>
    <xf numFmtId="164" fontId="78" fillId="35" borderId="93" xfId="1" applyFont="1" applyFill="1" applyBorder="1"/>
    <xf numFmtId="164" fontId="78" fillId="35" borderId="28" xfId="1" applyFont="1" applyFill="1" applyBorder="1"/>
    <xf numFmtId="164" fontId="78" fillId="35" borderId="28" xfId="1" applyFont="1" applyFill="1" applyBorder="1" applyAlignment="1">
      <alignment horizontal="center"/>
    </xf>
    <xf numFmtId="164" fontId="78" fillId="35" borderId="33" xfId="1" applyFont="1" applyFill="1" applyBorder="1"/>
    <xf numFmtId="164" fontId="78" fillId="35" borderId="86" xfId="1" applyFont="1" applyFill="1" applyBorder="1" applyAlignment="1">
      <alignment horizontal="center"/>
    </xf>
    <xf numFmtId="164" fontId="78" fillId="43" borderId="93" xfId="1" applyFont="1" applyFill="1" applyBorder="1"/>
    <xf numFmtId="164" fontId="78" fillId="43" borderId="28" xfId="1" applyFont="1" applyFill="1" applyBorder="1"/>
    <xf numFmtId="164" fontId="78" fillId="43" borderId="86" xfId="1" applyFont="1" applyFill="1" applyBorder="1" applyAlignment="1">
      <alignment horizontal="center"/>
    </xf>
    <xf numFmtId="164" fontId="95" fillId="22" borderId="82" xfId="1" applyFont="1" applyFill="1" applyBorder="1" applyAlignment="1">
      <alignment horizontal="center"/>
    </xf>
    <xf numFmtId="164" fontId="95" fillId="35" borderId="84" xfId="1" applyFont="1" applyFill="1" applyBorder="1"/>
    <xf numFmtId="164" fontId="95" fillId="35" borderId="29" xfId="1" applyFont="1" applyFill="1" applyBorder="1" applyAlignment="1">
      <alignment horizontal="center"/>
    </xf>
    <xf numFmtId="164" fontId="95" fillId="24" borderId="29" xfId="1" applyFont="1" applyFill="1" applyBorder="1" applyAlignment="1">
      <alignment horizontal="right"/>
    </xf>
    <xf numFmtId="164" fontId="78" fillId="24" borderId="30" xfId="1" applyFont="1" applyFill="1" applyBorder="1"/>
    <xf numFmtId="164" fontId="78" fillId="43" borderId="32" xfId="1" applyFont="1" applyFill="1" applyBorder="1"/>
    <xf numFmtId="164" fontId="95" fillId="43" borderId="83" xfId="1" applyFont="1" applyFill="1" applyBorder="1" applyAlignment="1">
      <alignment horizontal="center"/>
    </xf>
    <xf numFmtId="0" fontId="85" fillId="0" borderId="0" xfId="0" applyFont="1"/>
    <xf numFmtId="166" fontId="96" fillId="42" borderId="85" xfId="0" applyNumberFormat="1" applyFont="1" applyFill="1" applyBorder="1" applyAlignment="1">
      <alignment horizontal="left"/>
    </xf>
    <xf numFmtId="164" fontId="96" fillId="22" borderId="91" xfId="1" applyFont="1" applyFill="1" applyBorder="1"/>
    <xf numFmtId="164" fontId="96" fillId="22" borderId="28" xfId="1" applyFont="1" applyFill="1" applyBorder="1"/>
    <xf numFmtId="164" fontId="96" fillId="22" borderId="92" xfId="1" applyFont="1" applyFill="1" applyBorder="1" applyAlignment="1">
      <alignment horizontal="center"/>
    </xf>
    <xf numFmtId="164" fontId="96" fillId="24" borderId="33" xfId="1" applyFont="1" applyFill="1" applyBorder="1"/>
    <xf numFmtId="164" fontId="96" fillId="24" borderId="28" xfId="1" applyFont="1" applyFill="1" applyBorder="1"/>
    <xf numFmtId="164" fontId="96" fillId="24" borderId="86" xfId="1" applyFont="1" applyFill="1" applyBorder="1" applyAlignment="1">
      <alignment horizontal="center"/>
    </xf>
    <xf numFmtId="164" fontId="96" fillId="35" borderId="93" xfId="1" applyFont="1" applyFill="1" applyBorder="1"/>
    <xf numFmtId="164" fontId="96" fillId="35" borderId="28" xfId="1" applyFont="1" applyFill="1" applyBorder="1"/>
    <xf numFmtId="164" fontId="96" fillId="35" borderId="33" xfId="1" applyFont="1" applyFill="1" applyBorder="1"/>
    <xf numFmtId="164" fontId="96" fillId="35" borderId="86" xfId="1" applyFont="1" applyFill="1" applyBorder="1" applyAlignment="1">
      <alignment horizontal="center"/>
    </xf>
    <xf numFmtId="164" fontId="96" fillId="43" borderId="93" xfId="1" applyFont="1" applyFill="1" applyBorder="1"/>
    <xf numFmtId="164" fontId="96" fillId="43" borderId="28" xfId="1" applyFont="1" applyFill="1" applyBorder="1"/>
    <xf numFmtId="164" fontId="96" fillId="43" borderId="32" xfId="1" applyFont="1" applyFill="1" applyBorder="1"/>
    <xf numFmtId="164" fontId="96" fillId="43" borderId="86" xfId="1" applyFont="1" applyFill="1" applyBorder="1" applyAlignment="1">
      <alignment horizontal="center"/>
    </xf>
    <xf numFmtId="164" fontId="96" fillId="22" borderId="81" xfId="1" applyFont="1" applyFill="1" applyBorder="1"/>
    <xf numFmtId="164" fontId="96" fillId="22" borderId="29" xfId="1" applyFont="1" applyFill="1" applyBorder="1"/>
    <xf numFmtId="164" fontId="96" fillId="22" borderId="82" xfId="1" applyFont="1" applyFill="1" applyBorder="1" applyAlignment="1">
      <alignment horizontal="center"/>
    </xf>
    <xf numFmtId="164" fontId="96" fillId="24" borderId="69" xfId="1" applyFont="1" applyFill="1" applyBorder="1"/>
    <xf numFmtId="164" fontId="96" fillId="24" borderId="29" xfId="1" applyFont="1" applyFill="1" applyBorder="1"/>
    <xf numFmtId="164" fontId="96" fillId="24" borderId="83" xfId="1" applyFont="1" applyFill="1" applyBorder="1" applyAlignment="1">
      <alignment horizontal="center"/>
    </xf>
    <xf numFmtId="164" fontId="96" fillId="35" borderId="84" xfId="1" applyFont="1" applyFill="1" applyBorder="1"/>
    <xf numFmtId="164" fontId="96" fillId="35" borderId="29" xfId="1" applyFont="1" applyFill="1" applyBorder="1"/>
    <xf numFmtId="164" fontId="96" fillId="35" borderId="69" xfId="1" applyFont="1" applyFill="1" applyBorder="1"/>
    <xf numFmtId="164" fontId="96" fillId="35" borderId="83" xfId="1" applyFont="1" applyFill="1" applyBorder="1" applyAlignment="1">
      <alignment horizontal="center"/>
    </xf>
    <xf numFmtId="164" fontId="96" fillId="43" borderId="84" xfId="1" applyFont="1" applyFill="1" applyBorder="1"/>
    <xf numFmtId="164" fontId="96" fillId="43" borderId="29" xfId="1" applyFont="1" applyFill="1" applyBorder="1"/>
    <xf numFmtId="164" fontId="96" fillId="43" borderId="66" xfId="1" applyFont="1" applyFill="1" applyBorder="1"/>
    <xf numFmtId="164" fontId="96" fillId="43" borderId="83" xfId="1" applyFont="1" applyFill="1" applyBorder="1" applyAlignment="1">
      <alignment horizontal="center"/>
    </xf>
    <xf numFmtId="166" fontId="96" fillId="42" borderId="81" xfId="0" applyNumberFormat="1" applyFont="1" applyFill="1" applyBorder="1" applyAlignment="1">
      <alignment horizontal="left"/>
    </xf>
    <xf numFmtId="0" fontId="26" fillId="0" borderId="0" xfId="0" applyFont="1"/>
    <xf numFmtId="164" fontId="95" fillId="22" borderId="29" xfId="1" applyNumberFormat="1" applyFont="1" applyFill="1" applyBorder="1"/>
    <xf numFmtId="0" fontId="97" fillId="0" borderId="0" xfId="0" applyFont="1"/>
    <xf numFmtId="166" fontId="95" fillId="42" borderId="94" xfId="0" applyNumberFormat="1" applyFont="1" applyFill="1" applyBorder="1" applyAlignment="1">
      <alignment horizontal="left"/>
    </xf>
    <xf numFmtId="164" fontId="95" fillId="22" borderId="94" xfId="1" applyFont="1" applyFill="1" applyBorder="1"/>
    <xf numFmtId="164" fontId="95" fillId="22" borderId="17" xfId="1" applyFont="1" applyFill="1" applyBorder="1"/>
    <xf numFmtId="164" fontId="98" fillId="22" borderId="53" xfId="1" applyFont="1" applyFill="1" applyBorder="1" applyAlignment="1">
      <alignment horizontal="center"/>
    </xf>
    <xf numFmtId="164" fontId="95" fillId="24" borderId="95" xfId="1" applyFont="1" applyFill="1" applyBorder="1"/>
    <xf numFmtId="164" fontId="95" fillId="24" borderId="17" xfId="1" applyFont="1" applyFill="1" applyBorder="1"/>
    <xf numFmtId="164" fontId="98" fillId="24" borderId="18" xfId="1" applyFont="1" applyFill="1" applyBorder="1" applyAlignment="1">
      <alignment horizontal="center"/>
    </xf>
    <xf numFmtId="164" fontId="95" fillId="35" borderId="16" xfId="1" applyFont="1" applyFill="1" applyBorder="1"/>
    <xf numFmtId="164" fontId="95" fillId="35" borderId="17" xfId="1" applyFont="1" applyFill="1" applyBorder="1"/>
    <xf numFmtId="164" fontId="95" fillId="35" borderId="95" xfId="1" applyFont="1" applyFill="1" applyBorder="1"/>
    <xf numFmtId="164" fontId="98" fillId="35" borderId="18" xfId="1" applyFont="1" applyFill="1" applyBorder="1" applyAlignment="1">
      <alignment horizontal="center"/>
    </xf>
    <xf numFmtId="164" fontId="95" fillId="43" borderId="16" xfId="1" applyFont="1" applyFill="1" applyBorder="1"/>
    <xf numFmtId="164" fontId="95" fillId="43" borderId="17" xfId="1" applyFont="1" applyFill="1" applyBorder="1"/>
    <xf numFmtId="164" fontId="95" fillId="43" borderId="60" xfId="1" applyFont="1" applyFill="1" applyBorder="1"/>
    <xf numFmtId="164" fontId="98" fillId="43" borderId="18" xfId="1" applyFont="1" applyFill="1" applyBorder="1" applyAlignment="1">
      <alignment horizontal="center"/>
    </xf>
    <xf numFmtId="0" fontId="99" fillId="0" borderId="0" xfId="0" applyFont="1"/>
    <xf numFmtId="164" fontId="99" fillId="0" borderId="0" xfId="1" applyFont="1"/>
    <xf numFmtId="164" fontId="99" fillId="0" borderId="0" xfId="1" applyFont="1" applyAlignment="1">
      <alignment horizontal="center"/>
    </xf>
    <xf numFmtId="0" fontId="90" fillId="0" borderId="0" xfId="0" applyFont="1" applyFill="1" applyBorder="1"/>
    <xf numFmtId="0" fontId="90" fillId="0" borderId="0" xfId="0" applyFont="1" applyBorder="1"/>
    <xf numFmtId="0" fontId="29" fillId="15" borderId="0" xfId="0" applyFont="1" applyFill="1" applyAlignment="1">
      <alignment horizontal="left"/>
    </xf>
    <xf numFmtId="3" fontId="28" fillId="12" borderId="26" xfId="0" applyNumberFormat="1" applyFont="1" applyFill="1" applyBorder="1" applyAlignment="1">
      <alignment horizontal="center"/>
    </xf>
    <xf numFmtId="3" fontId="100" fillId="12" borderId="26" xfId="0" applyNumberFormat="1" applyFont="1" applyFill="1" applyBorder="1" applyAlignment="1">
      <alignment horizontal="center"/>
    </xf>
    <xf numFmtId="3" fontId="28" fillId="12" borderId="26" xfId="10" applyNumberFormat="1" applyFont="1" applyFill="1" applyBorder="1" applyAlignment="1">
      <alignment horizontal="center"/>
    </xf>
    <xf numFmtId="43" fontId="28" fillId="15" borderId="0" xfId="31" applyFont="1" applyFill="1" applyAlignment="1">
      <alignment horizontal="center"/>
    </xf>
    <xf numFmtId="3" fontId="28" fillId="12" borderId="29" xfId="0" applyNumberFormat="1" applyFont="1" applyFill="1" applyBorder="1" applyAlignment="1">
      <alignment horizontal="center"/>
    </xf>
    <xf numFmtId="3" fontId="100" fillId="12" borderId="29" xfId="0" applyNumberFormat="1" applyFont="1" applyFill="1" applyBorder="1" applyAlignment="1">
      <alignment horizontal="center"/>
    </xf>
    <xf numFmtId="4" fontId="28" fillId="12" borderId="29" xfId="0" applyNumberFormat="1" applyFont="1" applyFill="1" applyBorder="1" applyAlignment="1">
      <alignment horizontal="center"/>
    </xf>
    <xf numFmtId="3" fontId="28" fillId="12" borderId="28" xfId="0" applyNumberFormat="1" applyFont="1" applyFill="1" applyBorder="1" applyAlignment="1">
      <alignment horizontal="center"/>
    </xf>
    <xf numFmtId="3" fontId="28" fillId="12" borderId="28" xfId="10" applyNumberFormat="1" applyFont="1" applyFill="1" applyBorder="1" applyAlignment="1">
      <alignment horizontal="center"/>
    </xf>
    <xf numFmtId="4" fontId="28" fillId="12" borderId="28" xfId="0" applyNumberFormat="1" applyFont="1" applyFill="1" applyBorder="1" applyAlignment="1">
      <alignment horizontal="center"/>
    </xf>
    <xf numFmtId="43" fontId="28" fillId="15" borderId="0" xfId="31" applyFont="1" applyFill="1" applyBorder="1" applyAlignment="1">
      <alignment horizontal="right"/>
    </xf>
    <xf numFmtId="3" fontId="100" fillId="12" borderId="28" xfId="0" applyNumberFormat="1" applyFont="1" applyFill="1" applyBorder="1" applyAlignment="1">
      <alignment horizontal="center"/>
    </xf>
    <xf numFmtId="4" fontId="33" fillId="12" borderId="28" xfId="0" applyNumberFormat="1" applyFont="1" applyFill="1" applyBorder="1" applyAlignment="1">
      <alignment horizontal="center"/>
    </xf>
    <xf numFmtId="4" fontId="33" fillId="12" borderId="30" xfId="0" applyNumberFormat="1" applyFont="1" applyFill="1" applyBorder="1" applyAlignment="1"/>
    <xf numFmtId="3" fontId="33" fillId="12" borderId="28" xfId="0" applyNumberFormat="1" applyFont="1" applyFill="1" applyBorder="1" applyAlignment="1">
      <alignment horizontal="center"/>
    </xf>
    <xf numFmtId="3" fontId="33" fillId="12" borderId="28" xfId="10" applyNumberFormat="1" applyFont="1" applyFill="1" applyBorder="1" applyAlignment="1">
      <alignment horizontal="center"/>
    </xf>
    <xf numFmtId="3" fontId="29" fillId="15" borderId="28" xfId="0" applyNumberFormat="1" applyFont="1" applyFill="1" applyBorder="1" applyAlignment="1">
      <alignment horizontal="center"/>
    </xf>
    <xf numFmtId="173" fontId="28" fillId="12" borderId="29" xfId="0" applyNumberFormat="1" applyFont="1" applyFill="1" applyBorder="1" applyAlignment="1">
      <alignment horizontal="center"/>
    </xf>
    <xf numFmtId="173" fontId="28" fillId="12" borderId="28" xfId="0" applyNumberFormat="1" applyFont="1" applyFill="1" applyBorder="1" applyAlignment="1">
      <alignment horizontal="center"/>
    </xf>
    <xf numFmtId="3" fontId="33" fillId="21" borderId="28" xfId="0" applyNumberFormat="1" applyFont="1" applyFill="1" applyBorder="1" applyAlignment="1">
      <alignment horizontal="center"/>
    </xf>
    <xf numFmtId="43" fontId="28" fillId="35" borderId="0" xfId="31" applyFont="1" applyFill="1" applyAlignment="1">
      <alignment horizontal="center"/>
    </xf>
    <xf numFmtId="3" fontId="34" fillId="12" borderId="28" xfId="0" applyNumberFormat="1" applyFont="1" applyFill="1" applyBorder="1" applyAlignment="1">
      <alignment horizontal="center"/>
    </xf>
    <xf numFmtId="0" fontId="28" fillId="15" borderId="28" xfId="0" applyFont="1" applyFill="1" applyBorder="1" applyAlignment="1">
      <alignment horizontal="left" vertical="center" wrapText="1"/>
    </xf>
    <xf numFmtId="3" fontId="32" fillId="12" borderId="28" xfId="0" applyNumberFormat="1" applyFont="1" applyFill="1" applyBorder="1" applyAlignment="1">
      <alignment horizontal="center"/>
    </xf>
    <xf numFmtId="0" fontId="33" fillId="39" borderId="28" xfId="0" applyFont="1" applyFill="1" applyBorder="1" applyAlignment="1">
      <alignment horizontal="center"/>
    </xf>
    <xf numFmtId="2" fontId="28" fillId="39" borderId="28" xfId="0" applyNumberFormat="1" applyFont="1" applyFill="1" applyBorder="1" applyAlignment="1">
      <alignment horizontal="center"/>
    </xf>
    <xf numFmtId="3" fontId="35" fillId="15" borderId="28" xfId="0" applyNumberFormat="1" applyFont="1" applyFill="1" applyBorder="1" applyAlignment="1">
      <alignment horizontal="center"/>
    </xf>
    <xf numFmtId="0" fontId="28" fillId="39" borderId="28" xfId="0" applyFont="1" applyFill="1" applyBorder="1" applyAlignment="1">
      <alignment horizontal="left"/>
    </xf>
    <xf numFmtId="3" fontId="28" fillId="15" borderId="28" xfId="0" quotePrefix="1" applyNumberFormat="1" applyFont="1" applyFill="1" applyBorder="1" applyAlignment="1">
      <alignment horizontal="center"/>
    </xf>
    <xf numFmtId="4" fontId="28" fillId="16" borderId="28" xfId="0" applyNumberFormat="1" applyFont="1" applyFill="1" applyBorder="1" applyAlignment="1">
      <alignment horizontal="center"/>
    </xf>
    <xf numFmtId="0" fontId="28" fillId="3" borderId="28" xfId="0" applyFont="1" applyFill="1" applyBorder="1" applyAlignment="1" applyProtection="1">
      <alignment horizontal="center"/>
    </xf>
    <xf numFmtId="3" fontId="28" fillId="3" borderId="28" xfId="0" applyNumberFormat="1" applyFont="1" applyFill="1" applyBorder="1" applyAlignment="1" applyProtection="1">
      <alignment horizontal="center"/>
    </xf>
    <xf numFmtId="4" fontId="34" fillId="28" borderId="28" xfId="0" applyNumberFormat="1" applyFont="1" applyFill="1" applyBorder="1" applyAlignment="1">
      <alignment horizontal="center"/>
    </xf>
    <xf numFmtId="173" fontId="33" fillId="21" borderId="28" xfId="0" applyNumberFormat="1" applyFont="1" applyFill="1" applyBorder="1" applyAlignment="1">
      <alignment horizontal="center"/>
    </xf>
    <xf numFmtId="173" fontId="33" fillId="26" borderId="28" xfId="0" applyNumberFormat="1" applyFont="1" applyFill="1" applyBorder="1" applyAlignment="1">
      <alignment horizontal="center"/>
    </xf>
    <xf numFmtId="173" fontId="28" fillId="39" borderId="28" xfId="0" applyNumberFormat="1" applyFont="1" applyFill="1" applyBorder="1" applyAlignment="1">
      <alignment horizontal="center"/>
    </xf>
    <xf numFmtId="3" fontId="33" fillId="18" borderId="29" xfId="0" applyNumberFormat="1" applyFont="1" applyFill="1" applyBorder="1" applyAlignment="1">
      <alignment horizontal="center"/>
    </xf>
    <xf numFmtId="177" fontId="28" fillId="15" borderId="28" xfId="31" applyNumberFormat="1" applyFont="1" applyFill="1" applyBorder="1" applyAlignment="1">
      <alignment horizontal="center"/>
    </xf>
    <xf numFmtId="3" fontId="28" fillId="3" borderId="30" xfId="0" applyNumberFormat="1" applyFont="1" applyFill="1" applyBorder="1" applyAlignment="1">
      <alignment horizontal="center"/>
    </xf>
    <xf numFmtId="2" fontId="33" fillId="15" borderId="39" xfId="2" applyNumberFormat="1" applyFont="1" applyFill="1" applyBorder="1" applyAlignment="1">
      <alignment horizontal="center"/>
    </xf>
    <xf numFmtId="2" fontId="28" fillId="15" borderId="28" xfId="20" applyNumberFormat="1" applyFont="1" applyFill="1" applyBorder="1" applyAlignment="1">
      <alignment horizontal="center"/>
    </xf>
    <xf numFmtId="43" fontId="28" fillId="15" borderId="30" xfId="31" applyFont="1" applyFill="1" applyBorder="1" applyAlignment="1">
      <alignment horizontal="center"/>
    </xf>
    <xf numFmtId="2" fontId="28" fillId="15" borderId="30" xfId="20" applyNumberFormat="1" applyFont="1" applyFill="1" applyBorder="1" applyAlignment="1">
      <alignment horizontal="center"/>
    </xf>
    <xf numFmtId="43" fontId="28" fillId="20" borderId="28" xfId="31" applyFont="1" applyFill="1" applyBorder="1" applyAlignment="1">
      <alignment horizontal="center"/>
    </xf>
    <xf numFmtId="3" fontId="28" fillId="15" borderId="28" xfId="20" applyNumberFormat="1" applyFont="1" applyFill="1" applyBorder="1" applyAlignment="1">
      <alignment horizontal="center"/>
    </xf>
    <xf numFmtId="3" fontId="101" fillId="15" borderId="28" xfId="20" applyNumberFormat="1" applyFont="1" applyFill="1" applyBorder="1" applyAlignment="1">
      <alignment horizontal="center"/>
    </xf>
    <xf numFmtId="3" fontId="28" fillId="15" borderId="30" xfId="20" applyNumberFormat="1" applyFont="1" applyFill="1" applyBorder="1" applyAlignment="1">
      <alignment horizontal="center"/>
    </xf>
    <xf numFmtId="3" fontId="28" fillId="3" borderId="30" xfId="20" applyNumberFormat="1" applyFont="1" applyFill="1" applyBorder="1" applyAlignment="1">
      <alignment horizontal="center"/>
    </xf>
    <xf numFmtId="43" fontId="28" fillId="15" borderId="28" xfId="31" applyFont="1" applyFill="1" applyBorder="1" applyAlignment="1">
      <alignment horizontal="center"/>
    </xf>
    <xf numFmtId="2" fontId="28" fillId="20" borderId="28" xfId="20" applyNumberFormat="1" applyFont="1" applyFill="1" applyBorder="1" applyAlignment="1">
      <alignment horizontal="center"/>
    </xf>
    <xf numFmtId="173" fontId="28" fillId="20" borderId="28" xfId="9" applyNumberFormat="1" applyFont="1" applyFill="1" applyBorder="1" applyAlignment="1">
      <alignment horizontal="center"/>
    </xf>
    <xf numFmtId="3" fontId="28" fillId="21" borderId="30" xfId="0" applyNumberFormat="1" applyFont="1" applyFill="1" applyBorder="1" applyAlignment="1">
      <alignment horizontal="center"/>
    </xf>
    <xf numFmtId="43" fontId="28" fillId="15" borderId="31" xfId="31" applyFont="1" applyFill="1" applyBorder="1" applyAlignment="1">
      <alignment horizontal="center"/>
    </xf>
    <xf numFmtId="3" fontId="28" fillId="25" borderId="30" xfId="20" applyNumberFormat="1" applyFont="1" applyFill="1" applyBorder="1" applyAlignment="1">
      <alignment horizontal="center"/>
    </xf>
    <xf numFmtId="3" fontId="33" fillId="16" borderId="28" xfId="0" applyNumberFormat="1" applyFont="1" applyFill="1" applyBorder="1" applyAlignment="1">
      <alignment horizontal="center"/>
    </xf>
    <xf numFmtId="173" fontId="28" fillId="16" borderId="28" xfId="0" applyNumberFormat="1" applyFont="1" applyFill="1" applyBorder="1" applyAlignment="1">
      <alignment horizontal="center"/>
    </xf>
    <xf numFmtId="0" fontId="28" fillId="3" borderId="30" xfId="0" applyFont="1" applyFill="1" applyBorder="1" applyAlignment="1">
      <alignment horizontal="left"/>
    </xf>
    <xf numFmtId="173" fontId="28" fillId="3" borderId="30" xfId="0" applyNumberFormat="1" applyFont="1" applyFill="1" applyBorder="1" applyAlignment="1">
      <alignment horizontal="center"/>
    </xf>
    <xf numFmtId="4" fontId="36" fillId="15" borderId="28" xfId="0" applyNumberFormat="1" applyFont="1" applyFill="1" applyBorder="1" applyAlignment="1">
      <alignment horizontal="center"/>
    </xf>
    <xf numFmtId="3" fontId="102" fillId="20" borderId="28" xfId="0" applyNumberFormat="1" applyFont="1" applyFill="1" applyBorder="1" applyAlignment="1">
      <alignment horizontal="center"/>
    </xf>
    <xf numFmtId="175" fontId="28" fillId="15" borderId="28" xfId="0" applyNumberFormat="1" applyFont="1" applyFill="1" applyBorder="1" applyAlignment="1">
      <alignment horizontal="center"/>
    </xf>
    <xf numFmtId="185" fontId="28" fillId="15" borderId="28" xfId="31" applyNumberFormat="1" applyFont="1" applyFill="1" applyBorder="1" applyAlignment="1">
      <alignment horizontal="center"/>
    </xf>
    <xf numFmtId="4" fontId="28" fillId="18" borderId="27" xfId="0" applyNumberFormat="1" applyFont="1" applyFill="1" applyBorder="1" applyAlignment="1">
      <alignment horizontal="center"/>
    </xf>
    <xf numFmtId="3" fontId="103" fillId="15" borderId="27" xfId="0" applyNumberFormat="1" applyFont="1" applyFill="1" applyBorder="1" applyAlignment="1">
      <alignment horizontal="center" vertical="center"/>
    </xf>
    <xf numFmtId="3" fontId="28" fillId="25" borderId="28" xfId="0" applyNumberFormat="1" applyFont="1" applyFill="1" applyBorder="1" applyAlignment="1">
      <alignment horizontal="center"/>
    </xf>
    <xf numFmtId="3" fontId="34" fillId="7" borderId="0" xfId="0" applyNumberFormat="1" applyFont="1" applyFill="1"/>
    <xf numFmtId="173" fontId="34" fillId="7" borderId="28" xfId="0" applyNumberFormat="1" applyFont="1" applyFill="1" applyBorder="1" applyAlignment="1">
      <alignment horizontal="center"/>
    </xf>
    <xf numFmtId="43" fontId="34" fillId="18" borderId="28" xfId="31" applyFont="1" applyFill="1" applyBorder="1" applyAlignment="1">
      <alignment horizontal="center" vertical="center"/>
    </xf>
    <xf numFmtId="173" fontId="28" fillId="7" borderId="28" xfId="0" applyNumberFormat="1" applyFont="1" applyFill="1" applyBorder="1" applyAlignment="1">
      <alignment horizontal="center"/>
    </xf>
    <xf numFmtId="173" fontId="34" fillId="18" borderId="28" xfId="0" applyNumberFormat="1" applyFont="1" applyFill="1" applyBorder="1" applyAlignment="1">
      <alignment horizontal="center"/>
    </xf>
    <xf numFmtId="175" fontId="34" fillId="18" borderId="8" xfId="0" applyNumberFormat="1" applyFont="1" applyFill="1" applyBorder="1" applyAlignment="1">
      <alignment horizontal="center"/>
    </xf>
    <xf numFmtId="3" fontId="33" fillId="37" borderId="30" xfId="0" applyNumberFormat="1" applyFont="1" applyFill="1" applyBorder="1" applyAlignment="1">
      <alignment horizontal="center"/>
    </xf>
    <xf numFmtId="43" fontId="28" fillId="37" borderId="30" xfId="31" applyFont="1" applyFill="1" applyBorder="1" applyAlignment="1">
      <alignment horizontal="center"/>
    </xf>
    <xf numFmtId="2" fontId="77" fillId="18" borderId="28" xfId="0" applyNumberFormat="1" applyFont="1" applyFill="1" applyBorder="1" applyAlignment="1">
      <alignment horizontal="center"/>
    </xf>
    <xf numFmtId="182" fontId="0" fillId="13" borderId="5" xfId="31" applyNumberFormat="1" applyFont="1" applyFill="1" applyBorder="1" applyAlignment="1">
      <alignment horizontal="center" vertical="center" wrapText="1"/>
    </xf>
    <xf numFmtId="4" fontId="74" fillId="18" borderId="28" xfId="0" applyNumberFormat="1" applyFont="1" applyFill="1" applyBorder="1" applyAlignment="1">
      <alignment horizontal="center"/>
    </xf>
    <xf numFmtId="4" fontId="34" fillId="15" borderId="29" xfId="0" applyNumberFormat="1" applyFont="1" applyFill="1" applyBorder="1" applyAlignment="1">
      <alignment horizontal="center"/>
    </xf>
    <xf numFmtId="4" fontId="74" fillId="3" borderId="28" xfId="0" applyNumberFormat="1" applyFont="1" applyFill="1" applyBorder="1" applyAlignment="1">
      <alignment horizontal="center"/>
    </xf>
    <xf numFmtId="172" fontId="28" fillId="18" borderId="30" xfId="0" applyNumberFormat="1" applyFont="1" applyFill="1" applyBorder="1" applyAlignment="1">
      <alignment horizontal="center"/>
    </xf>
    <xf numFmtId="2" fontId="34" fillId="18" borderId="72" xfId="0" applyNumberFormat="1" applyFont="1" applyFill="1" applyBorder="1" applyAlignment="1">
      <alignment horizontal="center" vertical="center"/>
    </xf>
    <xf numFmtId="43" fontId="28" fillId="15" borderId="29" xfId="31" applyFont="1" applyFill="1" applyBorder="1" applyAlignment="1">
      <alignment horizontal="center"/>
    </xf>
    <xf numFmtId="173" fontId="33" fillId="21" borderId="29" xfId="0" applyNumberFormat="1" applyFont="1" applyFill="1" applyBorder="1" applyAlignment="1">
      <alignment horizontal="center"/>
    </xf>
    <xf numFmtId="43" fontId="28" fillId="37" borderId="29" xfId="31" applyFont="1" applyFill="1" applyBorder="1" applyAlignment="1">
      <alignment horizontal="center"/>
    </xf>
    <xf numFmtId="173" fontId="28" fillId="16" borderId="29" xfId="0" applyNumberFormat="1" applyFont="1" applyFill="1" applyBorder="1" applyAlignment="1">
      <alignment horizontal="center"/>
    </xf>
    <xf numFmtId="3" fontId="28" fillId="2" borderId="28" xfId="0" applyNumberFormat="1" applyFont="1" applyFill="1" applyBorder="1" applyAlignment="1">
      <alignment horizontal="center"/>
    </xf>
    <xf numFmtId="173" fontId="28" fillId="3" borderId="29" xfId="0" applyNumberFormat="1" applyFont="1" applyFill="1" applyBorder="1" applyAlignment="1">
      <alignment horizontal="center"/>
    </xf>
    <xf numFmtId="173" fontId="28" fillId="16" borderId="30" xfId="0" applyNumberFormat="1" applyFont="1" applyFill="1" applyBorder="1" applyAlignment="1">
      <alignment horizontal="center"/>
    </xf>
    <xf numFmtId="43" fontId="28" fillId="37" borderId="28" xfId="31" applyFont="1" applyFill="1" applyBorder="1" applyAlignment="1">
      <alignment horizontal="center"/>
    </xf>
    <xf numFmtId="43" fontId="30" fillId="15" borderId="0" xfId="31" applyFont="1" applyFill="1" applyAlignment="1">
      <alignment horizontal="center"/>
    </xf>
    <xf numFmtId="3" fontId="101" fillId="38" borderId="29" xfId="0" applyNumberFormat="1" applyFont="1" applyFill="1" applyBorder="1" applyAlignment="1">
      <alignment horizontal="center"/>
    </xf>
    <xf numFmtId="3" fontId="28" fillId="27" borderId="29" xfId="0" applyNumberFormat="1" applyFont="1" applyFill="1" applyBorder="1" applyAlignment="1">
      <alignment horizontal="center"/>
    </xf>
    <xf numFmtId="2" fontId="28" fillId="15" borderId="34" xfId="0" applyNumberFormat="1" applyFont="1" applyFill="1" applyBorder="1" applyAlignment="1"/>
    <xf numFmtId="177" fontId="28" fillId="15" borderId="30" xfId="31" applyNumberFormat="1" applyFont="1" applyFill="1" applyBorder="1" applyAlignment="1">
      <alignment horizontal="center"/>
    </xf>
    <xf numFmtId="177" fontId="28" fillId="15" borderId="30" xfId="31" applyNumberFormat="1" applyFont="1" applyFill="1" applyBorder="1" applyAlignment="1"/>
    <xf numFmtId="177" fontId="28" fillId="15" borderId="34" xfId="31" applyNumberFormat="1" applyFont="1" applyFill="1" applyBorder="1" applyAlignment="1"/>
    <xf numFmtId="177" fontId="28" fillId="15" borderId="0" xfId="31" applyNumberFormat="1" applyFont="1" applyFill="1" applyBorder="1" applyAlignment="1"/>
    <xf numFmtId="177" fontId="28" fillId="15" borderId="39" xfId="31" applyNumberFormat="1" applyFont="1" applyFill="1" applyBorder="1" applyAlignment="1">
      <alignment horizontal="center"/>
    </xf>
    <xf numFmtId="164" fontId="28" fillId="15" borderId="23" xfId="0" applyNumberFormat="1" applyFont="1" applyFill="1" applyBorder="1" applyAlignment="1"/>
    <xf numFmtId="177" fontId="28" fillId="15" borderId="10" xfId="31" applyNumberFormat="1" applyFont="1" applyFill="1" applyBorder="1" applyAlignment="1">
      <alignment horizontal="center"/>
    </xf>
    <xf numFmtId="3" fontId="31" fillId="15" borderId="8" xfId="0" applyNumberFormat="1" applyFont="1" applyFill="1" applyBorder="1" applyAlignment="1">
      <alignment horizontal="center"/>
    </xf>
    <xf numFmtId="4" fontId="33" fillId="21" borderId="29" xfId="0" applyNumberFormat="1" applyFont="1" applyFill="1" applyBorder="1" applyAlignment="1">
      <alignment horizontal="center"/>
    </xf>
    <xf numFmtId="180" fontId="28" fillId="37" borderId="30" xfId="31" applyNumberFormat="1" applyFont="1" applyFill="1" applyBorder="1" applyAlignment="1">
      <alignment horizontal="center"/>
    </xf>
    <xf numFmtId="0" fontId="34" fillId="15" borderId="39" xfId="0" applyFont="1" applyFill="1" applyBorder="1" applyAlignment="1">
      <alignment horizontal="left"/>
    </xf>
    <xf numFmtId="0" fontId="37" fillId="0" borderId="26" xfId="0" applyFont="1" applyFill="1" applyBorder="1" applyAlignment="1">
      <alignment horizontal="center"/>
    </xf>
    <xf numFmtId="0" fontId="104" fillId="18" borderId="26" xfId="0" applyFont="1" applyFill="1" applyBorder="1" applyAlignment="1">
      <alignment horizontal="center"/>
    </xf>
    <xf numFmtId="0" fontId="37" fillId="23" borderId="26" xfId="0" applyFont="1" applyFill="1" applyBorder="1" applyAlignment="1">
      <alignment horizontal="left"/>
    </xf>
    <xf numFmtId="0" fontId="37" fillId="23" borderId="26" xfId="0" applyFont="1" applyFill="1" applyBorder="1" applyAlignment="1">
      <alignment horizontal="center"/>
    </xf>
    <xf numFmtId="2" fontId="37" fillId="23" borderId="26" xfId="0" applyNumberFormat="1" applyFont="1" applyFill="1" applyBorder="1" applyAlignment="1">
      <alignment horizontal="center"/>
    </xf>
    <xf numFmtId="164" fontId="37" fillId="23" borderId="26" xfId="0" applyNumberFormat="1" applyFont="1" applyFill="1" applyBorder="1" applyAlignment="1">
      <alignment horizontal="center"/>
    </xf>
    <xf numFmtId="3" fontId="37" fillId="23" borderId="26" xfId="0" applyNumberFormat="1" applyFont="1" applyFill="1" applyBorder="1" applyAlignment="1">
      <alignment horizontal="center"/>
    </xf>
    <xf numFmtId="3" fontId="37" fillId="0" borderId="6" xfId="0" applyNumberFormat="1" applyFont="1" applyFill="1" applyBorder="1" applyAlignment="1">
      <alignment horizontal="center"/>
    </xf>
    <xf numFmtId="0" fontId="37" fillId="0" borderId="30" xfId="0" applyFont="1" applyFill="1" applyBorder="1" applyAlignment="1">
      <alignment horizontal="center"/>
    </xf>
    <xf numFmtId="0" fontId="37" fillId="18" borderId="30" xfId="0" applyFont="1" applyFill="1" applyBorder="1" applyAlignment="1">
      <alignment horizontal="center"/>
    </xf>
    <xf numFmtId="0" fontId="37" fillId="23" borderId="28" xfId="0" applyFont="1" applyFill="1" applyBorder="1" applyAlignment="1">
      <alignment horizontal="left"/>
    </xf>
    <xf numFmtId="0" fontId="37" fillId="23" borderId="28" xfId="0" applyFont="1" applyFill="1" applyBorder="1" applyAlignment="1">
      <alignment horizontal="center"/>
    </xf>
    <xf numFmtId="2" fontId="37" fillId="23" borderId="28" xfId="0" applyNumberFormat="1" applyFont="1" applyFill="1" applyBorder="1" applyAlignment="1">
      <alignment horizontal="center"/>
    </xf>
    <xf numFmtId="3" fontId="37" fillId="23" borderId="30" xfId="0" applyNumberFormat="1" applyFont="1" applyFill="1" applyBorder="1" applyAlignment="1">
      <alignment horizontal="center"/>
    </xf>
    <xf numFmtId="0" fontId="104" fillId="0" borderId="28" xfId="0" applyFont="1" applyFill="1" applyBorder="1" applyAlignment="1">
      <alignment horizontal="center"/>
    </xf>
    <xf numFmtId="0" fontId="37" fillId="18" borderId="28" xfId="0" applyFont="1" applyFill="1" applyBorder="1" applyAlignment="1">
      <alignment horizontal="center"/>
    </xf>
    <xf numFmtId="0" fontId="37" fillId="18" borderId="28" xfId="0" applyFont="1" applyFill="1" applyBorder="1" applyAlignment="1">
      <alignment horizontal="left"/>
    </xf>
    <xf numFmtId="173" fontId="37" fillId="18" borderId="28" xfId="0" applyNumberFormat="1" applyFont="1" applyFill="1" applyBorder="1" applyAlignment="1">
      <alignment horizontal="center"/>
    </xf>
    <xf numFmtId="173" fontId="37" fillId="0" borderId="28" xfId="0" applyNumberFormat="1" applyFont="1" applyFill="1" applyBorder="1" applyAlignment="1">
      <alignment horizontal="center"/>
    </xf>
    <xf numFmtId="0" fontId="37" fillId="0" borderId="28" xfId="0" applyFont="1" applyFill="1" applyBorder="1" applyAlignment="1">
      <alignment horizontal="left"/>
    </xf>
    <xf numFmtId="0" fontId="37" fillId="0" borderId="28" xfId="0" applyFont="1" applyFill="1" applyBorder="1" applyAlignment="1">
      <alignment horizontal="center"/>
    </xf>
    <xf numFmtId="4" fontId="37" fillId="0" borderId="30" xfId="0" applyNumberFormat="1" applyFont="1" applyFill="1" applyBorder="1" applyAlignment="1">
      <alignment horizontal="center"/>
    </xf>
    <xf numFmtId="0" fontId="83" fillId="0" borderId="28" xfId="0" applyFont="1" applyFill="1" applyBorder="1" applyAlignment="1">
      <alignment horizontal="center"/>
    </xf>
    <xf numFmtId="4" fontId="37" fillId="0" borderId="28" xfId="0" applyNumberFormat="1" applyFont="1" applyFill="1" applyBorder="1" applyAlignment="1">
      <alignment horizontal="center"/>
    </xf>
    <xf numFmtId="0" fontId="37" fillId="17" borderId="28" xfId="0" applyFont="1" applyFill="1" applyBorder="1" applyAlignment="1">
      <alignment horizontal="center"/>
    </xf>
    <xf numFmtId="0" fontId="37" fillId="17" borderId="28" xfId="0" applyFont="1" applyFill="1" applyBorder="1" applyAlignment="1">
      <alignment horizontal="left"/>
    </xf>
    <xf numFmtId="0" fontId="37" fillId="17" borderId="30" xfId="0" applyFont="1" applyFill="1" applyBorder="1" applyAlignment="1">
      <alignment horizontal="center"/>
    </xf>
    <xf numFmtId="176" fontId="37" fillId="17" borderId="28" xfId="0" applyNumberFormat="1" applyFont="1" applyFill="1" applyBorder="1" applyAlignment="1">
      <alignment horizontal="center"/>
    </xf>
    <xf numFmtId="0" fontId="83" fillId="17" borderId="28" xfId="0" applyFont="1" applyFill="1" applyBorder="1" applyAlignment="1">
      <alignment horizontal="center"/>
    </xf>
    <xf numFmtId="4" fontId="37" fillId="17" borderId="28" xfId="0" applyNumberFormat="1" applyFont="1" applyFill="1" applyBorder="1" applyAlignment="1">
      <alignment horizontal="center"/>
    </xf>
    <xf numFmtId="0" fontId="104" fillId="18" borderId="28" xfId="0" applyFont="1" applyFill="1" applyBorder="1" applyAlignment="1">
      <alignment horizontal="center"/>
    </xf>
    <xf numFmtId="164" fontId="37" fillId="23" borderId="28" xfId="0" applyNumberFormat="1" applyFont="1" applyFill="1" applyBorder="1" applyAlignment="1">
      <alignment horizontal="center"/>
    </xf>
    <xf numFmtId="3" fontId="37" fillId="23" borderId="28" xfId="0" applyNumberFormat="1" applyFont="1" applyFill="1" applyBorder="1" applyAlignment="1">
      <alignment horizontal="center"/>
    </xf>
    <xf numFmtId="4" fontId="37" fillId="18" borderId="28" xfId="0" applyNumberFormat="1" applyFont="1" applyFill="1" applyBorder="1" applyAlignment="1">
      <alignment horizontal="center"/>
    </xf>
    <xf numFmtId="0" fontId="37" fillId="4" borderId="30" xfId="0" applyFont="1" applyFill="1" applyBorder="1" applyAlignment="1">
      <alignment horizontal="center"/>
    </xf>
    <xf numFmtId="0" fontId="37" fillId="4" borderId="28" xfId="0" applyFont="1" applyFill="1" applyBorder="1" applyAlignment="1">
      <alignment horizontal="center"/>
    </xf>
    <xf numFmtId="0" fontId="37" fillId="4" borderId="28" xfId="0" applyFont="1" applyFill="1" applyBorder="1" applyAlignment="1">
      <alignment horizontal="left"/>
    </xf>
    <xf numFmtId="173" fontId="37" fillId="4" borderId="28" xfId="0" applyNumberFormat="1" applyFont="1" applyFill="1" applyBorder="1" applyAlignment="1">
      <alignment horizontal="center"/>
    </xf>
    <xf numFmtId="0" fontId="37" fillId="4" borderId="39" xfId="0" applyFont="1" applyFill="1" applyBorder="1" applyAlignment="1">
      <alignment horizontal="center"/>
    </xf>
    <xf numFmtId="0" fontId="37" fillId="4" borderId="39" xfId="0" applyFont="1" applyFill="1" applyBorder="1" applyAlignment="1">
      <alignment horizontal="left"/>
    </xf>
    <xf numFmtId="173" fontId="37" fillId="4" borderId="39" xfId="0" applyNumberFormat="1" applyFont="1" applyFill="1" applyBorder="1" applyAlignment="1">
      <alignment horizontal="center"/>
    </xf>
    <xf numFmtId="0" fontId="83" fillId="4" borderId="23" xfId="0" applyFont="1" applyFill="1" applyBorder="1" applyAlignment="1">
      <alignment horizontal="center"/>
    </xf>
    <xf numFmtId="0" fontId="83" fillId="4" borderId="10" xfId="0" applyFont="1" applyFill="1" applyBorder="1" applyAlignment="1">
      <alignment horizontal="center"/>
    </xf>
    <xf numFmtId="4" fontId="37" fillId="4" borderId="10" xfId="0" applyNumberFormat="1" applyFont="1" applyFill="1" applyBorder="1" applyAlignment="1">
      <alignment horizontal="center"/>
    </xf>
    <xf numFmtId="3" fontId="37" fillId="4" borderId="10" xfId="0" applyNumberFormat="1" applyFont="1" applyFill="1" applyBorder="1" applyAlignment="1">
      <alignment horizontal="center"/>
    </xf>
    <xf numFmtId="2" fontId="37" fillId="4" borderId="10" xfId="0" applyNumberFormat="1" applyFont="1" applyFill="1" applyBorder="1" applyAlignment="1">
      <alignment horizontal="center"/>
    </xf>
    <xf numFmtId="3" fontId="29" fillId="0" borderId="28" xfId="0" applyNumberFormat="1" applyFont="1" applyFill="1" applyBorder="1" applyAlignment="1">
      <alignment horizontal="center"/>
    </xf>
    <xf numFmtId="0" fontId="72" fillId="0" borderId="28" xfId="0" applyFont="1" applyFill="1" applyBorder="1" applyAlignment="1">
      <alignment horizontal="left"/>
    </xf>
    <xf numFmtId="4" fontId="33" fillId="0" borderId="28" xfId="0" applyNumberFormat="1" applyFont="1" applyFill="1" applyBorder="1" applyAlignment="1">
      <alignment horizontal="center"/>
    </xf>
    <xf numFmtId="4" fontId="33" fillId="21" borderId="28" xfId="0" applyNumberFormat="1" applyFont="1" applyFill="1" applyBorder="1" applyAlignment="1">
      <alignment horizontal="center"/>
    </xf>
    <xf numFmtId="4" fontId="33" fillId="26" borderId="28" xfId="0" applyNumberFormat="1" applyFont="1" applyFill="1" applyBorder="1" applyAlignment="1">
      <alignment horizontal="center"/>
    </xf>
    <xf numFmtId="174" fontId="28" fillId="28" borderId="28" xfId="0" applyNumberFormat="1" applyFont="1" applyFill="1" applyBorder="1" applyAlignment="1">
      <alignment horizontal="center"/>
    </xf>
    <xf numFmtId="170" fontId="28" fillId="28" borderId="28" xfId="0" applyNumberFormat="1" applyFont="1" applyFill="1" applyBorder="1" applyAlignment="1">
      <alignment horizontal="center"/>
    </xf>
    <xf numFmtId="3" fontId="33" fillId="18" borderId="28" xfId="0" applyNumberFormat="1" applyFont="1" applyFill="1" applyBorder="1" applyAlignment="1">
      <alignment horizontal="center"/>
    </xf>
    <xf numFmtId="3" fontId="28" fillId="16" borderId="26" xfId="0" applyNumberFormat="1" applyFont="1" applyFill="1" applyBorder="1" applyAlignment="1"/>
    <xf numFmtId="3" fontId="28" fillId="15" borderId="26" xfId="0" applyNumberFormat="1" applyFont="1" applyFill="1" applyBorder="1" applyAlignment="1"/>
    <xf numFmtId="0" fontId="105" fillId="16" borderId="34" xfId="0" applyFont="1" applyFill="1" applyBorder="1" applyAlignment="1"/>
    <xf numFmtId="3" fontId="28" fillId="15" borderId="28" xfId="0" applyNumberFormat="1" applyFont="1" applyFill="1" applyBorder="1" applyAlignment="1"/>
    <xf numFmtId="180" fontId="106" fillId="16" borderId="34" xfId="31" applyNumberFormat="1" applyFont="1" applyFill="1" applyBorder="1" applyAlignment="1">
      <alignment horizontal="center" vertical="center" wrapText="1"/>
    </xf>
    <xf numFmtId="180" fontId="106" fillId="16" borderId="27" xfId="31" applyNumberFormat="1" applyFont="1" applyFill="1" applyBorder="1" applyAlignment="1">
      <alignment horizontal="center" vertical="center" wrapText="1"/>
    </xf>
    <xf numFmtId="164" fontId="0" fillId="3" borderId="0" xfId="0" applyNumberFormat="1" applyFill="1" applyAlignment="1">
      <alignment vertical="center"/>
    </xf>
    <xf numFmtId="164" fontId="0" fillId="3" borderId="0" xfId="0" applyNumberFormat="1" applyFill="1" applyAlignment="1">
      <alignment horizontal="center"/>
    </xf>
    <xf numFmtId="180" fontId="69" fillId="16" borderId="27" xfId="31" applyNumberFormat="1" applyFont="1" applyFill="1" applyBorder="1"/>
    <xf numFmtId="180" fontId="105" fillId="16" borderId="27" xfId="31" applyNumberFormat="1" applyFont="1" applyFill="1" applyBorder="1"/>
    <xf numFmtId="2" fontId="33" fillId="18" borderId="76" xfId="0" applyNumberFormat="1" applyFont="1" applyFill="1" applyBorder="1" applyAlignment="1">
      <alignment horizontal="center"/>
    </xf>
    <xf numFmtId="43" fontId="33" fillId="18" borderId="76" xfId="31" applyNumberFormat="1" applyFont="1" applyFill="1" applyBorder="1" applyAlignment="1">
      <alignment horizontal="center"/>
    </xf>
    <xf numFmtId="2" fontId="33" fillId="18" borderId="77" xfId="0" applyNumberFormat="1" applyFont="1" applyFill="1" applyBorder="1" applyAlignment="1">
      <alignment horizontal="center"/>
    </xf>
    <xf numFmtId="0" fontId="30" fillId="40" borderId="0" xfId="0" applyFont="1" applyFill="1" applyBorder="1" applyAlignment="1">
      <alignment horizontal="center"/>
    </xf>
    <xf numFmtId="0" fontId="33" fillId="40" borderId="28" xfId="0" applyFont="1" applyFill="1" applyBorder="1" applyAlignment="1">
      <alignment horizontal="center"/>
    </xf>
    <xf numFmtId="4" fontId="30" fillId="40" borderId="0" xfId="0" applyNumberFormat="1" applyFont="1" applyFill="1" applyBorder="1" applyAlignment="1">
      <alignment horizontal="center"/>
    </xf>
    <xf numFmtId="43" fontId="33" fillId="40" borderId="76" xfId="31" applyNumberFormat="1" applyFont="1" applyFill="1" applyBorder="1" applyAlignment="1">
      <alignment horizontal="center"/>
    </xf>
    <xf numFmtId="164" fontId="28" fillId="15" borderId="28" xfId="31" applyNumberFormat="1" applyFont="1" applyFill="1" applyBorder="1" applyAlignment="1">
      <alignment horizontal="center"/>
    </xf>
    <xf numFmtId="164" fontId="28" fillId="41" borderId="28" xfId="31" applyNumberFormat="1" applyFont="1" applyFill="1" applyBorder="1" applyAlignment="1">
      <alignment horizontal="center"/>
    </xf>
    <xf numFmtId="0" fontId="0" fillId="15" borderId="71" xfId="0" applyFill="1" applyBorder="1"/>
    <xf numFmtId="0" fontId="28" fillId="15" borderId="68" xfId="0" applyFont="1" applyFill="1" applyBorder="1" applyAlignment="1">
      <alignment horizontal="left"/>
    </xf>
    <xf numFmtId="0" fontId="107" fillId="15" borderId="75" xfId="0" applyFont="1" applyFill="1" applyBorder="1"/>
    <xf numFmtId="164" fontId="28" fillId="15" borderId="39" xfId="31" applyNumberFormat="1" applyFont="1" applyFill="1" applyBorder="1" applyAlignment="1">
      <alignment horizontal="center"/>
    </xf>
    <xf numFmtId="164" fontId="28" fillId="15" borderId="29" xfId="31" applyNumberFormat="1" applyFont="1" applyFill="1" applyBorder="1" applyAlignment="1">
      <alignment horizontal="center"/>
    </xf>
    <xf numFmtId="2" fontId="28" fillId="15" borderId="28" xfId="31" applyNumberFormat="1" applyFont="1" applyFill="1" applyBorder="1" applyAlignment="1">
      <alignment horizontal="center"/>
    </xf>
    <xf numFmtId="0" fontId="103" fillId="15" borderId="0" xfId="32" applyFont="1" applyFill="1" applyAlignment="1">
      <alignment vertical="center"/>
    </xf>
    <xf numFmtId="3" fontId="108" fillId="15" borderId="28" xfId="0" applyNumberFormat="1" applyFont="1" applyFill="1" applyBorder="1" applyAlignment="1">
      <alignment horizontal="center"/>
    </xf>
    <xf numFmtId="3" fontId="28" fillId="15" borderId="0" xfId="22" applyNumberFormat="1" applyFont="1" applyFill="1" applyAlignment="1">
      <alignment horizontal="center"/>
    </xf>
    <xf numFmtId="0" fontId="28" fillId="15" borderId="0" xfId="22" applyFont="1" applyFill="1" applyAlignment="1">
      <alignment horizontal="center"/>
    </xf>
    <xf numFmtId="0" fontId="29" fillId="15" borderId="0" xfId="22" applyFont="1" applyFill="1" applyAlignment="1">
      <alignment horizontal="left"/>
    </xf>
    <xf numFmtId="0" fontId="28" fillId="15" borderId="0" xfId="22" applyFont="1" applyFill="1" applyAlignment="1">
      <alignment horizontal="left"/>
    </xf>
    <xf numFmtId="0" fontId="30" fillId="15" borderId="6" xfId="22" applyFont="1" applyFill="1" applyBorder="1" applyAlignment="1">
      <alignment horizontal="center"/>
    </xf>
    <xf numFmtId="3" fontId="30" fillId="15" borderId="6" xfId="22" applyNumberFormat="1" applyFont="1" applyFill="1" applyBorder="1" applyAlignment="1">
      <alignment horizontal="center"/>
    </xf>
    <xf numFmtId="0" fontId="30" fillId="15" borderId="8" xfId="22" applyFont="1" applyFill="1" applyBorder="1" applyAlignment="1">
      <alignment horizontal="center"/>
    </xf>
    <xf numFmtId="0" fontId="30" fillId="15" borderId="8" xfId="22" applyFont="1" applyFill="1" applyBorder="1" applyAlignment="1">
      <alignment horizontal="left"/>
    </xf>
    <xf numFmtId="3" fontId="30" fillId="15" borderId="8" xfId="22" quotePrefix="1" applyNumberFormat="1" applyFont="1" applyFill="1" applyBorder="1" applyAlignment="1">
      <alignment horizontal="center"/>
    </xf>
    <xf numFmtId="3" fontId="30" fillId="15" borderId="8" xfId="22" applyNumberFormat="1" applyFont="1" applyFill="1" applyBorder="1" applyAlignment="1">
      <alignment horizontal="center"/>
    </xf>
    <xf numFmtId="0" fontId="28" fillId="19" borderId="0" xfId="22" applyFont="1" applyFill="1" applyAlignment="1">
      <alignment horizontal="center"/>
    </xf>
    <xf numFmtId="0" fontId="28" fillId="15" borderId="26" xfId="22" applyFont="1" applyFill="1" applyBorder="1" applyAlignment="1">
      <alignment horizontal="center"/>
    </xf>
    <xf numFmtId="0" fontId="28" fillId="3" borderId="26" xfId="22" applyFont="1" applyFill="1" applyBorder="1" applyAlignment="1">
      <alignment horizontal="center"/>
    </xf>
    <xf numFmtId="0" fontId="28" fillId="15" borderId="26" xfId="22" applyFont="1" applyFill="1" applyBorder="1" applyAlignment="1">
      <alignment horizontal="left"/>
    </xf>
    <xf numFmtId="2" fontId="28" fillId="15" borderId="26" xfId="22" applyNumberFormat="1" applyFont="1" applyFill="1" applyBorder="1" applyAlignment="1">
      <alignment horizontal="center"/>
    </xf>
    <xf numFmtId="164" fontId="28" fillId="15" borderId="26" xfId="22" applyNumberFormat="1" applyFont="1" applyFill="1" applyBorder="1" applyAlignment="1">
      <alignment horizontal="center"/>
    </xf>
    <xf numFmtId="3" fontId="28" fillId="15" borderId="26" xfId="22" applyNumberFormat="1" applyFont="1" applyFill="1" applyBorder="1" applyAlignment="1">
      <alignment horizontal="center"/>
    </xf>
    <xf numFmtId="3" fontId="28" fillId="16" borderId="26" xfId="22" applyNumberFormat="1" applyFont="1" applyFill="1" applyBorder="1" applyAlignment="1">
      <alignment horizontal="center"/>
    </xf>
    <xf numFmtId="4" fontId="28" fillId="15" borderId="0" xfId="22" applyNumberFormat="1" applyFont="1" applyFill="1" applyAlignment="1">
      <alignment horizontal="center"/>
    </xf>
    <xf numFmtId="2" fontId="28" fillId="15" borderId="0" xfId="22" applyNumberFormat="1" applyFont="1" applyFill="1" applyAlignment="1">
      <alignment horizontal="center"/>
    </xf>
    <xf numFmtId="0" fontId="28" fillId="15" borderId="29" xfId="22" applyFont="1" applyFill="1" applyBorder="1" applyAlignment="1">
      <alignment horizontal="center"/>
    </xf>
    <xf numFmtId="0" fontId="28" fillId="3" borderId="29" xfId="22" applyFont="1" applyFill="1" applyBorder="1" applyAlignment="1">
      <alignment horizontal="center"/>
    </xf>
    <xf numFmtId="0" fontId="28" fillId="15" borderId="28" xfId="22" applyFont="1" applyFill="1" applyBorder="1" applyAlignment="1">
      <alignment horizontal="left"/>
    </xf>
    <xf numFmtId="2" fontId="28" fillId="15" borderId="29" xfId="22" applyNumberFormat="1" applyFont="1" applyFill="1" applyBorder="1" applyAlignment="1">
      <alignment horizontal="center"/>
    </xf>
    <xf numFmtId="164" fontId="28" fillId="15" borderId="29" xfId="22" applyNumberFormat="1" applyFont="1" applyFill="1" applyBorder="1" applyAlignment="1">
      <alignment horizontal="center"/>
    </xf>
    <xf numFmtId="3" fontId="28" fillId="15" borderId="29" xfId="22" applyNumberFormat="1" applyFont="1" applyFill="1" applyBorder="1" applyAlignment="1">
      <alignment horizontal="center"/>
    </xf>
    <xf numFmtId="3" fontId="32" fillId="16" borderId="29" xfId="22" applyNumberFormat="1" applyFont="1" applyFill="1" applyBorder="1" applyAlignment="1">
      <alignment horizontal="center"/>
    </xf>
    <xf numFmtId="4" fontId="28" fillId="15" borderId="29" xfId="22" applyNumberFormat="1" applyFont="1" applyFill="1" applyBorder="1" applyAlignment="1">
      <alignment horizontal="center"/>
    </xf>
    <xf numFmtId="0" fontId="28" fillId="15" borderId="28" xfId="22" applyFont="1" applyFill="1" applyBorder="1" applyAlignment="1">
      <alignment horizontal="center"/>
    </xf>
    <xf numFmtId="2" fontId="28" fillId="15" borderId="28" xfId="22" applyNumberFormat="1" applyFont="1" applyFill="1" applyBorder="1" applyAlignment="1">
      <alignment horizontal="right"/>
    </xf>
    <xf numFmtId="3" fontId="28" fillId="15" borderId="28" xfId="22" applyNumberFormat="1" applyFont="1" applyFill="1" applyBorder="1" applyAlignment="1">
      <alignment horizontal="center"/>
    </xf>
    <xf numFmtId="3" fontId="32" fillId="16" borderId="28" xfId="22" applyNumberFormat="1" applyFont="1" applyFill="1" applyBorder="1" applyAlignment="1">
      <alignment horizontal="center"/>
    </xf>
    <xf numFmtId="4" fontId="28" fillId="15" borderId="28" xfId="22" applyNumberFormat="1" applyFont="1" applyFill="1" applyBorder="1" applyAlignment="1">
      <alignment horizontal="center"/>
    </xf>
    <xf numFmtId="43" fontId="28" fillId="15" borderId="0" xfId="33" applyFont="1" applyFill="1" applyBorder="1" applyAlignment="1">
      <alignment horizontal="right"/>
    </xf>
    <xf numFmtId="0" fontId="28" fillId="15" borderId="28" xfId="34" applyFont="1" applyFill="1" applyBorder="1" applyAlignment="1">
      <alignment horizontal="center"/>
    </xf>
    <xf numFmtId="0" fontId="28" fillId="15" borderId="28" xfId="34" applyFont="1" applyFill="1" applyBorder="1" applyAlignment="1">
      <alignment horizontal="left"/>
    </xf>
    <xf numFmtId="2" fontId="28" fillId="15" borderId="28" xfId="34" applyNumberFormat="1" applyFont="1" applyFill="1" applyBorder="1" applyAlignment="1">
      <alignment horizontal="right"/>
    </xf>
    <xf numFmtId="3" fontId="28" fillId="15" borderId="28" xfId="34" applyNumberFormat="1" applyFont="1" applyFill="1" applyBorder="1" applyAlignment="1">
      <alignment horizontal="center"/>
    </xf>
    <xf numFmtId="3" fontId="32" fillId="16" borderId="30" xfId="34" applyNumberFormat="1" applyFont="1" applyFill="1" applyBorder="1" applyAlignment="1">
      <alignment horizontal="center"/>
    </xf>
    <xf numFmtId="4" fontId="28" fillId="15" borderId="28" xfId="34" applyNumberFormat="1" applyFont="1" applyFill="1" applyBorder="1" applyAlignment="1">
      <alignment horizontal="center"/>
    </xf>
    <xf numFmtId="3" fontId="28" fillId="15" borderId="26" xfId="34" applyNumberFormat="1" applyFont="1" applyFill="1" applyBorder="1" applyAlignment="1">
      <alignment horizontal="center"/>
    </xf>
    <xf numFmtId="164" fontId="28" fillId="15" borderId="0" xfId="35" applyFont="1" applyFill="1" applyBorder="1" applyAlignment="1">
      <alignment horizontal="right"/>
    </xf>
    <xf numFmtId="3" fontId="28" fillId="15" borderId="0" xfId="34" applyNumberFormat="1" applyFont="1" applyFill="1" applyAlignment="1">
      <alignment horizontal="center"/>
    </xf>
    <xf numFmtId="2" fontId="28" fillId="15" borderId="0" xfId="34" applyNumberFormat="1" applyFont="1" applyFill="1" applyAlignment="1">
      <alignment horizontal="center"/>
    </xf>
    <xf numFmtId="0" fontId="28" fillId="15" borderId="0" xfId="34" applyFont="1" applyFill="1" applyAlignment="1">
      <alignment horizontal="center"/>
    </xf>
    <xf numFmtId="3" fontId="28" fillId="15" borderId="30" xfId="22" applyNumberFormat="1" applyFont="1" applyFill="1" applyBorder="1" applyAlignment="1">
      <alignment horizontal="center"/>
    </xf>
    <xf numFmtId="2" fontId="28" fillId="15" borderId="0" xfId="22" applyNumberFormat="1" applyFont="1" applyFill="1" applyBorder="1" applyAlignment="1">
      <alignment horizontal="right"/>
    </xf>
    <xf numFmtId="0" fontId="33" fillId="15" borderId="28" xfId="22" applyFont="1" applyFill="1" applyBorder="1" applyAlignment="1">
      <alignment horizontal="center"/>
    </xf>
    <xf numFmtId="2" fontId="28" fillId="15" borderId="28" xfId="22" applyNumberFormat="1" applyFont="1" applyFill="1" applyBorder="1" applyAlignment="1">
      <alignment horizontal="center"/>
    </xf>
    <xf numFmtId="4" fontId="33" fillId="15" borderId="28" xfId="22" applyNumberFormat="1" applyFont="1" applyFill="1" applyBorder="1" applyAlignment="1">
      <alignment horizontal="center"/>
    </xf>
    <xf numFmtId="4" fontId="33" fillId="15" borderId="5" xfId="22" applyNumberFormat="1" applyFont="1" applyFill="1" applyBorder="1" applyAlignment="1"/>
    <xf numFmtId="3" fontId="33" fillId="15" borderId="28" xfId="22" applyNumberFormat="1" applyFont="1" applyFill="1" applyBorder="1" applyAlignment="1">
      <alignment horizontal="center"/>
    </xf>
    <xf numFmtId="3" fontId="29" fillId="15" borderId="28" xfId="22" applyNumberFormat="1" applyFont="1" applyFill="1" applyBorder="1" applyAlignment="1">
      <alignment horizontal="center"/>
    </xf>
    <xf numFmtId="0" fontId="28" fillId="20" borderId="28" xfId="22" applyFont="1" applyFill="1" applyBorder="1" applyAlignment="1">
      <alignment horizontal="center"/>
    </xf>
    <xf numFmtId="0" fontId="28" fillId="20" borderId="28" xfId="22" applyFont="1" applyFill="1" applyBorder="1" applyAlignment="1">
      <alignment horizontal="left"/>
    </xf>
    <xf numFmtId="2" fontId="28" fillId="20" borderId="28" xfId="22" applyNumberFormat="1" applyFont="1" applyFill="1" applyBorder="1" applyAlignment="1">
      <alignment horizontal="center"/>
    </xf>
    <xf numFmtId="4" fontId="28" fillId="20" borderId="28" xfId="22" applyNumberFormat="1" applyFont="1" applyFill="1" applyBorder="1" applyAlignment="1">
      <alignment horizontal="center"/>
    </xf>
    <xf numFmtId="173" fontId="28" fillId="16" borderId="29" xfId="22" applyNumberFormat="1" applyFont="1" applyFill="1" applyBorder="1" applyAlignment="1">
      <alignment horizontal="center"/>
    </xf>
    <xf numFmtId="173" fontId="28" fillId="20" borderId="28" xfId="22" applyNumberFormat="1" applyFont="1" applyFill="1" applyBorder="1" applyAlignment="1">
      <alignment horizontal="center"/>
    </xf>
    <xf numFmtId="3" fontId="28" fillId="20" borderId="28" xfId="22" applyNumberFormat="1" applyFont="1" applyFill="1" applyBorder="1" applyAlignment="1">
      <alignment horizontal="center"/>
    </xf>
    <xf numFmtId="3" fontId="28" fillId="21" borderId="28" xfId="22" applyNumberFormat="1" applyFont="1" applyFill="1" applyBorder="1" applyAlignment="1">
      <alignment horizontal="center"/>
    </xf>
    <xf numFmtId="3" fontId="33" fillId="21" borderId="28" xfId="22" applyNumberFormat="1" applyFont="1" applyFill="1" applyBorder="1" applyAlignment="1">
      <alignment horizontal="center"/>
    </xf>
    <xf numFmtId="3" fontId="28" fillId="15" borderId="28" xfId="22" applyNumberFormat="1" applyFont="1" applyFill="1" applyBorder="1" applyAlignment="1">
      <alignment horizontal="left"/>
    </xf>
    <xf numFmtId="0" fontId="28" fillId="15" borderId="28" xfId="22" applyFont="1" applyFill="1" applyBorder="1" applyAlignment="1">
      <alignment horizontal="left" wrapText="1"/>
    </xf>
    <xf numFmtId="3" fontId="28" fillId="26" borderId="28" xfId="22" applyNumberFormat="1" applyFont="1" applyFill="1" applyBorder="1" applyAlignment="1">
      <alignment horizontal="center"/>
    </xf>
    <xf numFmtId="3" fontId="33" fillId="26" borderId="28" xfId="22" applyNumberFormat="1" applyFont="1" applyFill="1" applyBorder="1" applyAlignment="1">
      <alignment horizontal="center"/>
    </xf>
    <xf numFmtId="3" fontId="28" fillId="3" borderId="28" xfId="22" applyNumberFormat="1" applyFont="1" applyFill="1" applyBorder="1" applyAlignment="1">
      <alignment horizontal="center"/>
    </xf>
    <xf numFmtId="0" fontId="28" fillId="28" borderId="28" xfId="22" applyFont="1" applyFill="1" applyBorder="1" applyAlignment="1">
      <alignment horizontal="center"/>
    </xf>
    <xf numFmtId="0" fontId="28" fillId="28" borderId="28" xfId="22" applyFont="1" applyFill="1" applyBorder="1" applyAlignment="1">
      <alignment horizontal="left"/>
    </xf>
    <xf numFmtId="2" fontId="28" fillId="28" borderId="28" xfId="22" applyNumberFormat="1" applyFont="1" applyFill="1" applyBorder="1" applyAlignment="1">
      <alignment horizontal="center"/>
    </xf>
    <xf numFmtId="173" fontId="28" fillId="28" borderId="28" xfId="22" applyNumberFormat="1" applyFont="1" applyFill="1" applyBorder="1" applyAlignment="1">
      <alignment horizontal="center"/>
    </xf>
    <xf numFmtId="3" fontId="28" fillId="28" borderId="28" xfId="22" applyNumberFormat="1" applyFont="1" applyFill="1" applyBorder="1" applyAlignment="1">
      <alignment horizontal="center"/>
    </xf>
    <xf numFmtId="0" fontId="33" fillId="28" borderId="28" xfId="22" applyFont="1" applyFill="1" applyBorder="1" applyAlignment="1">
      <alignment horizontal="center"/>
    </xf>
    <xf numFmtId="4" fontId="28" fillId="28" borderId="28" xfId="22" applyNumberFormat="1" applyFont="1" applyFill="1" applyBorder="1" applyAlignment="1">
      <alignment horizontal="center"/>
    </xf>
    <xf numFmtId="4" fontId="28" fillId="3" borderId="28" xfId="22" applyNumberFormat="1" applyFont="1" applyFill="1" applyBorder="1" applyAlignment="1">
      <alignment horizontal="center"/>
    </xf>
    <xf numFmtId="0" fontId="28" fillId="15" borderId="30" xfId="22" applyFont="1" applyFill="1" applyBorder="1" applyAlignment="1">
      <alignment horizontal="center"/>
    </xf>
    <xf numFmtId="173" fontId="28" fillId="15" borderId="28" xfId="22" applyNumberFormat="1" applyFont="1" applyFill="1" applyBorder="1" applyAlignment="1">
      <alignment horizontal="center"/>
    </xf>
    <xf numFmtId="0" fontId="28" fillId="3" borderId="28" xfId="22" applyFont="1" applyFill="1" applyBorder="1" applyAlignment="1">
      <alignment horizontal="center"/>
    </xf>
    <xf numFmtId="164" fontId="28" fillId="15" borderId="28" xfId="22" applyNumberFormat="1" applyFont="1" applyFill="1" applyBorder="1" applyAlignment="1">
      <alignment horizontal="center"/>
    </xf>
    <xf numFmtId="3" fontId="28" fillId="16" borderId="28" xfId="22" applyNumberFormat="1" applyFont="1" applyFill="1" applyBorder="1" applyAlignment="1">
      <alignment horizontal="center"/>
    </xf>
    <xf numFmtId="3" fontId="28" fillId="0" borderId="28" xfId="22" applyNumberFormat="1" applyFont="1" applyFill="1" applyBorder="1" applyAlignment="1">
      <alignment horizontal="center"/>
    </xf>
    <xf numFmtId="3" fontId="33" fillId="0" borderId="28" xfId="22" applyNumberFormat="1" applyFont="1" applyFill="1" applyBorder="1" applyAlignment="1">
      <alignment horizontal="center"/>
    </xf>
    <xf numFmtId="3" fontId="35" fillId="15" borderId="28" xfId="22" applyNumberFormat="1" applyFont="1" applyFill="1" applyBorder="1" applyAlignment="1">
      <alignment horizontal="center"/>
    </xf>
    <xf numFmtId="3" fontId="28" fillId="15" borderId="28" xfId="22" quotePrefix="1" applyNumberFormat="1" applyFont="1" applyFill="1" applyBorder="1" applyAlignment="1">
      <alignment horizontal="center"/>
    </xf>
    <xf numFmtId="175" fontId="28" fillId="28" borderId="28" xfId="22" applyNumberFormat="1" applyFont="1" applyFill="1" applyBorder="1" applyAlignment="1">
      <alignment horizontal="center"/>
    </xf>
    <xf numFmtId="173" fontId="31" fillId="36" borderId="28" xfId="22" applyNumberFormat="1" applyFont="1" applyFill="1" applyBorder="1" applyAlignment="1">
      <alignment horizontal="center"/>
    </xf>
    <xf numFmtId="175" fontId="28" fillId="28" borderId="30" xfId="22" applyNumberFormat="1" applyFont="1" applyFill="1" applyBorder="1" applyAlignment="1">
      <alignment horizontal="center"/>
    </xf>
    <xf numFmtId="173" fontId="28" fillId="16" borderId="28" xfId="22" applyNumberFormat="1" applyFont="1" applyFill="1" applyBorder="1" applyAlignment="1">
      <alignment horizontal="center"/>
    </xf>
    <xf numFmtId="4" fontId="33" fillId="28" borderId="28" xfId="22" applyNumberFormat="1" applyFont="1" applyFill="1" applyBorder="1" applyAlignment="1">
      <alignment horizontal="center"/>
    </xf>
    <xf numFmtId="173" fontId="32" fillId="16" borderId="28" xfId="22" applyNumberFormat="1" applyFont="1" applyFill="1" applyBorder="1" applyAlignment="1">
      <alignment horizontal="center"/>
    </xf>
    <xf numFmtId="173" fontId="33" fillId="21" borderId="28" xfId="22" applyNumberFormat="1" applyFont="1" applyFill="1" applyBorder="1" applyAlignment="1">
      <alignment horizontal="center"/>
    </xf>
    <xf numFmtId="0" fontId="33" fillId="3" borderId="28" xfId="22" applyFont="1" applyFill="1" applyBorder="1" applyAlignment="1">
      <alignment horizontal="center"/>
    </xf>
    <xf numFmtId="0" fontId="33" fillId="16" borderId="28" xfId="22" applyFont="1" applyFill="1" applyBorder="1" applyAlignment="1">
      <alignment horizontal="left"/>
    </xf>
    <xf numFmtId="3" fontId="33" fillId="15" borderId="29" xfId="22" applyNumberFormat="1" applyFont="1" applyFill="1" applyBorder="1" applyAlignment="1">
      <alignment horizontal="center"/>
    </xf>
    <xf numFmtId="0" fontId="28" fillId="15" borderId="30" xfId="22" applyFont="1" applyFill="1" applyBorder="1" applyAlignment="1">
      <alignment horizontal="left"/>
    </xf>
    <xf numFmtId="0" fontId="34" fillId="15" borderId="28" xfId="22" applyFont="1" applyFill="1" applyBorder="1" applyAlignment="1">
      <alignment horizontal="left"/>
    </xf>
    <xf numFmtId="3" fontId="28" fillId="26" borderId="30" xfId="22" applyNumberFormat="1" applyFont="1" applyFill="1" applyBorder="1" applyAlignment="1">
      <alignment horizontal="center"/>
    </xf>
    <xf numFmtId="173" fontId="33" fillId="26" borderId="28" xfId="22" applyNumberFormat="1" applyFont="1" applyFill="1" applyBorder="1" applyAlignment="1">
      <alignment horizontal="center"/>
    </xf>
    <xf numFmtId="0" fontId="33" fillId="3" borderId="28" xfId="22" applyFont="1" applyFill="1" applyBorder="1" applyAlignment="1">
      <alignment horizontal="left"/>
    </xf>
    <xf numFmtId="0" fontId="33" fillId="15" borderId="28" xfId="22" applyFont="1" applyFill="1" applyBorder="1" applyAlignment="1">
      <alignment horizontal="left"/>
    </xf>
    <xf numFmtId="183" fontId="28" fillId="15" borderId="28" xfId="22" applyNumberFormat="1" applyFont="1" applyFill="1" applyBorder="1" applyAlignment="1">
      <alignment horizontal="center"/>
    </xf>
    <xf numFmtId="2" fontId="28" fillId="15" borderId="34" xfId="22" applyNumberFormat="1" applyFont="1" applyFill="1" applyBorder="1" applyAlignment="1">
      <alignment horizontal="right"/>
    </xf>
    <xf numFmtId="183" fontId="28" fillId="15" borderId="29" xfId="22" applyNumberFormat="1" applyFont="1" applyFill="1" applyBorder="1" applyAlignment="1">
      <alignment horizontal="center"/>
    </xf>
    <xf numFmtId="173" fontId="28" fillId="3" borderId="28" xfId="22" applyNumberFormat="1" applyFont="1" applyFill="1" applyBorder="1" applyAlignment="1">
      <alignment horizontal="center"/>
    </xf>
    <xf numFmtId="175" fontId="28" fillId="15" borderId="30" xfId="22" applyNumberFormat="1" applyFont="1" applyFill="1" applyBorder="1" applyAlignment="1">
      <alignment horizontal="center"/>
    </xf>
    <xf numFmtId="173" fontId="28" fillId="15" borderId="30" xfId="22" applyNumberFormat="1" applyFont="1" applyFill="1" applyBorder="1" applyAlignment="1">
      <alignment horizontal="center"/>
    </xf>
    <xf numFmtId="0" fontId="28" fillId="37" borderId="30" xfId="22" applyFont="1" applyFill="1" applyBorder="1" applyAlignment="1">
      <alignment horizontal="center"/>
    </xf>
    <xf numFmtId="0" fontId="33" fillId="37" borderId="30" xfId="22" applyFont="1" applyFill="1" applyBorder="1" applyAlignment="1">
      <alignment horizontal="left"/>
    </xf>
    <xf numFmtId="173" fontId="28" fillId="37" borderId="30" xfId="22" applyNumberFormat="1" applyFont="1" applyFill="1" applyBorder="1" applyAlignment="1">
      <alignment horizontal="center"/>
    </xf>
    <xf numFmtId="3" fontId="28" fillId="37" borderId="30" xfId="22" applyNumberFormat="1" applyFont="1" applyFill="1" applyBorder="1" applyAlignment="1">
      <alignment horizontal="center"/>
    </xf>
    <xf numFmtId="3" fontId="33" fillId="37" borderId="30" xfId="22" applyNumberFormat="1" applyFont="1" applyFill="1" applyBorder="1" applyAlignment="1">
      <alignment horizontal="center"/>
    </xf>
    <xf numFmtId="0" fontId="28" fillId="37" borderId="30" xfId="22" applyFont="1" applyFill="1" applyBorder="1" applyAlignment="1">
      <alignment horizontal="left"/>
    </xf>
    <xf numFmtId="0" fontId="28" fillId="37" borderId="28" xfId="22" applyFont="1" applyFill="1" applyBorder="1" applyAlignment="1">
      <alignment horizontal="center"/>
    </xf>
    <xf numFmtId="2" fontId="28" fillId="37" borderId="28" xfId="22" applyNumberFormat="1" applyFont="1" applyFill="1" applyBorder="1" applyAlignment="1">
      <alignment horizontal="right"/>
    </xf>
    <xf numFmtId="3" fontId="28" fillId="28" borderId="30" xfId="22" applyNumberFormat="1" applyFont="1" applyFill="1" applyBorder="1" applyAlignment="1">
      <alignment horizontal="center"/>
    </xf>
    <xf numFmtId="3" fontId="33" fillId="28" borderId="30" xfId="22" applyNumberFormat="1" applyFont="1" applyFill="1" applyBorder="1" applyAlignment="1">
      <alignment horizontal="center"/>
    </xf>
    <xf numFmtId="0" fontId="34" fillId="15" borderId="28" xfId="22" applyFont="1" applyFill="1" applyBorder="1" applyAlignment="1">
      <alignment horizontal="center"/>
    </xf>
    <xf numFmtId="177" fontId="28" fillId="16" borderId="28" xfId="33" applyNumberFormat="1" applyFont="1" applyFill="1" applyBorder="1" applyAlignment="1">
      <alignment horizontal="center"/>
    </xf>
    <xf numFmtId="177" fontId="28" fillId="15" borderId="28" xfId="33" applyNumberFormat="1" applyFont="1" applyFill="1" applyBorder="1" applyAlignment="1">
      <alignment horizontal="center"/>
    </xf>
    <xf numFmtId="3" fontId="33" fillId="16" borderId="30" xfId="22" applyNumberFormat="1" applyFont="1" applyFill="1" applyBorder="1" applyAlignment="1">
      <alignment horizontal="center"/>
    </xf>
    <xf numFmtId="3" fontId="33" fillId="15" borderId="30" xfId="22" applyNumberFormat="1" applyFont="1" applyFill="1" applyBorder="1" applyAlignment="1">
      <alignment horizontal="center"/>
    </xf>
    <xf numFmtId="3" fontId="29" fillId="15" borderId="30" xfId="22" applyNumberFormat="1" applyFont="1" applyFill="1" applyBorder="1" applyAlignment="1">
      <alignment horizontal="center"/>
    </xf>
    <xf numFmtId="2" fontId="28" fillId="15" borderId="30" xfId="22" applyNumberFormat="1" applyFont="1" applyFill="1" applyBorder="1" applyAlignment="1">
      <alignment horizontal="center"/>
    </xf>
    <xf numFmtId="173" fontId="28" fillId="26" borderId="30" xfId="22" applyNumberFormat="1" applyFont="1" applyFill="1" applyBorder="1" applyAlignment="1">
      <alignment horizontal="center"/>
    </xf>
    <xf numFmtId="0" fontId="28" fillId="28" borderId="30" xfId="22" applyFont="1" applyFill="1" applyBorder="1" applyAlignment="1">
      <alignment horizontal="center"/>
    </xf>
    <xf numFmtId="4" fontId="33" fillId="28" borderId="30" xfId="22" applyNumberFormat="1" applyFont="1" applyFill="1" applyBorder="1" applyAlignment="1">
      <alignment horizontal="center"/>
    </xf>
    <xf numFmtId="0" fontId="33" fillId="15" borderId="30" xfId="22" applyFont="1" applyFill="1" applyBorder="1" applyAlignment="1">
      <alignment horizontal="center"/>
    </xf>
    <xf numFmtId="4" fontId="33" fillId="15" borderId="39" xfId="22" applyNumberFormat="1" applyFont="1" applyFill="1" applyBorder="1" applyAlignment="1">
      <alignment horizontal="center"/>
    </xf>
    <xf numFmtId="4" fontId="33" fillId="15" borderId="30" xfId="22" applyNumberFormat="1" applyFont="1" applyFill="1" applyBorder="1" applyAlignment="1">
      <alignment horizontal="center"/>
    </xf>
    <xf numFmtId="0" fontId="28" fillId="15" borderId="39" xfId="22" applyFont="1" applyFill="1" applyBorder="1" applyAlignment="1">
      <alignment horizontal="center"/>
    </xf>
    <xf numFmtId="0" fontId="29" fillId="15" borderId="39" xfId="22" applyFont="1" applyFill="1" applyBorder="1" applyAlignment="1">
      <alignment horizontal="center"/>
    </xf>
    <xf numFmtId="3" fontId="33" fillId="15" borderId="39" xfId="22" applyNumberFormat="1" applyFont="1" applyFill="1" applyBorder="1" applyAlignment="1">
      <alignment horizontal="center"/>
    </xf>
    <xf numFmtId="0" fontId="28" fillId="15" borderId="23" xfId="22" applyFont="1" applyFill="1" applyBorder="1" applyAlignment="1">
      <alignment horizontal="center"/>
    </xf>
    <xf numFmtId="0" fontId="28" fillId="15" borderId="10" xfId="22" applyFont="1" applyFill="1" applyBorder="1" applyAlignment="1">
      <alignment horizontal="center"/>
    </xf>
    <xf numFmtId="0" fontId="28" fillId="15" borderId="10" xfId="22" applyFont="1" applyFill="1" applyBorder="1" applyAlignment="1">
      <alignment horizontal="left"/>
    </xf>
    <xf numFmtId="1" fontId="28" fillId="15" borderId="28" xfId="22" applyNumberFormat="1" applyFont="1" applyFill="1" applyBorder="1" applyAlignment="1">
      <alignment horizontal="center"/>
    </xf>
    <xf numFmtId="3" fontId="28" fillId="15" borderId="39" xfId="22" applyNumberFormat="1" applyFont="1" applyFill="1" applyBorder="1" applyAlignment="1">
      <alignment horizontal="center"/>
    </xf>
    <xf numFmtId="0" fontId="30" fillId="15" borderId="19" xfId="22" applyFont="1" applyFill="1" applyBorder="1" applyAlignment="1">
      <alignment horizontal="center"/>
    </xf>
    <xf numFmtId="0" fontId="30" fillId="15" borderId="12" xfId="22" applyFont="1" applyFill="1" applyBorder="1" applyAlignment="1">
      <alignment horizontal="center"/>
    </xf>
    <xf numFmtId="0" fontId="30" fillId="15" borderId="12" xfId="22" applyFont="1" applyFill="1" applyBorder="1" applyAlignment="1">
      <alignment horizontal="left"/>
    </xf>
    <xf numFmtId="0" fontId="30" fillId="15" borderId="5" xfId="22" applyFont="1" applyFill="1" applyBorder="1" applyAlignment="1">
      <alignment horizontal="center"/>
    </xf>
    <xf numFmtId="3" fontId="30" fillId="15" borderId="12" xfId="22" applyNumberFormat="1" applyFont="1" applyFill="1" applyBorder="1" applyAlignment="1">
      <alignment horizontal="center"/>
    </xf>
    <xf numFmtId="3" fontId="30" fillId="15" borderId="5" xfId="22" applyNumberFormat="1" applyFont="1" applyFill="1" applyBorder="1" applyAlignment="1">
      <alignment horizontal="center"/>
    </xf>
    <xf numFmtId="3" fontId="30" fillId="15" borderId="0" xfId="22" applyNumberFormat="1" applyFont="1" applyFill="1" applyBorder="1" applyAlignment="1">
      <alignment horizontal="center"/>
    </xf>
    <xf numFmtId="0" fontId="30" fillId="15" borderId="0" xfId="22" applyFont="1" applyFill="1" applyBorder="1" applyAlignment="1">
      <alignment horizontal="center"/>
    </xf>
    <xf numFmtId="0" fontId="34" fillId="15" borderId="26" xfId="22" applyFont="1" applyFill="1" applyBorder="1" applyAlignment="1">
      <alignment horizontal="left"/>
    </xf>
    <xf numFmtId="4" fontId="34" fillId="16" borderId="28" xfId="22" applyNumberFormat="1" applyFont="1" applyFill="1" applyBorder="1" applyAlignment="1">
      <alignment horizontal="center"/>
    </xf>
    <xf numFmtId="4" fontId="34" fillId="20" borderId="28" xfId="22" applyNumberFormat="1" applyFont="1" applyFill="1" applyBorder="1" applyAlignment="1">
      <alignment horizontal="center"/>
    </xf>
    <xf numFmtId="3" fontId="28" fillId="25" borderId="30" xfId="22" applyNumberFormat="1" applyFont="1" applyFill="1" applyBorder="1" applyAlignment="1">
      <alignment horizontal="center"/>
    </xf>
    <xf numFmtId="0" fontId="28" fillId="41" borderId="28" xfId="22" applyFont="1" applyFill="1" applyBorder="1" applyAlignment="1">
      <alignment horizontal="center"/>
    </xf>
    <xf numFmtId="0" fontId="33" fillId="41" borderId="28" xfId="22" applyFont="1" applyFill="1" applyBorder="1" applyAlignment="1">
      <alignment horizontal="center"/>
    </xf>
    <xf numFmtId="4" fontId="28" fillId="41" borderId="28" xfId="22" applyNumberFormat="1" applyFont="1" applyFill="1" applyBorder="1" applyAlignment="1">
      <alignment horizontal="center"/>
    </xf>
    <xf numFmtId="186" fontId="28" fillId="16" borderId="28" xfId="36" applyNumberFormat="1" applyFont="1" applyFill="1" applyBorder="1" applyAlignment="1">
      <alignment horizontal="center"/>
    </xf>
    <xf numFmtId="3" fontId="34" fillId="15" borderId="28" xfId="22" applyNumberFormat="1" applyFont="1" applyFill="1" applyBorder="1" applyAlignment="1">
      <alignment horizontal="center"/>
    </xf>
    <xf numFmtId="3" fontId="28" fillId="3" borderId="30" xfId="22" applyNumberFormat="1" applyFont="1" applyFill="1" applyBorder="1" applyAlignment="1">
      <alignment horizontal="center"/>
    </xf>
    <xf numFmtId="43" fontId="28" fillId="15" borderId="28" xfId="33" applyFont="1" applyFill="1" applyBorder="1" applyAlignment="1">
      <alignment horizontal="center"/>
    </xf>
    <xf numFmtId="3" fontId="33" fillId="16" borderId="28" xfId="22" applyNumberFormat="1" applyFont="1" applyFill="1" applyBorder="1" applyAlignment="1">
      <alignment horizontal="center"/>
    </xf>
    <xf numFmtId="0" fontId="34" fillId="28" borderId="28" xfId="22" applyFont="1" applyFill="1" applyBorder="1" applyAlignment="1">
      <alignment horizontal="left"/>
    </xf>
    <xf numFmtId="3" fontId="102" fillId="16" borderId="28" xfId="22" applyNumberFormat="1" applyFont="1" applyFill="1" applyBorder="1" applyAlignment="1">
      <alignment horizontal="center"/>
    </xf>
    <xf numFmtId="4" fontId="102" fillId="16" borderId="28" xfId="22" applyNumberFormat="1" applyFont="1" applyFill="1" applyBorder="1" applyAlignment="1">
      <alignment horizontal="center"/>
    </xf>
    <xf numFmtId="0" fontId="28" fillId="15" borderId="28" xfId="22" applyFont="1" applyFill="1" applyBorder="1" applyAlignment="1">
      <alignment horizontal="right"/>
    </xf>
    <xf numFmtId="4" fontId="109" fillId="16" borderId="28" xfId="22" applyNumberFormat="1" applyFont="1" applyFill="1" applyBorder="1" applyAlignment="1">
      <alignment horizontal="center"/>
    </xf>
    <xf numFmtId="4" fontId="36" fillId="15" borderId="28" xfId="22" applyNumberFormat="1" applyFont="1" applyFill="1" applyBorder="1" applyAlignment="1">
      <alignment horizontal="center"/>
    </xf>
    <xf numFmtId="4" fontId="34" fillId="15" borderId="28" xfId="22" applyNumberFormat="1" applyFont="1" applyFill="1" applyBorder="1" applyAlignment="1">
      <alignment horizontal="center"/>
    </xf>
    <xf numFmtId="3" fontId="102" fillId="20" borderId="28" xfId="22" applyNumberFormat="1" applyFont="1" applyFill="1" applyBorder="1" applyAlignment="1">
      <alignment horizontal="center"/>
    </xf>
    <xf numFmtId="3" fontId="28" fillId="25" borderId="28" xfId="22" applyNumberFormat="1" applyFont="1" applyFill="1" applyBorder="1" applyAlignment="1">
      <alignment horizontal="center"/>
    </xf>
    <xf numFmtId="0" fontId="34" fillId="15" borderId="30" xfId="22" applyFont="1" applyFill="1" applyBorder="1" applyAlignment="1">
      <alignment horizontal="left"/>
    </xf>
    <xf numFmtId="175" fontId="28" fillId="15" borderId="28" xfId="22" applyNumberFormat="1" applyFont="1" applyFill="1" applyBorder="1" applyAlignment="1">
      <alignment horizontal="center"/>
    </xf>
    <xf numFmtId="185" fontId="28" fillId="15" borderId="28" xfId="33" applyNumberFormat="1" applyFont="1" applyFill="1" applyBorder="1" applyAlignment="1">
      <alignment horizontal="center"/>
    </xf>
    <xf numFmtId="0" fontId="34" fillId="15" borderId="29" xfId="22" applyFont="1" applyFill="1" applyBorder="1" applyAlignment="1">
      <alignment horizontal="left"/>
    </xf>
    <xf numFmtId="3" fontId="28" fillId="16" borderId="29" xfId="22" applyNumberFormat="1" applyFont="1" applyFill="1" applyBorder="1" applyAlignment="1">
      <alignment horizontal="center"/>
    </xf>
    <xf numFmtId="3" fontId="103" fillId="15" borderId="27" xfId="22" applyNumberFormat="1" applyFont="1" applyFill="1" applyBorder="1" applyAlignment="1">
      <alignment horizontal="center" vertical="center"/>
    </xf>
    <xf numFmtId="183" fontId="28" fillId="15" borderId="30" xfId="22" applyNumberFormat="1" applyFont="1" applyFill="1" applyBorder="1" applyAlignment="1">
      <alignment horizontal="center"/>
    </xf>
    <xf numFmtId="0" fontId="33" fillId="28" borderId="30" xfId="22" applyFont="1" applyFill="1" applyBorder="1" applyAlignment="1">
      <alignment horizontal="center"/>
    </xf>
    <xf numFmtId="4" fontId="28" fillId="28" borderId="30" xfId="22" applyNumberFormat="1" applyFont="1" applyFill="1" applyBorder="1" applyAlignment="1">
      <alignment horizontal="center"/>
    </xf>
    <xf numFmtId="0" fontId="28" fillId="15" borderId="34" xfId="22" applyFont="1" applyFill="1" applyBorder="1" applyAlignment="1">
      <alignment horizontal="center"/>
    </xf>
    <xf numFmtId="0" fontId="28" fillId="15" borderId="0" xfId="22" applyFont="1" applyFill="1" applyBorder="1" applyAlignment="1">
      <alignment horizontal="center"/>
    </xf>
    <xf numFmtId="0" fontId="33" fillId="15" borderId="0" xfId="22" applyFont="1" applyFill="1" applyBorder="1" applyAlignment="1">
      <alignment horizontal="center"/>
    </xf>
    <xf numFmtId="4" fontId="33" fillId="15" borderId="27" xfId="22" applyNumberFormat="1" applyFont="1" applyFill="1" applyBorder="1" applyAlignment="1">
      <alignment horizontal="center"/>
    </xf>
    <xf numFmtId="3" fontId="28" fillId="15" borderId="27" xfId="22" applyNumberFormat="1" applyFont="1" applyFill="1" applyBorder="1" applyAlignment="1">
      <alignment horizontal="center"/>
    </xf>
    <xf numFmtId="4" fontId="28" fillId="16" borderId="28" xfId="22" applyNumberFormat="1" applyFont="1" applyFill="1" applyBorder="1" applyAlignment="1">
      <alignment horizontal="center"/>
    </xf>
    <xf numFmtId="0" fontId="28" fillId="16" borderId="28" xfId="22" applyFont="1" applyFill="1" applyBorder="1" applyAlignment="1">
      <alignment horizontal="center"/>
    </xf>
    <xf numFmtId="183" fontId="28" fillId="28" borderId="28" xfId="22" applyNumberFormat="1" applyFont="1" applyFill="1" applyBorder="1" applyAlignment="1">
      <alignment horizontal="center"/>
    </xf>
    <xf numFmtId="171" fontId="28" fillId="28" borderId="28" xfId="22" applyNumberFormat="1" applyFont="1" applyFill="1" applyBorder="1" applyAlignment="1">
      <alignment horizontal="center"/>
    </xf>
    <xf numFmtId="0" fontId="28" fillId="2" borderId="28" xfId="22" applyFont="1" applyFill="1" applyBorder="1" applyAlignment="1">
      <alignment horizontal="center"/>
    </xf>
    <xf numFmtId="4" fontId="28" fillId="2" borderId="28" xfId="22" applyNumberFormat="1" applyFont="1" applyFill="1" applyBorder="1" applyAlignment="1">
      <alignment horizontal="center"/>
    </xf>
    <xf numFmtId="3" fontId="28" fillId="2" borderId="28" xfId="22" applyNumberFormat="1" applyFont="1" applyFill="1" applyBorder="1" applyAlignment="1">
      <alignment horizontal="center"/>
    </xf>
    <xf numFmtId="183" fontId="28" fillId="20" borderId="28" xfId="22" applyNumberFormat="1" applyFont="1" applyFill="1" applyBorder="1" applyAlignment="1">
      <alignment horizontal="center"/>
    </xf>
    <xf numFmtId="0" fontId="28" fillId="28" borderId="29" xfId="22" applyFont="1" applyFill="1" applyBorder="1" applyAlignment="1">
      <alignment horizontal="center"/>
    </xf>
    <xf numFmtId="0" fontId="33" fillId="28" borderId="29" xfId="22" applyFont="1" applyFill="1" applyBorder="1" applyAlignment="1">
      <alignment horizontal="center"/>
    </xf>
    <xf numFmtId="4" fontId="28" fillId="28" borderId="29" xfId="22" applyNumberFormat="1" applyFont="1" applyFill="1" applyBorder="1" applyAlignment="1">
      <alignment horizontal="center"/>
    </xf>
    <xf numFmtId="3" fontId="28" fillId="28" borderId="29" xfId="22" applyNumberFormat="1" applyFont="1" applyFill="1" applyBorder="1" applyAlignment="1">
      <alignment horizontal="center"/>
    </xf>
    <xf numFmtId="172" fontId="28" fillId="15" borderId="28" xfId="22" applyNumberFormat="1" applyFont="1" applyFill="1" applyBorder="1" applyAlignment="1">
      <alignment horizontal="center"/>
    </xf>
    <xf numFmtId="3" fontId="32" fillId="15" borderId="28" xfId="22" applyNumberFormat="1" applyFont="1" applyFill="1" applyBorder="1" applyAlignment="1">
      <alignment horizontal="center"/>
    </xf>
    <xf numFmtId="173" fontId="32" fillId="20" borderId="28" xfId="22" applyNumberFormat="1" applyFont="1" applyFill="1" applyBorder="1" applyAlignment="1">
      <alignment horizontal="center"/>
    </xf>
    <xf numFmtId="164" fontId="28" fillId="15" borderId="34" xfId="22" applyNumberFormat="1" applyFont="1" applyFill="1" applyBorder="1" applyAlignment="1">
      <alignment horizontal="center"/>
    </xf>
    <xf numFmtId="164" fontId="28" fillId="15" borderId="0" xfId="22" applyNumberFormat="1" applyFont="1" applyFill="1" applyBorder="1" applyAlignment="1">
      <alignment horizontal="center"/>
    </xf>
    <xf numFmtId="164" fontId="28" fillId="15" borderId="28" xfId="22" applyNumberFormat="1" applyFont="1" applyFill="1" applyBorder="1" applyAlignment="1">
      <alignment horizontal="right"/>
    </xf>
    <xf numFmtId="164" fontId="28" fillId="15" borderId="34" xfId="22" applyNumberFormat="1" applyFont="1" applyFill="1" applyBorder="1" applyAlignment="1">
      <alignment horizontal="right"/>
    </xf>
    <xf numFmtId="164" fontId="28" fillId="15" borderId="0" xfId="22" applyNumberFormat="1" applyFont="1" applyFill="1" applyBorder="1" applyAlignment="1">
      <alignment horizontal="right"/>
    </xf>
    <xf numFmtId="3" fontId="28" fillId="16" borderId="30" xfId="22" applyNumberFormat="1" applyFont="1" applyFill="1" applyBorder="1" applyAlignment="1">
      <alignment horizontal="center"/>
    </xf>
    <xf numFmtId="0" fontId="28" fillId="16" borderId="30" xfId="22" applyFont="1" applyFill="1" applyBorder="1" applyAlignment="1">
      <alignment horizontal="center"/>
    </xf>
    <xf numFmtId="3" fontId="34" fillId="16" borderId="27" xfId="22" applyNumberFormat="1" applyFont="1" applyFill="1" applyBorder="1" applyAlignment="1">
      <alignment horizontal="center"/>
    </xf>
    <xf numFmtId="3" fontId="28" fillId="16" borderId="27" xfId="22" applyNumberFormat="1" applyFont="1" applyFill="1" applyBorder="1" applyAlignment="1">
      <alignment horizontal="center"/>
    </xf>
    <xf numFmtId="164" fontId="28" fillId="15" borderId="30" xfId="22" applyNumberFormat="1" applyFont="1" applyFill="1" applyBorder="1" applyAlignment="1">
      <alignment horizontal="center"/>
    </xf>
    <xf numFmtId="4" fontId="28" fillId="15" borderId="27" xfId="22" applyNumberFormat="1" applyFont="1" applyFill="1" applyBorder="1" applyAlignment="1">
      <alignment horizontal="center"/>
    </xf>
    <xf numFmtId="0" fontId="28" fillId="25" borderId="30" xfId="22" applyFont="1" applyFill="1" applyBorder="1" applyAlignment="1">
      <alignment horizontal="center"/>
    </xf>
    <xf numFmtId="4" fontId="28" fillId="16" borderId="27" xfId="22" applyNumberFormat="1" applyFont="1" applyFill="1" applyBorder="1" applyAlignment="1">
      <alignment horizontal="center"/>
    </xf>
    <xf numFmtId="0" fontId="28" fillId="15" borderId="39" xfId="22" applyFont="1" applyFill="1" applyBorder="1" applyAlignment="1">
      <alignment horizontal="left"/>
    </xf>
    <xf numFmtId="4" fontId="26" fillId="0" borderId="5" xfId="22" applyNumberFormat="1" applyBorder="1"/>
    <xf numFmtId="3" fontId="28" fillId="3" borderId="27" xfId="22" applyNumberFormat="1" applyFont="1" applyFill="1" applyBorder="1" applyAlignment="1">
      <alignment horizontal="center"/>
    </xf>
    <xf numFmtId="0" fontId="28" fillId="3" borderId="35" xfId="22" applyFont="1" applyFill="1" applyBorder="1" applyAlignment="1">
      <alignment horizontal="center"/>
    </xf>
    <xf numFmtId="0" fontId="28" fillId="15" borderId="71" xfId="22" applyFont="1" applyFill="1" applyBorder="1" applyAlignment="1">
      <alignment horizontal="left"/>
    </xf>
    <xf numFmtId="3" fontId="28" fillId="18" borderId="27" xfId="22" applyNumberFormat="1" applyFont="1" applyFill="1" applyBorder="1" applyAlignment="1">
      <alignment horizontal="center"/>
    </xf>
    <xf numFmtId="0" fontId="28" fillId="15" borderId="27" xfId="22" applyFont="1" applyFill="1" applyBorder="1" applyAlignment="1">
      <alignment horizontal="center"/>
    </xf>
    <xf numFmtId="4" fontId="28" fillId="18" borderId="27" xfId="22" applyNumberFormat="1" applyFont="1" applyFill="1" applyBorder="1" applyAlignment="1">
      <alignment horizontal="center"/>
    </xf>
    <xf numFmtId="0" fontId="28" fillId="15" borderId="27" xfId="22" applyFont="1" applyFill="1" applyBorder="1" applyAlignment="1">
      <alignment horizontal="left"/>
    </xf>
    <xf numFmtId="0" fontId="33" fillId="25" borderId="28" xfId="22" applyFont="1" applyFill="1" applyBorder="1" applyAlignment="1">
      <alignment horizontal="center"/>
    </xf>
    <xf numFmtId="3" fontId="28" fillId="18" borderId="28" xfId="22" applyNumberFormat="1" applyFont="1" applyFill="1" applyBorder="1" applyAlignment="1">
      <alignment horizontal="center"/>
    </xf>
    <xf numFmtId="3" fontId="34" fillId="7" borderId="0" xfId="22" applyNumberFormat="1" applyFont="1" applyFill="1"/>
    <xf numFmtId="173" fontId="34" fillId="7" borderId="28" xfId="22" applyNumberFormat="1" applyFont="1" applyFill="1" applyBorder="1" applyAlignment="1">
      <alignment horizontal="center"/>
    </xf>
    <xf numFmtId="3" fontId="34" fillId="18" borderId="28" xfId="22" applyNumberFormat="1" applyFont="1" applyFill="1" applyBorder="1" applyAlignment="1">
      <alignment horizontal="center"/>
    </xf>
    <xf numFmtId="2" fontId="34" fillId="18" borderId="28" xfId="22" applyNumberFormat="1" applyFont="1" applyFill="1" applyBorder="1" applyAlignment="1">
      <alignment horizontal="center" vertical="center"/>
    </xf>
    <xf numFmtId="173" fontId="28" fillId="28" borderId="29" xfId="22" applyNumberFormat="1" applyFont="1" applyFill="1" applyBorder="1" applyAlignment="1">
      <alignment horizontal="center"/>
    </xf>
    <xf numFmtId="43" fontId="34" fillId="18" borderId="28" xfId="33" applyFont="1" applyFill="1" applyBorder="1" applyAlignment="1">
      <alignment horizontal="center" vertical="center"/>
    </xf>
    <xf numFmtId="173" fontId="28" fillId="7" borderId="28" xfId="22" applyNumberFormat="1" applyFont="1" applyFill="1" applyBorder="1" applyAlignment="1">
      <alignment horizontal="center"/>
    </xf>
    <xf numFmtId="173" fontId="34" fillId="18" borderId="28" xfId="22" applyNumberFormat="1" applyFont="1" applyFill="1" applyBorder="1" applyAlignment="1">
      <alignment horizontal="center"/>
    </xf>
    <xf numFmtId="173" fontId="34" fillId="18" borderId="28" xfId="22" applyNumberFormat="1" applyFont="1" applyFill="1" applyBorder="1" applyAlignment="1">
      <alignment horizontal="center" vertical="center"/>
    </xf>
    <xf numFmtId="0" fontId="34" fillId="18" borderId="8" xfId="22" applyFont="1" applyFill="1" applyBorder="1" applyAlignment="1">
      <alignment horizontal="center"/>
    </xf>
    <xf numFmtId="0" fontId="33" fillId="15" borderId="30" xfId="22" applyFont="1" applyFill="1" applyBorder="1" applyAlignment="1">
      <alignment horizontal="left"/>
    </xf>
    <xf numFmtId="164" fontId="28" fillId="37" borderId="30" xfId="22" applyNumberFormat="1" applyFont="1" applyFill="1" applyBorder="1" applyAlignment="1">
      <alignment horizontal="center"/>
    </xf>
    <xf numFmtId="43" fontId="28" fillId="37" borderId="30" xfId="33" applyFont="1" applyFill="1" applyBorder="1" applyAlignment="1">
      <alignment horizontal="center"/>
    </xf>
    <xf numFmtId="171" fontId="31" fillId="36" borderId="28" xfId="22" applyNumberFormat="1" applyFont="1" applyFill="1" applyBorder="1" applyAlignment="1">
      <alignment horizontal="center"/>
    </xf>
    <xf numFmtId="173" fontId="33" fillId="15" borderId="28" xfId="22" applyNumberFormat="1" applyFont="1" applyFill="1" applyBorder="1" applyAlignment="1">
      <alignment horizontal="center"/>
    </xf>
    <xf numFmtId="2" fontId="77" fillId="18" borderId="28" xfId="22" applyNumberFormat="1" applyFont="1" applyFill="1" applyBorder="1" applyAlignment="1">
      <alignment horizontal="center"/>
    </xf>
    <xf numFmtId="4" fontId="33" fillId="18" borderId="28" xfId="22" applyNumberFormat="1" applyFont="1" applyFill="1" applyBorder="1" applyAlignment="1">
      <alignment horizontal="center"/>
    </xf>
    <xf numFmtId="0" fontId="33" fillId="15" borderId="29" xfId="22" applyFont="1" applyFill="1" applyBorder="1" applyAlignment="1">
      <alignment horizontal="center"/>
    </xf>
    <xf numFmtId="2" fontId="76" fillId="18" borderId="29" xfId="22" applyNumberFormat="1" applyFont="1" applyFill="1" applyBorder="1" applyAlignment="1">
      <alignment horizontal="center"/>
    </xf>
    <xf numFmtId="2" fontId="77" fillId="18" borderId="29" xfId="22" applyNumberFormat="1" applyFont="1" applyFill="1" applyBorder="1" applyAlignment="1">
      <alignment horizontal="center"/>
    </xf>
    <xf numFmtId="4" fontId="33" fillId="18" borderId="29" xfId="22" applyNumberFormat="1" applyFont="1" applyFill="1" applyBorder="1" applyAlignment="1">
      <alignment horizontal="center"/>
    </xf>
    <xf numFmtId="0" fontId="28" fillId="15" borderId="29" xfId="22" applyFont="1" applyFill="1" applyBorder="1" applyAlignment="1">
      <alignment horizontal="left"/>
    </xf>
    <xf numFmtId="0" fontId="28" fillId="15" borderId="28" xfId="22" quotePrefix="1" applyFont="1" applyFill="1" applyBorder="1" applyAlignment="1">
      <alignment horizontal="left"/>
    </xf>
    <xf numFmtId="3" fontId="34" fillId="16" borderId="29" xfId="22" applyNumberFormat="1" applyFont="1" applyFill="1" applyBorder="1" applyAlignment="1">
      <alignment horizontal="center"/>
    </xf>
    <xf numFmtId="3" fontId="34" fillId="15" borderId="29" xfId="22" applyNumberFormat="1" applyFont="1" applyFill="1" applyBorder="1" applyAlignment="1">
      <alignment horizontal="center"/>
    </xf>
    <xf numFmtId="0" fontId="30" fillId="15" borderId="29" xfId="22" applyFont="1" applyFill="1" applyBorder="1" applyAlignment="1">
      <alignment horizontal="left"/>
    </xf>
    <xf numFmtId="0" fontId="28" fillId="16" borderId="29" xfId="22" applyFont="1" applyFill="1" applyBorder="1" applyAlignment="1">
      <alignment horizontal="center"/>
    </xf>
    <xf numFmtId="4" fontId="74" fillId="18" borderId="28" xfId="22" applyNumberFormat="1" applyFont="1" applyFill="1" applyBorder="1" applyAlignment="1">
      <alignment horizontal="center"/>
    </xf>
    <xf numFmtId="4" fontId="34" fillId="18" borderId="28" xfId="22" applyNumberFormat="1" applyFont="1" applyFill="1" applyBorder="1" applyAlignment="1">
      <alignment horizontal="center"/>
    </xf>
    <xf numFmtId="4" fontId="34" fillId="15" borderId="29" xfId="22" applyNumberFormat="1" applyFont="1" applyFill="1" applyBorder="1" applyAlignment="1">
      <alignment horizontal="center"/>
    </xf>
    <xf numFmtId="3" fontId="28" fillId="18" borderId="30" xfId="22" applyNumberFormat="1" applyFont="1" applyFill="1" applyBorder="1" applyAlignment="1">
      <alignment horizontal="center"/>
    </xf>
    <xf numFmtId="173" fontId="28" fillId="18" borderId="28" xfId="22" applyNumberFormat="1" applyFont="1" applyFill="1" applyBorder="1" applyAlignment="1">
      <alignment horizontal="center"/>
    </xf>
    <xf numFmtId="4" fontId="30" fillId="15" borderId="12" xfId="22" applyNumberFormat="1" applyFont="1" applyFill="1" applyBorder="1" applyAlignment="1">
      <alignment horizontal="center"/>
    </xf>
    <xf numFmtId="3" fontId="30" fillId="15" borderId="0" xfId="22" applyNumberFormat="1" applyFont="1" applyFill="1" applyAlignment="1">
      <alignment horizontal="center"/>
    </xf>
    <xf numFmtId="0" fontId="30" fillId="15" borderId="0" xfId="22" applyFont="1" applyFill="1" applyAlignment="1">
      <alignment horizontal="center"/>
    </xf>
    <xf numFmtId="0" fontId="30" fillId="15" borderId="34" xfId="22" applyFont="1" applyFill="1" applyBorder="1" applyAlignment="1">
      <alignment horizontal="center"/>
    </xf>
    <xf numFmtId="4" fontId="30" fillId="15" borderId="0" xfId="22" applyNumberFormat="1" applyFont="1" applyFill="1" applyBorder="1" applyAlignment="1">
      <alignment horizontal="center"/>
    </xf>
    <xf numFmtId="3" fontId="30" fillId="15" borderId="27" xfId="22" applyNumberFormat="1" applyFont="1" applyFill="1" applyBorder="1" applyAlignment="1">
      <alignment horizontal="center"/>
    </xf>
    <xf numFmtId="0" fontId="30" fillId="15" borderId="0" xfId="22" applyFont="1" applyFill="1" applyBorder="1" applyAlignment="1">
      <alignment horizontal="left"/>
    </xf>
    <xf numFmtId="0" fontId="30" fillId="15" borderId="28" xfId="22" applyFont="1" applyFill="1" applyBorder="1" applyAlignment="1">
      <alignment horizontal="left"/>
    </xf>
    <xf numFmtId="43" fontId="28" fillId="15" borderId="29" xfId="33" applyFont="1" applyFill="1" applyBorder="1" applyAlignment="1">
      <alignment horizontal="center"/>
    </xf>
    <xf numFmtId="0" fontId="28" fillId="20" borderId="29" xfId="22" applyFont="1" applyFill="1" applyBorder="1" applyAlignment="1">
      <alignment horizontal="center"/>
    </xf>
    <xf numFmtId="173" fontId="28" fillId="20" borderId="29" xfId="22" applyNumberFormat="1" applyFont="1" applyFill="1" applyBorder="1" applyAlignment="1">
      <alignment horizontal="center"/>
    </xf>
    <xf numFmtId="3" fontId="28" fillId="20" borderId="29" xfId="22" applyNumberFormat="1" applyFont="1" applyFill="1" applyBorder="1" applyAlignment="1">
      <alignment horizontal="center"/>
    </xf>
    <xf numFmtId="173" fontId="33" fillId="21" borderId="29" xfId="22" applyNumberFormat="1" applyFont="1" applyFill="1" applyBorder="1" applyAlignment="1">
      <alignment horizontal="center"/>
    </xf>
    <xf numFmtId="0" fontId="33" fillId="20" borderId="29" xfId="22" applyFont="1" applyFill="1" applyBorder="1" applyAlignment="1">
      <alignment horizontal="center"/>
    </xf>
    <xf numFmtId="43" fontId="28" fillId="37" borderId="29" xfId="33" applyFont="1" applyFill="1" applyBorder="1" applyAlignment="1">
      <alignment horizontal="center"/>
    </xf>
    <xf numFmtId="3" fontId="28" fillId="37" borderId="28" xfId="22" applyNumberFormat="1" applyFont="1" applyFill="1" applyBorder="1" applyAlignment="1">
      <alignment horizontal="center"/>
    </xf>
    <xf numFmtId="3" fontId="28" fillId="37" borderId="29" xfId="22" applyNumberFormat="1" applyFont="1" applyFill="1" applyBorder="1" applyAlignment="1">
      <alignment horizontal="center"/>
    </xf>
    <xf numFmtId="0" fontId="34" fillId="15" borderId="29" xfId="22" applyFont="1" applyFill="1" applyBorder="1" applyAlignment="1">
      <alignment horizontal="center"/>
    </xf>
    <xf numFmtId="0" fontId="30" fillId="15" borderId="29" xfId="22" applyFont="1" applyFill="1" applyBorder="1" applyAlignment="1">
      <alignment horizontal="center"/>
    </xf>
    <xf numFmtId="3" fontId="28" fillId="26" borderId="29" xfId="22" applyNumberFormat="1" applyFont="1" applyFill="1" applyBorder="1" applyAlignment="1">
      <alignment horizontal="center"/>
    </xf>
    <xf numFmtId="3" fontId="28" fillId="3" borderId="29" xfId="22" applyNumberFormat="1" applyFont="1" applyFill="1" applyBorder="1" applyAlignment="1">
      <alignment horizontal="center"/>
    </xf>
    <xf numFmtId="0" fontId="30" fillId="28" borderId="29" xfId="22" applyFont="1" applyFill="1" applyBorder="1" applyAlignment="1">
      <alignment horizontal="left"/>
    </xf>
    <xf numFmtId="0" fontId="34" fillId="28" borderId="29" xfId="22" applyFont="1" applyFill="1" applyBorder="1" applyAlignment="1">
      <alignment horizontal="left"/>
    </xf>
    <xf numFmtId="0" fontId="34" fillId="28" borderId="29" xfId="22" applyFont="1" applyFill="1" applyBorder="1" applyAlignment="1">
      <alignment horizontal="center"/>
    </xf>
    <xf numFmtId="0" fontId="30" fillId="28" borderId="29" xfId="22" applyFont="1" applyFill="1" applyBorder="1" applyAlignment="1">
      <alignment horizontal="center"/>
    </xf>
    <xf numFmtId="173" fontId="31" fillId="36" borderId="29" xfId="22" applyNumberFormat="1" applyFont="1" applyFill="1" applyBorder="1" applyAlignment="1">
      <alignment horizontal="center"/>
    </xf>
    <xf numFmtId="0" fontId="33" fillId="3" borderId="29" xfId="22" applyFont="1" applyFill="1" applyBorder="1" applyAlignment="1">
      <alignment horizontal="center"/>
    </xf>
    <xf numFmtId="0" fontId="30" fillId="3" borderId="29" xfId="22" applyFont="1" applyFill="1" applyBorder="1" applyAlignment="1">
      <alignment horizontal="left"/>
    </xf>
    <xf numFmtId="0" fontId="30" fillId="16" borderId="29" xfId="22" applyFont="1" applyFill="1" applyBorder="1" applyAlignment="1">
      <alignment horizontal="left"/>
    </xf>
    <xf numFmtId="3" fontId="28" fillId="2" borderId="29" xfId="22" applyNumberFormat="1" applyFont="1" applyFill="1" applyBorder="1" applyAlignment="1">
      <alignment horizontal="center"/>
    </xf>
    <xf numFmtId="0" fontId="79" fillId="15" borderId="24" xfId="22" applyFont="1" applyFill="1" applyBorder="1" applyAlignment="1">
      <alignment horizontal="center"/>
    </xf>
    <xf numFmtId="0" fontId="80" fillId="15" borderId="24" xfId="22" applyFont="1" applyFill="1" applyBorder="1" applyAlignment="1">
      <alignment horizontal="center"/>
    </xf>
    <xf numFmtId="173" fontId="28" fillId="3" borderId="29" xfId="22" applyNumberFormat="1" applyFont="1" applyFill="1" applyBorder="1" applyAlignment="1">
      <alignment horizontal="center"/>
    </xf>
    <xf numFmtId="0" fontId="34" fillId="37" borderId="30" xfId="22" applyFont="1" applyFill="1" applyBorder="1" applyAlignment="1">
      <alignment horizontal="left"/>
    </xf>
    <xf numFmtId="173" fontId="28" fillId="16" borderId="30" xfId="22" applyNumberFormat="1" applyFont="1" applyFill="1" applyBorder="1" applyAlignment="1">
      <alignment horizontal="center"/>
    </xf>
    <xf numFmtId="43" fontId="28" fillId="37" borderId="28" xfId="33" applyFont="1" applyFill="1" applyBorder="1" applyAlignment="1">
      <alignment horizontal="center"/>
    </xf>
    <xf numFmtId="3" fontId="33" fillId="26" borderId="29" xfId="22" applyNumberFormat="1" applyFont="1" applyFill="1" applyBorder="1" applyAlignment="1">
      <alignment horizontal="center"/>
    </xf>
    <xf numFmtId="171" fontId="28" fillId="28" borderId="29" xfId="22" applyNumberFormat="1" applyFont="1" applyFill="1" applyBorder="1" applyAlignment="1">
      <alignment horizontal="center"/>
    </xf>
    <xf numFmtId="171" fontId="31" fillId="36" borderId="29" xfId="22" applyNumberFormat="1" applyFont="1" applyFill="1" applyBorder="1" applyAlignment="1">
      <alignment horizontal="center"/>
    </xf>
    <xf numFmtId="2" fontId="33" fillId="15" borderId="29" xfId="22" applyNumberFormat="1" applyFont="1" applyFill="1" applyBorder="1" applyAlignment="1">
      <alignment horizontal="center"/>
    </xf>
    <xf numFmtId="171" fontId="33" fillId="15" borderId="30" xfId="22" applyNumberFormat="1" applyFont="1" applyFill="1" applyBorder="1" applyAlignment="1">
      <alignment horizontal="center"/>
    </xf>
    <xf numFmtId="0" fontId="28" fillId="15" borderId="19" xfId="22" applyFont="1" applyFill="1" applyBorder="1" applyAlignment="1">
      <alignment horizontal="center"/>
    </xf>
    <xf numFmtId="0" fontId="28" fillId="15" borderId="12" xfId="22" applyFont="1" applyFill="1" applyBorder="1" applyAlignment="1">
      <alignment horizontal="center"/>
    </xf>
    <xf numFmtId="3" fontId="28" fillId="15" borderId="12" xfId="22" applyNumberFormat="1" applyFont="1" applyFill="1" applyBorder="1" applyAlignment="1">
      <alignment horizontal="center"/>
    </xf>
    <xf numFmtId="0" fontId="30" fillId="15" borderId="24" xfId="22" applyFont="1" applyFill="1" applyBorder="1" applyAlignment="1">
      <alignment horizontal="center"/>
    </xf>
    <xf numFmtId="0" fontId="30" fillId="15" borderId="25" xfId="22" applyFont="1" applyFill="1" applyBorder="1" applyAlignment="1">
      <alignment horizontal="center"/>
    </xf>
    <xf numFmtId="0" fontId="30" fillId="15" borderId="25" xfId="22" applyFont="1" applyFill="1" applyBorder="1" applyAlignment="1">
      <alignment horizontal="left"/>
    </xf>
    <xf numFmtId="4" fontId="30" fillId="15" borderId="25" xfId="22" applyNumberFormat="1" applyFont="1" applyFill="1" applyBorder="1" applyAlignment="1">
      <alignment horizontal="center"/>
    </xf>
    <xf numFmtId="3" fontId="30" fillId="15" borderId="25" xfId="22" applyNumberFormat="1" applyFont="1" applyFill="1" applyBorder="1" applyAlignment="1">
      <alignment horizontal="center"/>
    </xf>
    <xf numFmtId="43" fontId="30" fillId="15" borderId="0" xfId="33" applyFont="1" applyFill="1" applyAlignment="1">
      <alignment horizontal="center"/>
    </xf>
    <xf numFmtId="4" fontId="30" fillId="15" borderId="27" xfId="22" applyNumberFormat="1" applyFont="1" applyFill="1" applyBorder="1" applyAlignment="1">
      <alignment horizontal="center"/>
    </xf>
    <xf numFmtId="0" fontId="28" fillId="38" borderId="26" xfId="22" applyFont="1" applyFill="1" applyBorder="1" applyAlignment="1">
      <alignment horizontal="center"/>
    </xf>
    <xf numFmtId="0" fontId="82" fillId="38" borderId="26" xfId="22" applyFont="1" applyFill="1" applyBorder="1" applyAlignment="1">
      <alignment horizontal="center"/>
    </xf>
    <xf numFmtId="3" fontId="28" fillId="38" borderId="26" xfId="22" applyNumberFormat="1" applyFont="1" applyFill="1" applyBorder="1" applyAlignment="1">
      <alignment horizontal="center"/>
    </xf>
    <xf numFmtId="3" fontId="28" fillId="38" borderId="0" xfId="22" applyNumberFormat="1" applyFont="1" applyFill="1" applyAlignment="1">
      <alignment horizontal="center"/>
    </xf>
    <xf numFmtId="0" fontId="28" fillId="38" borderId="0" xfId="22" applyFont="1" applyFill="1" applyAlignment="1">
      <alignment horizontal="center"/>
    </xf>
    <xf numFmtId="0" fontId="28" fillId="38" borderId="29" xfId="22" applyFont="1" applyFill="1" applyBorder="1" applyAlignment="1">
      <alignment horizontal="center"/>
    </xf>
    <xf numFmtId="0" fontId="30" fillId="38" borderId="29" xfId="22" applyFont="1" applyFill="1" applyBorder="1" applyAlignment="1">
      <alignment horizontal="left"/>
    </xf>
    <xf numFmtId="3" fontId="28" fillId="38" borderId="29" xfId="22" applyNumberFormat="1" applyFont="1" applyFill="1" applyBorder="1" applyAlignment="1">
      <alignment horizontal="center"/>
    </xf>
    <xf numFmtId="3" fontId="32" fillId="38" borderId="29" xfId="22" applyNumberFormat="1" applyFont="1" applyFill="1" applyBorder="1" applyAlignment="1">
      <alignment horizontal="center"/>
    </xf>
    <xf numFmtId="0" fontId="34" fillId="38" borderId="29" xfId="22" applyFont="1" applyFill="1" applyBorder="1" applyAlignment="1">
      <alignment horizontal="center"/>
    </xf>
    <xf numFmtId="0" fontId="81" fillId="20" borderId="29" xfId="22" applyFont="1" applyFill="1" applyBorder="1" applyAlignment="1">
      <alignment horizontal="center"/>
    </xf>
    <xf numFmtId="3" fontId="28" fillId="20" borderId="0" xfId="22" applyNumberFormat="1" applyFont="1" applyFill="1" applyAlignment="1">
      <alignment horizontal="center"/>
    </xf>
    <xf numFmtId="0" fontId="28" fillId="20" borderId="0" xfId="22" applyFont="1" applyFill="1" applyAlignment="1">
      <alignment horizontal="center"/>
    </xf>
    <xf numFmtId="0" fontId="30" fillId="20" borderId="29" xfId="22" applyFont="1" applyFill="1" applyBorder="1" applyAlignment="1">
      <alignment horizontal="left"/>
    </xf>
    <xf numFmtId="3" fontId="32" fillId="20" borderId="29" xfId="22" applyNumberFormat="1" applyFont="1" applyFill="1" applyBorder="1" applyAlignment="1">
      <alignment horizontal="center"/>
    </xf>
    <xf numFmtId="0" fontId="34" fillId="20" borderId="29" xfId="22" applyFont="1" applyFill="1" applyBorder="1" applyAlignment="1">
      <alignment horizontal="center"/>
    </xf>
    <xf numFmtId="0" fontId="81" fillId="15" borderId="29" xfId="22" applyFont="1" applyFill="1" applyBorder="1" applyAlignment="1">
      <alignment horizontal="center"/>
    </xf>
    <xf numFmtId="0" fontId="33" fillId="38" borderId="29" xfId="22" applyFont="1" applyFill="1" applyBorder="1" applyAlignment="1">
      <alignment horizontal="left"/>
    </xf>
    <xf numFmtId="0" fontId="30" fillId="38" borderId="29" xfId="22" applyFont="1" applyFill="1" applyBorder="1" applyAlignment="1">
      <alignment horizontal="center"/>
    </xf>
    <xf numFmtId="171" fontId="28" fillId="38" borderId="29" xfId="22" applyNumberFormat="1" applyFont="1" applyFill="1" applyBorder="1" applyAlignment="1">
      <alignment horizontal="center"/>
    </xf>
    <xf numFmtId="0" fontId="30" fillId="20" borderId="29" xfId="22" applyFont="1" applyFill="1" applyBorder="1" applyAlignment="1">
      <alignment horizontal="center"/>
    </xf>
    <xf numFmtId="171" fontId="28" fillId="15" borderId="28" xfId="22" applyNumberFormat="1" applyFont="1" applyFill="1" applyBorder="1" applyAlignment="1">
      <alignment horizontal="center"/>
    </xf>
    <xf numFmtId="176" fontId="28" fillId="15" borderId="28" xfId="22" applyNumberFormat="1" applyFont="1" applyFill="1" applyBorder="1" applyAlignment="1">
      <alignment horizontal="center"/>
    </xf>
    <xf numFmtId="3" fontId="30" fillId="15" borderId="28" xfId="22" applyNumberFormat="1" applyFont="1" applyFill="1" applyBorder="1" applyAlignment="1">
      <alignment horizontal="center"/>
    </xf>
    <xf numFmtId="2" fontId="28" fillId="15" borderId="28" xfId="22" applyNumberFormat="1" applyFont="1" applyFill="1" applyBorder="1" applyAlignment="1"/>
    <xf numFmtId="2" fontId="28" fillId="15" borderId="34" xfId="22" applyNumberFormat="1" applyFont="1" applyFill="1" applyBorder="1" applyAlignment="1"/>
    <xf numFmtId="2" fontId="28" fillId="15" borderId="0" xfId="22" applyNumberFormat="1" applyFont="1" applyFill="1" applyBorder="1" applyAlignment="1"/>
    <xf numFmtId="177" fontId="28" fillId="15" borderId="30" xfId="33" applyNumberFormat="1" applyFont="1" applyFill="1" applyBorder="1" applyAlignment="1">
      <alignment horizontal="center"/>
    </xf>
    <xf numFmtId="177" fontId="28" fillId="15" borderId="30" xfId="33" applyNumberFormat="1" applyFont="1" applyFill="1" applyBorder="1" applyAlignment="1"/>
    <xf numFmtId="4" fontId="28" fillId="15" borderId="30" xfId="22" applyNumberFormat="1" applyFont="1" applyFill="1" applyBorder="1" applyAlignment="1">
      <alignment horizontal="center"/>
    </xf>
    <xf numFmtId="177" fontId="28" fillId="15" borderId="34" xfId="33" applyNumberFormat="1" applyFont="1" applyFill="1" applyBorder="1" applyAlignment="1"/>
    <xf numFmtId="177" fontId="28" fillId="15" borderId="0" xfId="33" applyNumberFormat="1" applyFont="1" applyFill="1" applyBorder="1" applyAlignment="1"/>
    <xf numFmtId="177" fontId="28" fillId="15" borderId="39" xfId="33" applyNumberFormat="1" applyFont="1" applyFill="1" applyBorder="1" applyAlignment="1">
      <alignment horizontal="center"/>
    </xf>
    <xf numFmtId="164" fontId="28" fillId="15" borderId="39" xfId="22" applyNumberFormat="1" applyFont="1" applyFill="1" applyBorder="1" applyAlignment="1"/>
    <xf numFmtId="164" fontId="28" fillId="15" borderId="23" xfId="22" applyNumberFormat="1" applyFont="1" applyFill="1" applyBorder="1" applyAlignment="1"/>
    <xf numFmtId="164" fontId="28" fillId="15" borderId="10" xfId="22" applyNumberFormat="1" applyFont="1" applyFill="1" applyBorder="1" applyAlignment="1"/>
    <xf numFmtId="177" fontId="28" fillId="15" borderId="10" xfId="33" applyNumberFormat="1" applyFont="1" applyFill="1" applyBorder="1" applyAlignment="1">
      <alignment horizontal="center"/>
    </xf>
    <xf numFmtId="3" fontId="33" fillId="15" borderId="5" xfId="22" applyNumberFormat="1" applyFont="1" applyFill="1" applyBorder="1" applyAlignment="1">
      <alignment horizontal="center"/>
    </xf>
    <xf numFmtId="3" fontId="31" fillId="15" borderId="8" xfId="22" applyNumberFormat="1" applyFont="1" applyFill="1" applyBorder="1" applyAlignment="1">
      <alignment horizontal="center"/>
    </xf>
    <xf numFmtId="3" fontId="28" fillId="15" borderId="8" xfId="22" applyNumberFormat="1" applyFont="1" applyFill="1" applyBorder="1" applyAlignment="1">
      <alignment horizontal="center"/>
    </xf>
    <xf numFmtId="0" fontId="29" fillId="20" borderId="29" xfId="22" applyFont="1" applyFill="1" applyBorder="1" applyAlignment="1">
      <alignment horizontal="left"/>
    </xf>
    <xf numFmtId="4" fontId="33" fillId="21" borderId="29" xfId="22" applyNumberFormat="1" applyFont="1" applyFill="1" applyBorder="1" applyAlignment="1">
      <alignment horizontal="center"/>
    </xf>
    <xf numFmtId="0" fontId="30" fillId="15" borderId="28" xfId="22" applyFont="1" applyFill="1" applyBorder="1" applyAlignment="1">
      <alignment horizontal="center"/>
    </xf>
    <xf numFmtId="3" fontId="30" fillId="15" borderId="73" xfId="22" applyNumberFormat="1" applyFont="1" applyFill="1" applyBorder="1" applyAlignment="1">
      <alignment horizontal="center"/>
    </xf>
    <xf numFmtId="0" fontId="30" fillId="15" borderId="73" xfId="22" applyFont="1" applyFill="1" applyBorder="1" applyAlignment="1">
      <alignment horizontal="center"/>
    </xf>
    <xf numFmtId="180" fontId="28" fillId="37" borderId="30" xfId="33" applyNumberFormat="1" applyFont="1" applyFill="1" applyBorder="1" applyAlignment="1">
      <alignment horizontal="center"/>
    </xf>
    <xf numFmtId="3" fontId="34" fillId="15" borderId="73" xfId="22" applyNumberFormat="1" applyFont="1" applyFill="1" applyBorder="1" applyAlignment="1">
      <alignment horizontal="center"/>
    </xf>
    <xf numFmtId="0" fontId="34" fillId="15" borderId="73" xfId="22" applyFont="1" applyFill="1" applyBorder="1" applyAlignment="1">
      <alignment horizontal="center"/>
    </xf>
    <xf numFmtId="0" fontId="34" fillId="15" borderId="39" xfId="22" applyFont="1" applyFill="1" applyBorder="1" applyAlignment="1">
      <alignment horizontal="left"/>
    </xf>
    <xf numFmtId="0" fontId="30" fillId="15" borderId="67" xfId="22" applyFont="1" applyFill="1" applyBorder="1" applyAlignment="1">
      <alignment horizontal="center"/>
    </xf>
    <xf numFmtId="0" fontId="30" fillId="15" borderId="73" xfId="22" applyFont="1" applyFill="1" applyBorder="1" applyAlignment="1">
      <alignment horizontal="left"/>
    </xf>
    <xf numFmtId="3" fontId="30" fillId="15" borderId="30" xfId="22" applyNumberFormat="1" applyFont="1" applyFill="1" applyBorder="1" applyAlignment="1">
      <alignment horizontal="center"/>
    </xf>
    <xf numFmtId="0" fontId="28" fillId="15" borderId="73" xfId="22" applyFont="1" applyFill="1" applyBorder="1" applyAlignment="1">
      <alignment horizontal="center"/>
    </xf>
    <xf numFmtId="2" fontId="28" fillId="15" borderId="73" xfId="22" applyNumberFormat="1" applyFont="1" applyFill="1" applyBorder="1" applyAlignment="1">
      <alignment horizontal="center"/>
    </xf>
    <xf numFmtId="0" fontId="28" fillId="18" borderId="28" xfId="22" applyFont="1" applyFill="1" applyBorder="1" applyAlignment="1">
      <alignment horizontal="center"/>
    </xf>
    <xf numFmtId="0" fontId="28" fillId="18" borderId="30" xfId="22" applyFont="1" applyFill="1" applyBorder="1" applyAlignment="1">
      <alignment horizontal="center"/>
    </xf>
    <xf numFmtId="9" fontId="28" fillId="15" borderId="28" xfId="37" applyFont="1" applyFill="1" applyBorder="1" applyAlignment="1">
      <alignment horizontal="center"/>
    </xf>
    <xf numFmtId="0" fontId="36" fillId="15" borderId="28" xfId="22" applyFont="1" applyFill="1" applyBorder="1" applyAlignment="1">
      <alignment horizontal="center"/>
    </xf>
    <xf numFmtId="3" fontId="33" fillId="18" borderId="30" xfId="22" applyNumberFormat="1" applyFont="1" applyFill="1" applyBorder="1" applyAlignment="1">
      <alignment horizontal="center"/>
    </xf>
    <xf numFmtId="173" fontId="28" fillId="42" borderId="28" xfId="22" applyNumberFormat="1" applyFont="1" applyFill="1" applyBorder="1" applyAlignment="1">
      <alignment horizontal="center"/>
    </xf>
    <xf numFmtId="0" fontId="28" fillId="25" borderId="28" xfId="22" applyFont="1" applyFill="1" applyBorder="1" applyAlignment="1">
      <alignment horizontal="center"/>
    </xf>
    <xf numFmtId="183" fontId="28" fillId="25" borderId="28" xfId="22" applyNumberFormat="1" applyFont="1" applyFill="1" applyBorder="1" applyAlignment="1">
      <alignment horizontal="center"/>
    </xf>
    <xf numFmtId="0" fontId="30" fillId="25" borderId="68" xfId="22" applyFont="1" applyFill="1" applyBorder="1" applyAlignment="1">
      <alignment horizontal="center"/>
    </xf>
    <xf numFmtId="0" fontId="30" fillId="25" borderId="74" xfId="22" applyFont="1" applyFill="1" applyBorder="1" applyAlignment="1">
      <alignment horizontal="center"/>
    </xf>
    <xf numFmtId="3" fontId="30" fillId="25" borderId="74" xfId="22" applyNumberFormat="1" applyFont="1" applyFill="1" applyBorder="1" applyAlignment="1">
      <alignment horizontal="center"/>
    </xf>
    <xf numFmtId="4" fontId="30" fillId="25" borderId="74" xfId="22" applyNumberFormat="1" applyFont="1" applyFill="1" applyBorder="1" applyAlignment="1">
      <alignment horizontal="center"/>
    </xf>
    <xf numFmtId="3" fontId="30" fillId="15" borderId="39" xfId="22" applyNumberFormat="1" applyFont="1" applyFill="1" applyBorder="1" applyAlignment="1">
      <alignment horizontal="center"/>
    </xf>
    <xf numFmtId="0" fontId="28" fillId="28" borderId="0" xfId="22" applyFont="1" applyFill="1" applyBorder="1" applyAlignment="1">
      <alignment horizontal="center"/>
    </xf>
    <xf numFmtId="0" fontId="33" fillId="28" borderId="0" xfId="22" applyFont="1" applyFill="1" applyBorder="1" applyAlignment="1">
      <alignment horizontal="center"/>
    </xf>
    <xf numFmtId="4" fontId="28" fillId="28" borderId="0" xfId="22" applyNumberFormat="1" applyFont="1" applyFill="1" applyBorder="1" applyAlignment="1">
      <alignment horizontal="center"/>
    </xf>
    <xf numFmtId="3" fontId="28" fillId="28" borderId="0" xfId="22" applyNumberFormat="1" applyFont="1" applyFill="1" applyBorder="1" applyAlignment="1">
      <alignment horizontal="center"/>
    </xf>
    <xf numFmtId="4" fontId="33" fillId="21" borderId="28" xfId="22" applyNumberFormat="1" applyFont="1" applyFill="1" applyBorder="1" applyAlignment="1">
      <alignment horizontal="center"/>
    </xf>
    <xf numFmtId="4" fontId="33" fillId="26" borderId="28" xfId="22" applyNumberFormat="1" applyFont="1" applyFill="1" applyBorder="1" applyAlignment="1">
      <alignment horizontal="center"/>
    </xf>
    <xf numFmtId="0" fontId="105" fillId="16" borderId="34" xfId="22" applyFont="1" applyFill="1" applyBorder="1"/>
    <xf numFmtId="180" fontId="106" fillId="16" borderId="34" xfId="33" applyNumberFormat="1" applyFont="1" applyFill="1" applyBorder="1" applyAlignment="1">
      <alignment horizontal="center" vertical="center" wrapText="1"/>
    </xf>
    <xf numFmtId="180" fontId="106" fillId="16" borderId="27" xfId="33" applyNumberFormat="1" applyFont="1" applyFill="1" applyBorder="1" applyAlignment="1">
      <alignment horizontal="center" vertical="center" wrapText="1"/>
    </xf>
    <xf numFmtId="164" fontId="26" fillId="3" borderId="0" xfId="22" applyNumberFormat="1" applyFill="1"/>
    <xf numFmtId="180" fontId="110" fillId="16" borderId="27" xfId="33" applyNumberFormat="1" applyFont="1" applyFill="1" applyBorder="1"/>
    <xf numFmtId="180" fontId="105" fillId="16" borderId="27" xfId="33" applyNumberFormat="1" applyFont="1" applyFill="1" applyBorder="1"/>
    <xf numFmtId="2" fontId="33" fillId="18" borderId="76" xfId="22" applyNumberFormat="1" applyFont="1" applyFill="1" applyBorder="1" applyAlignment="1">
      <alignment horizontal="center"/>
    </xf>
    <xf numFmtId="43" fontId="33" fillId="18" borderId="76" xfId="33" applyNumberFormat="1" applyFont="1" applyFill="1" applyBorder="1" applyAlignment="1">
      <alignment horizontal="center"/>
    </xf>
    <xf numFmtId="2" fontId="33" fillId="18" borderId="77" xfId="22" applyNumberFormat="1" applyFont="1" applyFill="1" applyBorder="1" applyAlignment="1">
      <alignment horizontal="center"/>
    </xf>
    <xf numFmtId="180" fontId="69" fillId="18" borderId="28" xfId="33" applyNumberFormat="1" applyFont="1" applyFill="1" applyBorder="1"/>
    <xf numFmtId="0" fontId="69" fillId="18" borderId="28" xfId="22" applyFont="1" applyFill="1" applyBorder="1"/>
    <xf numFmtId="3" fontId="33" fillId="18" borderId="28" xfId="22" applyNumberFormat="1" applyFont="1" applyFill="1" applyBorder="1" applyAlignment="1">
      <alignment horizontal="center"/>
    </xf>
    <xf numFmtId="180" fontId="105" fillId="7" borderId="27" xfId="33" applyNumberFormat="1" applyFont="1" applyFill="1" applyBorder="1" applyAlignment="1">
      <alignment horizontal="center"/>
    </xf>
    <xf numFmtId="180" fontId="105" fillId="7" borderId="27" xfId="33" applyNumberFormat="1" applyFont="1" applyFill="1" applyBorder="1" applyAlignment="1">
      <alignment horizontal="left"/>
    </xf>
    <xf numFmtId="3" fontId="28" fillId="7" borderId="28" xfId="22" applyNumberFormat="1" applyFont="1" applyFill="1" applyBorder="1" applyAlignment="1">
      <alignment horizontal="center"/>
    </xf>
    <xf numFmtId="0" fontId="105" fillId="16" borderId="27" xfId="22" applyFont="1" applyFill="1" applyBorder="1"/>
    <xf numFmtId="0" fontId="30" fillId="40" borderId="0" xfId="22" applyFont="1" applyFill="1" applyBorder="1" applyAlignment="1">
      <alignment horizontal="center"/>
    </xf>
    <xf numFmtId="3" fontId="30" fillId="40" borderId="0" xfId="22" applyNumberFormat="1" applyFont="1" applyFill="1" applyBorder="1" applyAlignment="1">
      <alignment horizontal="center"/>
    </xf>
    <xf numFmtId="3" fontId="30" fillId="40" borderId="0" xfId="22" applyNumberFormat="1" applyFont="1" applyFill="1" applyAlignment="1">
      <alignment horizontal="center"/>
    </xf>
    <xf numFmtId="0" fontId="30" fillId="40" borderId="0" xfId="22" applyFont="1" applyFill="1" applyAlignment="1">
      <alignment horizontal="center"/>
    </xf>
    <xf numFmtId="0" fontId="33" fillId="40" borderId="28" xfId="22" applyFont="1" applyFill="1" applyBorder="1" applyAlignment="1">
      <alignment horizontal="center"/>
    </xf>
    <xf numFmtId="4" fontId="30" fillId="40" borderId="0" xfId="22" applyNumberFormat="1" applyFont="1" applyFill="1" applyBorder="1" applyAlignment="1">
      <alignment horizontal="center"/>
    </xf>
    <xf numFmtId="2" fontId="33" fillId="40" borderId="76" xfId="22" applyNumberFormat="1" applyFont="1" applyFill="1" applyBorder="1" applyAlignment="1">
      <alignment horizontal="center"/>
    </xf>
    <xf numFmtId="43" fontId="33" fillId="40" borderId="76" xfId="33" applyNumberFormat="1" applyFont="1" applyFill="1" applyBorder="1" applyAlignment="1">
      <alignment horizontal="center"/>
    </xf>
    <xf numFmtId="2" fontId="33" fillId="40" borderId="77" xfId="22" applyNumberFormat="1" applyFont="1" applyFill="1" applyBorder="1" applyAlignment="1">
      <alignment horizontal="center"/>
    </xf>
    <xf numFmtId="167" fontId="28" fillId="15" borderId="28" xfId="37" applyNumberFormat="1" applyFont="1" applyFill="1" applyBorder="1" applyAlignment="1">
      <alignment horizontal="center"/>
    </xf>
    <xf numFmtId="43" fontId="28" fillId="15" borderId="30" xfId="33" applyFont="1" applyFill="1" applyBorder="1" applyAlignment="1">
      <alignment horizontal="center"/>
    </xf>
    <xf numFmtId="184" fontId="28" fillId="25" borderId="28" xfId="22" applyNumberFormat="1" applyFont="1" applyFill="1" applyBorder="1" applyAlignment="1">
      <alignment horizontal="center"/>
    </xf>
    <xf numFmtId="0" fontId="31" fillId="15" borderId="19" xfId="22" applyFont="1" applyFill="1" applyBorder="1" applyAlignment="1">
      <alignment horizontal="left"/>
    </xf>
    <xf numFmtId="0" fontId="28" fillId="15" borderId="12" xfId="22" applyFont="1" applyFill="1" applyBorder="1" applyAlignment="1">
      <alignment horizontal="left"/>
    </xf>
    <xf numFmtId="3" fontId="28" fillId="15" borderId="13" xfId="22" applyNumberFormat="1" applyFont="1" applyFill="1" applyBorder="1" applyAlignment="1">
      <alignment horizontal="center"/>
    </xf>
    <xf numFmtId="0" fontId="28" fillId="15" borderId="6" xfId="22" applyFont="1" applyFill="1" applyBorder="1" applyAlignment="1">
      <alignment horizontal="center"/>
    </xf>
    <xf numFmtId="0" fontId="28" fillId="15" borderId="24" xfId="22" applyFont="1" applyFill="1" applyBorder="1" applyAlignment="1">
      <alignment horizontal="center"/>
    </xf>
    <xf numFmtId="0" fontId="28" fillId="15" borderId="40" xfId="22" applyFont="1" applyFill="1" applyBorder="1" applyAlignment="1">
      <alignment horizontal="left"/>
    </xf>
    <xf numFmtId="3" fontId="28" fillId="15" borderId="6" xfId="22" applyNumberFormat="1" applyFont="1" applyFill="1" applyBorder="1" applyAlignment="1">
      <alignment horizontal="center"/>
    </xf>
    <xf numFmtId="164" fontId="28" fillId="15" borderId="28" xfId="33" applyNumberFormat="1" applyFont="1" applyFill="1" applyBorder="1" applyAlignment="1">
      <alignment horizontal="center"/>
    </xf>
    <xf numFmtId="0" fontId="28" fillId="15" borderId="32" xfId="22" applyFont="1" applyFill="1" applyBorder="1" applyAlignment="1">
      <alignment horizontal="left"/>
    </xf>
    <xf numFmtId="0" fontId="26" fillId="15" borderId="31" xfId="22" applyFill="1" applyBorder="1"/>
    <xf numFmtId="0" fontId="28" fillId="41" borderId="32" xfId="22" applyFont="1" applyFill="1" applyBorder="1" applyAlignment="1">
      <alignment horizontal="left"/>
    </xf>
    <xf numFmtId="0" fontId="26" fillId="41" borderId="31" xfId="22" applyFill="1" applyBorder="1"/>
    <xf numFmtId="164" fontId="28" fillId="41" borderId="28" xfId="33" applyNumberFormat="1" applyFont="1" applyFill="1" applyBorder="1" applyAlignment="1">
      <alignment horizontal="center"/>
    </xf>
    <xf numFmtId="3" fontId="28" fillId="41" borderId="28" xfId="22" applyNumberFormat="1" applyFont="1" applyFill="1" applyBorder="1" applyAlignment="1">
      <alignment horizontal="center"/>
    </xf>
    <xf numFmtId="3" fontId="28" fillId="41" borderId="0" xfId="22" applyNumberFormat="1" applyFont="1" applyFill="1" applyAlignment="1">
      <alignment horizontal="center"/>
    </xf>
    <xf numFmtId="0" fontId="26" fillId="15" borderId="71" xfId="22" applyFill="1" applyBorder="1"/>
    <xf numFmtId="0" fontId="28" fillId="15" borderId="68" xfId="22" applyFont="1" applyFill="1" applyBorder="1" applyAlignment="1">
      <alignment horizontal="left"/>
    </xf>
    <xf numFmtId="0" fontId="107" fillId="15" borderId="75" xfId="22" applyFont="1" applyFill="1" applyBorder="1"/>
    <xf numFmtId="164" fontId="28" fillId="15" borderId="39" xfId="33" applyNumberFormat="1" applyFont="1" applyFill="1" applyBorder="1" applyAlignment="1">
      <alignment horizontal="center"/>
    </xf>
    <xf numFmtId="0" fontId="28" fillId="15" borderId="66" xfId="22" applyFont="1" applyFill="1" applyBorder="1" applyAlignment="1">
      <alignment horizontal="left"/>
    </xf>
    <xf numFmtId="0" fontId="26" fillId="15" borderId="70" xfId="22" applyFill="1" applyBorder="1"/>
    <xf numFmtId="164" fontId="28" fillId="15" borderId="29" xfId="33" applyNumberFormat="1" applyFont="1" applyFill="1" applyBorder="1" applyAlignment="1">
      <alignment horizontal="center"/>
    </xf>
    <xf numFmtId="0" fontId="28" fillId="15" borderId="31" xfId="22" applyFont="1" applyFill="1" applyBorder="1" applyAlignment="1">
      <alignment horizontal="left"/>
    </xf>
    <xf numFmtId="2" fontId="28" fillId="15" borderId="28" xfId="33" applyNumberFormat="1" applyFont="1" applyFill="1" applyBorder="1" applyAlignment="1">
      <alignment horizontal="center"/>
    </xf>
    <xf numFmtId="0" fontId="28" fillId="15" borderId="32" xfId="22" applyFont="1" applyFill="1" applyBorder="1" applyAlignment="1">
      <alignment horizontal="center"/>
    </xf>
    <xf numFmtId="3" fontId="108" fillId="15" borderId="28" xfId="22" applyNumberFormat="1" applyFont="1" applyFill="1" applyBorder="1" applyAlignment="1">
      <alignment horizontal="center"/>
    </xf>
    <xf numFmtId="0" fontId="14" fillId="0" borderId="0" xfId="11"/>
    <xf numFmtId="4" fontId="14" fillId="0" borderId="0" xfId="11" applyNumberFormat="1"/>
    <xf numFmtId="0" fontId="14" fillId="0" borderId="0" xfId="11" applyFill="1"/>
    <xf numFmtId="3" fontId="14" fillId="0" borderId="0" xfId="11" applyNumberFormat="1"/>
    <xf numFmtId="2" fontId="49" fillId="0" borderId="24" xfId="10" applyNumberFormat="1" applyFont="1" applyFill="1" applyBorder="1" applyAlignment="1">
      <alignment horizontal="center" vertical="top" wrapText="1"/>
    </xf>
    <xf numFmtId="0" fontId="49" fillId="0" borderId="5" xfId="13" applyNumberFormat="1" applyFont="1" applyFill="1" applyBorder="1" applyAlignment="1">
      <alignment horizontal="center" vertical="top" wrapText="1"/>
    </xf>
    <xf numFmtId="10" fontId="49" fillId="0" borderId="6" xfId="13" applyNumberFormat="1" applyFont="1" applyFill="1" applyBorder="1" applyAlignment="1">
      <alignment horizontal="center" vertical="top" wrapText="1"/>
    </xf>
    <xf numFmtId="0" fontId="49" fillId="0" borderId="5" xfId="0" applyFont="1" applyBorder="1" applyAlignment="1">
      <alignment horizontal="left" vertical="center" wrapText="1" readingOrder="1"/>
    </xf>
    <xf numFmtId="187" fontId="69" fillId="8" borderId="0" xfId="38" applyFill="1"/>
    <xf numFmtId="187" fontId="69" fillId="8" borderId="0" xfId="38" applyFill="1" applyAlignment="1">
      <alignment horizontal="center"/>
    </xf>
    <xf numFmtId="187" fontId="111" fillId="0" borderId="5" xfId="38" applyFont="1" applyFill="1" applyBorder="1" applyAlignment="1">
      <alignment horizontal="center"/>
    </xf>
    <xf numFmtId="1" fontId="111" fillId="0" borderId="5" xfId="38" applyNumberFormat="1" applyFont="1" applyFill="1" applyBorder="1" applyAlignment="1">
      <alignment horizontal="center"/>
    </xf>
    <xf numFmtId="187" fontId="69" fillId="0" borderId="0" xfId="38"/>
    <xf numFmtId="10" fontId="114" fillId="8" borderId="0" xfId="38" applyNumberFormat="1" applyFont="1" applyFill="1" applyBorder="1" applyAlignment="1">
      <alignment horizontal="center"/>
    </xf>
    <xf numFmtId="10" fontId="114" fillId="7" borderId="0" xfId="13" applyNumberFormat="1" applyFont="1" applyFill="1" applyBorder="1" applyAlignment="1">
      <alignment horizontal="center"/>
    </xf>
    <xf numFmtId="187" fontId="69" fillId="8" borderId="0" xfId="38" applyFont="1" applyFill="1"/>
    <xf numFmtId="187" fontId="69" fillId="0" borderId="0" xfId="38" applyFont="1"/>
    <xf numFmtId="10" fontId="114" fillId="44" borderId="0" xfId="38" applyNumberFormat="1" applyFont="1" applyFill="1" applyBorder="1" applyAlignment="1">
      <alignment horizontal="center"/>
    </xf>
    <xf numFmtId="187" fontId="69" fillId="34" borderId="0" xfId="38" applyFont="1" applyFill="1" applyBorder="1"/>
    <xf numFmtId="187" fontId="69" fillId="34" borderId="0" xfId="38" applyFill="1" applyBorder="1"/>
    <xf numFmtId="187" fontId="69" fillId="34" borderId="0" xfId="38" applyFill="1" applyBorder="1" applyAlignment="1">
      <alignment horizontal="center"/>
    </xf>
    <xf numFmtId="187" fontId="69" fillId="34" borderId="0" xfId="38" applyFont="1" applyFill="1"/>
    <xf numFmtId="10" fontId="0" fillId="34" borderId="0" xfId="13" applyNumberFormat="1" applyFont="1" applyFill="1" applyBorder="1" applyAlignment="1">
      <alignment horizontal="center"/>
    </xf>
    <xf numFmtId="10" fontId="114" fillId="9" borderId="0" xfId="38" applyNumberFormat="1" applyFont="1" applyFill="1" applyBorder="1" applyAlignment="1">
      <alignment horizontal="center"/>
    </xf>
    <xf numFmtId="187" fontId="114" fillId="9" borderId="0" xfId="38" applyFont="1" applyFill="1" applyBorder="1"/>
    <xf numFmtId="187" fontId="114" fillId="9" borderId="0" xfId="38" applyFont="1" applyFill="1" applyBorder="1" applyAlignment="1">
      <alignment horizontal="center"/>
    </xf>
    <xf numFmtId="10" fontId="114" fillId="9" borderId="0" xfId="13" applyNumberFormat="1" applyFont="1" applyFill="1" applyBorder="1" applyAlignment="1">
      <alignment horizontal="center"/>
    </xf>
    <xf numFmtId="0" fontId="69" fillId="8" borderId="0" xfId="38" applyNumberFormat="1" applyFont="1" applyFill="1" applyBorder="1"/>
    <xf numFmtId="9" fontId="69" fillId="35" borderId="0" xfId="2" applyFont="1" applyFill="1" applyBorder="1" applyAlignment="1">
      <alignment horizontal="center"/>
    </xf>
    <xf numFmtId="187" fontId="69" fillId="35" borderId="0" xfId="38" applyFont="1" applyFill="1" applyBorder="1"/>
    <xf numFmtId="10" fontId="69" fillId="35" borderId="0" xfId="13" applyNumberFormat="1" applyFont="1" applyFill="1" applyBorder="1" applyAlignment="1">
      <alignment horizontal="center"/>
    </xf>
    <xf numFmtId="187" fontId="69" fillId="0" borderId="0" xfId="38" applyFont="1" applyBorder="1"/>
    <xf numFmtId="10" fontId="69" fillId="8" borderId="5" xfId="38" applyNumberFormat="1" applyFont="1" applyFill="1" applyBorder="1" applyAlignment="1">
      <alignment horizontal="center"/>
    </xf>
    <xf numFmtId="187" fontId="69" fillId="8" borderId="0" xfId="38" applyFont="1" applyFill="1" applyBorder="1"/>
    <xf numFmtId="10" fontId="69" fillId="8" borderId="0" xfId="13" applyNumberFormat="1" applyFont="1" applyFill="1" applyBorder="1" applyAlignment="1">
      <alignment horizontal="center"/>
    </xf>
    <xf numFmtId="187" fontId="115" fillId="8" borderId="0" xfId="38" applyFont="1" applyFill="1"/>
    <xf numFmtId="187" fontId="116" fillId="8" borderId="0" xfId="38" applyFont="1" applyFill="1"/>
    <xf numFmtId="187" fontId="69" fillId="0" borderId="0" xfId="38" applyFont="1" applyFill="1"/>
    <xf numFmtId="2" fontId="69" fillId="8" borderId="0" xfId="38" applyNumberFormat="1" applyFill="1"/>
    <xf numFmtId="187" fontId="69" fillId="0" borderId="0" xfId="38" applyFill="1"/>
    <xf numFmtId="2" fontId="69" fillId="9" borderId="0" xfId="38" applyNumberFormat="1" applyFill="1" applyBorder="1" applyAlignment="1">
      <alignment horizontal="center"/>
    </xf>
    <xf numFmtId="187" fontId="69" fillId="9" borderId="0" xfId="38" applyFill="1" applyBorder="1"/>
    <xf numFmtId="10" fontId="105" fillId="9" borderId="0" xfId="13" applyNumberFormat="1" applyFont="1" applyFill="1" applyBorder="1" applyAlignment="1">
      <alignment horizontal="center"/>
    </xf>
    <xf numFmtId="187" fontId="69" fillId="8" borderId="0" xfId="38" applyNumberFormat="1" applyFill="1" applyBorder="1"/>
    <xf numFmtId="10" fontId="69" fillId="35" borderId="0" xfId="6" applyNumberFormat="1" applyFont="1" applyFill="1" applyBorder="1" applyAlignment="1">
      <alignment horizontal="center"/>
    </xf>
    <xf numFmtId="187" fontId="69" fillId="35" borderId="0" xfId="38" applyFont="1" applyFill="1" applyBorder="1" applyAlignment="1">
      <alignment horizontal="left"/>
    </xf>
    <xf numFmtId="187" fontId="69" fillId="35" borderId="0" xfId="38" applyFill="1" applyBorder="1"/>
    <xf numFmtId="10" fontId="0" fillId="35" borderId="0" xfId="13" applyNumberFormat="1" applyFont="1" applyFill="1" applyBorder="1" applyAlignment="1">
      <alignment horizontal="center"/>
    </xf>
    <xf numFmtId="0" fontId="26" fillId="8" borderId="0" xfId="6" applyFill="1" applyBorder="1"/>
    <xf numFmtId="10" fontId="0" fillId="8" borderId="0" xfId="13" applyNumberFormat="1" applyFont="1" applyFill="1" applyBorder="1" applyAlignment="1">
      <alignment horizontal="center"/>
    </xf>
    <xf numFmtId="2" fontId="116" fillId="8" borderId="0" xfId="38" applyNumberFormat="1" applyFont="1" applyFill="1"/>
    <xf numFmtId="2" fontId="69" fillId="8" borderId="0" xfId="38" applyNumberFormat="1" applyFill="1" applyBorder="1"/>
    <xf numFmtId="10" fontId="69" fillId="8" borderId="6" xfId="38" applyNumberFormat="1" applyFont="1" applyFill="1" applyBorder="1" applyAlignment="1">
      <alignment horizontal="center"/>
    </xf>
    <xf numFmtId="1" fontId="69" fillId="8" borderId="0" xfId="38" applyNumberFormat="1" applyFill="1"/>
    <xf numFmtId="10" fontId="69" fillId="8" borderId="8" xfId="38" applyNumberFormat="1" applyFont="1" applyFill="1" applyBorder="1" applyAlignment="1">
      <alignment horizontal="center"/>
    </xf>
    <xf numFmtId="2" fontId="69" fillId="8" borderId="0" xfId="38" applyNumberFormat="1" applyFill="1" applyBorder="1" applyAlignment="1">
      <alignment horizontal="left"/>
    </xf>
    <xf numFmtId="187" fontId="114" fillId="9" borderId="0" xfId="38" applyFont="1" applyFill="1" applyBorder="1" applyAlignment="1">
      <alignment horizontal="left"/>
    </xf>
    <xf numFmtId="10" fontId="0" fillId="9" borderId="0" xfId="13" applyNumberFormat="1" applyFont="1" applyFill="1" applyBorder="1" applyAlignment="1">
      <alignment horizontal="center"/>
    </xf>
    <xf numFmtId="187" fontId="69" fillId="8" borderId="0" xfId="38" applyFill="1" applyBorder="1"/>
    <xf numFmtId="1" fontId="116" fillId="8" borderId="0" xfId="38" applyNumberFormat="1" applyFont="1" applyFill="1"/>
    <xf numFmtId="9" fontId="0" fillId="8" borderId="0" xfId="13" applyFont="1" applyFill="1" applyBorder="1"/>
    <xf numFmtId="10" fontId="69" fillId="8" borderId="27" xfId="38" applyNumberFormat="1" applyFont="1" applyFill="1" applyBorder="1" applyAlignment="1">
      <alignment horizontal="center"/>
    </xf>
    <xf numFmtId="187" fontId="105" fillId="8" borderId="0" xfId="38" applyFont="1" applyFill="1"/>
    <xf numFmtId="187" fontId="117" fillId="8" borderId="0" xfId="38" applyFont="1" applyFill="1" applyAlignment="1">
      <alignment horizontal="center"/>
    </xf>
    <xf numFmtId="187" fontId="118" fillId="8" borderId="0" xfId="39" applyFont="1" applyFill="1" applyBorder="1" applyAlignment="1">
      <alignment horizontal="center"/>
    </xf>
    <xf numFmtId="49" fontId="118" fillId="8" borderId="0" xfId="40" applyNumberFormat="1" applyFont="1" applyFill="1" applyBorder="1" applyAlignment="1">
      <alignment horizontal="center" vertical="center"/>
    </xf>
    <xf numFmtId="49" fontId="119" fillId="8" borderId="0" xfId="40" applyNumberFormat="1" applyFont="1" applyFill="1" applyBorder="1" applyAlignment="1">
      <alignment horizontal="center" vertical="center"/>
    </xf>
    <xf numFmtId="187" fontId="105" fillId="8" borderId="0" xfId="38" applyFont="1" applyFill="1" applyBorder="1" applyAlignment="1">
      <alignment horizontal="center"/>
    </xf>
    <xf numFmtId="187" fontId="105" fillId="8" borderId="0" xfId="38" applyFont="1" applyFill="1" applyAlignment="1">
      <alignment horizontal="center"/>
    </xf>
    <xf numFmtId="49" fontId="120" fillId="8" borderId="19" xfId="40" applyNumberFormat="1" applyFont="1" applyFill="1" applyBorder="1" applyAlignment="1">
      <alignment horizontal="center" vertical="center"/>
    </xf>
    <xf numFmtId="49" fontId="120" fillId="8" borderId="12" xfId="40" applyNumberFormat="1" applyFont="1" applyFill="1" applyBorder="1" applyAlignment="1">
      <alignment horizontal="center" vertical="center"/>
    </xf>
    <xf numFmtId="187" fontId="120" fillId="8" borderId="12" xfId="38" applyFont="1" applyFill="1" applyBorder="1" applyAlignment="1">
      <alignment horizontal="center"/>
    </xf>
    <xf numFmtId="187" fontId="120" fillId="8" borderId="13" xfId="38" applyFont="1" applyFill="1" applyBorder="1" applyAlignment="1">
      <alignment horizontal="center"/>
    </xf>
    <xf numFmtId="187" fontId="121" fillId="8" borderId="0" xfId="39" applyFont="1" applyFill="1" applyBorder="1" applyAlignment="1">
      <alignment horizontal="center"/>
    </xf>
    <xf numFmtId="49" fontId="121" fillId="8" borderId="0" xfId="40" applyNumberFormat="1" applyFont="1" applyFill="1" applyBorder="1" applyAlignment="1">
      <alignment horizontal="center" vertical="center"/>
    </xf>
    <xf numFmtId="187" fontId="122" fillId="8" borderId="0" xfId="38" applyFont="1" applyFill="1"/>
    <xf numFmtId="187" fontId="122" fillId="8" borderId="0" xfId="38" applyFont="1" applyFill="1" applyAlignment="1">
      <alignment horizontal="center"/>
    </xf>
    <xf numFmtId="187" fontId="117" fillId="8" borderId="0" xfId="38" applyFont="1" applyFill="1"/>
    <xf numFmtId="187" fontId="123" fillId="8" borderId="0" xfId="38" applyFont="1" applyFill="1"/>
    <xf numFmtId="187" fontId="69" fillId="0" borderId="0" xfId="38" applyAlignment="1">
      <alignment horizontal="center"/>
    </xf>
    <xf numFmtId="187" fontId="69" fillId="0" borderId="0" xfId="38" applyFont="1" applyFill="1" applyAlignment="1">
      <alignment horizontal="center"/>
    </xf>
    <xf numFmtId="187" fontId="69" fillId="0" borderId="0" xfId="38" applyFill="1" applyAlignment="1">
      <alignment horizontal="center"/>
    </xf>
    <xf numFmtId="187" fontId="124" fillId="0" borderId="0" xfId="38" applyFont="1" applyFill="1"/>
    <xf numFmtId="187" fontId="125" fillId="0" borderId="0" xfId="38" applyFont="1" applyAlignment="1">
      <alignment horizontal="center"/>
    </xf>
    <xf numFmtId="0" fontId="126" fillId="0" borderId="5" xfId="0" applyFont="1" applyFill="1" applyBorder="1" applyAlignment="1">
      <alignment horizontal="center"/>
    </xf>
    <xf numFmtId="1" fontId="125" fillId="0" borderId="0" xfId="38" applyNumberFormat="1" applyFont="1" applyAlignment="1">
      <alignment horizontal="center"/>
    </xf>
    <xf numFmtId="187" fontId="125" fillId="0" borderId="0" xfId="38" applyFont="1"/>
    <xf numFmtId="1" fontId="125" fillId="0" borderId="0" xfId="38" applyNumberFormat="1" applyFont="1"/>
    <xf numFmtId="0" fontId="126" fillId="0" borderId="6" xfId="0" applyFont="1" applyFill="1" applyBorder="1" applyAlignment="1">
      <alignment horizontal="center"/>
    </xf>
    <xf numFmtId="187" fontId="126" fillId="0" borderId="5" xfId="38" applyFont="1" applyFill="1" applyBorder="1" applyAlignment="1">
      <alignment horizontal="center"/>
    </xf>
    <xf numFmtId="187" fontId="126" fillId="0" borderId="19" xfId="38" applyFont="1" applyFill="1" applyBorder="1" applyAlignment="1">
      <alignment horizontal="center"/>
    </xf>
    <xf numFmtId="187" fontId="126" fillId="0" borderId="24" xfId="38" applyFont="1" applyFill="1" applyBorder="1" applyAlignment="1">
      <alignment horizontal="center"/>
    </xf>
    <xf numFmtId="187" fontId="126" fillId="0" borderId="25" xfId="38" applyFont="1" applyFill="1" applyBorder="1" applyAlignment="1">
      <alignment horizontal="center"/>
    </xf>
    <xf numFmtId="2" fontId="126" fillId="0" borderId="25" xfId="38" applyNumberFormat="1" applyFont="1" applyFill="1" applyBorder="1" applyAlignment="1">
      <alignment horizontal="center"/>
    </xf>
    <xf numFmtId="187" fontId="126" fillId="0" borderId="40" xfId="38" applyFont="1" applyFill="1" applyBorder="1" applyAlignment="1">
      <alignment horizontal="center"/>
    </xf>
    <xf numFmtId="187" fontId="126" fillId="0" borderId="12" xfId="38" applyFont="1" applyFill="1" applyBorder="1" applyAlignment="1">
      <alignment horizontal="center"/>
    </xf>
    <xf numFmtId="2" fontId="126" fillId="0" borderId="12" xfId="38" applyNumberFormat="1" applyFont="1" applyFill="1" applyBorder="1" applyAlignment="1">
      <alignment horizontal="center"/>
    </xf>
    <xf numFmtId="187" fontId="126" fillId="0" borderId="13" xfId="38" applyFont="1" applyFill="1" applyBorder="1" applyAlignment="1">
      <alignment horizontal="center"/>
    </xf>
    <xf numFmtId="187" fontId="126" fillId="0" borderId="0" xfId="38" applyFont="1" applyFill="1" applyAlignment="1">
      <alignment horizontal="center"/>
    </xf>
    <xf numFmtId="165" fontId="125" fillId="35" borderId="19" xfId="13" applyNumberFormat="1" applyFont="1" applyFill="1" applyBorder="1" applyAlignment="1">
      <alignment horizontal="center"/>
    </xf>
    <xf numFmtId="187" fontId="125" fillId="35" borderId="12" xfId="38" applyFont="1" applyFill="1" applyBorder="1" applyAlignment="1">
      <alignment horizontal="center"/>
    </xf>
    <xf numFmtId="187" fontId="125" fillId="35" borderId="13" xfId="38" applyFont="1" applyFill="1" applyBorder="1" applyAlignment="1">
      <alignment horizontal="center"/>
    </xf>
    <xf numFmtId="2" fontId="125" fillId="0" borderId="34" xfId="38" applyNumberFormat="1" applyFont="1" applyBorder="1"/>
    <xf numFmtId="2" fontId="125" fillId="0" borderId="0" xfId="38" applyNumberFormat="1" applyFont="1" applyBorder="1"/>
    <xf numFmtId="1" fontId="125" fillId="35" borderId="0" xfId="38" applyNumberFormat="1" applyFont="1" applyFill="1" applyBorder="1"/>
    <xf numFmtId="10" fontId="125" fillId="0" borderId="65" xfId="13" applyNumberFormat="1" applyFont="1" applyFill="1" applyBorder="1"/>
    <xf numFmtId="2" fontId="125" fillId="0" borderId="34" xfId="38" applyNumberFormat="1" applyFont="1" applyFill="1" applyBorder="1"/>
    <xf numFmtId="2" fontId="125" fillId="0" borderId="24" xfId="38" applyNumberFormat="1" applyFont="1" applyBorder="1"/>
    <xf numFmtId="2" fontId="125" fillId="0" borderId="25" xfId="38" applyNumberFormat="1" applyFont="1" applyBorder="1"/>
    <xf numFmtId="1" fontId="125" fillId="35" borderId="25" xfId="38" applyNumberFormat="1" applyFont="1" applyFill="1" applyBorder="1"/>
    <xf numFmtId="10" fontId="125" fillId="0" borderId="40" xfId="13" applyNumberFormat="1" applyFont="1" applyFill="1" applyBorder="1"/>
    <xf numFmtId="2" fontId="125" fillId="0" borderId="25" xfId="38" applyNumberFormat="1" applyFont="1" applyFill="1" applyBorder="1"/>
    <xf numFmtId="10" fontId="125" fillId="0" borderId="0" xfId="2" applyNumberFormat="1" applyFont="1" applyAlignment="1">
      <alignment horizontal="center"/>
    </xf>
    <xf numFmtId="165" fontId="125" fillId="35" borderId="24" xfId="13" applyNumberFormat="1" applyFont="1" applyFill="1" applyBorder="1" applyAlignment="1">
      <alignment horizontal="center"/>
    </xf>
    <xf numFmtId="187" fontId="125" fillId="35" borderId="25" xfId="38" applyFont="1" applyFill="1" applyBorder="1" applyAlignment="1">
      <alignment horizontal="center"/>
    </xf>
    <xf numFmtId="187" fontId="125" fillId="35" borderId="40" xfId="38" applyFont="1" applyFill="1" applyBorder="1" applyAlignment="1">
      <alignment horizontal="center"/>
    </xf>
    <xf numFmtId="2" fontId="125" fillId="0" borderId="0" xfId="38" applyNumberFormat="1" applyFont="1" applyFill="1" applyBorder="1"/>
    <xf numFmtId="165" fontId="125" fillId="35" borderId="34" xfId="13" applyNumberFormat="1" applyFont="1" applyFill="1" applyBorder="1" applyAlignment="1">
      <alignment horizontal="center"/>
    </xf>
    <xf numFmtId="187" fontId="125" fillId="35" borderId="0" xfId="38" applyFont="1" applyFill="1" applyBorder="1" applyAlignment="1">
      <alignment horizontal="center"/>
    </xf>
    <xf numFmtId="187" fontId="125" fillId="35" borderId="65" xfId="38" applyFont="1" applyFill="1" applyBorder="1" applyAlignment="1">
      <alignment horizontal="center"/>
    </xf>
    <xf numFmtId="165" fontId="125" fillId="35" borderId="23" xfId="13" applyNumberFormat="1" applyFont="1" applyFill="1" applyBorder="1" applyAlignment="1">
      <alignment horizontal="center"/>
    </xf>
    <xf numFmtId="187" fontId="125" fillId="35" borderId="10" xfId="38" applyFont="1" applyFill="1" applyBorder="1" applyAlignment="1">
      <alignment horizontal="center"/>
    </xf>
    <xf numFmtId="187" fontId="125" fillId="35" borderId="11" xfId="38" applyFont="1" applyFill="1" applyBorder="1" applyAlignment="1">
      <alignment horizontal="center"/>
    </xf>
    <xf numFmtId="179" fontId="125" fillId="0" borderId="0" xfId="2" applyNumberFormat="1" applyFont="1" applyAlignment="1">
      <alignment horizontal="center"/>
    </xf>
    <xf numFmtId="165" fontId="125" fillId="45" borderId="0" xfId="13" applyNumberFormat="1" applyFont="1" applyFill="1" applyBorder="1" applyAlignment="1">
      <alignment horizontal="center"/>
    </xf>
    <xf numFmtId="187" fontId="125" fillId="45" borderId="0" xfId="38" applyFont="1" applyFill="1" applyBorder="1" applyAlignment="1">
      <alignment horizontal="center"/>
    </xf>
    <xf numFmtId="164" fontId="125" fillId="45" borderId="34" xfId="38" applyNumberFormat="1" applyFont="1" applyFill="1" applyBorder="1"/>
    <xf numFmtId="164" fontId="125" fillId="45" borderId="0" xfId="38" applyNumberFormat="1" applyFont="1" applyFill="1" applyBorder="1"/>
    <xf numFmtId="1" fontId="125" fillId="45" borderId="0" xfId="38" applyNumberFormat="1" applyFont="1" applyFill="1" applyBorder="1"/>
    <xf numFmtId="10" fontId="125" fillId="45" borderId="65" xfId="13" applyNumberFormat="1" applyFont="1" applyFill="1" applyBorder="1"/>
    <xf numFmtId="2" fontId="125" fillId="45" borderId="34" xfId="38" applyNumberFormat="1" applyFont="1" applyFill="1" applyBorder="1"/>
    <xf numFmtId="2" fontId="125" fillId="45" borderId="0" xfId="38" applyNumberFormat="1" applyFont="1" applyFill="1" applyBorder="1"/>
    <xf numFmtId="165" fontId="125" fillId="9" borderId="24" xfId="13" applyNumberFormat="1" applyFont="1" applyFill="1" applyBorder="1" applyAlignment="1">
      <alignment horizontal="center"/>
    </xf>
    <xf numFmtId="187" fontId="125" fillId="9" borderId="25" xfId="38" applyFont="1" applyFill="1" applyBorder="1" applyAlignment="1">
      <alignment horizontal="center"/>
    </xf>
    <xf numFmtId="187" fontId="125" fillId="9" borderId="40" xfId="38" applyFont="1" applyFill="1" applyBorder="1" applyAlignment="1">
      <alignment horizontal="center"/>
    </xf>
    <xf numFmtId="1" fontId="125" fillId="9" borderId="0" xfId="38" applyNumberFormat="1" applyFont="1" applyFill="1" applyBorder="1"/>
    <xf numFmtId="165" fontId="125" fillId="9" borderId="23" xfId="13" applyNumberFormat="1" applyFont="1" applyFill="1" applyBorder="1" applyAlignment="1">
      <alignment horizontal="center"/>
    </xf>
    <xf numFmtId="187" fontId="125" fillId="9" borderId="10" xfId="38" applyFont="1" applyFill="1" applyBorder="1" applyAlignment="1">
      <alignment horizontal="center"/>
    </xf>
    <xf numFmtId="187" fontId="125" fillId="9" borderId="11" xfId="38" applyFont="1" applyFill="1" applyBorder="1" applyAlignment="1">
      <alignment horizontal="center"/>
    </xf>
    <xf numFmtId="2" fontId="127" fillId="0" borderId="0" xfId="38" applyNumberFormat="1" applyFont="1" applyBorder="1"/>
    <xf numFmtId="165" fontId="125" fillId="9" borderId="34" xfId="13" applyNumberFormat="1" applyFont="1" applyFill="1" applyBorder="1" applyAlignment="1">
      <alignment horizontal="center"/>
    </xf>
    <xf numFmtId="187" fontId="125" fillId="9" borderId="0" xfId="38" applyFont="1" applyFill="1" applyBorder="1" applyAlignment="1">
      <alignment horizontal="center"/>
    </xf>
    <xf numFmtId="187" fontId="125" fillId="9" borderId="65" xfId="38" applyFont="1" applyFill="1" applyBorder="1" applyAlignment="1">
      <alignment horizontal="center"/>
    </xf>
    <xf numFmtId="187" fontId="126" fillId="9" borderId="25" xfId="38" applyFont="1" applyFill="1" applyBorder="1" applyAlignment="1">
      <alignment horizontal="center"/>
    </xf>
    <xf numFmtId="187" fontId="126" fillId="9" borderId="40" xfId="38" applyFont="1" applyFill="1" applyBorder="1" applyAlignment="1">
      <alignment horizontal="center"/>
    </xf>
    <xf numFmtId="187" fontId="125" fillId="0" borderId="0" xfId="38" applyFont="1" applyFill="1" applyBorder="1"/>
    <xf numFmtId="187" fontId="126" fillId="9" borderId="0" xfId="38" applyFont="1" applyFill="1" applyBorder="1" applyAlignment="1">
      <alignment horizontal="center"/>
    </xf>
    <xf numFmtId="187" fontId="126" fillId="9" borderId="65" xfId="38" applyFont="1" applyFill="1" applyBorder="1" applyAlignment="1">
      <alignment horizontal="center"/>
    </xf>
    <xf numFmtId="187" fontId="126" fillId="9" borderId="10" xfId="38" applyFont="1" applyFill="1" applyBorder="1" applyAlignment="1">
      <alignment horizontal="center"/>
    </xf>
    <xf numFmtId="187" fontId="126" fillId="9" borderId="11" xfId="38" applyFont="1" applyFill="1" applyBorder="1" applyAlignment="1">
      <alignment horizontal="center"/>
    </xf>
    <xf numFmtId="165" fontId="125" fillId="34" borderId="24" xfId="13" applyNumberFormat="1" applyFont="1" applyFill="1" applyBorder="1" applyAlignment="1">
      <alignment horizontal="center"/>
    </xf>
    <xf numFmtId="187" fontId="126" fillId="34" borderId="25" xfId="38" applyFont="1" applyFill="1" applyBorder="1" applyAlignment="1">
      <alignment horizontal="center"/>
    </xf>
    <xf numFmtId="187" fontId="126" fillId="34" borderId="40" xfId="38" applyFont="1" applyFill="1" applyBorder="1"/>
    <xf numFmtId="1" fontId="125" fillId="34" borderId="0" xfId="38" applyNumberFormat="1" applyFont="1" applyFill="1" applyBorder="1"/>
    <xf numFmtId="165" fontId="125" fillId="34" borderId="34" xfId="13" applyNumberFormat="1" applyFont="1" applyFill="1" applyBorder="1" applyAlignment="1">
      <alignment horizontal="center"/>
    </xf>
    <xf numFmtId="187" fontId="126" fillId="34" borderId="0" xfId="38" applyFont="1" applyFill="1" applyBorder="1" applyAlignment="1">
      <alignment horizontal="center"/>
    </xf>
    <xf numFmtId="187" fontId="126" fillId="34" borderId="65" xfId="38" applyFont="1" applyFill="1" applyBorder="1"/>
    <xf numFmtId="165" fontId="125" fillId="34" borderId="23" xfId="13" applyNumberFormat="1" applyFont="1" applyFill="1" applyBorder="1" applyAlignment="1">
      <alignment horizontal="center"/>
    </xf>
    <xf numFmtId="187" fontId="126" fillId="34" borderId="10" xfId="38" applyFont="1" applyFill="1" applyBorder="1" applyAlignment="1">
      <alignment horizontal="center"/>
    </xf>
    <xf numFmtId="187" fontId="126" fillId="34" borderId="11" xfId="38" applyFont="1" applyFill="1" applyBorder="1" applyAlignment="1">
      <alignment horizontal="center"/>
    </xf>
    <xf numFmtId="165" fontId="125" fillId="34" borderId="19" xfId="13" applyNumberFormat="1" applyFont="1" applyFill="1" applyBorder="1" applyAlignment="1">
      <alignment horizontal="center"/>
    </xf>
    <xf numFmtId="187" fontId="125" fillId="34" borderId="12" xfId="38" applyFont="1" applyFill="1" applyBorder="1" applyAlignment="1">
      <alignment horizontal="center"/>
    </xf>
    <xf numFmtId="187" fontId="125" fillId="34" borderId="13" xfId="38" applyFont="1" applyFill="1" applyBorder="1"/>
    <xf numFmtId="187" fontId="125" fillId="34" borderId="25" xfId="38" applyFont="1" applyFill="1" applyBorder="1" applyAlignment="1">
      <alignment horizontal="center"/>
    </xf>
    <xf numFmtId="187" fontId="125" fillId="34" borderId="40" xfId="38" applyFont="1" applyFill="1" applyBorder="1" applyAlignment="1">
      <alignment horizontal="center"/>
    </xf>
    <xf numFmtId="187" fontId="125" fillId="0" borderId="0" xfId="38" applyFont="1" applyFill="1"/>
    <xf numFmtId="187" fontId="125" fillId="34" borderId="0" xfId="38" applyFont="1" applyFill="1" applyBorder="1" applyAlignment="1">
      <alignment horizontal="center"/>
    </xf>
    <xf numFmtId="187" fontId="125" fillId="34" borderId="65" xfId="38" applyFont="1" applyFill="1" applyBorder="1" applyAlignment="1">
      <alignment horizontal="center"/>
    </xf>
    <xf numFmtId="187" fontId="125" fillId="34" borderId="10" xfId="38" applyFont="1" applyFill="1" applyBorder="1" applyAlignment="1">
      <alignment horizontal="center"/>
    </xf>
    <xf numFmtId="187" fontId="125" fillId="34" borderId="11" xfId="38" applyFont="1" applyFill="1" applyBorder="1" applyAlignment="1">
      <alignment horizontal="center"/>
    </xf>
    <xf numFmtId="2" fontId="125" fillId="0" borderId="23" xfId="38" applyNumberFormat="1" applyFont="1" applyFill="1" applyBorder="1"/>
    <xf numFmtId="2" fontId="125" fillId="0" borderId="10" xfId="38" applyNumberFormat="1" applyFont="1" applyFill="1" applyBorder="1"/>
    <xf numFmtId="1" fontId="125" fillId="34" borderId="10" xfId="38" applyNumberFormat="1" applyFont="1" applyFill="1" applyBorder="1"/>
    <xf numFmtId="10" fontId="125" fillId="0" borderId="11" xfId="13" applyNumberFormat="1" applyFont="1" applyFill="1" applyBorder="1"/>
    <xf numFmtId="2" fontId="125" fillId="0" borderId="24" xfId="38" applyNumberFormat="1" applyFont="1" applyFill="1" applyBorder="1"/>
    <xf numFmtId="165" fontId="125" fillId="35" borderId="24" xfId="2" applyNumberFormat="1" applyFont="1" applyFill="1" applyBorder="1" applyAlignment="1">
      <alignment horizontal="center"/>
    </xf>
    <xf numFmtId="0" fontId="125" fillId="35" borderId="25" xfId="0" applyFont="1" applyFill="1" applyBorder="1" applyAlignment="1">
      <alignment horizontal="center"/>
    </xf>
    <xf numFmtId="165" fontId="125" fillId="35" borderId="34" xfId="2" applyNumberFormat="1" applyFont="1" applyFill="1" applyBorder="1" applyAlignment="1">
      <alignment horizontal="center"/>
    </xf>
    <xf numFmtId="0" fontId="125" fillId="35" borderId="0" xfId="0" applyFont="1" applyFill="1" applyBorder="1" applyAlignment="1">
      <alignment horizontal="center"/>
    </xf>
    <xf numFmtId="165" fontId="125" fillId="35" borderId="23" xfId="2" applyNumberFormat="1" applyFont="1" applyFill="1" applyBorder="1" applyAlignment="1">
      <alignment horizontal="center"/>
    </xf>
    <xf numFmtId="0" fontId="125" fillId="35" borderId="10" xfId="0" applyFont="1" applyFill="1" applyBorder="1" applyAlignment="1">
      <alignment horizontal="center"/>
    </xf>
    <xf numFmtId="165" fontId="125" fillId="35" borderId="12" xfId="2" applyNumberFormat="1" applyFont="1" applyFill="1" applyBorder="1" applyAlignment="1">
      <alignment horizontal="center"/>
    </xf>
    <xf numFmtId="0" fontId="125" fillId="35" borderId="12" xfId="0" applyFont="1" applyFill="1" applyBorder="1" applyAlignment="1">
      <alignment horizontal="center"/>
    </xf>
    <xf numFmtId="165" fontId="125" fillId="35" borderId="0" xfId="2" applyNumberFormat="1" applyFont="1" applyFill="1" applyBorder="1" applyAlignment="1">
      <alignment horizontal="center"/>
    </xf>
    <xf numFmtId="165" fontId="125" fillId="35" borderId="10" xfId="2" applyNumberFormat="1" applyFont="1" applyFill="1" applyBorder="1" applyAlignment="1">
      <alignment horizontal="center"/>
    </xf>
    <xf numFmtId="0" fontId="128" fillId="35" borderId="25" xfId="0" applyFont="1" applyFill="1" applyBorder="1" applyAlignment="1">
      <alignment horizontal="center"/>
    </xf>
    <xf numFmtId="0" fontId="128" fillId="35" borderId="0" xfId="0" applyFont="1" applyFill="1" applyBorder="1" applyAlignment="1">
      <alignment horizontal="center"/>
    </xf>
    <xf numFmtId="0" fontId="128" fillId="35" borderId="10" xfId="0" applyFont="1" applyFill="1" applyBorder="1" applyAlignment="1">
      <alignment horizontal="center"/>
    </xf>
    <xf numFmtId="0" fontId="128" fillId="35" borderId="12" xfId="0" applyFont="1" applyFill="1" applyBorder="1" applyAlignment="1">
      <alignment horizontal="center"/>
    </xf>
    <xf numFmtId="165" fontId="127" fillId="9" borderId="24" xfId="2" applyNumberFormat="1" applyFont="1" applyFill="1" applyBorder="1" applyAlignment="1">
      <alignment horizontal="center"/>
    </xf>
    <xf numFmtId="0" fontId="128" fillId="9" borderId="25" xfId="0" applyFont="1" applyFill="1" applyBorder="1" applyAlignment="1">
      <alignment horizontal="center"/>
    </xf>
    <xf numFmtId="165" fontId="127" fillId="9" borderId="34" xfId="2" applyNumberFormat="1" applyFont="1" applyFill="1" applyBorder="1" applyAlignment="1">
      <alignment horizontal="center"/>
    </xf>
    <xf numFmtId="0" fontId="128" fillId="9" borderId="0" xfId="0" applyFont="1" applyFill="1" applyBorder="1" applyAlignment="1">
      <alignment horizontal="center"/>
    </xf>
    <xf numFmtId="165" fontId="127" fillId="9" borderId="23" xfId="2" applyNumberFormat="1" applyFont="1" applyFill="1" applyBorder="1" applyAlignment="1">
      <alignment horizontal="center"/>
    </xf>
    <xf numFmtId="0" fontId="128" fillId="9" borderId="10" xfId="0" applyFont="1" applyFill="1" applyBorder="1" applyAlignment="1">
      <alignment horizontal="center"/>
    </xf>
    <xf numFmtId="165" fontId="125" fillId="34" borderId="0" xfId="2" applyNumberFormat="1" applyFont="1" applyFill="1" applyBorder="1" applyAlignment="1">
      <alignment horizontal="center"/>
    </xf>
    <xf numFmtId="0" fontId="125" fillId="34" borderId="0" xfId="0" applyFont="1" applyFill="1" applyBorder="1" applyAlignment="1">
      <alignment horizontal="center"/>
    </xf>
    <xf numFmtId="165" fontId="125" fillId="34" borderId="10" xfId="2" applyNumberFormat="1" applyFont="1" applyFill="1" applyBorder="1" applyAlignment="1">
      <alignment horizontal="center"/>
    </xf>
    <xf numFmtId="0" fontId="125" fillId="34" borderId="10" xfId="0" applyFont="1" applyFill="1" applyBorder="1" applyAlignment="1">
      <alignment horizontal="center"/>
    </xf>
    <xf numFmtId="165" fontId="125" fillId="34" borderId="25" xfId="2" applyNumberFormat="1" applyFont="1" applyFill="1" applyBorder="1" applyAlignment="1">
      <alignment horizontal="center"/>
    </xf>
    <xf numFmtId="0" fontId="125" fillId="34" borderId="25" xfId="0" applyFont="1" applyFill="1" applyBorder="1" applyAlignment="1">
      <alignment horizontal="center"/>
    </xf>
    <xf numFmtId="2" fontId="125" fillId="0" borderId="23" xfId="38" applyNumberFormat="1" applyFont="1" applyBorder="1"/>
    <xf numFmtId="2" fontId="125" fillId="0" borderId="10" xfId="38" applyNumberFormat="1" applyFont="1" applyBorder="1"/>
    <xf numFmtId="187" fontId="125" fillId="0" borderId="0" xfId="38" applyNumberFormat="1" applyFont="1"/>
    <xf numFmtId="10" fontId="125" fillId="0" borderId="0" xfId="38" applyNumberFormat="1" applyFont="1" applyFill="1"/>
    <xf numFmtId="187" fontId="125" fillId="0" borderId="0" xfId="38" applyNumberFormat="1" applyFont="1" applyFill="1"/>
    <xf numFmtId="2" fontId="125" fillId="0" borderId="0" xfId="38" applyNumberFormat="1" applyFont="1" applyFill="1"/>
    <xf numFmtId="187" fontId="125" fillId="46" borderId="0" xfId="38" applyFont="1" applyFill="1"/>
    <xf numFmtId="10" fontId="125" fillId="46" borderId="0" xfId="38" applyNumberFormat="1" applyFont="1" applyFill="1"/>
    <xf numFmtId="2" fontId="125" fillId="0" borderId="0" xfId="38" applyNumberFormat="1" applyFont="1"/>
    <xf numFmtId="0" fontId="42" fillId="0" borderId="10" xfId="10" applyFont="1" applyFill="1" applyBorder="1" applyAlignment="1">
      <alignment horizontal="center" vertical="center"/>
    </xf>
    <xf numFmtId="0" fontId="42" fillId="0" borderId="0" xfId="10" applyFont="1" applyFill="1" applyBorder="1" applyAlignment="1">
      <alignment horizontal="center" wrapText="1"/>
    </xf>
    <xf numFmtId="0" fontId="7" fillId="25" borderId="5" xfId="10" applyFont="1" applyFill="1" applyBorder="1" applyAlignment="1">
      <alignment horizontal="center" vertical="center" wrapText="1"/>
    </xf>
    <xf numFmtId="0" fontId="7" fillId="19" borderId="5" xfId="10" applyFont="1" applyFill="1" applyBorder="1" applyAlignment="1">
      <alignment horizontal="center" vertical="center" wrapText="1"/>
    </xf>
    <xf numFmtId="0" fontId="7" fillId="47" borderId="5" xfId="10" applyFont="1" applyFill="1" applyBorder="1" applyAlignment="1">
      <alignment horizontal="center" vertical="center" wrapText="1"/>
    </xf>
    <xf numFmtId="0" fontId="7" fillId="14" borderId="5" xfId="10" applyFont="1" applyFill="1" applyBorder="1" applyAlignment="1">
      <alignment horizontal="center" vertical="center" wrapText="1"/>
    </xf>
    <xf numFmtId="3" fontId="42" fillId="29" borderId="5" xfId="10" applyNumberFormat="1" applyFont="1" applyFill="1" applyBorder="1" applyAlignment="1">
      <alignment horizontal="center" vertical="center"/>
    </xf>
    <xf numFmtId="0" fontId="129" fillId="0" borderId="5" xfId="10" applyFont="1" applyFill="1" applyBorder="1" applyAlignment="1">
      <alignment horizontal="center" vertical="center"/>
    </xf>
    <xf numFmtId="0" fontId="129" fillId="45" borderId="5" xfId="10" applyFont="1" applyFill="1" applyBorder="1" applyAlignment="1">
      <alignment horizontal="center" vertical="center"/>
    </xf>
    <xf numFmtId="3" fontId="129" fillId="48" borderId="5" xfId="10" applyNumberFormat="1" applyFont="1" applyFill="1" applyBorder="1" applyAlignment="1">
      <alignment horizontal="center" vertical="center"/>
    </xf>
    <xf numFmtId="0" fontId="129" fillId="3" borderId="5" xfId="10" applyFont="1" applyFill="1" applyBorder="1" applyAlignment="1">
      <alignment horizontal="center" vertical="center"/>
    </xf>
    <xf numFmtId="0" fontId="129" fillId="0" borderId="5" xfId="10" applyFont="1" applyFill="1" applyBorder="1" applyAlignment="1">
      <alignment horizontal="center" vertical="center" wrapText="1"/>
    </xf>
    <xf numFmtId="0" fontId="130" fillId="17" borderId="19" xfId="0" applyFont="1" applyFill="1" applyBorder="1" applyAlignment="1">
      <alignment horizontal="left" vertical="top" wrapText="1" readingOrder="1"/>
    </xf>
    <xf numFmtId="0" fontId="64" fillId="0" borderId="19" xfId="10" applyFont="1" applyFill="1" applyBorder="1" applyAlignment="1">
      <alignment horizontal="left" vertical="center" wrapText="1"/>
    </xf>
    <xf numFmtId="0" fontId="43" fillId="0" borderId="5" xfId="12" applyFont="1" applyFill="1" applyBorder="1" applyAlignment="1">
      <alignment horizontal="left" vertical="top"/>
    </xf>
    <xf numFmtId="9" fontId="64" fillId="0" borderId="5" xfId="10" applyNumberFormat="1" applyFont="1" applyFill="1" applyBorder="1" applyAlignment="1">
      <alignment horizontal="center" vertical="center" wrapText="1"/>
    </xf>
    <xf numFmtId="9" fontId="64" fillId="0" borderId="5" xfId="2" applyFont="1" applyFill="1" applyBorder="1" applyAlignment="1">
      <alignment horizontal="center" vertical="center" wrapText="1"/>
    </xf>
    <xf numFmtId="3" fontId="44" fillId="6" borderId="13" xfId="10" applyNumberFormat="1" applyFont="1" applyFill="1" applyBorder="1" applyAlignment="1">
      <alignment horizontal="center" vertical="center"/>
    </xf>
    <xf numFmtId="0" fontId="129" fillId="6" borderId="5" xfId="10" applyFont="1" applyFill="1" applyBorder="1" applyAlignment="1">
      <alignment horizontal="center" vertical="center"/>
    </xf>
    <xf numFmtId="0" fontId="49" fillId="25" borderId="5" xfId="10" applyFont="1" applyFill="1" applyBorder="1" applyAlignment="1">
      <alignment horizontal="left" vertical="top"/>
    </xf>
    <xf numFmtId="0" fontId="43" fillId="0" borderId="19" xfId="12" applyFont="1" applyFill="1" applyBorder="1" applyAlignment="1">
      <alignment horizontal="left" vertical="top"/>
    </xf>
    <xf numFmtId="9" fontId="49" fillId="0" borderId="5" xfId="13" applyFont="1" applyFill="1" applyBorder="1" applyAlignment="1">
      <alignment horizontal="center" vertical="top"/>
    </xf>
    <xf numFmtId="9" fontId="61" fillId="0" borderId="5" xfId="13" applyFont="1" applyFill="1" applyBorder="1" applyAlignment="1">
      <alignment horizontal="center" vertical="top"/>
    </xf>
    <xf numFmtId="0" fontId="64" fillId="0" borderId="5" xfId="0" applyFont="1" applyFill="1" applyBorder="1" applyAlignment="1">
      <alignment horizontal="center" vertical="center" wrapText="1"/>
    </xf>
    <xf numFmtId="0" fontId="64" fillId="0" borderId="13" xfId="0" applyFont="1" applyFill="1" applyBorder="1" applyAlignment="1">
      <alignment horizontal="center" vertical="center" wrapText="1"/>
    </xf>
    <xf numFmtId="0" fontId="64" fillId="0" borderId="5" xfId="10" quotePrefix="1" applyFont="1" applyFill="1" applyBorder="1" applyAlignment="1">
      <alignment horizontal="left" vertical="center" wrapText="1"/>
    </xf>
    <xf numFmtId="9" fontId="64" fillId="0" borderId="5" xfId="10" applyNumberFormat="1" applyFont="1" applyFill="1" applyBorder="1" applyAlignment="1">
      <alignment horizontal="center" vertical="center" wrapText="1" readingOrder="1"/>
    </xf>
    <xf numFmtId="0" fontId="64" fillId="0" borderId="5" xfId="10" applyFont="1" applyFill="1" applyBorder="1" applyAlignment="1">
      <alignment horizontal="left" vertical="center" wrapText="1"/>
    </xf>
    <xf numFmtId="10" fontId="64" fillId="0" borderId="13" xfId="2" applyNumberFormat="1" applyFont="1" applyFill="1" applyBorder="1" applyAlignment="1">
      <alignment horizontal="center" vertical="center" wrapText="1"/>
    </xf>
    <xf numFmtId="0" fontId="64" fillId="0" borderId="13" xfId="10" applyFont="1" applyFill="1" applyBorder="1" applyAlignment="1">
      <alignment horizontal="center" vertical="center" wrapText="1" readingOrder="1"/>
    </xf>
    <xf numFmtId="10" fontId="64" fillId="0" borderId="5" xfId="10" applyNumberFormat="1" applyFont="1" applyFill="1" applyBorder="1" applyAlignment="1">
      <alignment horizontal="center" vertical="center" wrapText="1" readingOrder="1"/>
    </xf>
    <xf numFmtId="10" fontId="49" fillId="0" borderId="5" xfId="13" applyNumberFormat="1" applyFont="1" applyFill="1" applyBorder="1" applyAlignment="1">
      <alignment horizontal="center" vertical="top"/>
    </xf>
    <xf numFmtId="10" fontId="49" fillId="0" borderId="13" xfId="13" applyNumberFormat="1" applyFont="1" applyFill="1" applyBorder="1" applyAlignment="1">
      <alignment horizontal="center" vertical="top"/>
    </xf>
    <xf numFmtId="10" fontId="64" fillId="0" borderId="5" xfId="10" applyNumberFormat="1" applyFont="1" applyFill="1" applyBorder="1" applyAlignment="1">
      <alignment horizontal="center" vertical="center" readingOrder="1"/>
    </xf>
    <xf numFmtId="10" fontId="64" fillId="4" borderId="5" xfId="10" applyNumberFormat="1" applyFont="1" applyFill="1" applyBorder="1" applyAlignment="1">
      <alignment horizontal="center" vertical="center" wrapText="1" readingOrder="1"/>
    </xf>
    <xf numFmtId="0" fontId="49" fillId="49" borderId="5" xfId="10" applyFont="1" applyFill="1" applyBorder="1" applyAlignment="1">
      <alignment horizontal="left" vertical="top"/>
    </xf>
    <xf numFmtId="179" fontId="41" fillId="0" borderId="0" xfId="10" applyNumberFormat="1" applyFont="1" applyFill="1" applyBorder="1" applyAlignment="1">
      <alignment vertical="center"/>
    </xf>
    <xf numFmtId="0" fontId="64" fillId="4" borderId="5" xfId="0" applyFont="1" applyFill="1" applyBorder="1" applyAlignment="1">
      <alignment horizontal="center" vertical="center" wrapText="1"/>
    </xf>
    <xf numFmtId="0" fontId="43" fillId="0" borderId="34" xfId="10" applyFont="1" applyFill="1" applyBorder="1" applyAlignment="1">
      <alignment horizontal="center" vertical="top"/>
    </xf>
    <xf numFmtId="0" fontId="132" fillId="0" borderId="5" xfId="0" applyFont="1" applyBorder="1" applyAlignment="1">
      <alignment horizontal="left" vertical="top" wrapText="1" readingOrder="1"/>
    </xf>
    <xf numFmtId="0" fontId="49" fillId="45" borderId="8" xfId="10" applyFont="1" applyFill="1" applyBorder="1" applyAlignment="1">
      <alignment horizontal="center" vertical="center"/>
    </xf>
    <xf numFmtId="0" fontId="133" fillId="0" borderId="5" xfId="0" applyFont="1" applyBorder="1" applyAlignment="1">
      <alignment horizontal="center" vertical="center" wrapText="1" readingOrder="1"/>
    </xf>
    <xf numFmtId="0" fontId="46" fillId="0" borderId="19" xfId="10" applyFont="1" applyFill="1" applyBorder="1" applyAlignment="1">
      <alignment horizontal="center" vertical="center" wrapText="1"/>
    </xf>
    <xf numFmtId="165" fontId="7" fillId="0" borderId="5" xfId="41" applyNumberFormat="1" applyFont="1" applyBorder="1" applyAlignment="1">
      <alignment horizontal="center" vertical="center"/>
    </xf>
    <xf numFmtId="165" fontId="7" fillId="43" borderId="5" xfId="41" applyNumberFormat="1" applyFont="1" applyFill="1" applyBorder="1" applyAlignment="1">
      <alignment horizontal="center" vertical="center"/>
    </xf>
    <xf numFmtId="0" fontId="7" fillId="0" borderId="5" xfId="41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2" fontId="7" fillId="0" borderId="5" xfId="41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43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vertical="center"/>
    </xf>
    <xf numFmtId="165" fontId="7" fillId="0" borderId="5" xfId="41" applyNumberFormat="1" applyFont="1" applyFill="1" applyBorder="1" applyAlignment="1">
      <alignment horizontal="center" vertical="center"/>
    </xf>
    <xf numFmtId="0" fontId="7" fillId="43" borderId="5" xfId="41" applyNumberFormat="1" applyFont="1" applyFill="1" applyBorder="1" applyAlignment="1">
      <alignment horizontal="center" vertical="center"/>
    </xf>
    <xf numFmtId="0" fontId="7" fillId="12" borderId="7" xfId="0" applyFont="1" applyFill="1" applyBorder="1" applyAlignment="1">
      <alignment horizontal="center" vertical="center"/>
    </xf>
    <xf numFmtId="0" fontId="49" fillId="0" borderId="5" xfId="0" applyFont="1" applyBorder="1" applyAlignment="1">
      <alignment horizontal="left" vertical="top" wrapText="1" readingOrder="1"/>
    </xf>
    <xf numFmtId="0" fontId="129" fillId="12" borderId="5" xfId="10" applyFont="1" applyFill="1" applyBorder="1" applyAlignment="1">
      <alignment horizontal="center" vertical="center"/>
    </xf>
    <xf numFmtId="10" fontId="129" fillId="12" borderId="5" xfId="10" applyNumberFormat="1" applyFont="1" applyFill="1" applyBorder="1" applyAlignment="1">
      <alignment horizontal="center" vertical="center"/>
    </xf>
    <xf numFmtId="0" fontId="49" fillId="23" borderId="5" xfId="10" applyFont="1" applyFill="1" applyBorder="1" applyAlignment="1">
      <alignment horizontal="center" vertical="center"/>
    </xf>
    <xf numFmtId="0" fontId="49" fillId="19" borderId="5" xfId="10" applyFont="1" applyFill="1" applyBorder="1" applyAlignment="1">
      <alignment horizontal="center" vertical="center" wrapText="1"/>
    </xf>
    <xf numFmtId="0" fontId="49" fillId="0" borderId="0" xfId="0" applyFont="1" applyAlignment="1">
      <alignment horizontal="left" vertical="top" wrapText="1" readingOrder="1"/>
    </xf>
    <xf numFmtId="0" fontId="7" fillId="0" borderId="5" xfId="42" applyNumberFormat="1" applyFont="1" applyBorder="1" applyAlignment="1">
      <alignment horizontal="center" vertical="center"/>
    </xf>
    <xf numFmtId="0" fontId="7" fillId="0" borderId="5" xfId="41" applyNumberFormat="1" applyFont="1" applyFill="1" applyBorder="1" applyAlignment="1">
      <alignment horizontal="center" vertical="center"/>
    </xf>
    <xf numFmtId="3" fontId="49" fillId="13" borderId="5" xfId="10" applyNumberFormat="1" applyFont="1" applyFill="1" applyBorder="1" applyAlignment="1">
      <alignment horizontal="center" vertical="center"/>
    </xf>
    <xf numFmtId="0" fontId="49" fillId="8" borderId="5" xfId="10" applyFont="1" applyFill="1" applyBorder="1" applyAlignment="1">
      <alignment horizontal="center" vertical="center"/>
    </xf>
    <xf numFmtId="0" fontId="46" fillId="0" borderId="19" xfId="10" applyFont="1" applyFill="1" applyBorder="1" applyAlignment="1">
      <alignment horizontal="center" vertical="center" wrapText="1"/>
    </xf>
    <xf numFmtId="10" fontId="7" fillId="0" borderId="5" xfId="41" applyNumberFormat="1" applyFont="1" applyBorder="1" applyAlignment="1">
      <alignment horizontal="center" vertical="center"/>
    </xf>
    <xf numFmtId="0" fontId="136" fillId="0" borderId="5" xfId="0" applyFont="1" applyFill="1" applyBorder="1" applyAlignment="1">
      <alignment horizontal="center" vertical="center" wrapText="1" readingOrder="1"/>
    </xf>
    <xf numFmtId="0" fontId="54" fillId="10" borderId="0" xfId="10" applyFont="1" applyFill="1" applyAlignment="1">
      <alignment vertical="center"/>
    </xf>
    <xf numFmtId="0" fontId="129" fillId="47" borderId="5" xfId="10" applyFont="1" applyFill="1" applyBorder="1" applyAlignment="1">
      <alignment horizontal="center" vertical="center"/>
    </xf>
    <xf numFmtId="0" fontId="49" fillId="47" borderId="5" xfId="10" applyFont="1" applyFill="1" applyBorder="1" applyAlignment="1">
      <alignment horizontal="center" vertical="center" wrapText="1"/>
    </xf>
    <xf numFmtId="0" fontId="129" fillId="51" borderId="5" xfId="10" applyFont="1" applyFill="1" applyBorder="1" applyAlignment="1">
      <alignment horizontal="center" vertical="center"/>
    </xf>
    <xf numFmtId="0" fontId="49" fillId="51" borderId="5" xfId="10" applyFont="1" applyFill="1" applyBorder="1" applyAlignment="1">
      <alignment horizontal="center" vertical="center" wrapText="1"/>
    </xf>
    <xf numFmtId="0" fontId="46" fillId="2" borderId="19" xfId="10" applyFont="1" applyFill="1" applyBorder="1" applyAlignment="1">
      <alignment horizontal="center" vertical="center" wrapText="1"/>
    </xf>
    <xf numFmtId="0" fontId="49" fillId="2" borderId="5" xfId="10" applyFont="1" applyFill="1" applyBorder="1" applyAlignment="1">
      <alignment horizontal="left" vertical="top" wrapText="1"/>
    </xf>
    <xf numFmtId="0" fontId="49" fillId="2" borderId="5" xfId="10" applyFont="1" applyFill="1" applyBorder="1" applyAlignment="1">
      <alignment vertical="center"/>
    </xf>
    <xf numFmtId="179" fontId="64" fillId="2" borderId="5" xfId="10" applyNumberFormat="1" applyFont="1" applyFill="1" applyBorder="1" applyAlignment="1">
      <alignment horizontal="center" vertical="center" wrapText="1"/>
    </xf>
    <xf numFmtId="0" fontId="64" fillId="2" borderId="13" xfId="0" applyFont="1" applyFill="1" applyBorder="1" applyAlignment="1">
      <alignment horizontal="center" vertical="center" wrapText="1"/>
    </xf>
    <xf numFmtId="0" fontId="64" fillId="2" borderId="5" xfId="0" applyFont="1" applyFill="1" applyBorder="1" applyAlignment="1">
      <alignment horizontal="center" vertical="center" wrapText="1"/>
    </xf>
    <xf numFmtId="0" fontId="64" fillId="2" borderId="5" xfId="10" applyFont="1" applyFill="1" applyBorder="1" applyAlignment="1">
      <alignment horizontal="center" vertical="center" wrapText="1"/>
    </xf>
    <xf numFmtId="0" fontId="63" fillId="2" borderId="5" xfId="10" applyFont="1" applyFill="1" applyBorder="1" applyAlignment="1">
      <alignment horizontal="center" vertical="center" wrapText="1"/>
    </xf>
    <xf numFmtId="0" fontId="49" fillId="2" borderId="5" xfId="10" applyFont="1" applyFill="1" applyBorder="1" applyAlignment="1">
      <alignment horizontal="center" vertical="center" wrapText="1"/>
    </xf>
    <xf numFmtId="0" fontId="129" fillId="2" borderId="5" xfId="10" applyFont="1" applyFill="1" applyBorder="1" applyAlignment="1">
      <alignment horizontal="center" vertical="center"/>
    </xf>
    <xf numFmtId="0" fontId="49" fillId="47" borderId="5" xfId="10" applyFont="1" applyFill="1" applyBorder="1" applyAlignment="1">
      <alignment horizontal="center" vertical="center"/>
    </xf>
    <xf numFmtId="0" fontId="49" fillId="50" borderId="5" xfId="10" applyFont="1" applyFill="1" applyBorder="1" applyAlignment="1">
      <alignment horizontal="center" vertical="center" wrapText="1"/>
    </xf>
    <xf numFmtId="0" fontId="49" fillId="50" borderId="5" xfId="10" applyFont="1" applyFill="1" applyBorder="1" applyAlignment="1">
      <alignment horizontal="center" vertical="center"/>
    </xf>
    <xf numFmtId="0" fontId="129" fillId="50" borderId="5" xfId="10" applyFont="1" applyFill="1" applyBorder="1" applyAlignment="1">
      <alignment horizontal="center" vertical="center"/>
    </xf>
    <xf numFmtId="0" fontId="46" fillId="12" borderId="5" xfId="10" applyFont="1" applyFill="1" applyBorder="1" applyAlignment="1">
      <alignment horizontal="center" vertical="center" wrapText="1"/>
    </xf>
    <xf numFmtId="0" fontId="46" fillId="0" borderId="5" xfId="10" applyFont="1" applyFill="1" applyBorder="1" applyAlignment="1">
      <alignment horizontal="center" vertical="center"/>
    </xf>
    <xf numFmtId="0" fontId="137" fillId="0" borderId="5" xfId="0" applyFont="1" applyFill="1" applyBorder="1" applyAlignment="1">
      <alignment vertical="center"/>
    </xf>
    <xf numFmtId="0" fontId="61" fillId="0" borderId="5" xfId="0" applyFont="1" applyBorder="1" applyAlignment="1">
      <alignment vertical="center"/>
    </xf>
    <xf numFmtId="0" fontId="61" fillId="0" borderId="5" xfId="0" applyFont="1" applyFill="1" applyBorder="1" applyAlignment="1">
      <alignment horizontal="center" vertical="center" wrapText="1"/>
    </xf>
    <xf numFmtId="0" fontId="59" fillId="0" borderId="5" xfId="10" applyFont="1" applyFill="1" applyBorder="1" applyAlignment="1">
      <alignment vertical="center" wrapText="1"/>
    </xf>
    <xf numFmtId="0" fontId="138" fillId="8" borderId="0" xfId="0" applyFont="1" applyFill="1" applyBorder="1" applyAlignment="1">
      <alignment horizontal="right" vertical="center"/>
    </xf>
    <xf numFmtId="2" fontId="139" fillId="8" borderId="0" xfId="0" applyNumberFormat="1" applyFont="1" applyFill="1" applyBorder="1" applyAlignment="1">
      <alignment horizontal="left" vertical="center" wrapText="1" readingOrder="1"/>
    </xf>
    <xf numFmtId="2" fontId="139" fillId="8" borderId="0" xfId="0" applyNumberFormat="1" applyFont="1" applyFill="1" applyBorder="1" applyAlignment="1">
      <alignment horizontal="right" vertical="center" wrapText="1" readingOrder="1"/>
    </xf>
    <xf numFmtId="2" fontId="139" fillId="24" borderId="0" xfId="0" applyNumberFormat="1" applyFont="1" applyFill="1" applyBorder="1" applyAlignment="1">
      <alignment horizontal="right" vertical="center" wrapText="1" readingOrder="1"/>
    </xf>
    <xf numFmtId="2" fontId="139" fillId="24" borderId="0" xfId="0" applyNumberFormat="1" applyFont="1" applyFill="1" applyBorder="1" applyAlignment="1">
      <alignment horizontal="left" vertical="center" wrapText="1" readingOrder="1"/>
    </xf>
    <xf numFmtId="0" fontId="46" fillId="10" borderId="19" xfId="10" applyFont="1" applyFill="1" applyBorder="1" applyAlignment="1">
      <alignment horizontal="left" vertical="top"/>
    </xf>
    <xf numFmtId="0" fontId="46" fillId="10" borderId="12" xfId="10" applyFont="1" applyFill="1" applyBorder="1" applyAlignment="1">
      <alignment horizontal="left" vertical="top"/>
    </xf>
    <xf numFmtId="0" fontId="39" fillId="0" borderId="0" xfId="10" applyFont="1" applyFill="1" applyAlignment="1">
      <alignment horizontal="left" vertical="center"/>
    </xf>
    <xf numFmtId="0" fontId="43" fillId="0" borderId="6" xfId="10" applyFont="1" applyFill="1" applyBorder="1" applyAlignment="1">
      <alignment horizontal="center" vertical="top"/>
    </xf>
    <xf numFmtId="0" fontId="43" fillId="0" borderId="27" xfId="10" applyFont="1" applyFill="1" applyBorder="1" applyAlignment="1">
      <alignment horizontal="center" vertical="top"/>
    </xf>
    <xf numFmtId="0" fontId="46" fillId="33" borderId="19" xfId="10" applyFont="1" applyFill="1" applyBorder="1" applyAlignment="1">
      <alignment horizontal="left" vertical="top"/>
    </xf>
    <xf numFmtId="0" fontId="46" fillId="33" borderId="12" xfId="10" applyFont="1" applyFill="1" applyBorder="1" applyAlignment="1">
      <alignment horizontal="left" vertical="top"/>
    </xf>
    <xf numFmtId="0" fontId="46" fillId="29" borderId="19" xfId="10" applyFont="1" applyFill="1" applyBorder="1" applyAlignment="1">
      <alignment horizontal="left" vertical="center"/>
    </xf>
    <xf numFmtId="0" fontId="46" fillId="29" borderId="12" xfId="10" applyFont="1" applyFill="1" applyBorder="1" applyAlignment="1">
      <alignment horizontal="left" vertical="center"/>
    </xf>
    <xf numFmtId="0" fontId="46" fillId="29" borderId="13" xfId="10" applyFont="1" applyFill="1" applyBorder="1" applyAlignment="1">
      <alignment horizontal="left" vertical="center"/>
    </xf>
    <xf numFmtId="0" fontId="41" fillId="0" borderId="10" xfId="10" applyFont="1" applyFill="1" applyBorder="1" applyAlignment="1">
      <alignment horizontal="left" vertical="center"/>
    </xf>
    <xf numFmtId="0" fontId="45" fillId="0" borderId="5" xfId="10" applyFont="1" applyFill="1" applyBorder="1" applyAlignment="1">
      <alignment horizontal="center" vertical="center"/>
    </xf>
    <xf numFmtId="0" fontId="42" fillId="0" borderId="5" xfId="10" applyFont="1" applyFill="1" applyBorder="1" applyAlignment="1">
      <alignment horizontal="center" vertical="center"/>
    </xf>
    <xf numFmtId="0" fontId="42" fillId="0" borderId="5" xfId="10" applyFont="1" applyFill="1" applyBorder="1" applyAlignment="1">
      <alignment horizontal="center" vertical="center" wrapText="1"/>
    </xf>
    <xf numFmtId="0" fontId="46" fillId="0" borderId="19" xfId="10" applyFont="1" applyFill="1" applyBorder="1" applyAlignment="1">
      <alignment horizontal="center" vertical="center" wrapText="1"/>
    </xf>
    <xf numFmtId="0" fontId="46" fillId="0" borderId="24" xfId="10" applyFont="1" applyFill="1" applyBorder="1" applyAlignment="1">
      <alignment horizontal="center" vertical="center" wrapText="1"/>
    </xf>
    <xf numFmtId="0" fontId="46" fillId="0" borderId="25" xfId="10" applyFont="1" applyFill="1" applyBorder="1" applyAlignment="1">
      <alignment horizontal="center" vertical="center" wrapText="1"/>
    </xf>
    <xf numFmtId="0" fontId="46" fillId="0" borderId="40" xfId="10" applyFont="1" applyFill="1" applyBorder="1" applyAlignment="1">
      <alignment horizontal="center" vertical="center" wrapText="1"/>
    </xf>
    <xf numFmtId="0" fontId="46" fillId="0" borderId="23" xfId="10" applyFont="1" applyFill="1" applyBorder="1" applyAlignment="1">
      <alignment horizontal="center" vertical="center" wrapText="1"/>
    </xf>
    <xf numFmtId="0" fontId="46" fillId="0" borderId="10" xfId="10" applyFont="1" applyFill="1" applyBorder="1" applyAlignment="1">
      <alignment horizontal="center" vertical="center" wrapText="1"/>
    </xf>
    <xf numFmtId="0" fontId="46" fillId="0" borderId="11" xfId="10" applyFont="1" applyFill="1" applyBorder="1" applyAlignment="1">
      <alignment horizontal="center" vertical="center" wrapText="1"/>
    </xf>
    <xf numFmtId="0" fontId="42" fillId="29" borderId="19" xfId="10" applyFont="1" applyFill="1" applyBorder="1" applyAlignment="1">
      <alignment horizontal="center" vertical="center" wrapText="1"/>
    </xf>
    <xf numFmtId="0" fontId="42" fillId="29" borderId="12" xfId="10" applyFont="1" applyFill="1" applyBorder="1" applyAlignment="1">
      <alignment horizontal="center" vertical="center" wrapText="1"/>
    </xf>
    <xf numFmtId="0" fontId="70" fillId="0" borderId="50" xfId="14" applyFont="1" applyFill="1" applyBorder="1" applyAlignment="1">
      <alignment horizontal="center" vertical="center"/>
    </xf>
    <xf numFmtId="0" fontId="70" fillId="0" borderId="44" xfId="14" applyFont="1" applyFill="1" applyBorder="1" applyAlignment="1">
      <alignment horizontal="center" vertical="center"/>
    </xf>
    <xf numFmtId="0" fontId="70" fillId="0" borderId="47" xfId="14" applyFont="1" applyFill="1" applyBorder="1" applyAlignment="1">
      <alignment horizontal="center" vertical="center"/>
    </xf>
    <xf numFmtId="9" fontId="70" fillId="0" borderId="45" xfId="2" applyFont="1" applyFill="1" applyBorder="1" applyAlignment="1">
      <alignment horizontal="center" vertical="center"/>
    </xf>
    <xf numFmtId="9" fontId="70" fillId="0" borderId="46" xfId="2" applyFont="1" applyFill="1" applyBorder="1" applyAlignment="1">
      <alignment horizontal="center" vertical="center"/>
    </xf>
    <xf numFmtId="9" fontId="70" fillId="0" borderId="49" xfId="2" applyFont="1" applyFill="1" applyBorder="1" applyAlignment="1">
      <alignment horizontal="center" vertical="center"/>
    </xf>
    <xf numFmtId="0" fontId="70" fillId="0" borderId="57" xfId="14" applyFont="1" applyFill="1" applyBorder="1" applyAlignment="1">
      <alignment horizontal="center" vertical="center"/>
    </xf>
    <xf numFmtId="9" fontId="70" fillId="0" borderId="45" xfId="2" applyNumberFormat="1" applyFont="1" applyFill="1" applyBorder="1" applyAlignment="1">
      <alignment horizontal="center" vertical="center"/>
    </xf>
    <xf numFmtId="9" fontId="70" fillId="0" borderId="46" xfId="2" applyNumberFormat="1" applyFont="1" applyFill="1" applyBorder="1" applyAlignment="1">
      <alignment horizontal="center" vertical="center"/>
    </xf>
    <xf numFmtId="9" fontId="70" fillId="0" borderId="58" xfId="2" applyNumberFormat="1" applyFont="1" applyFill="1" applyBorder="1" applyAlignment="1">
      <alignment horizontal="center" vertical="center"/>
    </xf>
    <xf numFmtId="9" fontId="70" fillId="0" borderId="56" xfId="14" applyNumberFormat="1" applyFont="1" applyFill="1" applyBorder="1" applyAlignment="1">
      <alignment horizontal="center" vertical="center"/>
    </xf>
    <xf numFmtId="9" fontId="70" fillId="0" borderId="34" xfId="14" applyNumberFormat="1" applyFont="1" applyFill="1" applyBorder="1" applyAlignment="1">
      <alignment horizontal="center" vertical="center"/>
    </xf>
    <xf numFmtId="9" fontId="70" fillId="0" borderId="48" xfId="14" applyNumberFormat="1" applyFont="1" applyFill="1" applyBorder="1" applyAlignment="1">
      <alignment horizontal="center" vertical="center"/>
    </xf>
    <xf numFmtId="0" fontId="70" fillId="0" borderId="5" xfId="14" applyFont="1" applyFill="1" applyBorder="1" applyAlignment="1">
      <alignment horizontal="left" vertical="top" wrapText="1"/>
    </xf>
    <xf numFmtId="0" fontId="70" fillId="0" borderId="5" xfId="14" applyFont="1" applyFill="1" applyBorder="1" applyAlignment="1">
      <alignment horizontal="left" vertical="top"/>
    </xf>
    <xf numFmtId="0" fontId="70" fillId="0" borderId="14" xfId="14" applyFont="1" applyFill="1" applyBorder="1" applyAlignment="1">
      <alignment horizontal="center" vertical="center"/>
    </xf>
    <xf numFmtId="9" fontId="70" fillId="0" borderId="15" xfId="2" applyNumberFormat="1" applyFont="1" applyFill="1" applyBorder="1" applyAlignment="1">
      <alignment horizontal="center" vertical="center"/>
    </xf>
    <xf numFmtId="9" fontId="70" fillId="0" borderId="49" xfId="2" applyNumberFormat="1" applyFont="1" applyFill="1" applyBorder="1" applyAlignment="1">
      <alignment horizontal="center" vertical="center"/>
    </xf>
    <xf numFmtId="0" fontId="70" fillId="0" borderId="14" xfId="14" applyFont="1" applyFill="1" applyBorder="1" applyAlignment="1">
      <alignment horizontal="left" vertical="center"/>
    </xf>
    <xf numFmtId="0" fontId="70" fillId="0" borderId="44" xfId="14" applyFont="1" applyFill="1" applyBorder="1" applyAlignment="1">
      <alignment horizontal="left" vertical="center"/>
    </xf>
    <xf numFmtId="0" fontId="70" fillId="0" borderId="47" xfId="14" applyFont="1" applyFill="1" applyBorder="1" applyAlignment="1">
      <alignment horizontal="left" vertical="center"/>
    </xf>
    <xf numFmtId="10" fontId="70" fillId="0" borderId="15" xfId="2" applyNumberFormat="1" applyFont="1" applyFill="1" applyBorder="1" applyAlignment="1">
      <alignment horizontal="center" vertical="center"/>
    </xf>
    <xf numFmtId="10" fontId="70" fillId="0" borderId="46" xfId="2" applyNumberFormat="1" applyFont="1" applyFill="1" applyBorder="1" applyAlignment="1">
      <alignment horizontal="center" vertical="center"/>
    </xf>
    <xf numFmtId="10" fontId="70" fillId="0" borderId="49" xfId="2" applyNumberFormat="1" applyFont="1" applyFill="1" applyBorder="1" applyAlignment="1">
      <alignment horizontal="center" vertical="center"/>
    </xf>
    <xf numFmtId="9" fontId="70" fillId="0" borderId="56" xfId="2" applyNumberFormat="1" applyFont="1" applyFill="1" applyBorder="1" applyAlignment="1">
      <alignment horizontal="center" vertical="center"/>
    </xf>
    <xf numFmtId="9" fontId="70" fillId="0" borderId="48" xfId="2" applyNumberFormat="1" applyFont="1" applyFill="1" applyBorder="1" applyAlignment="1">
      <alignment horizontal="center" vertical="center"/>
    </xf>
    <xf numFmtId="9" fontId="70" fillId="0" borderId="45" xfId="14" applyNumberFormat="1" applyFont="1" applyFill="1" applyBorder="1" applyAlignment="1">
      <alignment horizontal="center" vertical="center"/>
    </xf>
    <xf numFmtId="9" fontId="70" fillId="0" borderId="46" xfId="14" applyNumberFormat="1" applyFont="1" applyFill="1" applyBorder="1" applyAlignment="1">
      <alignment horizontal="center" vertical="center"/>
    </xf>
    <xf numFmtId="9" fontId="70" fillId="0" borderId="49" xfId="14" applyNumberFormat="1" applyFont="1" applyFill="1" applyBorder="1" applyAlignment="1">
      <alignment horizontal="center" vertical="center"/>
    </xf>
    <xf numFmtId="0" fontId="70" fillId="0" borderId="50" xfId="14" applyFont="1" applyFill="1" applyBorder="1" applyAlignment="1">
      <alignment horizontal="left" vertical="center"/>
    </xf>
    <xf numFmtId="9" fontId="70" fillId="0" borderId="34" xfId="2" applyNumberFormat="1" applyFont="1" applyFill="1" applyBorder="1" applyAlignment="1">
      <alignment horizontal="center" vertical="center"/>
    </xf>
    <xf numFmtId="0" fontId="70" fillId="0" borderId="50" xfId="14" applyFont="1" applyFill="1" applyBorder="1" applyAlignment="1">
      <alignment horizontal="center" vertical="center" wrapText="1"/>
    </xf>
    <xf numFmtId="0" fontId="70" fillId="0" borderId="37" xfId="14" applyFont="1" applyFill="1" applyBorder="1" applyAlignment="1">
      <alignment horizontal="left" vertical="center"/>
    </xf>
    <xf numFmtId="0" fontId="70" fillId="0" borderId="16" xfId="14" applyFont="1" applyFill="1" applyBorder="1" applyAlignment="1">
      <alignment horizontal="left" vertical="center"/>
    </xf>
    <xf numFmtId="9" fontId="70" fillId="0" borderId="59" xfId="2" applyNumberFormat="1" applyFont="1" applyFill="1" applyBorder="1" applyAlignment="1">
      <alignment horizontal="center" vertical="center"/>
    </xf>
    <xf numFmtId="9" fontId="70" fillId="0" borderId="60" xfId="2" applyNumberFormat="1" applyFont="1" applyFill="1" applyBorder="1" applyAlignment="1">
      <alignment horizontal="center" vertical="center"/>
    </xf>
    <xf numFmtId="9" fontId="70" fillId="3" borderId="45" xfId="2" applyNumberFormat="1" applyFont="1" applyFill="1" applyBorder="1" applyAlignment="1">
      <alignment horizontal="center" vertical="center"/>
    </xf>
    <xf numFmtId="9" fontId="70" fillId="3" borderId="49" xfId="2" applyNumberFormat="1" applyFont="1" applyFill="1" applyBorder="1" applyAlignment="1">
      <alignment horizontal="center" vertical="center"/>
    </xf>
    <xf numFmtId="0" fontId="70" fillId="3" borderId="50" xfId="14" applyFont="1" applyFill="1" applyBorder="1" applyAlignment="1">
      <alignment horizontal="left" vertical="center"/>
    </xf>
    <xf numFmtId="0" fontId="70" fillId="3" borderId="47" xfId="14" applyFont="1" applyFill="1" applyBorder="1" applyAlignment="1">
      <alignment horizontal="left" vertical="center"/>
    </xf>
    <xf numFmtId="2" fontId="70" fillId="0" borderId="50" xfId="14" applyNumberFormat="1" applyFont="1" applyFill="1" applyBorder="1" applyAlignment="1">
      <alignment horizontal="center" vertical="center" wrapText="1"/>
    </xf>
    <xf numFmtId="2" fontId="70" fillId="0" borderId="44" xfId="14" applyNumberFormat="1" applyFont="1" applyFill="1" applyBorder="1" applyAlignment="1">
      <alignment horizontal="center" vertical="center"/>
    </xf>
    <xf numFmtId="2" fontId="70" fillId="0" borderId="47" xfId="14" applyNumberFormat="1" applyFont="1" applyFill="1" applyBorder="1" applyAlignment="1">
      <alignment horizontal="center" vertical="center"/>
    </xf>
    <xf numFmtId="0" fontId="70" fillId="0" borderId="36" xfId="14" applyFont="1" applyFill="1" applyBorder="1" applyAlignment="1">
      <alignment horizontal="center" vertical="center" wrapText="1"/>
    </xf>
    <xf numFmtId="0" fontId="70" fillId="0" borderId="17" xfId="14" applyFont="1" applyFill="1" applyBorder="1" applyAlignment="1">
      <alignment horizontal="center" vertical="center"/>
    </xf>
    <xf numFmtId="0" fontId="70" fillId="0" borderId="41" xfId="14" applyFont="1" applyFill="1" applyBorder="1" applyAlignment="1">
      <alignment horizontal="center" vertical="center"/>
    </xf>
    <xf numFmtId="0" fontId="70" fillId="0" borderId="42" xfId="14" applyFont="1" applyFill="1" applyBorder="1" applyAlignment="1">
      <alignment horizontal="center" vertical="center"/>
    </xf>
    <xf numFmtId="0" fontId="70" fillId="0" borderId="36" xfId="14" applyFont="1" applyBorder="1" applyAlignment="1">
      <alignment horizontal="center" wrapText="1"/>
    </xf>
    <xf numFmtId="0" fontId="70" fillId="0" borderId="36" xfId="14" applyFont="1" applyBorder="1" applyAlignment="1">
      <alignment horizontal="center"/>
    </xf>
    <xf numFmtId="0" fontId="70" fillId="0" borderId="38" xfId="14" applyFont="1" applyBorder="1" applyAlignment="1">
      <alignment horizontal="center"/>
    </xf>
    <xf numFmtId="0" fontId="70" fillId="0" borderId="34" xfId="14" applyFont="1" applyFill="1" applyBorder="1" applyAlignment="1">
      <alignment horizontal="center" vertical="center"/>
    </xf>
    <xf numFmtId="0" fontId="70" fillId="0" borderId="23" xfId="14" applyFont="1" applyFill="1" applyBorder="1" applyAlignment="1">
      <alignment horizontal="center" vertical="center"/>
    </xf>
    <xf numFmtId="0" fontId="70" fillId="0" borderId="43" xfId="14" applyFont="1" applyFill="1" applyBorder="1" applyAlignment="1">
      <alignment horizontal="center" vertical="center"/>
    </xf>
    <xf numFmtId="0" fontId="70" fillId="0" borderId="64" xfId="14" applyFont="1" applyFill="1" applyBorder="1" applyAlignment="1">
      <alignment horizontal="center" vertical="center"/>
    </xf>
    <xf numFmtId="0" fontId="70" fillId="0" borderId="36" xfId="14" applyFont="1" applyFill="1" applyBorder="1" applyAlignment="1">
      <alignment horizontal="center" vertical="center"/>
    </xf>
    <xf numFmtId="0" fontId="70" fillId="3" borderId="36" xfId="14" applyFont="1" applyFill="1" applyBorder="1" applyAlignment="1">
      <alignment horizontal="center" vertical="center" wrapText="1"/>
    </xf>
    <xf numFmtId="0" fontId="70" fillId="3" borderId="17" xfId="14" applyFont="1" applyFill="1" applyBorder="1" applyAlignment="1">
      <alignment horizontal="center" vertical="center" wrapText="1"/>
    </xf>
    <xf numFmtId="0" fontId="70" fillId="0" borderId="17" xfId="14" applyFont="1" applyFill="1" applyBorder="1" applyAlignment="1">
      <alignment horizontal="center" vertical="center" wrapText="1"/>
    </xf>
    <xf numFmtId="0" fontId="70" fillId="0" borderId="41" xfId="14" applyFont="1" applyFill="1" applyBorder="1" applyAlignment="1">
      <alignment horizontal="center" vertical="center" wrapText="1"/>
    </xf>
    <xf numFmtId="0" fontId="70" fillId="0" borderId="42" xfId="14" applyFont="1" applyFill="1" applyBorder="1" applyAlignment="1">
      <alignment horizontal="center" vertical="center" wrapText="1"/>
    </xf>
    <xf numFmtId="0" fontId="70" fillId="0" borderId="36" xfId="14" applyNumberFormat="1" applyFont="1" applyFill="1" applyBorder="1" applyAlignment="1">
      <alignment horizontal="center" vertical="center"/>
    </xf>
    <xf numFmtId="0" fontId="70" fillId="0" borderId="17" xfId="14" applyNumberFormat="1" applyFont="1" applyFill="1" applyBorder="1" applyAlignment="1">
      <alignment horizontal="center" vertical="center"/>
    </xf>
    <xf numFmtId="0" fontId="70" fillId="0" borderId="37" xfId="14" applyFont="1" applyFill="1" applyBorder="1" applyAlignment="1">
      <alignment horizontal="center" vertical="center"/>
    </xf>
    <xf numFmtId="0" fontId="70" fillId="0" borderId="16" xfId="14" applyFont="1" applyFill="1" applyBorder="1" applyAlignment="1">
      <alignment horizontal="center" vertical="center"/>
    </xf>
    <xf numFmtId="187" fontId="114" fillId="9" borderId="0" xfId="38" applyFont="1" applyFill="1" applyBorder="1" applyAlignment="1">
      <alignment horizontal="center"/>
    </xf>
    <xf numFmtId="187" fontId="112" fillId="0" borderId="6" xfId="38" applyFont="1" applyFill="1" applyBorder="1" applyAlignment="1">
      <alignment horizontal="center" vertical="center" wrapText="1"/>
    </xf>
    <xf numFmtId="187" fontId="111" fillId="0" borderId="27" xfId="38" applyFont="1" applyFill="1" applyBorder="1" applyAlignment="1">
      <alignment horizontal="center" vertical="center" wrapText="1"/>
    </xf>
    <xf numFmtId="187" fontId="111" fillId="0" borderId="8" xfId="38" applyFont="1" applyFill="1" applyBorder="1" applyAlignment="1">
      <alignment horizontal="center" vertical="center" wrapText="1"/>
    </xf>
    <xf numFmtId="187" fontId="69" fillId="44" borderId="0" xfId="38" applyFill="1" applyAlignment="1">
      <alignment horizontal="left"/>
    </xf>
    <xf numFmtId="187" fontId="69" fillId="44" borderId="65" xfId="38" applyFill="1" applyBorder="1" applyAlignment="1">
      <alignment horizontal="left"/>
    </xf>
    <xf numFmtId="187" fontId="114" fillId="7" borderId="0" xfId="38" applyFont="1" applyFill="1" applyBorder="1" applyAlignment="1">
      <alignment horizontal="center"/>
    </xf>
    <xf numFmtId="1" fontId="125" fillId="0" borderId="19" xfId="38" applyNumberFormat="1" applyFont="1" applyFill="1" applyBorder="1" applyAlignment="1">
      <alignment horizontal="center"/>
    </xf>
    <xf numFmtId="1" fontId="125" fillId="0" borderId="12" xfId="38" applyNumberFormat="1" applyFont="1" applyFill="1" applyBorder="1" applyAlignment="1">
      <alignment horizontal="center"/>
    </xf>
    <xf numFmtId="1" fontId="125" fillId="0" borderId="13" xfId="38" applyNumberFormat="1" applyFont="1" applyFill="1" applyBorder="1" applyAlignment="1">
      <alignment horizontal="center"/>
    </xf>
    <xf numFmtId="1" fontId="125" fillId="0" borderId="5" xfId="38" applyNumberFormat="1" applyFont="1" applyFill="1" applyBorder="1" applyAlignment="1">
      <alignment horizontal="center"/>
    </xf>
    <xf numFmtId="0" fontId="28" fillId="15" borderId="32" xfId="0" applyFont="1" applyFill="1" applyBorder="1" applyAlignment="1">
      <alignment horizontal="center"/>
    </xf>
    <xf numFmtId="0" fontId="28" fillId="15" borderId="33" xfId="0" applyFont="1" applyFill="1" applyBorder="1" applyAlignment="1">
      <alignment horizontal="center"/>
    </xf>
    <xf numFmtId="0" fontId="28" fillId="15" borderId="31" xfId="0" applyFont="1" applyFill="1" applyBorder="1" applyAlignment="1">
      <alignment horizontal="center"/>
    </xf>
    <xf numFmtId="0" fontId="0" fillId="18" borderId="34" xfId="0" applyFill="1" applyBorder="1" applyAlignment="1">
      <alignment horizontal="center"/>
    </xf>
    <xf numFmtId="0" fontId="0" fillId="18" borderId="0" xfId="0" applyFill="1" applyBorder="1" applyAlignment="1">
      <alignment horizontal="center"/>
    </xf>
    <xf numFmtId="0" fontId="0" fillId="18" borderId="65" xfId="0" applyFill="1" applyBorder="1" applyAlignment="1">
      <alignment horizontal="center"/>
    </xf>
    <xf numFmtId="0" fontId="75" fillId="15" borderId="32" xfId="0" applyFont="1" applyFill="1" applyBorder="1" applyAlignment="1">
      <alignment horizontal="center"/>
    </xf>
    <xf numFmtId="0" fontId="75" fillId="15" borderId="33" xfId="0" applyFont="1" applyFill="1" applyBorder="1" applyAlignment="1">
      <alignment horizontal="center"/>
    </xf>
    <xf numFmtId="0" fontId="75" fillId="15" borderId="31" xfId="0" applyFont="1" applyFill="1" applyBorder="1" applyAlignment="1">
      <alignment horizontal="center"/>
    </xf>
    <xf numFmtId="0" fontId="28" fillId="3" borderId="32" xfId="0" applyFont="1" applyFill="1" applyBorder="1" applyAlignment="1">
      <alignment horizontal="center"/>
    </xf>
    <xf numFmtId="0" fontId="28" fillId="3" borderId="33" xfId="0" applyFont="1" applyFill="1" applyBorder="1" applyAlignment="1">
      <alignment horizontal="center"/>
    </xf>
    <xf numFmtId="0" fontId="28" fillId="3" borderId="31" xfId="0" applyFont="1" applyFill="1" applyBorder="1" applyAlignment="1">
      <alignment horizontal="center"/>
    </xf>
    <xf numFmtId="178" fontId="28" fillId="15" borderId="32" xfId="9" applyFont="1" applyFill="1" applyBorder="1" applyAlignment="1">
      <alignment horizontal="center" vertical="center" wrapText="1"/>
    </xf>
    <xf numFmtId="178" fontId="28" fillId="15" borderId="33" xfId="9" applyFont="1" applyFill="1" applyBorder="1" applyAlignment="1">
      <alignment horizontal="center" vertical="center" wrapText="1"/>
    </xf>
    <xf numFmtId="178" fontId="28" fillId="15" borderId="31" xfId="9" applyFont="1" applyFill="1" applyBorder="1" applyAlignment="1">
      <alignment horizontal="center" vertical="center" wrapText="1"/>
    </xf>
    <xf numFmtId="0" fontId="27" fillId="15" borderId="0" xfId="0" applyFont="1" applyFill="1" applyAlignment="1">
      <alignment horizontal="center" vertical="center"/>
    </xf>
    <xf numFmtId="3" fontId="30" fillId="15" borderId="19" xfId="0" applyNumberFormat="1" applyFont="1" applyFill="1" applyBorder="1" applyAlignment="1">
      <alignment horizontal="center"/>
    </xf>
    <xf numFmtId="3" fontId="30" fillId="15" borderId="12" xfId="0" applyNumberFormat="1" applyFont="1" applyFill="1" applyBorder="1" applyAlignment="1">
      <alignment horizontal="center"/>
    </xf>
    <xf numFmtId="3" fontId="30" fillId="15" borderId="13" xfId="0" applyNumberFormat="1" applyFont="1" applyFill="1" applyBorder="1" applyAlignment="1">
      <alignment horizontal="center"/>
    </xf>
    <xf numFmtId="0" fontId="28" fillId="3" borderId="32" xfId="0" applyFont="1" applyFill="1" applyBorder="1" applyAlignment="1" applyProtection="1">
      <alignment horizontal="center"/>
    </xf>
    <xf numFmtId="0" fontId="28" fillId="3" borderId="33" xfId="0" applyFont="1" applyFill="1" applyBorder="1" applyAlignment="1" applyProtection="1">
      <alignment horizontal="center"/>
    </xf>
    <xf numFmtId="0" fontId="28" fillId="3" borderId="31" xfId="0" applyFont="1" applyFill="1" applyBorder="1" applyAlignment="1" applyProtection="1">
      <alignment horizontal="center"/>
    </xf>
    <xf numFmtId="0" fontId="73" fillId="3" borderId="19" xfId="0" applyFont="1" applyFill="1" applyBorder="1" applyAlignment="1">
      <alignment horizontal="center"/>
    </xf>
    <xf numFmtId="0" fontId="73" fillId="3" borderId="12" xfId="0" applyFont="1" applyFill="1" applyBorder="1" applyAlignment="1">
      <alignment horizontal="center"/>
    </xf>
    <xf numFmtId="0" fontId="73" fillId="3" borderId="13" xfId="0" applyFont="1" applyFill="1" applyBorder="1" applyAlignment="1">
      <alignment horizontal="center"/>
    </xf>
    <xf numFmtId="0" fontId="28" fillId="15" borderId="32" xfId="0" applyFont="1" applyFill="1" applyBorder="1" applyAlignment="1">
      <alignment horizontal="left"/>
    </xf>
    <xf numFmtId="0" fontId="0" fillId="0" borderId="31" xfId="0" applyBorder="1"/>
    <xf numFmtId="0" fontId="28" fillId="18" borderId="68" xfId="0" applyFont="1" applyFill="1" applyBorder="1" applyAlignment="1">
      <alignment horizontal="center"/>
    </xf>
    <xf numFmtId="0" fontId="28" fillId="18" borderId="74" xfId="0" applyFont="1" applyFill="1" applyBorder="1" applyAlignment="1">
      <alignment horizontal="center"/>
    </xf>
    <xf numFmtId="0" fontId="28" fillId="18" borderId="75" xfId="0" applyFont="1" applyFill="1" applyBorder="1" applyAlignment="1">
      <alignment horizontal="center"/>
    </xf>
    <xf numFmtId="0" fontId="28" fillId="28" borderId="68" xfId="0" applyFont="1" applyFill="1" applyBorder="1" applyAlignment="1">
      <alignment horizontal="center"/>
    </xf>
    <xf numFmtId="0" fontId="28" fillId="28" borderId="74" xfId="0" applyFont="1" applyFill="1" applyBorder="1" applyAlignment="1">
      <alignment horizontal="center"/>
    </xf>
    <xf numFmtId="0" fontId="28" fillId="28" borderId="75" xfId="0" applyFont="1" applyFill="1" applyBorder="1" applyAlignment="1">
      <alignment horizontal="center"/>
    </xf>
    <xf numFmtId="0" fontId="26" fillId="18" borderId="34" xfId="22" applyFill="1" applyBorder="1" applyAlignment="1">
      <alignment horizontal="center"/>
    </xf>
    <xf numFmtId="0" fontId="26" fillId="18" borderId="0" xfId="22" applyFill="1" applyBorder="1" applyAlignment="1">
      <alignment horizontal="center"/>
    </xf>
    <xf numFmtId="0" fontId="26" fillId="18" borderId="65" xfId="22" applyFill="1" applyBorder="1" applyAlignment="1">
      <alignment horizontal="center"/>
    </xf>
    <xf numFmtId="0" fontId="27" fillId="15" borderId="0" xfId="22" applyFont="1" applyFill="1" applyAlignment="1">
      <alignment horizontal="center"/>
    </xf>
    <xf numFmtId="3" fontId="30" fillId="15" borderId="19" xfId="22" applyNumberFormat="1" applyFont="1" applyFill="1" applyBorder="1" applyAlignment="1">
      <alignment horizontal="center"/>
    </xf>
    <xf numFmtId="3" fontId="30" fillId="15" borderId="12" xfId="22" applyNumberFormat="1" applyFont="1" applyFill="1" applyBorder="1" applyAlignment="1">
      <alignment horizontal="center"/>
    </xf>
    <xf numFmtId="3" fontId="30" fillId="15" borderId="13" xfId="22" applyNumberFormat="1" applyFont="1" applyFill="1" applyBorder="1" applyAlignment="1">
      <alignment horizontal="center"/>
    </xf>
    <xf numFmtId="0" fontId="28" fillId="15" borderId="32" xfId="22" applyFont="1" applyFill="1" applyBorder="1" applyAlignment="1">
      <alignment horizontal="center"/>
    </xf>
    <xf numFmtId="0" fontId="28" fillId="15" borderId="33" xfId="22" applyFont="1" applyFill="1" applyBorder="1" applyAlignment="1">
      <alignment horizontal="center"/>
    </xf>
    <xf numFmtId="0" fontId="28" fillId="15" borderId="31" xfId="22" applyFont="1" applyFill="1" applyBorder="1" applyAlignment="1">
      <alignment horizontal="center"/>
    </xf>
    <xf numFmtId="0" fontId="28" fillId="15" borderId="32" xfId="22" applyFont="1" applyFill="1" applyBorder="1" applyAlignment="1">
      <alignment horizontal="left"/>
    </xf>
    <xf numFmtId="0" fontId="26" fillId="0" borderId="31" xfId="22" applyBorder="1"/>
    <xf numFmtId="0" fontId="75" fillId="15" borderId="32" xfId="22" applyFont="1" applyFill="1" applyBorder="1" applyAlignment="1">
      <alignment horizontal="center"/>
    </xf>
    <xf numFmtId="0" fontId="75" fillId="15" borderId="33" xfId="22" applyFont="1" applyFill="1" applyBorder="1" applyAlignment="1">
      <alignment horizontal="center"/>
    </xf>
    <xf numFmtId="0" fontId="75" fillId="15" borderId="31" xfId="22" applyFont="1" applyFill="1" applyBorder="1" applyAlignment="1">
      <alignment horizontal="center"/>
    </xf>
    <xf numFmtId="0" fontId="28" fillId="18" borderId="68" xfId="22" applyFont="1" applyFill="1" applyBorder="1" applyAlignment="1">
      <alignment horizontal="center"/>
    </xf>
    <xf numFmtId="0" fontId="28" fillId="18" borderId="74" xfId="22" applyFont="1" applyFill="1" applyBorder="1" applyAlignment="1">
      <alignment horizontal="center"/>
    </xf>
    <xf numFmtId="0" fontId="28" fillId="18" borderId="75" xfId="22" applyFont="1" applyFill="1" applyBorder="1" applyAlignment="1">
      <alignment horizontal="center"/>
    </xf>
    <xf numFmtId="0" fontId="28" fillId="28" borderId="68" xfId="22" applyFont="1" applyFill="1" applyBorder="1" applyAlignment="1">
      <alignment horizontal="center"/>
    </xf>
    <xf numFmtId="0" fontId="28" fillId="28" borderId="74" xfId="22" applyFont="1" applyFill="1" applyBorder="1" applyAlignment="1">
      <alignment horizontal="center"/>
    </xf>
    <xf numFmtId="0" fontId="28" fillId="28" borderId="75" xfId="22" applyFont="1" applyFill="1" applyBorder="1" applyAlignment="1">
      <alignment horizontal="center"/>
    </xf>
    <xf numFmtId="0" fontId="68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10" fontId="68" fillId="0" borderId="6" xfId="2" applyNumberFormat="1" applyFont="1" applyBorder="1" applyAlignment="1">
      <alignment horizontal="right" vertical="center"/>
    </xf>
    <xf numFmtId="10" fontId="68" fillId="0" borderId="8" xfId="2" applyNumberFormat="1" applyFont="1" applyBorder="1" applyAlignment="1">
      <alignment horizontal="right" vertical="center"/>
    </xf>
    <xf numFmtId="0" fontId="91" fillId="43" borderId="1" xfId="0" applyFont="1" applyFill="1" applyBorder="1" applyAlignment="1">
      <alignment horizontal="center" vertical="center"/>
    </xf>
    <xf numFmtId="0" fontId="91" fillId="43" borderId="2" xfId="0" applyFont="1" applyFill="1" applyBorder="1" applyAlignment="1">
      <alignment horizontal="center" vertical="center"/>
    </xf>
    <xf numFmtId="0" fontId="91" fillId="43" borderId="3" xfId="0" applyFont="1" applyFill="1" applyBorder="1" applyAlignment="1">
      <alignment horizontal="center" vertical="center"/>
    </xf>
    <xf numFmtId="0" fontId="91" fillId="43" borderId="9" xfId="0" applyFont="1" applyFill="1" applyBorder="1" applyAlignment="1">
      <alignment horizontal="center" vertical="center"/>
    </xf>
    <xf numFmtId="0" fontId="91" fillId="43" borderId="10" xfId="0" applyFont="1" applyFill="1" applyBorder="1" applyAlignment="1">
      <alignment horizontal="center" vertical="center"/>
    </xf>
    <xf numFmtId="0" fontId="91" fillId="43" borderId="51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11" borderId="8" xfId="0" applyFont="1" applyFill="1" applyBorder="1" applyAlignment="1">
      <alignment horizontal="center" vertical="center"/>
    </xf>
    <xf numFmtId="0" fontId="9" fillId="10" borderId="19" xfId="0" applyFont="1" applyFill="1" applyBorder="1" applyAlignment="1">
      <alignment horizontal="center" vertical="center"/>
    </xf>
    <xf numFmtId="0" fontId="9" fillId="10" borderId="12" xfId="0" applyFont="1" applyFill="1" applyBorder="1" applyAlignment="1">
      <alignment horizontal="center" vertical="center"/>
    </xf>
    <xf numFmtId="0" fontId="9" fillId="10" borderId="13" xfId="0" applyFont="1" applyFill="1" applyBorder="1" applyAlignment="1">
      <alignment horizontal="center" vertical="center"/>
    </xf>
    <xf numFmtId="0" fontId="89" fillId="43" borderId="0" xfId="0" applyFont="1" applyFill="1" applyAlignment="1">
      <alignment horizontal="center"/>
    </xf>
    <xf numFmtId="0" fontId="91" fillId="22" borderId="1" xfId="0" applyFont="1" applyFill="1" applyBorder="1" applyAlignment="1">
      <alignment horizontal="center" vertical="center"/>
    </xf>
    <xf numFmtId="0" fontId="91" fillId="22" borderId="2" xfId="0" applyFont="1" applyFill="1" applyBorder="1" applyAlignment="1">
      <alignment horizontal="center" vertical="center"/>
    </xf>
    <xf numFmtId="0" fontId="91" fillId="22" borderId="3" xfId="0" applyFont="1" applyFill="1" applyBorder="1" applyAlignment="1">
      <alignment horizontal="center" vertical="center"/>
    </xf>
    <xf numFmtId="0" fontId="91" fillId="22" borderId="9" xfId="0" applyFont="1" applyFill="1" applyBorder="1" applyAlignment="1">
      <alignment horizontal="center" vertical="center"/>
    </xf>
    <xf numFmtId="0" fontId="91" fillId="22" borderId="10" xfId="0" applyFont="1" applyFill="1" applyBorder="1" applyAlignment="1">
      <alignment horizontal="center" vertical="center"/>
    </xf>
    <xf numFmtId="0" fontId="91" fillId="22" borderId="51" xfId="0" applyFont="1" applyFill="1" applyBorder="1" applyAlignment="1">
      <alignment horizontal="center" vertical="center"/>
    </xf>
    <xf numFmtId="0" fontId="91" fillId="24" borderId="1" xfId="0" applyFont="1" applyFill="1" applyBorder="1" applyAlignment="1">
      <alignment horizontal="center" vertical="center"/>
    </xf>
    <xf numFmtId="0" fontId="91" fillId="24" borderId="2" xfId="0" applyFont="1" applyFill="1" applyBorder="1" applyAlignment="1">
      <alignment horizontal="center" vertical="center"/>
    </xf>
    <xf numFmtId="0" fontId="91" fillId="24" borderId="3" xfId="0" applyFont="1" applyFill="1" applyBorder="1" applyAlignment="1">
      <alignment horizontal="center" vertical="center"/>
    </xf>
    <xf numFmtId="0" fontId="91" fillId="24" borderId="9" xfId="0" applyFont="1" applyFill="1" applyBorder="1" applyAlignment="1">
      <alignment horizontal="center" vertical="center"/>
    </xf>
    <xf numFmtId="0" fontId="91" fillId="24" borderId="10" xfId="0" applyFont="1" applyFill="1" applyBorder="1" applyAlignment="1">
      <alignment horizontal="center" vertical="center"/>
    </xf>
    <xf numFmtId="0" fontId="91" fillId="24" borderId="51" xfId="0" applyFont="1" applyFill="1" applyBorder="1" applyAlignment="1">
      <alignment horizontal="center" vertical="center"/>
    </xf>
    <xf numFmtId="0" fontId="91" fillId="35" borderId="1" xfId="0" applyFont="1" applyFill="1" applyBorder="1" applyAlignment="1">
      <alignment horizontal="center" vertical="center"/>
    </xf>
    <xf numFmtId="0" fontId="91" fillId="35" borderId="2" xfId="0" applyFont="1" applyFill="1" applyBorder="1" applyAlignment="1">
      <alignment horizontal="center" vertical="center"/>
    </xf>
    <xf numFmtId="0" fontId="91" fillId="35" borderId="3" xfId="0" applyFont="1" applyFill="1" applyBorder="1" applyAlignment="1">
      <alignment horizontal="center" vertical="center"/>
    </xf>
    <xf numFmtId="0" fontId="91" fillId="35" borderId="9" xfId="0" applyFont="1" applyFill="1" applyBorder="1" applyAlignment="1">
      <alignment horizontal="center" vertical="center"/>
    </xf>
    <xf numFmtId="0" fontId="91" fillId="35" borderId="10" xfId="0" applyFont="1" applyFill="1" applyBorder="1" applyAlignment="1">
      <alignment horizontal="center" vertical="center"/>
    </xf>
    <xf numFmtId="0" fontId="91" fillId="35" borderId="51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 wrapText="1" readingOrder="1"/>
    </xf>
    <xf numFmtId="0" fontId="10" fillId="3" borderId="10" xfId="0" applyFont="1" applyFill="1" applyBorder="1" applyAlignment="1">
      <alignment horizontal="center" vertical="center" wrapText="1" readingOrder="1"/>
    </xf>
    <xf numFmtId="0" fontId="10" fillId="4" borderId="25" xfId="0" applyFont="1" applyFill="1" applyBorder="1" applyAlignment="1">
      <alignment horizontal="center" vertical="center" wrapText="1" readingOrder="1"/>
    </xf>
    <xf numFmtId="0" fontId="10" fillId="4" borderId="10" xfId="0" applyFont="1" applyFill="1" applyBorder="1" applyAlignment="1">
      <alignment horizontal="center" vertical="center" wrapText="1" readingOrder="1"/>
    </xf>
    <xf numFmtId="0" fontId="10" fillId="5" borderId="25" xfId="0" applyFont="1" applyFill="1" applyBorder="1" applyAlignment="1">
      <alignment horizontal="center" vertical="center" wrapText="1" readingOrder="1"/>
    </xf>
    <xf numFmtId="0" fontId="10" fillId="5" borderId="10" xfId="0" applyFont="1" applyFill="1" applyBorder="1" applyAlignment="1">
      <alignment horizontal="center" vertical="center" wrapText="1" readingOrder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23" fillId="3" borderId="19" xfId="0" applyFont="1" applyFill="1" applyBorder="1" applyAlignment="1">
      <alignment horizontal="center"/>
    </xf>
    <xf numFmtId="0" fontId="23" fillId="3" borderId="12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/>
    </xf>
    <xf numFmtId="0" fontId="7" fillId="9" borderId="5" xfId="0" applyFont="1" applyFill="1" applyBorder="1" applyAlignment="1">
      <alignment horizontal="center" vertical="center"/>
    </xf>
    <xf numFmtId="0" fontId="19" fillId="11" borderId="6" xfId="0" applyFont="1" applyFill="1" applyBorder="1" applyAlignment="1">
      <alignment horizontal="center" vertical="center"/>
    </xf>
    <xf numFmtId="0" fontId="19" fillId="11" borderId="8" xfId="0" applyFont="1" applyFill="1" applyBorder="1" applyAlignment="1">
      <alignment horizontal="center" vertical="center"/>
    </xf>
    <xf numFmtId="0" fontId="20" fillId="11" borderId="6" xfId="0" applyFont="1" applyFill="1" applyBorder="1" applyAlignment="1">
      <alignment horizontal="center" vertical="center"/>
    </xf>
    <xf numFmtId="0" fontId="20" fillId="11" borderId="8" xfId="0" applyFont="1" applyFill="1" applyBorder="1" applyAlignment="1">
      <alignment horizontal="center" vertical="center"/>
    </xf>
    <xf numFmtId="0" fontId="21" fillId="13" borderId="19" xfId="0" applyFont="1" applyFill="1" applyBorder="1" applyAlignment="1">
      <alignment horizontal="center" vertical="center"/>
    </xf>
    <xf numFmtId="0" fontId="21" fillId="13" borderId="12" xfId="0" applyFont="1" applyFill="1" applyBorder="1" applyAlignment="1">
      <alignment horizontal="center" vertical="center"/>
    </xf>
    <xf numFmtId="0" fontId="21" fillId="13" borderId="13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 wrapText="1" readingOrder="1"/>
    </xf>
    <xf numFmtId="0" fontId="10" fillId="2" borderId="25" xfId="0" applyFont="1" applyFill="1" applyBorder="1" applyAlignment="1">
      <alignment horizontal="center" vertical="center" wrapText="1" readingOrder="1"/>
    </xf>
    <xf numFmtId="0" fontId="10" fillId="2" borderId="23" xfId="0" applyFont="1" applyFill="1" applyBorder="1" applyAlignment="1">
      <alignment horizontal="center" vertical="center" wrapText="1" readingOrder="1"/>
    </xf>
    <xf numFmtId="0" fontId="10" fillId="2" borderId="10" xfId="0" applyFont="1" applyFill="1" applyBorder="1" applyAlignment="1">
      <alignment horizontal="center" vertical="center" wrapText="1" readingOrder="1"/>
    </xf>
    <xf numFmtId="0" fontId="10" fillId="14" borderId="25" xfId="0" applyFont="1" applyFill="1" applyBorder="1" applyAlignment="1">
      <alignment horizontal="center" vertical="center" wrapText="1" readingOrder="1"/>
    </xf>
    <xf numFmtId="0" fontId="10" fillId="14" borderId="10" xfId="0" applyFont="1" applyFill="1" applyBorder="1" applyAlignment="1">
      <alignment horizontal="center" vertical="center" wrapText="1" readingOrder="1"/>
    </xf>
    <xf numFmtId="10" fontId="61" fillId="0" borderId="6" xfId="13" applyNumberFormat="1" applyFont="1" applyFill="1" applyBorder="1" applyAlignment="1">
      <alignment horizontal="center" vertical="top"/>
    </xf>
    <xf numFmtId="10" fontId="61" fillId="0" borderId="24" xfId="13" applyNumberFormat="1" applyFont="1" applyFill="1" applyBorder="1" applyAlignment="1">
      <alignment horizontal="center" vertical="top"/>
    </xf>
    <xf numFmtId="0" fontId="61" fillId="0" borderId="5" xfId="0" applyFont="1" applyBorder="1" applyAlignment="1">
      <alignment horizontal="center" vertical="center" wrapText="1" readingOrder="1"/>
    </xf>
    <xf numFmtId="0" fontId="140" fillId="0" borderId="5" xfId="0" applyFont="1" applyBorder="1" applyAlignment="1">
      <alignment horizontal="center" vertical="center" wrapText="1" readingOrder="1"/>
    </xf>
    <xf numFmtId="0" fontId="49" fillId="52" borderId="19" xfId="10" applyFont="1" applyFill="1" applyBorder="1" applyAlignment="1">
      <alignment horizontal="center" vertical="top"/>
    </xf>
    <xf numFmtId="0" fontId="49" fillId="52" borderId="5" xfId="10" applyFont="1" applyFill="1" applyBorder="1" applyAlignment="1">
      <alignment horizontal="left" vertical="top"/>
    </xf>
    <xf numFmtId="0" fontId="49" fillId="52" borderId="13" xfId="10" applyFont="1" applyFill="1" applyBorder="1" applyAlignment="1">
      <alignment vertical="top" wrapText="1"/>
    </xf>
    <xf numFmtId="0" fontId="43" fillId="52" borderId="5" xfId="12" quotePrefix="1" applyFont="1" applyFill="1" applyBorder="1" applyAlignment="1">
      <alignment horizontal="left" vertical="top"/>
    </xf>
    <xf numFmtId="9" fontId="49" fillId="52" borderId="5" xfId="13" applyFont="1" applyFill="1" applyBorder="1" applyAlignment="1">
      <alignment horizontal="center" vertical="top"/>
    </xf>
    <xf numFmtId="9" fontId="52" fillId="52" borderId="5" xfId="13" applyFont="1" applyFill="1" applyBorder="1" applyAlignment="1">
      <alignment horizontal="center" vertical="top"/>
    </xf>
    <xf numFmtId="0" fontId="43" fillId="52" borderId="5" xfId="12" applyFont="1" applyFill="1" applyBorder="1" applyAlignment="1">
      <alignment horizontal="left" vertical="top"/>
    </xf>
    <xf numFmtId="9" fontId="49" fillId="52" borderId="5" xfId="13" quotePrefix="1" applyFont="1" applyFill="1" applyBorder="1" applyAlignment="1">
      <alignment horizontal="center" vertical="top"/>
    </xf>
    <xf numFmtId="9" fontId="52" fillId="52" borderId="5" xfId="13" quotePrefix="1" applyFont="1" applyFill="1" applyBorder="1" applyAlignment="1">
      <alignment horizontal="center" vertical="top"/>
    </xf>
    <xf numFmtId="0" fontId="40" fillId="0" borderId="6" xfId="0" applyFont="1" applyFill="1" applyBorder="1" applyAlignment="1">
      <alignment horizontal="center" vertical="center" wrapText="1"/>
    </xf>
    <xf numFmtId="0" fontId="40" fillId="4" borderId="6" xfId="0" applyFont="1" applyFill="1" applyBorder="1" applyAlignment="1">
      <alignment horizontal="center" vertical="center" wrapText="1"/>
    </xf>
    <xf numFmtId="10" fontId="64" fillId="0" borderId="5" xfId="10" applyNumberFormat="1" applyFont="1" applyFill="1" applyBorder="1" applyAlignment="1">
      <alignment horizontal="center" vertical="center" wrapText="1"/>
    </xf>
  </cellXfs>
  <cellStyles count="43">
    <cellStyle name="Comma" xfId="1" builtinId="3"/>
    <cellStyle name="Comma 10 10" xfId="42"/>
    <cellStyle name="Comma 15" xfId="19"/>
    <cellStyle name="Comma 17" xfId="18"/>
    <cellStyle name="Comma 2" xfId="31"/>
    <cellStyle name="Comma 3 2" xfId="36"/>
    <cellStyle name="Comma 4" xfId="3"/>
    <cellStyle name="Comma 6" xfId="33"/>
    <cellStyle name="Comma 8 2" xfId="35"/>
    <cellStyle name="Normal" xfId="0" builtinId="0"/>
    <cellStyle name="Normal 10 2" xfId="4"/>
    <cellStyle name="Normal 106" xfId="23"/>
    <cellStyle name="Normal 107" xfId="24"/>
    <cellStyle name="Normal 108" xfId="25"/>
    <cellStyle name="Normal 11" xfId="6"/>
    <cellStyle name="Normal 12" xfId="30"/>
    <cellStyle name="Normal 13 6" xfId="28"/>
    <cellStyle name="Normal 16" xfId="38"/>
    <cellStyle name="Normal 2 10" xfId="10"/>
    <cellStyle name="Normal 2 2" xfId="14"/>
    <cellStyle name="Normal 2 3" xfId="21"/>
    <cellStyle name="Normal 2 3 2 3 2" xfId="22"/>
    <cellStyle name="Normal 2 5 2" xfId="9"/>
    <cellStyle name="Normal 2 9" xfId="15"/>
    <cellStyle name="Normal 29" xfId="5"/>
    <cellStyle name="Normal 3 2 2" xfId="20"/>
    <cellStyle name="Normal 3 6" xfId="17"/>
    <cellStyle name="Normal 3 9" xfId="7"/>
    <cellStyle name="Normal 31" xfId="8"/>
    <cellStyle name="Normal 33" xfId="29"/>
    <cellStyle name="Normal 35" xfId="26"/>
    <cellStyle name="Normal 37" xfId="27"/>
    <cellStyle name="Normal 4 2 2 2 2 2 2" xfId="16"/>
    <cellStyle name="Normal 5" xfId="11"/>
    <cellStyle name="Normal 9 2" xfId="34"/>
    <cellStyle name="Normal_BTX  Downtime Loss Product Report Mar08 3" xfId="39"/>
    <cellStyle name="Normal_KPI-2009" xfId="12"/>
    <cellStyle name="Normal_SD_2008 3" xfId="40"/>
    <cellStyle name="Percent" xfId="2" builtinId="5"/>
    <cellStyle name="Percent 11" xfId="41"/>
    <cellStyle name="Percent 2" xfId="13"/>
    <cellStyle name="Percent 4" xfId="37"/>
    <cellStyle name="ปกติ_ACMONTH" xfId="32"/>
  </cellStyles>
  <dxfs count="10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2"/>
              <c:layout>
                <c:manualLayout>
                  <c:x val="7.9068241469816933E-2"/>
                  <c:y val="9.482416429518466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57-4A2D-B3C1-231349162C2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([10]ข้อมูลการใช้พลังงานปี2556!$C$323:$C$326,[10]ข้อมูลการใช้พลังงานปี2556!$C$328)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Recycle Monomer</c:v>
                </c:pt>
                <c:pt idx="4">
                  <c:v>Electricity</c:v>
                </c:pt>
              </c:strCache>
            </c:strRef>
          </c:cat>
          <c:val>
            <c:numRef>
              <c:f>([10]ข้อมูลการใช้พลังงานปี2556!$U$323:$U$326,[10]ข้อมูลการใช้พลังงานปี2556!$U$328)</c:f>
              <c:numCache>
                <c:formatCode>General</c:formatCode>
                <c:ptCount val="5"/>
                <c:pt idx="0">
                  <c:v>1.3419060780393421</c:v>
                </c:pt>
                <c:pt idx="1">
                  <c:v>0</c:v>
                </c:pt>
                <c:pt idx="2">
                  <c:v>0</c:v>
                </c:pt>
                <c:pt idx="3">
                  <c:v>1.1254313830251956</c:v>
                </c:pt>
                <c:pt idx="4">
                  <c:v>6.9762581186456885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7-4A2D-B3C1-231349162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3"/>
              <c:layout>
                <c:manualLayout>
                  <c:x val="-2.8922353455818024E-2"/>
                  <c:y val="-7.01202912464325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05B-45EA-879B-952F76ECC65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([10]ข้อมูลการใช้พลังงานปี2556!$C$333:$C$336,[10]ข้อมูลการใช้พลังงานปี2556!$C$338)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FO</c:v>
                </c:pt>
                <c:pt idx="4">
                  <c:v>Electricity</c:v>
                </c:pt>
              </c:strCache>
            </c:strRef>
          </c:cat>
          <c:val>
            <c:numRef>
              <c:f>([10]ข้อมูลการใช้พลังงานปี2556!$U$333:$U$336,[10]ข้อมูลการใช้พลังงานปี2556!$U$338)</c:f>
              <c:numCache>
                <c:formatCode>General</c:formatCode>
                <c:ptCount val="5"/>
                <c:pt idx="0">
                  <c:v>41.147176221227667</c:v>
                </c:pt>
                <c:pt idx="1">
                  <c:v>42.329614495870203</c:v>
                </c:pt>
                <c:pt idx="2">
                  <c:v>4.2775995064589694</c:v>
                </c:pt>
                <c:pt idx="3">
                  <c:v>3.6572804790589371</c:v>
                </c:pt>
                <c:pt idx="4">
                  <c:v>5.2013959677747614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5B-45EA-879B-952F76ECC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([10]ข้อมูลการใช้พลังงานปี2556!$C$150:$C$151,[10]ข้อมูลการใช้พลังงานปี2556!$C$154)</c:f>
              <c:strCache>
                <c:ptCount val="3"/>
                <c:pt idx="0">
                  <c:v>Steam</c:v>
                </c:pt>
                <c:pt idx="1">
                  <c:v>Diesel</c:v>
                </c:pt>
                <c:pt idx="2">
                  <c:v>Electricity</c:v>
                </c:pt>
              </c:strCache>
            </c:strRef>
          </c:cat>
          <c:val>
            <c:numRef>
              <c:f>([10]ข้อมูลการใช้พลังงานปี2556!$U$150:$U$151,[10]ข้อมูลการใช้พลังงานปี2556!$U$154)</c:f>
              <c:numCache>
                <c:formatCode>General</c:formatCode>
                <c:ptCount val="3"/>
                <c:pt idx="0">
                  <c:v>12.045487566250234</c:v>
                </c:pt>
                <c:pt idx="1">
                  <c:v>0.12659202526598168</c:v>
                </c:pt>
                <c:pt idx="2">
                  <c:v>86.191346257201303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F-43E6-A381-DF051E39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683573928258969"/>
          <c:y val="8.7896708876960022E-2"/>
          <c:w val="0.63348118985124435"/>
          <c:h val="0.78187852581044859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([10]ข้อมูลการใช้พลังงานปี2556!$C$439:$C$443,[10]ข้อมูลการใช้พลังงานปี2556!$C$445)</c:f>
              <c:strCache>
                <c:ptCount val="6"/>
                <c:pt idx="0">
                  <c:v>Steam</c:v>
                </c:pt>
                <c:pt idx="1">
                  <c:v>LPG</c:v>
                </c:pt>
                <c:pt idx="2">
                  <c:v>FO</c:v>
                </c:pt>
                <c:pt idx="3">
                  <c:v>H2S</c:v>
                </c:pt>
                <c:pt idx="4">
                  <c:v>Coke</c:v>
                </c:pt>
                <c:pt idx="5">
                  <c:v>Electricity</c:v>
                </c:pt>
              </c:strCache>
            </c:strRef>
          </c:cat>
          <c:val>
            <c:numRef>
              <c:f>([10]ข้อมูลการใช้พลังงานปี2556!$U$439:$U$443,[10]ข้อมูลการใช้พลังงานปี2556!$U$445)</c:f>
              <c:numCache>
                <c:formatCode>General</c:formatCode>
                <c:ptCount val="6"/>
                <c:pt idx="0">
                  <c:v>15.242293683789148</c:v>
                </c:pt>
                <c:pt idx="1">
                  <c:v>37.305868765682511</c:v>
                </c:pt>
                <c:pt idx="2">
                  <c:v>18.054949945146191</c:v>
                </c:pt>
                <c:pt idx="3">
                  <c:v>1.103317733855725E-3</c:v>
                </c:pt>
                <c:pt idx="4">
                  <c:v>18.457128271949436</c:v>
                </c:pt>
                <c:pt idx="5">
                  <c:v>10.938656015698854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D-4490-B4D5-D6EADE269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333355144565738E-2"/>
          <c:y val="8.1050613908590946E-2"/>
          <c:w val="0.69562929759614789"/>
          <c:h val="0.8703625462261867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[10]ข้อมูลการใช้พลังงานปี2556!$C$1066:$C$1069</c:f>
              <c:strCache>
                <c:ptCount val="4"/>
                <c:pt idx="0">
                  <c:v>B.C. Oil</c:v>
                </c:pt>
                <c:pt idx="1">
                  <c:v>PGO/Diesel</c:v>
                </c:pt>
                <c:pt idx="2">
                  <c:v>Fuel Gas</c:v>
                </c:pt>
                <c:pt idx="3">
                  <c:v>PFO</c:v>
                </c:pt>
              </c:strCache>
            </c:strRef>
          </c:cat>
          <c:val>
            <c:numRef>
              <c:f>[10]ข้อมูลการใช้พลังงานปี2556!$U$1066:$U$1069</c:f>
              <c:numCache>
                <c:formatCode>General</c:formatCode>
                <c:ptCount val="4"/>
                <c:pt idx="0">
                  <c:v>4.2850212770759315</c:v>
                </c:pt>
                <c:pt idx="1">
                  <c:v>3.3951888578956591</c:v>
                </c:pt>
                <c:pt idx="2">
                  <c:v>88.049051011966313</c:v>
                </c:pt>
                <c:pt idx="3">
                  <c:v>4.2707388530620882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3-4D59-A135-F4F4BDFFB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3571061117270664"/>
          <c:y val="0.56879599567199912"/>
          <c:w val="0.21978560953410817"/>
          <c:h val="0.3527344095795558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5018688304963549E-2"/>
          <c:y val="5.8073691906967997E-2"/>
          <c:w val="0.80861285311548825"/>
          <c:h val="0.88881427027058768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[10]ข้อมูลการใช้พลังงานปี2556!$V$1130:$V$1131</c:f>
              <c:strCache>
                <c:ptCount val="2"/>
                <c:pt idx="0">
                  <c:v>FO/Coal</c:v>
                </c:pt>
                <c:pt idx="1">
                  <c:v>NG</c:v>
                </c:pt>
              </c:strCache>
            </c:strRef>
          </c:cat>
          <c:val>
            <c:numRef>
              <c:f>[10]ข้อมูลการใช้พลังงานปี2556!$W$1130:$W$1131</c:f>
              <c:numCache>
                <c:formatCode>General</c:formatCode>
                <c:ptCount val="2"/>
                <c:pt idx="0">
                  <c:v>19.621422767010245</c:v>
                </c:pt>
                <c:pt idx="1">
                  <c:v>80.378577232989741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3BC-A1BB-E3991D554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6009774630755922"/>
          <c:y val="0.67923744496247662"/>
          <c:w val="0.23171216542094691"/>
          <c:h val="0.20005649701981656"/>
        </c:manualLayout>
      </c:layout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2"/>
              <c:layout>
                <c:manualLayout>
                  <c:x val="7.9068241469816933E-2"/>
                  <c:y val="9.482416429518466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AF-4EB8-A031-CD18F28DA29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([10]ข้อมูลการใช้พลังงานปี2556!$C$323:$C$326,[10]ข้อมูลการใช้พลังงานปี2556!$C$328)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Recycle Monomer</c:v>
                </c:pt>
                <c:pt idx="4">
                  <c:v>Electricity</c:v>
                </c:pt>
              </c:strCache>
            </c:strRef>
          </c:cat>
          <c:val>
            <c:numRef>
              <c:f>([10]ข้อมูลการใช้พลังงานปี2556!$U$323:$U$326,[10]ข้อมูลการใช้พลังงานปี2556!$U$328)</c:f>
              <c:numCache>
                <c:formatCode>General</c:formatCode>
                <c:ptCount val="5"/>
                <c:pt idx="0">
                  <c:v>1.3419060780393421</c:v>
                </c:pt>
                <c:pt idx="1">
                  <c:v>0</c:v>
                </c:pt>
                <c:pt idx="2">
                  <c:v>0</c:v>
                </c:pt>
                <c:pt idx="3">
                  <c:v>1.1254313830251956</c:v>
                </c:pt>
                <c:pt idx="4">
                  <c:v>6.9762581186456885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F-4EB8-A031-CD18F28D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3"/>
              <c:layout>
                <c:manualLayout>
                  <c:x val="-2.8922353455818024E-2"/>
                  <c:y val="-7.01202912464325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39-46F5-B1E0-17CC6D97B01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([10]ข้อมูลการใช้พลังงานปี2556!$C$333:$C$336,[10]ข้อมูลการใช้พลังงานปี2556!$C$338)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FO</c:v>
                </c:pt>
                <c:pt idx="4">
                  <c:v>Electricity</c:v>
                </c:pt>
              </c:strCache>
            </c:strRef>
          </c:cat>
          <c:val>
            <c:numRef>
              <c:f>([10]ข้อมูลการใช้พลังงานปี2556!$U$333:$U$336,[10]ข้อมูลการใช้พลังงานปี2556!$U$338)</c:f>
              <c:numCache>
                <c:formatCode>General</c:formatCode>
                <c:ptCount val="5"/>
                <c:pt idx="0">
                  <c:v>41.147176221227667</c:v>
                </c:pt>
                <c:pt idx="1">
                  <c:v>42.329614495870203</c:v>
                </c:pt>
                <c:pt idx="2">
                  <c:v>4.2775995064589694</c:v>
                </c:pt>
                <c:pt idx="3">
                  <c:v>3.6572804790589371</c:v>
                </c:pt>
                <c:pt idx="4">
                  <c:v>5.2013959677747614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9-46F5-B1E0-17CC6D97B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([10]ข้อมูลการใช้พลังงานปี2556!$C$150:$C$151,[10]ข้อมูลการใช้พลังงานปี2556!$C$154)</c:f>
              <c:strCache>
                <c:ptCount val="3"/>
                <c:pt idx="0">
                  <c:v>Steam</c:v>
                </c:pt>
                <c:pt idx="1">
                  <c:v>Diesel</c:v>
                </c:pt>
                <c:pt idx="2">
                  <c:v>Electricity</c:v>
                </c:pt>
              </c:strCache>
            </c:strRef>
          </c:cat>
          <c:val>
            <c:numRef>
              <c:f>([10]ข้อมูลการใช้พลังงานปี2556!$U$150:$U$151,[10]ข้อมูลการใช้พลังงานปี2556!$U$154)</c:f>
              <c:numCache>
                <c:formatCode>General</c:formatCode>
                <c:ptCount val="3"/>
                <c:pt idx="0">
                  <c:v>12.045487566250234</c:v>
                </c:pt>
                <c:pt idx="1">
                  <c:v>0.12659202526598168</c:v>
                </c:pt>
                <c:pt idx="2">
                  <c:v>86.191346257201303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F-4333-B9D6-47EB53DA1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683573928258969"/>
          <c:y val="8.7896708876960022E-2"/>
          <c:w val="0.63348118985124435"/>
          <c:h val="0.78187852581044859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([10]ข้อมูลการใช้พลังงานปี2556!$C$439:$C$443,[10]ข้อมูลการใช้พลังงานปี2556!$C$445)</c:f>
              <c:strCache>
                <c:ptCount val="6"/>
                <c:pt idx="0">
                  <c:v>Steam</c:v>
                </c:pt>
                <c:pt idx="1">
                  <c:v>LPG</c:v>
                </c:pt>
                <c:pt idx="2">
                  <c:v>FO</c:v>
                </c:pt>
                <c:pt idx="3">
                  <c:v>H2S</c:v>
                </c:pt>
                <c:pt idx="4">
                  <c:v>Coke</c:v>
                </c:pt>
                <c:pt idx="5">
                  <c:v>Electricity</c:v>
                </c:pt>
              </c:strCache>
            </c:strRef>
          </c:cat>
          <c:val>
            <c:numRef>
              <c:f>([10]ข้อมูลการใช้พลังงานปี2556!$U$439:$U$443,[10]ข้อมูลการใช้พลังงานปี2556!$U$445)</c:f>
              <c:numCache>
                <c:formatCode>General</c:formatCode>
                <c:ptCount val="6"/>
                <c:pt idx="0">
                  <c:v>15.242293683789148</c:v>
                </c:pt>
                <c:pt idx="1">
                  <c:v>37.305868765682511</c:v>
                </c:pt>
                <c:pt idx="2">
                  <c:v>18.054949945146191</c:v>
                </c:pt>
                <c:pt idx="3">
                  <c:v>1.103317733855725E-3</c:v>
                </c:pt>
                <c:pt idx="4">
                  <c:v>18.457128271949436</c:v>
                </c:pt>
                <c:pt idx="5">
                  <c:v>10.938656015698854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E-4873-836B-3E517DE5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333355144565738E-2"/>
          <c:y val="8.1050613908590946E-2"/>
          <c:w val="0.69562929759614789"/>
          <c:h val="0.8703625462261867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[10]ข้อมูลการใช้พลังงานปี2556!$C$1066:$C$1069</c:f>
              <c:strCache>
                <c:ptCount val="4"/>
                <c:pt idx="0">
                  <c:v>B.C. Oil</c:v>
                </c:pt>
                <c:pt idx="1">
                  <c:v>PGO/Diesel</c:v>
                </c:pt>
                <c:pt idx="2">
                  <c:v>Fuel Gas</c:v>
                </c:pt>
                <c:pt idx="3">
                  <c:v>PFO</c:v>
                </c:pt>
              </c:strCache>
            </c:strRef>
          </c:cat>
          <c:val>
            <c:numRef>
              <c:f>[10]ข้อมูลการใช้พลังงานปี2556!$U$1066:$U$1069</c:f>
              <c:numCache>
                <c:formatCode>General</c:formatCode>
                <c:ptCount val="4"/>
                <c:pt idx="0">
                  <c:v>4.2850212770759315</c:v>
                </c:pt>
                <c:pt idx="1">
                  <c:v>3.3951888578956591</c:v>
                </c:pt>
                <c:pt idx="2">
                  <c:v>88.049051011966313</c:v>
                </c:pt>
                <c:pt idx="3">
                  <c:v>4.2707388530620882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C46-9C82-CCB14E4F2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3571061117270664"/>
          <c:y val="0.56879599567199912"/>
          <c:w val="0.21978560953410817"/>
          <c:h val="0.3527344095795558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5018688304963549E-2"/>
          <c:y val="5.8073691906967997E-2"/>
          <c:w val="0.80861285311548825"/>
          <c:h val="0.88881427027058768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[10]ข้อมูลการใช้พลังงานปี2556!$V$1130:$V$1131</c:f>
              <c:strCache>
                <c:ptCount val="2"/>
                <c:pt idx="0">
                  <c:v>FO/Coal</c:v>
                </c:pt>
                <c:pt idx="1">
                  <c:v>NG</c:v>
                </c:pt>
              </c:strCache>
            </c:strRef>
          </c:cat>
          <c:val>
            <c:numRef>
              <c:f>[10]ข้อมูลการใช้พลังงานปี2556!$W$1130:$W$1131</c:f>
              <c:numCache>
                <c:formatCode>General</c:formatCode>
                <c:ptCount val="2"/>
                <c:pt idx="0">
                  <c:v>19.621422767010245</c:v>
                </c:pt>
                <c:pt idx="1">
                  <c:v>80.378577232989741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8-4141-9CDC-A38C33075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6009774630755922"/>
          <c:y val="0.67923744496247662"/>
          <c:w val="0.23171216542094691"/>
          <c:h val="0.20005649701981656"/>
        </c:manualLayout>
      </c:layout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366" l="0.70000000000000062" r="0.70000000000000062" t="0.750000000000013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2"/>
              <c:layout>
                <c:manualLayout>
                  <c:x val="7.9068241469816933E-2"/>
                  <c:y val="9.482416429518435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A7-4672-94AF-29C87D9879B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([2]ข้อมูลการใช้พลังงานปี2556!$C$323:$C$326,[2]ข้อมูลการใช้พลังงานปี2556!$C$328)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Recycle Monomer</c:v>
                </c:pt>
                <c:pt idx="4">
                  <c:v>Electricity</c:v>
                </c:pt>
              </c:strCache>
            </c:strRef>
          </c:cat>
          <c:val>
            <c:numRef>
              <c:f>([2]ข้อมูลการใช้พลังงานปี2556!$U$323:$U$326,[2]ข้อมูลการใช้พลังงานปี2556!$U$328)</c:f>
              <c:numCache>
                <c:formatCode>General</c:formatCode>
                <c:ptCount val="5"/>
                <c:pt idx="0">
                  <c:v>1.3419060780393421</c:v>
                </c:pt>
                <c:pt idx="1">
                  <c:v>0</c:v>
                </c:pt>
                <c:pt idx="2">
                  <c:v>0</c:v>
                </c:pt>
                <c:pt idx="3">
                  <c:v>1.1254313830251956</c:v>
                </c:pt>
                <c:pt idx="4">
                  <c:v>6.9762581186456885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7-4672-94AF-29C87D987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3"/>
              <c:layout>
                <c:manualLayout>
                  <c:x val="-2.8922353455818024E-2"/>
                  <c:y val="-7.01202912464323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D13-4421-B4F1-C90D04AA201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([2]ข้อมูลการใช้พลังงานปี2556!$C$333:$C$336,[2]ข้อมูลการใช้พลังงานปี2556!$C$338)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FO</c:v>
                </c:pt>
                <c:pt idx="4">
                  <c:v>Electricity</c:v>
                </c:pt>
              </c:strCache>
            </c:strRef>
          </c:cat>
          <c:val>
            <c:numRef>
              <c:f>([2]ข้อมูลการใช้พลังงานปี2556!$U$333:$U$336,[2]ข้อมูลการใช้พลังงานปี2556!$U$338)</c:f>
              <c:numCache>
                <c:formatCode>General</c:formatCode>
                <c:ptCount val="5"/>
                <c:pt idx="0">
                  <c:v>41.147176221227667</c:v>
                </c:pt>
                <c:pt idx="1">
                  <c:v>42.329614495870203</c:v>
                </c:pt>
                <c:pt idx="2">
                  <c:v>4.2775995064589694</c:v>
                </c:pt>
                <c:pt idx="3">
                  <c:v>3.6572804790589371</c:v>
                </c:pt>
                <c:pt idx="4">
                  <c:v>5.2013959677747614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13-4421-B4F1-C90D04AA2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([2]ข้อมูลการใช้พลังงานปี2556!$C$150:$C$151,[2]ข้อมูลการใช้พลังงานปี2556!$C$154)</c:f>
              <c:strCache>
                <c:ptCount val="3"/>
                <c:pt idx="0">
                  <c:v>Steam</c:v>
                </c:pt>
                <c:pt idx="1">
                  <c:v>Diesel</c:v>
                </c:pt>
                <c:pt idx="2">
                  <c:v>Electricity</c:v>
                </c:pt>
              </c:strCache>
            </c:strRef>
          </c:cat>
          <c:val>
            <c:numRef>
              <c:f>([2]ข้อมูลการใช้พลังงานปี2556!$U$150:$U$151,[2]ข้อมูลการใช้พลังงานปี2556!$U$154)</c:f>
              <c:numCache>
                <c:formatCode>General</c:formatCode>
                <c:ptCount val="3"/>
                <c:pt idx="0">
                  <c:v>10.313758053574256</c:v>
                </c:pt>
                <c:pt idx="1">
                  <c:v>0.12642307568474695</c:v>
                </c:pt>
                <c:pt idx="2">
                  <c:v>87.843422391267609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5-43E3-ACB2-1481CB3A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683573928258969"/>
          <c:y val="8.7896708876960022E-2"/>
          <c:w val="0.63348118985124635"/>
          <c:h val="0.78187852581044859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([2]ข้อมูลการใช้พลังงานปี2556!$C$439:$C$443,[2]ข้อมูลการใช้พลังงานปี2556!$C$445)</c:f>
              <c:strCache>
                <c:ptCount val="6"/>
                <c:pt idx="0">
                  <c:v>Steam</c:v>
                </c:pt>
                <c:pt idx="1">
                  <c:v>LPG</c:v>
                </c:pt>
                <c:pt idx="2">
                  <c:v>FO</c:v>
                </c:pt>
                <c:pt idx="3">
                  <c:v>H2S</c:v>
                </c:pt>
                <c:pt idx="4">
                  <c:v>Coke</c:v>
                </c:pt>
                <c:pt idx="5">
                  <c:v>Electricity</c:v>
                </c:pt>
              </c:strCache>
            </c:strRef>
          </c:cat>
          <c:val>
            <c:numRef>
              <c:f>([2]ข้อมูลการใช้พลังงานปี2556!$U$439:$U$443,[2]ข้อมูลการใช้พลังงานปี2556!$U$445)</c:f>
              <c:numCache>
                <c:formatCode>General</c:formatCode>
                <c:ptCount val="6"/>
                <c:pt idx="0">
                  <c:v>15.242293683789148</c:v>
                </c:pt>
                <c:pt idx="1">
                  <c:v>37.305868765682511</c:v>
                </c:pt>
                <c:pt idx="2">
                  <c:v>18.054949945146191</c:v>
                </c:pt>
                <c:pt idx="3">
                  <c:v>1.103317733855725E-3</c:v>
                </c:pt>
                <c:pt idx="4">
                  <c:v>18.457128271949436</c:v>
                </c:pt>
                <c:pt idx="5">
                  <c:v>10.938656015698854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D-420B-B441-F4F4DBF2A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333355144565738E-2"/>
          <c:y val="8.1050613908590946E-2"/>
          <c:w val="0.69562929759614534"/>
          <c:h val="0.8703625462261867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[2]ข้อมูลการใช้พลังงานปี2556!$C$1066:$C$1069</c:f>
              <c:strCache>
                <c:ptCount val="4"/>
                <c:pt idx="0">
                  <c:v>B.C. Oil</c:v>
                </c:pt>
                <c:pt idx="1">
                  <c:v>PGO/Diesel</c:v>
                </c:pt>
                <c:pt idx="2">
                  <c:v>Fuel Gas</c:v>
                </c:pt>
                <c:pt idx="3">
                  <c:v>PFO</c:v>
                </c:pt>
              </c:strCache>
            </c:strRef>
          </c:cat>
          <c:val>
            <c:numRef>
              <c:f>[2]ข้อมูลการใช้พลังงานปี2556!$U$1066:$U$1069</c:f>
              <c:numCache>
                <c:formatCode>General</c:formatCode>
                <c:ptCount val="4"/>
                <c:pt idx="0">
                  <c:v>4.2850212770759315</c:v>
                </c:pt>
                <c:pt idx="1">
                  <c:v>3.3951888578956591</c:v>
                </c:pt>
                <c:pt idx="2">
                  <c:v>88.049051011966313</c:v>
                </c:pt>
                <c:pt idx="3">
                  <c:v>4.2707388530620882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2-4751-B7B9-D33C6011F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3571061117270664"/>
          <c:y val="0.5687959956719979"/>
          <c:w val="0.21978560953410789"/>
          <c:h val="0.3527344095795558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5018688304963549E-2"/>
          <c:y val="5.80736919069679E-2"/>
          <c:w val="0.80861285311548692"/>
          <c:h val="0.88881427027058635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[2]ข้อมูลการใช้พลังงานปี2556!$V$1130:$V$1131</c:f>
              <c:strCache>
                <c:ptCount val="2"/>
                <c:pt idx="0">
                  <c:v>FO/Coal</c:v>
                </c:pt>
                <c:pt idx="1">
                  <c:v>NG</c:v>
                </c:pt>
              </c:strCache>
            </c:strRef>
          </c:cat>
          <c:val>
            <c:numRef>
              <c:f>[2]ข้อมูลการใช้พลังงานปี2556!$W$1130:$W$1131</c:f>
              <c:numCache>
                <c:formatCode>General</c:formatCode>
                <c:ptCount val="2"/>
                <c:pt idx="0">
                  <c:v>19.621422767010245</c:v>
                </c:pt>
                <c:pt idx="1">
                  <c:v>80.378577232989741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B-497F-A494-49271D7FC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6009774630755811"/>
          <c:y val="0.67923744496247662"/>
          <c:w val="0.23171216542094691"/>
          <c:h val="0.20005649701981656"/>
        </c:manualLayout>
      </c:layout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2"/>
              <c:layout>
                <c:manualLayout>
                  <c:x val="7.9068241469816933E-2"/>
                  <c:y val="9.482416429518431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A5-475C-BC78-917102B3464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([2]ข้อมูลการใช้พลังงานปี2556!$C$323:$C$326,[2]ข้อมูลการใช้พลังงานปี2556!$C$328)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Recycle Monomer</c:v>
                </c:pt>
                <c:pt idx="4">
                  <c:v>Electricity</c:v>
                </c:pt>
              </c:strCache>
            </c:strRef>
          </c:cat>
          <c:val>
            <c:numRef>
              <c:f>([2]ข้อมูลการใช้พลังงานปี2556!$U$323:$U$326,[2]ข้อมูลการใช้พลังงานปี2556!$U$328)</c:f>
              <c:numCache>
                <c:formatCode>General</c:formatCode>
                <c:ptCount val="5"/>
                <c:pt idx="0">
                  <c:v>1.3419060780393421</c:v>
                </c:pt>
                <c:pt idx="1">
                  <c:v>0</c:v>
                </c:pt>
                <c:pt idx="2">
                  <c:v>0</c:v>
                </c:pt>
                <c:pt idx="3">
                  <c:v>1.1254313830251956</c:v>
                </c:pt>
                <c:pt idx="4">
                  <c:v>6.9762581186456885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5-475C-BC78-917102B34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dLbl>
              <c:idx val="3"/>
              <c:layout>
                <c:manualLayout>
                  <c:x val="-2.8922353455818024E-2"/>
                  <c:y val="-7.012029124643235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6F-4C17-89DE-76B105042E7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([2]ข้อมูลการใช้พลังงานปี2556!$C$333:$C$336,[2]ข้อมูลการใช้พลังงานปี2556!$C$338)</c:f>
              <c:strCache>
                <c:ptCount val="5"/>
                <c:pt idx="0">
                  <c:v>Steam</c:v>
                </c:pt>
                <c:pt idx="1">
                  <c:v>LPG</c:v>
                </c:pt>
                <c:pt idx="2">
                  <c:v>Diesel</c:v>
                </c:pt>
                <c:pt idx="3">
                  <c:v>FO</c:v>
                </c:pt>
                <c:pt idx="4">
                  <c:v>Electricity</c:v>
                </c:pt>
              </c:strCache>
            </c:strRef>
          </c:cat>
          <c:val>
            <c:numRef>
              <c:f>([2]ข้อมูลการใช้พลังงานปี2556!$U$333:$U$336,[2]ข้อมูลการใช้พลังงานปี2556!$U$338)</c:f>
              <c:numCache>
                <c:formatCode>General</c:formatCode>
                <c:ptCount val="5"/>
                <c:pt idx="0">
                  <c:v>41.147176221227667</c:v>
                </c:pt>
                <c:pt idx="1">
                  <c:v>42.329614495870203</c:v>
                </c:pt>
                <c:pt idx="2">
                  <c:v>4.2775995064589694</c:v>
                </c:pt>
                <c:pt idx="3">
                  <c:v>3.6572804790589371</c:v>
                </c:pt>
                <c:pt idx="4">
                  <c:v>5.2013959677747614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F-4C17-89DE-76B105042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([2]ข้อมูลการใช้พลังงานปี2556!$C$150:$C$151,[2]ข้อมูลการใช้พลังงานปี2556!$C$154)</c:f>
              <c:strCache>
                <c:ptCount val="3"/>
                <c:pt idx="0">
                  <c:v>Steam</c:v>
                </c:pt>
                <c:pt idx="1">
                  <c:v>Diesel</c:v>
                </c:pt>
                <c:pt idx="2">
                  <c:v>Electricity</c:v>
                </c:pt>
              </c:strCache>
            </c:strRef>
          </c:cat>
          <c:val>
            <c:numRef>
              <c:f>([2]ข้อมูลการใช้พลังงานปี2556!$U$150:$U$151,[2]ข้อมูลการใช้พลังงานปี2556!$U$154)</c:f>
              <c:numCache>
                <c:formatCode>General</c:formatCode>
                <c:ptCount val="3"/>
                <c:pt idx="0">
                  <c:v>10.313758053574256</c:v>
                </c:pt>
                <c:pt idx="1">
                  <c:v>0.12642307568474695</c:v>
                </c:pt>
                <c:pt idx="2">
                  <c:v>87.843422391267609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D-4CA7-9925-353A605D4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683573928258969"/>
          <c:y val="8.7896708876960022E-2"/>
          <c:w val="0.63348118985124646"/>
          <c:h val="0.78187852581044859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([2]ข้อมูลการใช้พลังงานปี2556!$C$439:$C$443,[2]ข้อมูลการใช้พลังงานปี2556!$C$445)</c:f>
              <c:strCache>
                <c:ptCount val="6"/>
                <c:pt idx="0">
                  <c:v>Steam</c:v>
                </c:pt>
                <c:pt idx="1">
                  <c:v>LPG</c:v>
                </c:pt>
                <c:pt idx="2">
                  <c:v>FO</c:v>
                </c:pt>
                <c:pt idx="3">
                  <c:v>H2S</c:v>
                </c:pt>
                <c:pt idx="4">
                  <c:v>Coke</c:v>
                </c:pt>
                <c:pt idx="5">
                  <c:v>Electricity</c:v>
                </c:pt>
              </c:strCache>
            </c:strRef>
          </c:cat>
          <c:val>
            <c:numRef>
              <c:f>([2]ข้อมูลการใช้พลังงานปี2556!$U$439:$U$443,[2]ข้อมูลการใช้พลังงานปี2556!$U$445)</c:f>
              <c:numCache>
                <c:formatCode>General</c:formatCode>
                <c:ptCount val="6"/>
                <c:pt idx="0">
                  <c:v>15.242293683789148</c:v>
                </c:pt>
                <c:pt idx="1">
                  <c:v>37.305868765682511</c:v>
                </c:pt>
                <c:pt idx="2">
                  <c:v>18.054949945146191</c:v>
                </c:pt>
                <c:pt idx="3">
                  <c:v>1.103317733855725E-3</c:v>
                </c:pt>
                <c:pt idx="4">
                  <c:v>18.457128271949436</c:v>
                </c:pt>
                <c:pt idx="5">
                  <c:v>10.938656015698854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1-4C4D-89D3-DB2A2E201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333355144565738E-2"/>
          <c:y val="8.1050613908590946E-2"/>
          <c:w val="0.69562929759614511"/>
          <c:h val="0.8703625462261867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[2]ข้อมูลการใช้พลังงานปี2556!$C$1066:$C$1069</c:f>
              <c:strCache>
                <c:ptCount val="4"/>
                <c:pt idx="0">
                  <c:v>B.C. Oil</c:v>
                </c:pt>
                <c:pt idx="1">
                  <c:v>PGO/Diesel</c:v>
                </c:pt>
                <c:pt idx="2">
                  <c:v>Fuel Gas</c:v>
                </c:pt>
                <c:pt idx="3">
                  <c:v>PFO</c:v>
                </c:pt>
              </c:strCache>
            </c:strRef>
          </c:cat>
          <c:val>
            <c:numRef>
              <c:f>[2]ข้อมูลการใช้พลังงานปี2556!$U$1066:$U$1069</c:f>
              <c:numCache>
                <c:formatCode>General</c:formatCode>
                <c:ptCount val="4"/>
                <c:pt idx="0">
                  <c:v>4.2850212770759315</c:v>
                </c:pt>
                <c:pt idx="1">
                  <c:v>3.3951888578956591</c:v>
                </c:pt>
                <c:pt idx="2">
                  <c:v>88.049051011966313</c:v>
                </c:pt>
                <c:pt idx="3">
                  <c:v>4.2707388530620882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9-4171-BBE6-17CB90BB1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3571061117270664"/>
          <c:y val="0.56879599567199779"/>
          <c:w val="0.21978560953410786"/>
          <c:h val="0.35273440957955582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5018688304963549E-2"/>
          <c:y val="5.8073691906967886E-2"/>
          <c:w val="0.80861285311548681"/>
          <c:h val="0.88881427027058624"/>
        </c:manualLayout>
      </c:layout>
      <c:pie3DChart>
        <c:varyColors val="1"/>
        <c:ser>
          <c:idx val="0"/>
          <c:order val="0"/>
          <c:explosion val="25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rgbClr val="FFC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[2]ข้อมูลการใช้พลังงานปี2556!$V$1130:$V$1131</c:f>
              <c:strCache>
                <c:ptCount val="2"/>
                <c:pt idx="0">
                  <c:v>FO/Coal</c:v>
                </c:pt>
                <c:pt idx="1">
                  <c:v>NG</c:v>
                </c:pt>
              </c:strCache>
            </c:strRef>
          </c:cat>
          <c:val>
            <c:numRef>
              <c:f>[2]ข้อมูลการใช้พลังงานปี2556!$W$1130:$W$1131</c:f>
              <c:numCache>
                <c:formatCode>General</c:formatCode>
                <c:ptCount val="2"/>
                <c:pt idx="0">
                  <c:v>19.621422767010245</c:v>
                </c:pt>
                <c:pt idx="1">
                  <c:v>80.378577232989741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A-43E3-910B-85D725A1D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>
        <c:manualLayout>
          <c:xMode val="edge"/>
          <c:yMode val="edge"/>
          <c:x val="0.760097746307558"/>
          <c:y val="0.67923744496247662"/>
          <c:w val="0.23171216542094691"/>
          <c:h val="0.20005649701981656"/>
        </c:manualLayout>
      </c:layout>
      <c:overlay val="0"/>
      <c:txPr>
        <a:bodyPr/>
        <a:lstStyle/>
        <a:p>
          <a:pPr>
            <a:defRPr sz="1400" b="1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0</xdr:row>
      <xdr:rowOff>0</xdr:rowOff>
    </xdr:from>
    <xdr:to>
      <xdr:col>5</xdr:col>
      <xdr:colOff>711835</xdr:colOff>
      <xdr:row>0</xdr:row>
      <xdr:rowOff>4762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10344150" y="0"/>
          <a:ext cx="381635" cy="4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1690708</xdr:colOff>
      <xdr:row>0</xdr:row>
      <xdr:rowOff>0</xdr:rowOff>
    </xdr:from>
    <xdr:to>
      <xdr:col>5</xdr:col>
      <xdr:colOff>74253</xdr:colOff>
      <xdr:row>0</xdr:row>
      <xdr:rowOff>135255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13858" y="0"/>
          <a:ext cx="75820" cy="135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3</xdr:col>
      <xdr:colOff>3667126</xdr:colOff>
      <xdr:row>77</xdr:row>
      <xdr:rowOff>0</xdr:rowOff>
    </xdr:from>
    <xdr:ext cx="8689" cy="1076659"/>
    <xdr:pic>
      <xdr:nvPicPr>
        <xdr:cNvPr id="5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6" y="259969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77</xdr:row>
      <xdr:rowOff>0</xdr:rowOff>
    </xdr:from>
    <xdr:ext cx="8689" cy="1076659"/>
    <xdr:pic>
      <xdr:nvPicPr>
        <xdr:cNvPr id="6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6" y="259969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6072047</xdr:colOff>
      <xdr:row>77</xdr:row>
      <xdr:rowOff>0</xdr:rowOff>
    </xdr:from>
    <xdr:to>
      <xdr:col>5</xdr:col>
      <xdr:colOff>23451</xdr:colOff>
      <xdr:row>78</xdr:row>
      <xdr:rowOff>158448</xdr:rowOff>
    </xdr:to>
    <xdr:pic>
      <xdr:nvPicPr>
        <xdr:cNvPr id="1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3097" y="33661350"/>
          <a:ext cx="18829" cy="1087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17944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17944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23088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17944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23088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1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17944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28231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3337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3337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28231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3337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3337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77</xdr:row>
      <xdr:rowOff>0</xdr:rowOff>
    </xdr:from>
    <xdr:ext cx="18829" cy="810911"/>
    <xdr:pic>
      <xdr:nvPicPr>
        <xdr:cNvPr id="2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797" y="33337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58</xdr:row>
      <xdr:rowOff>0</xdr:rowOff>
    </xdr:from>
    <xdr:ext cx="8689" cy="1076659"/>
    <xdr:pic>
      <xdr:nvPicPr>
        <xdr:cNvPr id="28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1" y="161544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58</xdr:row>
      <xdr:rowOff>0</xdr:rowOff>
    </xdr:from>
    <xdr:ext cx="8689" cy="1076659"/>
    <xdr:pic>
      <xdr:nvPicPr>
        <xdr:cNvPr id="29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1" y="161544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58</xdr:row>
      <xdr:rowOff>0</xdr:rowOff>
    </xdr:from>
    <xdr:ext cx="8689" cy="1076659"/>
    <xdr:pic>
      <xdr:nvPicPr>
        <xdr:cNvPr id="30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578739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58</xdr:row>
      <xdr:rowOff>0</xdr:rowOff>
    </xdr:from>
    <xdr:ext cx="8689" cy="1076659"/>
    <xdr:pic>
      <xdr:nvPicPr>
        <xdr:cNvPr id="31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57873900"/>
          <a:ext cx="8689" cy="1076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58</xdr:row>
      <xdr:rowOff>0</xdr:rowOff>
    </xdr:from>
    <xdr:ext cx="836" cy="809959"/>
    <xdr:pic>
      <xdr:nvPicPr>
        <xdr:cNvPr id="32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57873900"/>
          <a:ext cx="836" cy="809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58</xdr:row>
      <xdr:rowOff>0</xdr:rowOff>
    </xdr:from>
    <xdr:ext cx="18829" cy="810911"/>
    <xdr:pic>
      <xdr:nvPicPr>
        <xdr:cNvPr id="3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3572" y="57873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59</xdr:row>
      <xdr:rowOff>0</xdr:rowOff>
    </xdr:from>
    <xdr:ext cx="18829" cy="810911"/>
    <xdr:pic>
      <xdr:nvPicPr>
        <xdr:cNvPr id="3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8388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60</xdr:row>
      <xdr:rowOff>0</xdr:rowOff>
    </xdr:from>
    <xdr:ext cx="18829" cy="810911"/>
    <xdr:pic>
      <xdr:nvPicPr>
        <xdr:cNvPr id="3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8902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61</xdr:row>
      <xdr:rowOff>0</xdr:rowOff>
    </xdr:from>
    <xdr:ext cx="18829" cy="810911"/>
    <xdr:pic>
      <xdr:nvPicPr>
        <xdr:cNvPr id="3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416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61</xdr:row>
      <xdr:rowOff>0</xdr:rowOff>
    </xdr:from>
    <xdr:ext cx="18829" cy="810911"/>
    <xdr:pic>
      <xdr:nvPicPr>
        <xdr:cNvPr id="3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416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62</xdr:row>
      <xdr:rowOff>0</xdr:rowOff>
    </xdr:from>
    <xdr:ext cx="18829" cy="810911"/>
    <xdr:pic>
      <xdr:nvPicPr>
        <xdr:cNvPr id="3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9313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62</xdr:row>
      <xdr:rowOff>0</xdr:rowOff>
    </xdr:from>
    <xdr:ext cx="18829" cy="810911"/>
    <xdr:pic>
      <xdr:nvPicPr>
        <xdr:cNvPr id="3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9313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61</xdr:row>
      <xdr:rowOff>0</xdr:rowOff>
    </xdr:from>
    <xdr:ext cx="18829" cy="810911"/>
    <xdr:pic>
      <xdr:nvPicPr>
        <xdr:cNvPr id="4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416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62</xdr:row>
      <xdr:rowOff>0</xdr:rowOff>
    </xdr:from>
    <xdr:ext cx="18829" cy="810911"/>
    <xdr:pic>
      <xdr:nvPicPr>
        <xdr:cNvPr id="4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9313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62</xdr:row>
      <xdr:rowOff>0</xdr:rowOff>
    </xdr:from>
    <xdr:ext cx="18829" cy="810911"/>
    <xdr:pic>
      <xdr:nvPicPr>
        <xdr:cNvPr id="4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9313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62</xdr:row>
      <xdr:rowOff>0</xdr:rowOff>
    </xdr:from>
    <xdr:ext cx="18829" cy="810911"/>
    <xdr:pic>
      <xdr:nvPicPr>
        <xdr:cNvPr id="4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599313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63</xdr:row>
      <xdr:rowOff>0</xdr:rowOff>
    </xdr:from>
    <xdr:ext cx="18829" cy="810911"/>
    <xdr:pic>
      <xdr:nvPicPr>
        <xdr:cNvPr id="4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604456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63</xdr:row>
      <xdr:rowOff>0</xdr:rowOff>
    </xdr:from>
    <xdr:ext cx="18829" cy="810911"/>
    <xdr:pic>
      <xdr:nvPicPr>
        <xdr:cNvPr id="4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604456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63</xdr:row>
      <xdr:rowOff>0</xdr:rowOff>
    </xdr:from>
    <xdr:ext cx="18829" cy="810911"/>
    <xdr:pic>
      <xdr:nvPicPr>
        <xdr:cNvPr id="4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604456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3667126</xdr:colOff>
      <xdr:row>20</xdr:row>
      <xdr:rowOff>0</xdr:rowOff>
    </xdr:from>
    <xdr:ext cx="836" cy="809959"/>
    <xdr:pic>
      <xdr:nvPicPr>
        <xdr:cNvPr id="62" name="picid" descr="http://10.33.18.71/employee/00000094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43014900"/>
          <a:ext cx="836" cy="809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20</xdr:row>
      <xdr:rowOff>0</xdr:rowOff>
    </xdr:from>
    <xdr:ext cx="18829" cy="810911"/>
    <xdr:pic>
      <xdr:nvPicPr>
        <xdr:cNvPr id="6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3572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6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20</xdr:row>
      <xdr:rowOff>0</xdr:rowOff>
    </xdr:from>
    <xdr:ext cx="18829" cy="810911"/>
    <xdr:pic>
      <xdr:nvPicPr>
        <xdr:cNvPr id="7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43014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21</xdr:row>
      <xdr:rowOff>0</xdr:rowOff>
    </xdr:from>
    <xdr:ext cx="18829" cy="810911"/>
    <xdr:pic>
      <xdr:nvPicPr>
        <xdr:cNvPr id="5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5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5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5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5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6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6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7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7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7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8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8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8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0</xdr:rowOff>
    </xdr:from>
    <xdr:ext cx="18829" cy="810911"/>
    <xdr:pic>
      <xdr:nvPicPr>
        <xdr:cNvPr id="8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22</xdr:row>
      <xdr:rowOff>0</xdr:rowOff>
    </xdr:from>
    <xdr:ext cx="18829" cy="810911"/>
    <xdr:pic>
      <xdr:nvPicPr>
        <xdr:cNvPr id="8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8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8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8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8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8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0</xdr:rowOff>
    </xdr:from>
    <xdr:ext cx="18829" cy="810911"/>
    <xdr:pic>
      <xdr:nvPicPr>
        <xdr:cNvPr id="9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23</xdr:row>
      <xdr:rowOff>0</xdr:rowOff>
    </xdr:from>
    <xdr:ext cx="18829" cy="810911"/>
    <xdr:pic>
      <xdr:nvPicPr>
        <xdr:cNvPr id="9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9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0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23</xdr:row>
      <xdr:rowOff>0</xdr:rowOff>
    </xdr:from>
    <xdr:ext cx="18829" cy="810911"/>
    <xdr:pic>
      <xdr:nvPicPr>
        <xdr:cNvPr id="11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1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23</xdr:row>
      <xdr:rowOff>0</xdr:rowOff>
    </xdr:from>
    <xdr:ext cx="18829" cy="810911"/>
    <xdr:pic>
      <xdr:nvPicPr>
        <xdr:cNvPr id="12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0763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24</xdr:row>
      <xdr:rowOff>0</xdr:rowOff>
    </xdr:from>
    <xdr:ext cx="18829" cy="810911"/>
    <xdr:pic>
      <xdr:nvPicPr>
        <xdr:cNvPr id="12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2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2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2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24</xdr:row>
      <xdr:rowOff>0</xdr:rowOff>
    </xdr:from>
    <xdr:ext cx="18829" cy="810911"/>
    <xdr:pic>
      <xdr:nvPicPr>
        <xdr:cNvPr id="13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1277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24</xdr:row>
      <xdr:rowOff>0</xdr:rowOff>
    </xdr:from>
    <xdr:ext cx="18829" cy="810911"/>
    <xdr:pic>
      <xdr:nvPicPr>
        <xdr:cNvPr id="15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922" y="297942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25</xdr:row>
      <xdr:rowOff>0</xdr:rowOff>
    </xdr:from>
    <xdr:ext cx="18829" cy="810911"/>
    <xdr:pic>
      <xdr:nvPicPr>
        <xdr:cNvPr id="15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03085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</xdr:row>
      <xdr:rowOff>0</xdr:rowOff>
    </xdr:from>
    <xdr:ext cx="18829" cy="810911"/>
    <xdr:pic>
      <xdr:nvPicPr>
        <xdr:cNvPr id="15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08229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</xdr:row>
      <xdr:rowOff>0</xdr:rowOff>
    </xdr:from>
    <xdr:ext cx="18829" cy="810911"/>
    <xdr:pic>
      <xdr:nvPicPr>
        <xdr:cNvPr id="15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337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</xdr:row>
      <xdr:rowOff>0</xdr:rowOff>
    </xdr:from>
    <xdr:ext cx="18829" cy="810911"/>
    <xdr:pic>
      <xdr:nvPicPr>
        <xdr:cNvPr id="15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337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28</xdr:row>
      <xdr:rowOff>0</xdr:rowOff>
    </xdr:from>
    <xdr:ext cx="18829" cy="810911"/>
    <xdr:pic>
      <xdr:nvPicPr>
        <xdr:cNvPr id="15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851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28</xdr:row>
      <xdr:rowOff>0</xdr:rowOff>
    </xdr:from>
    <xdr:ext cx="18829" cy="810911"/>
    <xdr:pic>
      <xdr:nvPicPr>
        <xdr:cNvPr id="16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851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27</xdr:row>
      <xdr:rowOff>0</xdr:rowOff>
    </xdr:from>
    <xdr:ext cx="18829" cy="810911"/>
    <xdr:pic>
      <xdr:nvPicPr>
        <xdr:cNvPr id="16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3372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28</xdr:row>
      <xdr:rowOff>0</xdr:rowOff>
    </xdr:from>
    <xdr:ext cx="18829" cy="810911"/>
    <xdr:pic>
      <xdr:nvPicPr>
        <xdr:cNvPr id="16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851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28</xdr:row>
      <xdr:rowOff>0</xdr:rowOff>
    </xdr:from>
    <xdr:ext cx="18829" cy="810911"/>
    <xdr:pic>
      <xdr:nvPicPr>
        <xdr:cNvPr id="16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851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28</xdr:row>
      <xdr:rowOff>0</xdr:rowOff>
    </xdr:from>
    <xdr:ext cx="18829" cy="810911"/>
    <xdr:pic>
      <xdr:nvPicPr>
        <xdr:cNvPr id="16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18516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29</xdr:row>
      <xdr:rowOff>0</xdr:rowOff>
    </xdr:from>
    <xdr:ext cx="18829" cy="810911"/>
    <xdr:pic>
      <xdr:nvPicPr>
        <xdr:cNvPr id="16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2365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29</xdr:row>
      <xdr:rowOff>0</xdr:rowOff>
    </xdr:from>
    <xdr:ext cx="18829" cy="810911"/>
    <xdr:pic>
      <xdr:nvPicPr>
        <xdr:cNvPr id="16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2365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29</xdr:row>
      <xdr:rowOff>0</xdr:rowOff>
    </xdr:from>
    <xdr:ext cx="18829" cy="810911"/>
    <xdr:pic>
      <xdr:nvPicPr>
        <xdr:cNvPr id="16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3236595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6072047</xdr:colOff>
      <xdr:row>65</xdr:row>
      <xdr:rowOff>0</xdr:rowOff>
    </xdr:from>
    <xdr:ext cx="18829" cy="810911"/>
    <xdr:pic>
      <xdr:nvPicPr>
        <xdr:cNvPr id="18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27397" y="127635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66</xdr:row>
      <xdr:rowOff>0</xdr:rowOff>
    </xdr:from>
    <xdr:ext cx="18829" cy="810911"/>
    <xdr:pic>
      <xdr:nvPicPr>
        <xdr:cNvPr id="18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32588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67</xdr:row>
      <xdr:rowOff>0</xdr:rowOff>
    </xdr:from>
    <xdr:ext cx="18829" cy="810911"/>
    <xdr:pic>
      <xdr:nvPicPr>
        <xdr:cNvPr id="18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37541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68</xdr:row>
      <xdr:rowOff>0</xdr:rowOff>
    </xdr:from>
    <xdr:ext cx="18829" cy="810911"/>
    <xdr:pic>
      <xdr:nvPicPr>
        <xdr:cNvPr id="18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2494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68</xdr:row>
      <xdr:rowOff>0</xdr:rowOff>
    </xdr:from>
    <xdr:ext cx="18829" cy="810911"/>
    <xdr:pic>
      <xdr:nvPicPr>
        <xdr:cNvPr id="186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2494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69</xdr:row>
      <xdr:rowOff>0</xdr:rowOff>
    </xdr:from>
    <xdr:ext cx="18829" cy="810911"/>
    <xdr:pic>
      <xdr:nvPicPr>
        <xdr:cNvPr id="187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7447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69</xdr:row>
      <xdr:rowOff>0</xdr:rowOff>
    </xdr:from>
    <xdr:ext cx="18829" cy="810911"/>
    <xdr:pic>
      <xdr:nvPicPr>
        <xdr:cNvPr id="188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7447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68</xdr:row>
      <xdr:rowOff>0</xdr:rowOff>
    </xdr:from>
    <xdr:ext cx="18829" cy="810911"/>
    <xdr:pic>
      <xdr:nvPicPr>
        <xdr:cNvPr id="189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2494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69</xdr:row>
      <xdr:rowOff>0</xdr:rowOff>
    </xdr:from>
    <xdr:ext cx="18829" cy="810911"/>
    <xdr:pic>
      <xdr:nvPicPr>
        <xdr:cNvPr id="190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7447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69</xdr:row>
      <xdr:rowOff>0</xdr:rowOff>
    </xdr:from>
    <xdr:ext cx="18829" cy="810911"/>
    <xdr:pic>
      <xdr:nvPicPr>
        <xdr:cNvPr id="191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7447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69</xdr:row>
      <xdr:rowOff>0</xdr:rowOff>
    </xdr:from>
    <xdr:ext cx="18829" cy="810911"/>
    <xdr:pic>
      <xdr:nvPicPr>
        <xdr:cNvPr id="192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47447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70</xdr:row>
      <xdr:rowOff>0</xdr:rowOff>
    </xdr:from>
    <xdr:ext cx="18829" cy="810911"/>
    <xdr:pic>
      <xdr:nvPicPr>
        <xdr:cNvPr id="193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52400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70</xdr:row>
      <xdr:rowOff>0</xdr:rowOff>
    </xdr:from>
    <xdr:ext cx="18829" cy="810911"/>
    <xdr:pic>
      <xdr:nvPicPr>
        <xdr:cNvPr id="194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52400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70</xdr:row>
      <xdr:rowOff>0</xdr:rowOff>
    </xdr:from>
    <xdr:ext cx="18829" cy="810911"/>
    <xdr:pic>
      <xdr:nvPicPr>
        <xdr:cNvPr id="195" name="picid" descr="http://10.33.18.71/employee/0000023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32300" y="15240000"/>
          <a:ext cx="18829" cy="810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455221</xdr:colOff>
      <xdr:row>64</xdr:row>
      <xdr:rowOff>22519</xdr:rowOff>
    </xdr:from>
    <xdr:to>
      <xdr:col>21</xdr:col>
      <xdr:colOff>97510</xdr:colOff>
      <xdr:row>69</xdr:row>
      <xdr:rowOff>140901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2938071" y="12601869"/>
          <a:ext cx="5928789" cy="110263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45720" rIns="0" bIns="0" anchor="t" upright="1"/>
        <a:lstStyle/>
        <a:p>
          <a:pPr algn="l" rtl="1">
            <a:defRPr sz="1000"/>
          </a:pPr>
          <a:r>
            <a:rPr lang="en-US" sz="1400" b="1" i="0" u="sng" strike="noStrike">
              <a:solidFill>
                <a:srgbClr val="0000FF"/>
              </a:solidFill>
              <a:latin typeface="Cordia New"/>
              <a:cs typeface="Cordia New"/>
            </a:rPr>
            <a:t>Formular R1 follow IRPC Agreement</a:t>
          </a:r>
          <a:endParaRPr lang="en-US" sz="1400" b="0" i="0" strike="noStrike">
            <a:solidFill>
              <a:srgbClr val="000000"/>
            </a:solidFill>
            <a:latin typeface="Cordia New"/>
            <a:cs typeface="Cordia New"/>
          </a:endParaRPr>
        </a:p>
        <a:p>
          <a:pPr algn="l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Cordia New"/>
              <a:cs typeface="Cordia New"/>
            </a:rPr>
            <a:t>Reliability = (Days in Current Year- PlanSD days - Unplan SD Days) / (Days in Current Year - Plan SD Days)</a:t>
          </a:r>
        </a:p>
        <a:p>
          <a:pPr algn="l" rtl="1">
            <a:defRPr sz="1000"/>
          </a:pPr>
          <a:r>
            <a:rPr lang="en-US" sz="1400" b="1" i="0" strike="noStrike">
              <a:solidFill>
                <a:srgbClr val="0000FF"/>
              </a:solidFill>
              <a:latin typeface="Cordia New"/>
              <a:cs typeface="Cordia New"/>
            </a:rPr>
            <a:t>Adjust from Days to Hours</a:t>
          </a:r>
          <a:endParaRPr lang="en-US" sz="1400" b="0" i="0" strike="noStrike">
            <a:solidFill>
              <a:srgbClr val="000000"/>
            </a:solidFill>
            <a:latin typeface="Cordia New"/>
            <a:cs typeface="Cordia New"/>
          </a:endParaRPr>
        </a:p>
        <a:p>
          <a:pPr algn="l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Cordia New"/>
              <a:cs typeface="Cordia New"/>
            </a:rPr>
            <a:t>Reliability = ( Calendar Hours - Plan DT - Unplan DT ) / (Calendar Hours - Plan DT )</a:t>
          </a:r>
        </a:p>
        <a:p>
          <a:pPr algn="l" rtl="1">
            <a:defRPr sz="1000"/>
          </a:pPr>
          <a:endParaRPr lang="en-US" sz="1400" b="0" i="0" strike="noStrike">
            <a:solidFill>
              <a:srgbClr val="000000"/>
            </a:solidFill>
            <a:latin typeface="Cordia New"/>
            <a:cs typeface="Cordia New"/>
          </a:endParaRPr>
        </a:p>
      </xdr:txBody>
    </xdr:sp>
    <xdr:clientData/>
  </xdr:twoCellAnchor>
  <xdr:twoCellAnchor>
    <xdr:from>
      <xdr:col>4</xdr:col>
      <xdr:colOff>157370</xdr:colOff>
      <xdr:row>8</xdr:row>
      <xdr:rowOff>66260</xdr:rowOff>
    </xdr:from>
    <xdr:to>
      <xdr:col>13</xdr:col>
      <xdr:colOff>331303</xdr:colOff>
      <xdr:row>10</xdr:row>
      <xdr:rowOff>0</xdr:rowOff>
    </xdr:to>
    <xdr:sp macro="" textlink="">
      <xdr:nvSpPr>
        <xdr:cNvPr id="3" name="Rectangle 2"/>
        <xdr:cNvSpPr/>
      </xdr:nvSpPr>
      <xdr:spPr>
        <a:xfrm>
          <a:off x="2640220" y="1622010"/>
          <a:ext cx="3520383" cy="32744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0000CC"/>
              </a:solidFill>
            </a:rPr>
            <a:t>ABS1 is excluded from Reliability Report as requested by users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738187</xdr:colOff>
      <xdr:row>327</xdr:row>
      <xdr:rowOff>71437</xdr:rowOff>
    </xdr:from>
    <xdr:to>
      <xdr:col>28</xdr:col>
      <xdr:colOff>607218</xdr:colOff>
      <xdr:row>337</xdr:row>
      <xdr:rowOff>154780</xdr:rowOff>
    </xdr:to>
    <xdr:graphicFrame macro="">
      <xdr:nvGraphicFramePr>
        <xdr:cNvPr id="105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750094</xdr:colOff>
      <xdr:row>339</xdr:row>
      <xdr:rowOff>130969</xdr:rowOff>
    </xdr:from>
    <xdr:to>
      <xdr:col>28</xdr:col>
      <xdr:colOff>619125</xdr:colOff>
      <xdr:row>349</xdr:row>
      <xdr:rowOff>250031</xdr:rowOff>
    </xdr:to>
    <xdr:graphicFrame macro="">
      <xdr:nvGraphicFramePr>
        <xdr:cNvPr id="106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178595</xdr:colOff>
      <xdr:row>151</xdr:row>
      <xdr:rowOff>154781</xdr:rowOff>
    </xdr:from>
    <xdr:to>
      <xdr:col>29</xdr:col>
      <xdr:colOff>95251</xdr:colOff>
      <xdr:row>161</xdr:row>
      <xdr:rowOff>238124</xdr:rowOff>
    </xdr:to>
    <xdr:graphicFrame macro="">
      <xdr:nvGraphicFramePr>
        <xdr:cNvPr id="107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631032</xdr:colOff>
      <xdr:row>443</xdr:row>
      <xdr:rowOff>178594</xdr:rowOff>
    </xdr:from>
    <xdr:to>
      <xdr:col>29</xdr:col>
      <xdr:colOff>178593</xdr:colOff>
      <xdr:row>455</xdr:row>
      <xdr:rowOff>35718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309564</xdr:colOff>
      <xdr:row>1069</xdr:row>
      <xdr:rowOff>83344</xdr:rowOff>
    </xdr:from>
    <xdr:to>
      <xdr:col>27</xdr:col>
      <xdr:colOff>416719</xdr:colOff>
      <xdr:row>1079</xdr:row>
      <xdr:rowOff>166687</xdr:rowOff>
    </xdr:to>
    <xdr:graphicFrame macro="">
      <xdr:nvGraphicFramePr>
        <xdr:cNvPr id="109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273844</xdr:colOff>
      <xdr:row>1138</xdr:row>
      <xdr:rowOff>0</xdr:rowOff>
    </xdr:from>
    <xdr:to>
      <xdr:col>28</xdr:col>
      <xdr:colOff>83344</xdr:colOff>
      <xdr:row>1148</xdr:row>
      <xdr:rowOff>214313</xdr:rowOff>
    </xdr:to>
    <xdr:graphicFrame macro="">
      <xdr:nvGraphicFramePr>
        <xdr:cNvPr id="110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738187</xdr:colOff>
      <xdr:row>327</xdr:row>
      <xdr:rowOff>71437</xdr:rowOff>
    </xdr:from>
    <xdr:to>
      <xdr:col>28</xdr:col>
      <xdr:colOff>607218</xdr:colOff>
      <xdr:row>337</xdr:row>
      <xdr:rowOff>154780</xdr:rowOff>
    </xdr:to>
    <xdr:graphicFrame macro="">
      <xdr:nvGraphicFramePr>
        <xdr:cNvPr id="111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750094</xdr:colOff>
      <xdr:row>339</xdr:row>
      <xdr:rowOff>130969</xdr:rowOff>
    </xdr:from>
    <xdr:to>
      <xdr:col>28</xdr:col>
      <xdr:colOff>619125</xdr:colOff>
      <xdr:row>349</xdr:row>
      <xdr:rowOff>250031</xdr:rowOff>
    </xdr:to>
    <xdr:graphicFrame macro="">
      <xdr:nvGraphicFramePr>
        <xdr:cNvPr id="112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178595</xdr:colOff>
      <xdr:row>151</xdr:row>
      <xdr:rowOff>154781</xdr:rowOff>
    </xdr:from>
    <xdr:to>
      <xdr:col>29</xdr:col>
      <xdr:colOff>95251</xdr:colOff>
      <xdr:row>161</xdr:row>
      <xdr:rowOff>238124</xdr:rowOff>
    </xdr:to>
    <xdr:graphicFrame macro="">
      <xdr:nvGraphicFramePr>
        <xdr:cNvPr id="113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631032</xdr:colOff>
      <xdr:row>443</xdr:row>
      <xdr:rowOff>178594</xdr:rowOff>
    </xdr:from>
    <xdr:to>
      <xdr:col>29</xdr:col>
      <xdr:colOff>178593</xdr:colOff>
      <xdr:row>455</xdr:row>
      <xdr:rowOff>35718</xdr:rowOff>
    </xdr:to>
    <xdr:graphicFrame macro="">
      <xdr:nvGraphicFramePr>
        <xdr:cNvPr id="114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309564</xdr:colOff>
      <xdr:row>1069</xdr:row>
      <xdr:rowOff>83344</xdr:rowOff>
    </xdr:from>
    <xdr:to>
      <xdr:col>27</xdr:col>
      <xdr:colOff>416719</xdr:colOff>
      <xdr:row>1079</xdr:row>
      <xdr:rowOff>166687</xdr:rowOff>
    </xdr:to>
    <xdr:graphicFrame macro="">
      <xdr:nvGraphicFramePr>
        <xdr:cNvPr id="115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273844</xdr:colOff>
      <xdr:row>1138</xdr:row>
      <xdr:rowOff>0</xdr:rowOff>
    </xdr:from>
    <xdr:to>
      <xdr:col>28</xdr:col>
      <xdr:colOff>83344</xdr:colOff>
      <xdr:row>1148</xdr:row>
      <xdr:rowOff>214313</xdr:rowOff>
    </xdr:to>
    <xdr:graphicFrame macro="">
      <xdr:nvGraphicFramePr>
        <xdr:cNvPr id="116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738187</xdr:colOff>
      <xdr:row>327</xdr:row>
      <xdr:rowOff>71437</xdr:rowOff>
    </xdr:from>
    <xdr:to>
      <xdr:col>28</xdr:col>
      <xdr:colOff>607218</xdr:colOff>
      <xdr:row>337</xdr:row>
      <xdr:rowOff>154780</xdr:rowOff>
    </xdr:to>
    <xdr:graphicFrame macro="">
      <xdr:nvGraphicFramePr>
        <xdr:cNvPr id="117" name="Chart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750094</xdr:colOff>
      <xdr:row>339</xdr:row>
      <xdr:rowOff>130969</xdr:rowOff>
    </xdr:from>
    <xdr:to>
      <xdr:col>28</xdr:col>
      <xdr:colOff>619125</xdr:colOff>
      <xdr:row>349</xdr:row>
      <xdr:rowOff>250031</xdr:rowOff>
    </xdr:to>
    <xdr:graphicFrame macro="">
      <xdr:nvGraphicFramePr>
        <xdr:cNvPr id="118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178595</xdr:colOff>
      <xdr:row>151</xdr:row>
      <xdr:rowOff>154781</xdr:rowOff>
    </xdr:from>
    <xdr:to>
      <xdr:col>29</xdr:col>
      <xdr:colOff>95251</xdr:colOff>
      <xdr:row>161</xdr:row>
      <xdr:rowOff>238124</xdr:rowOff>
    </xdr:to>
    <xdr:graphicFrame macro="">
      <xdr:nvGraphicFramePr>
        <xdr:cNvPr id="119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631032</xdr:colOff>
      <xdr:row>443</xdr:row>
      <xdr:rowOff>178594</xdr:rowOff>
    </xdr:from>
    <xdr:to>
      <xdr:col>29</xdr:col>
      <xdr:colOff>178593</xdr:colOff>
      <xdr:row>455</xdr:row>
      <xdr:rowOff>35718</xdr:rowOff>
    </xdr:to>
    <xdr:graphicFrame macro="">
      <xdr:nvGraphicFramePr>
        <xdr:cNvPr id="120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22</xdr:col>
      <xdr:colOff>309564</xdr:colOff>
      <xdr:row>1069</xdr:row>
      <xdr:rowOff>83344</xdr:rowOff>
    </xdr:from>
    <xdr:to>
      <xdr:col>27</xdr:col>
      <xdr:colOff>416719</xdr:colOff>
      <xdr:row>1079</xdr:row>
      <xdr:rowOff>166687</xdr:rowOff>
    </xdr:to>
    <xdr:graphicFrame macro="">
      <xdr:nvGraphicFramePr>
        <xdr:cNvPr id="121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273844</xdr:colOff>
      <xdr:row>1138</xdr:row>
      <xdr:rowOff>0</xdr:rowOff>
    </xdr:from>
    <xdr:to>
      <xdr:col>28</xdr:col>
      <xdr:colOff>83344</xdr:colOff>
      <xdr:row>1148</xdr:row>
      <xdr:rowOff>214313</xdr:rowOff>
    </xdr:to>
    <xdr:graphicFrame macro="">
      <xdr:nvGraphicFramePr>
        <xdr:cNvPr id="122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738187</xdr:colOff>
      <xdr:row>327</xdr:row>
      <xdr:rowOff>71437</xdr:rowOff>
    </xdr:from>
    <xdr:to>
      <xdr:col>28</xdr:col>
      <xdr:colOff>607218</xdr:colOff>
      <xdr:row>337</xdr:row>
      <xdr:rowOff>154780</xdr:rowOff>
    </xdr:to>
    <xdr:graphicFrame macro="">
      <xdr:nvGraphicFramePr>
        <xdr:cNvPr id="123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750094</xdr:colOff>
      <xdr:row>339</xdr:row>
      <xdr:rowOff>130969</xdr:rowOff>
    </xdr:from>
    <xdr:to>
      <xdr:col>28</xdr:col>
      <xdr:colOff>619125</xdr:colOff>
      <xdr:row>349</xdr:row>
      <xdr:rowOff>250031</xdr:rowOff>
    </xdr:to>
    <xdr:graphicFrame macro="">
      <xdr:nvGraphicFramePr>
        <xdr:cNvPr id="124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178595</xdr:colOff>
      <xdr:row>151</xdr:row>
      <xdr:rowOff>154781</xdr:rowOff>
    </xdr:from>
    <xdr:to>
      <xdr:col>29</xdr:col>
      <xdr:colOff>95251</xdr:colOff>
      <xdr:row>161</xdr:row>
      <xdr:rowOff>238124</xdr:rowOff>
    </xdr:to>
    <xdr:graphicFrame macro="">
      <xdr:nvGraphicFramePr>
        <xdr:cNvPr id="125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631032</xdr:colOff>
      <xdr:row>443</xdr:row>
      <xdr:rowOff>178594</xdr:rowOff>
    </xdr:from>
    <xdr:to>
      <xdr:col>29</xdr:col>
      <xdr:colOff>178593</xdr:colOff>
      <xdr:row>455</xdr:row>
      <xdr:rowOff>35718</xdr:rowOff>
    </xdr:to>
    <xdr:graphicFrame macro="">
      <xdr:nvGraphicFramePr>
        <xdr:cNvPr id="126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22</xdr:col>
      <xdr:colOff>309564</xdr:colOff>
      <xdr:row>1069</xdr:row>
      <xdr:rowOff>83344</xdr:rowOff>
    </xdr:from>
    <xdr:to>
      <xdr:col>27</xdr:col>
      <xdr:colOff>416719</xdr:colOff>
      <xdr:row>1079</xdr:row>
      <xdr:rowOff>166687</xdr:rowOff>
    </xdr:to>
    <xdr:graphicFrame macro="">
      <xdr:nvGraphicFramePr>
        <xdr:cNvPr id="127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23</xdr:col>
      <xdr:colOff>273844</xdr:colOff>
      <xdr:row>1138</xdr:row>
      <xdr:rowOff>0</xdr:rowOff>
    </xdr:from>
    <xdr:to>
      <xdr:col>28</xdr:col>
      <xdr:colOff>83344</xdr:colOff>
      <xdr:row>1148</xdr:row>
      <xdr:rowOff>214313</xdr:rowOff>
    </xdr:to>
    <xdr:graphicFrame macro="">
      <xdr:nvGraphicFramePr>
        <xdr:cNvPr id="128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115137</xdr:colOff>
      <xdr:row>1481</xdr:row>
      <xdr:rowOff>125604</xdr:rowOff>
    </xdr:from>
    <xdr:to>
      <xdr:col>3</xdr:col>
      <xdr:colOff>533819</xdr:colOff>
      <xdr:row>1483</xdr:row>
      <xdr:rowOff>157006</xdr:rowOff>
    </xdr:to>
    <xdr:sp macro="" textlink="">
      <xdr:nvSpPr>
        <xdr:cNvPr id="2" name="Rounded Rectangle 1"/>
        <xdr:cNvSpPr/>
      </xdr:nvSpPr>
      <xdr:spPr bwMode="auto">
        <a:xfrm>
          <a:off x="115137" y="7618604"/>
          <a:ext cx="3682582" cy="539402"/>
        </a:xfrm>
        <a:prstGeom prst="roundRect">
          <a:avLst/>
        </a:prstGeom>
        <a:noFill/>
        <a:ln w="19050">
          <a:solidFill>
            <a:srgbClr val="FF0000"/>
          </a:solidFill>
          <a:prstDash val="dash"/>
          <a:round/>
          <a:headEnd/>
          <a:tailEnd/>
        </a:ln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31402</xdr:colOff>
      <xdr:row>1482</xdr:row>
      <xdr:rowOff>62803</xdr:rowOff>
    </xdr:from>
    <xdr:to>
      <xdr:col>9</xdr:col>
      <xdr:colOff>146538</xdr:colOff>
      <xdr:row>1483</xdr:row>
      <xdr:rowOff>104670</xdr:rowOff>
    </xdr:to>
    <xdr:sp macro="" textlink="">
      <xdr:nvSpPr>
        <xdr:cNvPr id="3" name="TextBox 2"/>
        <xdr:cNvSpPr txBox="1"/>
      </xdr:nvSpPr>
      <xdr:spPr>
        <a:xfrm>
          <a:off x="4438302" y="7809803"/>
          <a:ext cx="7379536" cy="295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h-TH" sz="1100"/>
            <a:t>สมการ</a:t>
          </a:r>
          <a:r>
            <a:rPr lang="th-TH" sz="1100" baseline="0"/>
            <a:t> </a:t>
          </a:r>
          <a:r>
            <a:rPr lang="en-US" sz="1100" baseline="0"/>
            <a:t>Regression </a:t>
          </a:r>
          <a:r>
            <a:rPr lang="th-TH" sz="1100" baseline="0"/>
            <a:t>ที่ </a:t>
          </a:r>
          <a:r>
            <a:rPr lang="en-US" sz="1100" baseline="0"/>
            <a:t>Run </a:t>
          </a:r>
          <a:r>
            <a:rPr lang="th-TH" sz="1100" baseline="0"/>
            <a:t>ใหม่ ใช้เป็นปีฐานโดยใช้ข้อมูล </a:t>
          </a:r>
          <a:r>
            <a:rPr lang="en-US" sz="1100" baseline="0"/>
            <a:t>Oct - Dec 2014 </a:t>
          </a:r>
          <a:endParaRPr lang="en-US" sz="1100"/>
        </a:p>
      </xdr:txBody>
    </xdr:sp>
    <xdr:clientData/>
  </xdr:twoCellAnchor>
  <xdr:twoCellAnchor>
    <xdr:from>
      <xdr:col>3</xdr:col>
      <xdr:colOff>759908</xdr:colOff>
      <xdr:row>1482</xdr:row>
      <xdr:rowOff>5234</xdr:rowOff>
    </xdr:from>
    <xdr:to>
      <xdr:col>4</xdr:col>
      <xdr:colOff>25121</xdr:colOff>
      <xdr:row>1482</xdr:row>
      <xdr:rowOff>235508</xdr:rowOff>
    </xdr:to>
    <xdr:sp macro="" textlink="">
      <xdr:nvSpPr>
        <xdr:cNvPr id="4" name="Right Arrow 3"/>
        <xdr:cNvSpPr/>
      </xdr:nvSpPr>
      <xdr:spPr bwMode="auto">
        <a:xfrm>
          <a:off x="4023808" y="7752234"/>
          <a:ext cx="408213" cy="230274"/>
        </a:xfrm>
        <a:prstGeom prst="rightArrow">
          <a:avLst/>
        </a:prstGeom>
        <a:ln>
          <a:headEnd/>
          <a:tailEnd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189220</xdr:colOff>
      <xdr:row>11</xdr:row>
      <xdr:rowOff>19306</xdr:rowOff>
    </xdr:from>
    <xdr:to>
      <xdr:col>7</xdr:col>
      <xdr:colOff>52916</xdr:colOff>
      <xdr:row>13</xdr:row>
      <xdr:rowOff>179219</xdr:rowOff>
    </xdr:to>
    <xdr:sp macro="" textlink="">
      <xdr:nvSpPr>
        <xdr:cNvPr id="5" name="Rounded Rectangle 4"/>
        <xdr:cNvSpPr/>
      </xdr:nvSpPr>
      <xdr:spPr bwMode="auto">
        <a:xfrm>
          <a:off x="8437870" y="2895856"/>
          <a:ext cx="974946" cy="680613"/>
        </a:xfrm>
        <a:prstGeom prst="roundRect">
          <a:avLst/>
        </a:prstGeom>
        <a:noFill/>
        <a:ln w="19050">
          <a:solidFill>
            <a:srgbClr val="FF0000"/>
          </a:solidFill>
          <a:prstDash val="dash"/>
          <a:round/>
          <a:headEnd/>
          <a:tailEnd/>
        </a:ln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711758</xdr:colOff>
      <xdr:row>5</xdr:row>
      <xdr:rowOff>41868</xdr:rowOff>
    </xdr:from>
    <xdr:to>
      <xdr:col>5</xdr:col>
      <xdr:colOff>450083</xdr:colOff>
      <xdr:row>9</xdr:row>
      <xdr:rowOff>62802</xdr:rowOff>
    </xdr:to>
    <xdr:sp macro="" textlink="">
      <xdr:nvSpPr>
        <xdr:cNvPr id="6" name="Rounded Rectangle 5"/>
        <xdr:cNvSpPr/>
      </xdr:nvSpPr>
      <xdr:spPr bwMode="auto">
        <a:xfrm>
          <a:off x="1061008" y="1388068"/>
          <a:ext cx="5491425" cy="1036934"/>
        </a:xfrm>
        <a:prstGeom prst="roundRect">
          <a:avLst/>
        </a:prstGeom>
        <a:noFill/>
        <a:ln w="19050">
          <a:solidFill>
            <a:srgbClr val="FF0000"/>
          </a:solidFill>
          <a:prstDash val="dash"/>
          <a:round/>
          <a:headEnd/>
          <a:tailEnd/>
        </a:ln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878184</xdr:colOff>
      <xdr:row>27</xdr:row>
      <xdr:rowOff>21980</xdr:rowOff>
    </xdr:from>
    <xdr:to>
      <xdr:col>4</xdr:col>
      <xdr:colOff>543239</xdr:colOff>
      <xdr:row>1481</xdr:row>
      <xdr:rowOff>199920</xdr:rowOff>
    </xdr:to>
    <xdr:sp macro="" textlink="">
      <xdr:nvSpPr>
        <xdr:cNvPr id="7" name="Oval 6"/>
        <xdr:cNvSpPr/>
      </xdr:nvSpPr>
      <xdr:spPr bwMode="auto">
        <a:xfrm>
          <a:off x="4142084" y="7260980"/>
          <a:ext cx="808055" cy="431940"/>
        </a:xfrm>
        <a:prstGeom prst="ellipse">
          <a:avLst/>
        </a:prstGeom>
        <a:ln>
          <a:headEnd/>
          <a:tailEnd/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1</a:t>
          </a:r>
        </a:p>
      </xdr:txBody>
    </xdr:sp>
    <xdr:clientData/>
  </xdr:twoCellAnchor>
  <xdr:twoCellAnchor>
    <xdr:from>
      <xdr:col>2</xdr:col>
      <xdr:colOff>1214176</xdr:colOff>
      <xdr:row>0</xdr:row>
      <xdr:rowOff>240742</xdr:rowOff>
    </xdr:from>
    <xdr:to>
      <xdr:col>3</xdr:col>
      <xdr:colOff>136071</xdr:colOff>
      <xdr:row>1</xdr:row>
      <xdr:rowOff>198874</xdr:rowOff>
    </xdr:to>
    <xdr:sp macro="" textlink="">
      <xdr:nvSpPr>
        <xdr:cNvPr id="8" name="Oval 7"/>
        <xdr:cNvSpPr/>
      </xdr:nvSpPr>
      <xdr:spPr bwMode="auto">
        <a:xfrm>
          <a:off x="2769926" y="240742"/>
          <a:ext cx="630045" cy="421682"/>
        </a:xfrm>
        <a:prstGeom prst="ellipse">
          <a:avLst/>
        </a:prstGeom>
        <a:ln>
          <a:headEnd/>
          <a:tailEnd/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3</xdr:col>
      <xdr:colOff>157006</xdr:colOff>
      <xdr:row>0</xdr:row>
      <xdr:rowOff>334945</xdr:rowOff>
    </xdr:from>
    <xdr:to>
      <xdr:col>7</xdr:col>
      <xdr:colOff>795494</xdr:colOff>
      <xdr:row>1</xdr:row>
      <xdr:rowOff>167472</xdr:rowOff>
    </xdr:to>
    <xdr:sp macro="" textlink="">
      <xdr:nvSpPr>
        <xdr:cNvPr id="9" name="TextBox 8"/>
        <xdr:cNvSpPr txBox="1"/>
      </xdr:nvSpPr>
      <xdr:spPr>
        <a:xfrm>
          <a:off x="3420906" y="334945"/>
          <a:ext cx="6734488" cy="2960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h-TH" sz="1100"/>
            <a:t>แยกปริมาณการใช้</a:t>
          </a:r>
          <a:r>
            <a:rPr lang="th-TH" sz="1100" baseline="0"/>
            <a:t> </a:t>
          </a:r>
          <a:r>
            <a:rPr lang="en-US" sz="1100" baseline="0"/>
            <a:t>Steam </a:t>
          </a:r>
          <a:r>
            <a:rPr lang="th-TH" sz="1100" baseline="0"/>
            <a:t>แต่ละ </a:t>
          </a:r>
          <a:r>
            <a:rPr lang="en-US" sz="1100" baseline="0"/>
            <a:t>Bar </a:t>
          </a:r>
          <a:r>
            <a:rPr lang="th-TH" sz="1100" baseline="0"/>
            <a:t>ซึ่งให้ค่าความร้อนต่างกัน</a:t>
          </a:r>
          <a:endParaRPr lang="en-US" sz="1100"/>
        </a:p>
      </xdr:txBody>
    </xdr:sp>
    <xdr:clientData/>
  </xdr:twoCellAnchor>
  <xdr:twoCellAnchor>
    <xdr:from>
      <xdr:col>2</xdr:col>
      <xdr:colOff>1368865</xdr:colOff>
      <xdr:row>1</xdr:row>
      <xdr:rowOff>121907</xdr:rowOff>
    </xdr:from>
    <xdr:to>
      <xdr:col>3</xdr:col>
      <xdr:colOff>226688</xdr:colOff>
      <xdr:row>5</xdr:row>
      <xdr:rowOff>68061</xdr:rowOff>
    </xdr:to>
    <xdr:sp macro="" textlink="">
      <xdr:nvSpPr>
        <xdr:cNvPr id="10" name="Right Arrow 9"/>
        <xdr:cNvSpPr/>
      </xdr:nvSpPr>
      <xdr:spPr bwMode="auto">
        <a:xfrm rot="18239831">
          <a:off x="2793200" y="716872"/>
          <a:ext cx="828804" cy="565973"/>
        </a:xfrm>
        <a:prstGeom prst="rightArrow">
          <a:avLst/>
        </a:prstGeom>
        <a:ln>
          <a:headEnd/>
          <a:tailEnd/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146538</xdr:colOff>
      <xdr:row>9</xdr:row>
      <xdr:rowOff>188406</xdr:rowOff>
    </xdr:from>
    <xdr:to>
      <xdr:col>11</xdr:col>
      <xdr:colOff>481483</xdr:colOff>
      <xdr:row>10</xdr:row>
      <xdr:rowOff>230273</xdr:rowOff>
    </xdr:to>
    <xdr:sp macro="" textlink="">
      <xdr:nvSpPr>
        <xdr:cNvPr id="11" name="TextBox 10"/>
        <xdr:cNvSpPr txBox="1"/>
      </xdr:nvSpPr>
      <xdr:spPr>
        <a:xfrm>
          <a:off x="9506438" y="2550606"/>
          <a:ext cx="4564045" cy="2958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h-TH" sz="1100"/>
            <a:t>แยกปริมาณการผลิต </a:t>
          </a:r>
          <a:r>
            <a:rPr lang="en-US" sz="1100"/>
            <a:t>Product </a:t>
          </a:r>
          <a:r>
            <a:rPr lang="th-TH" sz="1100"/>
            <a:t>แต่ละเดือน เป็น </a:t>
          </a:r>
          <a:r>
            <a:rPr lang="en-US" sz="1100"/>
            <a:t>Powder </a:t>
          </a:r>
          <a:r>
            <a:rPr lang="th-TH" sz="1100"/>
            <a:t>หรือ </a:t>
          </a:r>
          <a:r>
            <a:rPr lang="en-US" sz="1100"/>
            <a:t>Pellet</a:t>
          </a:r>
        </a:p>
      </xdr:txBody>
    </xdr:sp>
    <xdr:clientData/>
  </xdr:twoCellAnchor>
  <xdr:twoCellAnchor>
    <xdr:from>
      <xdr:col>6</xdr:col>
      <xdr:colOff>764093</xdr:colOff>
      <xdr:row>9</xdr:row>
      <xdr:rowOff>209341</xdr:rowOff>
    </xdr:from>
    <xdr:to>
      <xdr:col>7</xdr:col>
      <xdr:colOff>209340</xdr:colOff>
      <xdr:row>11</xdr:row>
      <xdr:rowOff>115138</xdr:rowOff>
    </xdr:to>
    <xdr:sp macro="" textlink="">
      <xdr:nvSpPr>
        <xdr:cNvPr id="12" name="Oval 11"/>
        <xdr:cNvSpPr/>
      </xdr:nvSpPr>
      <xdr:spPr bwMode="auto">
        <a:xfrm>
          <a:off x="9012743" y="2571541"/>
          <a:ext cx="556497" cy="420147"/>
        </a:xfrm>
        <a:prstGeom prst="ellipse">
          <a:avLst/>
        </a:prstGeom>
        <a:ln>
          <a:headEnd/>
          <a:tailEnd/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3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</xdr:row>
      <xdr:rowOff>9525</xdr:rowOff>
    </xdr:from>
    <xdr:to>
      <xdr:col>0</xdr:col>
      <xdr:colOff>1185333</xdr:colOff>
      <xdr:row>6</xdr:row>
      <xdr:rowOff>0</xdr:rowOff>
    </xdr:to>
    <xdr:cxnSp macro="">
      <xdr:nvCxnSpPr>
        <xdr:cNvPr id="2" name="Straight Connector 1"/>
        <xdr:cNvCxnSpPr/>
      </xdr:nvCxnSpPr>
      <xdr:spPr>
        <a:xfrm>
          <a:off x="9525" y="612775"/>
          <a:ext cx="1175808" cy="942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mpong_ke/AppData/Local/Microsoft/Windows/INetCache/Content.Outlook/ZG1QLJZG/01-2018-Availability-Reliability-OS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mpong_ke/Desktop/KPI%202014/Setup/C1%20EII%20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.2%202016/50001EMS%20DATA/Energy%20equation/PP%20EII%20Feb-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-ORSPacerSM01/Alongorn/EI-2009/EII-Monitoring-2009%20Report&amp;Graph-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longorn/Local%20Settings/Temporary%20Internet%20Files/Content.Outlook/N1MMB577/EII-Monitoring-Com4-1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spacer01\energy$\Energy_Data&amp;Report\&#3586;&#3657;&#3629;&#3617;&#3641;&#3621;&#3614;&#3621;&#3633;&#3591;&#3591;&#3634;&#3609;\&#3648;&#3611;&#3619;&#3637;&#3618;&#3610;&#3648;&#3607;&#3637;&#3618;&#3610;&#3611;&#3637;49-50\&#3648;&#3611;&#3619;&#3637;&#3618;&#3610;&#3648;&#3607;&#3637;&#3618;&#3610;EII-49-50R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spacer01\Energy$\Energy_Data&amp;Report\KPI\EII\EII-Monitoring-Jan-08-Report-R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lant%20Performance\KPI%202013\EII-03-13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longorn/&#3586;&#3657;&#3629;&#3617;&#3641;&#3621;&#3652;&#3615;&#3615;&#3657;&#3634;/&#3586;&#3657;&#3629;&#3617;&#3641;&#3621;%20&#3612;&#3621;&#3636;&#3605;%20&#3651;&#3594;&#3657;%20&#3649;&#3621;&#3632;&#3595;&#3639;&#3657;&#3629;%20&#3604;&#3657;&#3634;&#3609;&#3652;&#3615;&#3615;&#3657;&#3634;&#3586;&#3629;&#3591;%20power%20plant%202009-2008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mpong_ke/Desktop/KPI%202014/Setup/EII%202014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Poly\2016\&#3586;&#3657;&#3629;&#3617;&#3641;&#3621;&#3607;&#3635;%20Dashboard\%25%20EII%20per%20day%202016\EIICEL-2016%20Fina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backup-ORSPacerSM01\Alongorn\EI-2009\EII-Monitoring-2009%20Report&amp;Graph-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backup-ORSPacerSM01\Alongorn\Energy%20Conservation\&#3610;&#3614;&#3619;2\&#3610;&#3614;&#3619;.2-2554\CO2\Complex5\QC5\2011%20&#3619;&#3634;&#3618;&#3591;&#3634;&#3609;&#3585;&#3634;&#3619;&#3592;&#3633;&#3604;&#3585;&#3634;&#3619;&#3614;&#3621;&#3633;&#3591;&#3591;&#3634;&#3609;EMS%20&#3629;&#3634;&#3588;&#3634;&#3619;&#3588;&#3623;&#3610;&#3588;&#3640;&#3617;%20C5TQ%20Update%20_&#3617;&#3636;%20&#3618;_54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Documents%20and%20Settings\alongorn\Local%20Settings\Temporary%20Internet%20Files\Content.Outlook\N1MMB577\EII-Monitoring-Com4-1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backup-ORSPacerSM01\Alongorn\Energy%20Conservation\&#3610;&#3614;&#3619;2\&#3610;&#3614;&#3619;.2-2554\Port\EnergySummery05_1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3.157.29\Daily%20consump\Alongorn\&#3586;&#3657;&#3629;&#3617;&#3641;&#3621;&#3652;&#3615;&#3615;&#3657;&#3634;\&#3586;&#3657;&#3629;&#3617;&#3641;&#3621;%20&#3612;&#3621;&#3636;&#3605;%20&#3651;&#3594;&#3657;%20&#3649;&#3621;&#3632;&#3595;&#3639;&#3657;&#3629;%20&#3604;&#3657;&#3634;&#3609;&#3652;&#3615;&#3615;&#3657;&#3634;&#3586;&#3629;&#3591;%20power%20plant%202009-2008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mpong_ke/AppData/Local/Microsoft/Windows/Temporary%20Internet%20Files/Content.Outlook/HOBW7D00/Cash%20Cost%20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WT-2017"/>
      <sheetName val="B-Sub-Cat"/>
      <sheetName val="Downtime Type"/>
      <sheetName val="Matrix"/>
      <sheetName val="TADD AFTER TA2017(includeUHV)"/>
      <sheetName val="Summarize downtime"/>
      <sheetName val="O1-O2 Unit-Rel"/>
      <sheetName val="O1-O2 Plant-Rel"/>
      <sheetName val="Summary-Unit-R"/>
      <sheetName val="Summary(Rel)-Comlex-Chart"/>
      <sheetName val="O1-O2 Unit-Avai"/>
      <sheetName val="O1-O2 Plant-Avai"/>
      <sheetName val="O1-Unit-OSF"/>
      <sheetName val="O1-Plant-OSF"/>
      <sheetName val="Summary-Direct-Indirect SD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A5">
            <v>1</v>
          </cell>
          <cell r="L5">
            <v>1</v>
          </cell>
          <cell r="U5" t="e">
            <v>#DIV/0!</v>
          </cell>
          <cell r="AD5" t="e">
            <v>#DIV/0!</v>
          </cell>
          <cell r="AM5" t="e">
            <v>#DIV/0!</v>
          </cell>
          <cell r="AV5" t="e">
            <v>#DIV/0!</v>
          </cell>
          <cell r="BE5" t="e">
            <v>#DIV/0!</v>
          </cell>
          <cell r="BN5" t="e">
            <v>#DIV/0!</v>
          </cell>
          <cell r="BW5" t="e">
            <v>#DIV/0!</v>
          </cell>
          <cell r="CF5" t="e">
            <v>#DIV/0!</v>
          </cell>
          <cell r="CO5" t="e">
            <v>#DIV/0!</v>
          </cell>
          <cell r="CX5" t="e">
            <v>#DIV/0!</v>
          </cell>
          <cell r="DG5" t="e">
            <v>#DIV/0!</v>
          </cell>
          <cell r="DP5">
            <v>1</v>
          </cell>
        </row>
        <row r="6">
          <cell r="A6">
            <v>0.21</v>
          </cell>
          <cell r="L6">
            <v>1</v>
          </cell>
          <cell r="U6" t="e">
            <v>#DIV/0!</v>
          </cell>
          <cell r="AD6" t="e">
            <v>#DIV/0!</v>
          </cell>
          <cell r="AM6" t="e">
            <v>#DIV/0!</v>
          </cell>
          <cell r="AV6" t="e">
            <v>#DIV/0!</v>
          </cell>
          <cell r="BE6" t="e">
            <v>#DIV/0!</v>
          </cell>
          <cell r="BN6" t="e">
            <v>#DIV/0!</v>
          </cell>
          <cell r="BW6" t="e">
            <v>#DIV/0!</v>
          </cell>
          <cell r="CF6" t="e">
            <v>#DIV/0!</v>
          </cell>
          <cell r="CO6" t="e">
            <v>#DIV/0!</v>
          </cell>
          <cell r="CX6" t="e">
            <v>#DIV/0!</v>
          </cell>
          <cell r="DG6" t="e">
            <v>#DIV/0!</v>
          </cell>
          <cell r="DP6">
            <v>1</v>
          </cell>
        </row>
        <row r="7">
          <cell r="A7">
            <v>0.32</v>
          </cell>
          <cell r="L7">
            <v>1</v>
          </cell>
          <cell r="U7" t="e">
            <v>#DIV/0!</v>
          </cell>
          <cell r="AD7" t="e">
            <v>#DIV/0!</v>
          </cell>
          <cell r="AM7" t="e">
            <v>#DIV/0!</v>
          </cell>
          <cell r="AV7" t="e">
            <v>#DIV/0!</v>
          </cell>
          <cell r="BE7" t="e">
            <v>#DIV/0!</v>
          </cell>
          <cell r="BN7" t="e">
            <v>#DIV/0!</v>
          </cell>
          <cell r="BW7" t="e">
            <v>#DIV/0!</v>
          </cell>
          <cell r="CF7" t="e">
            <v>#DIV/0!</v>
          </cell>
          <cell r="CO7" t="e">
            <v>#DIV/0!</v>
          </cell>
          <cell r="CX7" t="e">
            <v>#DIV/0!</v>
          </cell>
          <cell r="DG7" t="e">
            <v>#DIV/0!</v>
          </cell>
          <cell r="DP7">
            <v>1</v>
          </cell>
        </row>
        <row r="8">
          <cell r="A8">
            <v>0.47</v>
          </cell>
          <cell r="L8">
            <v>0.96639784946220908</v>
          </cell>
          <cell r="U8" t="e">
            <v>#DIV/0!</v>
          </cell>
          <cell r="AD8" t="e">
            <v>#DIV/0!</v>
          </cell>
          <cell r="AM8" t="e">
            <v>#DIV/0!</v>
          </cell>
          <cell r="AV8" t="e">
            <v>#DIV/0!</v>
          </cell>
          <cell r="BE8" t="e">
            <v>#DIV/0!</v>
          </cell>
          <cell r="BN8" t="e">
            <v>#DIV/0!</v>
          </cell>
          <cell r="BW8" t="e">
            <v>#DIV/0!</v>
          </cell>
          <cell r="CF8" t="e">
            <v>#DIV/0!</v>
          </cell>
          <cell r="CO8" t="e">
            <v>#DIV/0!</v>
          </cell>
          <cell r="CX8" t="e">
            <v>#DIV/0!</v>
          </cell>
          <cell r="DG8" t="e">
            <v>#DIV/0!</v>
          </cell>
          <cell r="DP8">
            <v>0.96639784946220908</v>
          </cell>
        </row>
        <row r="11">
          <cell r="A11">
            <v>0.67</v>
          </cell>
          <cell r="L11">
            <v>1</v>
          </cell>
          <cell r="U11" t="e">
            <v>#DIV/0!</v>
          </cell>
          <cell r="AD11" t="e">
            <v>#DIV/0!</v>
          </cell>
          <cell r="AM11" t="e">
            <v>#DIV/0!</v>
          </cell>
          <cell r="AV11" t="e">
            <v>#DIV/0!</v>
          </cell>
          <cell r="BE11" t="e">
            <v>#DIV/0!</v>
          </cell>
          <cell r="BN11" t="e">
            <v>#DIV/0!</v>
          </cell>
          <cell r="BW11" t="e">
            <v>#DIV/0!</v>
          </cell>
          <cell r="CF11" t="e">
            <v>#DIV/0!</v>
          </cell>
          <cell r="CO11" t="e">
            <v>#DIV/0!</v>
          </cell>
          <cell r="CX11" t="e">
            <v>#DIV/0!</v>
          </cell>
          <cell r="DG11" t="e">
            <v>#DIV/0!</v>
          </cell>
          <cell r="DP11">
            <v>1</v>
          </cell>
        </row>
        <row r="12">
          <cell r="A12">
            <v>0.33</v>
          </cell>
          <cell r="L12">
            <v>1</v>
          </cell>
          <cell r="U12" t="e">
            <v>#DIV/0!</v>
          </cell>
          <cell r="AD12" t="e">
            <v>#DIV/0!</v>
          </cell>
          <cell r="AM12" t="e">
            <v>#DIV/0!</v>
          </cell>
          <cell r="AV12" t="e">
            <v>#DIV/0!</v>
          </cell>
          <cell r="BE12" t="e">
            <v>#DIV/0!</v>
          </cell>
          <cell r="BN12" t="e">
            <v>#DIV/0!</v>
          </cell>
          <cell r="BW12" t="e">
            <v>#DIV/0!</v>
          </cell>
          <cell r="CF12" t="e">
            <v>#DIV/0!</v>
          </cell>
          <cell r="CO12" t="e">
            <v>#DIV/0!</v>
          </cell>
          <cell r="CX12" t="e">
            <v>#DIV/0!</v>
          </cell>
          <cell r="DG12" t="e">
            <v>#DIV/0!</v>
          </cell>
          <cell r="DP12">
            <v>1</v>
          </cell>
        </row>
        <row r="13">
          <cell r="A13">
            <v>0.47983870967741937</v>
          </cell>
          <cell r="L13">
            <v>1</v>
          </cell>
          <cell r="U13" t="e">
            <v>#DIV/0!</v>
          </cell>
          <cell r="AD13" t="e">
            <v>#DIV/0!</v>
          </cell>
          <cell r="AM13" t="e">
            <v>#DIV/0!</v>
          </cell>
          <cell r="AV13" t="e">
            <v>#DIV/0!</v>
          </cell>
          <cell r="BE13" t="e">
            <v>#DIV/0!</v>
          </cell>
          <cell r="BN13" t="e">
            <v>#DIV/0!</v>
          </cell>
          <cell r="BW13" t="e">
            <v>#DIV/0!</v>
          </cell>
          <cell r="CF13" t="e">
            <v>#DIV/0!</v>
          </cell>
          <cell r="CO13" t="e">
            <v>#DIV/0!</v>
          </cell>
          <cell r="CX13" t="e">
            <v>#DIV/0!</v>
          </cell>
          <cell r="DG13" t="e">
            <v>#DIV/0!</v>
          </cell>
          <cell r="DP13">
            <v>1</v>
          </cell>
        </row>
        <row r="14">
          <cell r="A14">
            <v>0.52016129032258063</v>
          </cell>
          <cell r="L14">
            <v>1</v>
          </cell>
          <cell r="U14" t="e">
            <v>#DIV/0!</v>
          </cell>
          <cell r="AD14" t="e">
            <v>#DIV/0!</v>
          </cell>
          <cell r="AM14" t="e">
            <v>#DIV/0!</v>
          </cell>
          <cell r="AV14" t="e">
            <v>#DIV/0!</v>
          </cell>
          <cell r="BE14" t="e">
            <v>#DIV/0!</v>
          </cell>
          <cell r="BN14" t="e">
            <v>#DIV/0!</v>
          </cell>
          <cell r="BW14" t="e">
            <v>#DIV/0!</v>
          </cell>
          <cell r="CF14" t="e">
            <v>#DIV/0!</v>
          </cell>
          <cell r="CO14" t="e">
            <v>#DIV/0!</v>
          </cell>
          <cell r="CX14" t="e">
            <v>#DIV/0!</v>
          </cell>
          <cell r="DG14" t="e">
            <v>#DIV/0!</v>
          </cell>
          <cell r="DP14">
            <v>1</v>
          </cell>
        </row>
        <row r="15">
          <cell r="A15">
            <v>0.5</v>
          </cell>
          <cell r="L15">
            <v>1</v>
          </cell>
          <cell r="U15" t="e">
            <v>#DIV/0!</v>
          </cell>
          <cell r="AD15" t="e">
            <v>#DIV/0!</v>
          </cell>
          <cell r="AM15" t="e">
            <v>#DIV/0!</v>
          </cell>
          <cell r="AV15" t="e">
            <v>#DIV/0!</v>
          </cell>
          <cell r="BE15" t="e">
            <v>#DIV/0!</v>
          </cell>
          <cell r="BN15" t="e">
            <v>#DIV/0!</v>
          </cell>
          <cell r="BW15" t="e">
            <v>#DIV/0!</v>
          </cell>
          <cell r="CF15" t="e">
            <v>#DIV/0!</v>
          </cell>
          <cell r="CO15" t="e">
            <v>#DIV/0!</v>
          </cell>
          <cell r="CX15" t="e">
            <v>#DIV/0!</v>
          </cell>
          <cell r="DG15" t="e">
            <v>#DIV/0!</v>
          </cell>
          <cell r="DP15">
            <v>1</v>
          </cell>
        </row>
        <row r="16">
          <cell r="A16">
            <v>0.5</v>
          </cell>
          <cell r="L16">
            <v>1</v>
          </cell>
          <cell r="U16" t="e">
            <v>#DIV/0!</v>
          </cell>
          <cell r="AD16" t="e">
            <v>#DIV/0!</v>
          </cell>
          <cell r="AM16" t="e">
            <v>#DIV/0!</v>
          </cell>
          <cell r="AV16" t="e">
            <v>#DIV/0!</v>
          </cell>
          <cell r="BE16" t="e">
            <v>#DIV/0!</v>
          </cell>
          <cell r="BN16" t="e">
            <v>#DIV/0!</v>
          </cell>
          <cell r="BW16" t="e">
            <v>#DIV/0!</v>
          </cell>
          <cell r="CF16" t="e">
            <v>#DIV/0!</v>
          </cell>
          <cell r="CO16" t="e">
            <v>#DIV/0!</v>
          </cell>
          <cell r="CX16" t="e">
            <v>#DIV/0!</v>
          </cell>
          <cell r="DG16" t="e">
            <v>#DIV/0!</v>
          </cell>
          <cell r="DP16">
            <v>1</v>
          </cell>
        </row>
        <row r="17">
          <cell r="A17">
            <v>0.37</v>
          </cell>
          <cell r="L17">
            <v>1</v>
          </cell>
          <cell r="U17" t="e">
            <v>#DIV/0!</v>
          </cell>
          <cell r="AD17" t="e">
            <v>#DIV/0!</v>
          </cell>
          <cell r="AM17" t="e">
            <v>#DIV/0!</v>
          </cell>
          <cell r="AV17" t="e">
            <v>#DIV/0!</v>
          </cell>
          <cell r="BE17" t="e">
            <v>#DIV/0!</v>
          </cell>
          <cell r="BN17" t="e">
            <v>#DIV/0!</v>
          </cell>
          <cell r="BW17" t="e">
            <v>#DIV/0!</v>
          </cell>
          <cell r="CF17" t="e">
            <v>#DIV/0!</v>
          </cell>
          <cell r="CO17" t="e">
            <v>#DIV/0!</v>
          </cell>
          <cell r="CX17" t="e">
            <v>#DIV/0!</v>
          </cell>
          <cell r="DG17" t="e">
            <v>#DIV/0!</v>
          </cell>
          <cell r="DP17">
            <v>1</v>
          </cell>
        </row>
        <row r="18">
          <cell r="A18">
            <v>0.63</v>
          </cell>
          <cell r="L18">
            <v>1</v>
          </cell>
          <cell r="U18" t="e">
            <v>#DIV/0!</v>
          </cell>
          <cell r="AD18" t="e">
            <v>#DIV/0!</v>
          </cell>
          <cell r="AM18" t="e">
            <v>#DIV/0!</v>
          </cell>
          <cell r="AV18" t="e">
            <v>#DIV/0!</v>
          </cell>
          <cell r="BE18" t="e">
            <v>#DIV/0!</v>
          </cell>
          <cell r="BN18" t="e">
            <v>#DIV/0!</v>
          </cell>
          <cell r="BW18" t="e">
            <v>#DIV/0!</v>
          </cell>
          <cell r="CF18" t="e">
            <v>#DIV/0!</v>
          </cell>
          <cell r="CO18" t="e">
            <v>#DIV/0!</v>
          </cell>
          <cell r="CX18" t="e">
            <v>#DIV/0!</v>
          </cell>
          <cell r="DG18" t="e">
            <v>#DIV/0!</v>
          </cell>
          <cell r="DP18">
            <v>1</v>
          </cell>
        </row>
        <row r="19">
          <cell r="A19">
            <v>1</v>
          </cell>
          <cell r="L19">
            <v>1</v>
          </cell>
          <cell r="U19" t="e">
            <v>#DIV/0!</v>
          </cell>
          <cell r="AD19" t="e">
            <v>#DIV/0!</v>
          </cell>
          <cell r="AM19" t="e">
            <v>#DIV/0!</v>
          </cell>
          <cell r="AV19" t="e">
            <v>#DIV/0!</v>
          </cell>
          <cell r="BE19" t="e">
            <v>#DIV/0!</v>
          </cell>
          <cell r="BN19" t="e">
            <v>#DIV/0!</v>
          </cell>
          <cell r="BW19" t="e">
            <v>#DIV/0!</v>
          </cell>
          <cell r="CF19" t="e">
            <v>#DIV/0!</v>
          </cell>
          <cell r="CO19" t="e">
            <v>#DIV/0!</v>
          </cell>
          <cell r="CX19" t="e">
            <v>#DIV/0!</v>
          </cell>
          <cell r="DG19" t="e">
            <v>#DIV/0!</v>
          </cell>
          <cell r="DP19">
            <v>1</v>
          </cell>
        </row>
        <row r="20">
          <cell r="A20">
            <v>0.39</v>
          </cell>
          <cell r="L20">
            <v>1</v>
          </cell>
          <cell r="U20" t="e">
            <v>#DIV/0!</v>
          </cell>
          <cell r="AD20" t="e">
            <v>#DIV/0!</v>
          </cell>
          <cell r="AM20" t="e">
            <v>#DIV/0!</v>
          </cell>
          <cell r="AV20" t="e">
            <v>#DIV/0!</v>
          </cell>
          <cell r="BE20" t="e">
            <v>#DIV/0!</v>
          </cell>
          <cell r="BN20" t="e">
            <v>#DIV/0!</v>
          </cell>
          <cell r="BW20" t="e">
            <v>#DIV/0!</v>
          </cell>
          <cell r="CF20" t="e">
            <v>#DIV/0!</v>
          </cell>
          <cell r="CO20" t="e">
            <v>#DIV/0!</v>
          </cell>
          <cell r="CX20" t="e">
            <v>#DIV/0!</v>
          </cell>
          <cell r="DG20" t="e">
            <v>#DIV/0!</v>
          </cell>
          <cell r="DP20">
            <v>1</v>
          </cell>
        </row>
        <row r="21">
          <cell r="A21">
            <v>0.09</v>
          </cell>
          <cell r="L21">
            <v>1</v>
          </cell>
          <cell r="U21" t="e">
            <v>#DIV/0!</v>
          </cell>
          <cell r="AD21" t="e">
            <v>#DIV/0!</v>
          </cell>
          <cell r="AM21" t="e">
            <v>#DIV/0!</v>
          </cell>
          <cell r="AV21" t="e">
            <v>#DIV/0!</v>
          </cell>
          <cell r="BE21" t="e">
            <v>#DIV/0!</v>
          </cell>
          <cell r="BN21" t="e">
            <v>#DIV/0!</v>
          </cell>
          <cell r="BW21" t="e">
            <v>#DIV/0!</v>
          </cell>
          <cell r="CF21" t="e">
            <v>#DIV/0!</v>
          </cell>
          <cell r="CO21" t="e">
            <v>#DIV/0!</v>
          </cell>
          <cell r="CX21" t="e">
            <v>#DIV/0!</v>
          </cell>
          <cell r="DG21" t="e">
            <v>#DIV/0!</v>
          </cell>
          <cell r="DP21">
            <v>1</v>
          </cell>
        </row>
        <row r="22">
          <cell r="A22">
            <v>0.18</v>
          </cell>
          <cell r="L22">
            <v>1</v>
          </cell>
          <cell r="U22" t="e">
            <v>#DIV/0!</v>
          </cell>
          <cell r="AD22" t="e">
            <v>#DIV/0!</v>
          </cell>
          <cell r="AM22" t="e">
            <v>#DIV/0!</v>
          </cell>
          <cell r="AV22" t="e">
            <v>#DIV/0!</v>
          </cell>
          <cell r="BE22" t="e">
            <v>#DIV/0!</v>
          </cell>
          <cell r="BN22" t="e">
            <v>#DIV/0!</v>
          </cell>
          <cell r="BW22" t="e">
            <v>#DIV/0!</v>
          </cell>
          <cell r="CF22" t="e">
            <v>#DIV/0!</v>
          </cell>
          <cell r="CO22" t="e">
            <v>#DIV/0!</v>
          </cell>
          <cell r="CX22" t="e">
            <v>#DIV/0!</v>
          </cell>
          <cell r="DG22" t="e">
            <v>#DIV/0!</v>
          </cell>
          <cell r="DP22">
            <v>1</v>
          </cell>
        </row>
        <row r="23">
          <cell r="A23">
            <v>0.18</v>
          </cell>
          <cell r="L23">
            <v>1</v>
          </cell>
          <cell r="U23" t="e">
            <v>#DIV/0!</v>
          </cell>
          <cell r="AD23" t="e">
            <v>#DIV/0!</v>
          </cell>
          <cell r="AM23" t="e">
            <v>#DIV/0!</v>
          </cell>
          <cell r="AV23" t="e">
            <v>#DIV/0!</v>
          </cell>
          <cell r="BE23" t="e">
            <v>#DIV/0!</v>
          </cell>
          <cell r="BN23" t="e">
            <v>#DIV/0!</v>
          </cell>
          <cell r="BW23" t="e">
            <v>#DIV/0!</v>
          </cell>
          <cell r="CF23" t="e">
            <v>#DIV/0!</v>
          </cell>
          <cell r="CO23" t="e">
            <v>#DIV/0!</v>
          </cell>
          <cell r="CX23" t="e">
            <v>#DIV/0!</v>
          </cell>
          <cell r="DG23" t="e">
            <v>#DIV/0!</v>
          </cell>
          <cell r="DP23">
            <v>1</v>
          </cell>
        </row>
        <row r="24">
          <cell r="A24">
            <v>0.16</v>
          </cell>
          <cell r="L24">
            <v>1</v>
          </cell>
          <cell r="U24" t="e">
            <v>#DIV/0!</v>
          </cell>
          <cell r="AD24" t="e">
            <v>#DIV/0!</v>
          </cell>
          <cell r="AM24" t="e">
            <v>#DIV/0!</v>
          </cell>
          <cell r="AV24" t="e">
            <v>#DIV/0!</v>
          </cell>
          <cell r="BE24" t="e">
            <v>#DIV/0!</v>
          </cell>
          <cell r="BN24" t="e">
            <v>#DIV/0!</v>
          </cell>
          <cell r="BW24" t="e">
            <v>#DIV/0!</v>
          </cell>
          <cell r="CF24" t="e">
            <v>#DIV/0!</v>
          </cell>
          <cell r="CO24" t="e">
            <v>#DIV/0!</v>
          </cell>
          <cell r="CX24" t="e">
            <v>#DIV/0!</v>
          </cell>
          <cell r="DG24" t="e">
            <v>#DIV/0!</v>
          </cell>
          <cell r="DP24">
            <v>1</v>
          </cell>
        </row>
        <row r="25">
          <cell r="A25">
            <v>0.34</v>
          </cell>
          <cell r="L25">
            <v>1</v>
          </cell>
          <cell r="U25" t="e">
            <v>#DIV/0!</v>
          </cell>
          <cell r="AD25" t="e">
            <v>#DIV/0!</v>
          </cell>
          <cell r="AM25" t="e">
            <v>#DIV/0!</v>
          </cell>
          <cell r="AV25" t="e">
            <v>#DIV/0!</v>
          </cell>
          <cell r="BE25" t="e">
            <v>#DIV/0!</v>
          </cell>
          <cell r="BN25" t="e">
            <v>#DIV/0!</v>
          </cell>
          <cell r="BW25" t="e">
            <v>#DIV/0!</v>
          </cell>
          <cell r="CF25" t="e">
            <v>#DIV/0!</v>
          </cell>
          <cell r="CO25" t="e">
            <v>#DIV/0!</v>
          </cell>
          <cell r="CX25" t="e">
            <v>#DIV/0!</v>
          </cell>
          <cell r="DG25" t="e">
            <v>#DIV/0!</v>
          </cell>
          <cell r="DP25">
            <v>1</v>
          </cell>
        </row>
        <row r="26">
          <cell r="A26">
            <v>0.34</v>
          </cell>
          <cell r="L26">
            <v>1</v>
          </cell>
          <cell r="U26" t="e">
            <v>#DIV/0!</v>
          </cell>
          <cell r="AD26" t="e">
            <v>#DIV/0!</v>
          </cell>
          <cell r="AM26" t="e">
            <v>#DIV/0!</v>
          </cell>
          <cell r="AV26" t="e">
            <v>#DIV/0!</v>
          </cell>
          <cell r="BE26" t="e">
            <v>#DIV/0!</v>
          </cell>
          <cell r="BN26" t="e">
            <v>#DIV/0!</v>
          </cell>
          <cell r="BW26" t="e">
            <v>#DIV/0!</v>
          </cell>
          <cell r="CF26" t="e">
            <v>#DIV/0!</v>
          </cell>
          <cell r="CO26" t="e">
            <v>#DIV/0!</v>
          </cell>
          <cell r="CX26" t="e">
            <v>#DIV/0!</v>
          </cell>
          <cell r="DG26" t="e">
            <v>#DIV/0!</v>
          </cell>
          <cell r="DP26">
            <v>1</v>
          </cell>
        </row>
        <row r="27">
          <cell r="A27">
            <v>0.32</v>
          </cell>
          <cell r="L27">
            <v>1</v>
          </cell>
          <cell r="U27" t="e">
            <v>#DIV/0!</v>
          </cell>
          <cell r="AD27" t="e">
            <v>#DIV/0!</v>
          </cell>
          <cell r="AM27" t="e">
            <v>#DIV/0!</v>
          </cell>
          <cell r="AV27" t="e">
            <v>#DIV/0!</v>
          </cell>
          <cell r="BE27" t="e">
            <v>#DIV/0!</v>
          </cell>
          <cell r="BN27" t="e">
            <v>#DIV/0!</v>
          </cell>
          <cell r="BW27" t="e">
            <v>#DIV/0!</v>
          </cell>
          <cell r="CF27" t="e">
            <v>#DIV/0!</v>
          </cell>
          <cell r="CO27" t="e">
            <v>#DIV/0!</v>
          </cell>
          <cell r="CX27" t="e">
            <v>#DIV/0!</v>
          </cell>
          <cell r="DG27" t="e">
            <v>#DIV/0!</v>
          </cell>
          <cell r="DP27">
            <v>1</v>
          </cell>
        </row>
        <row r="28">
          <cell r="A28">
            <v>1</v>
          </cell>
          <cell r="L28">
            <v>1</v>
          </cell>
          <cell r="U28" t="e">
            <v>#DIV/0!</v>
          </cell>
          <cell r="AD28" t="e">
            <v>#DIV/0!</v>
          </cell>
          <cell r="AM28" t="e">
            <v>#DIV/0!</v>
          </cell>
          <cell r="AV28" t="e">
            <v>#DIV/0!</v>
          </cell>
          <cell r="BE28" t="e">
            <v>#DIV/0!</v>
          </cell>
          <cell r="BN28" t="e">
            <v>#DIV/0!</v>
          </cell>
          <cell r="BW28" t="e">
            <v>#DIV/0!</v>
          </cell>
          <cell r="CF28" t="e">
            <v>#DIV/0!</v>
          </cell>
          <cell r="CO28" t="e">
            <v>#DIV/0!</v>
          </cell>
          <cell r="CX28" t="e">
            <v>#DIV/0!</v>
          </cell>
          <cell r="DG28" t="e">
            <v>#DIV/0!</v>
          </cell>
          <cell r="DP28">
            <v>1</v>
          </cell>
        </row>
        <row r="29">
          <cell r="A29">
            <v>1</v>
          </cell>
          <cell r="L29">
            <v>1</v>
          </cell>
          <cell r="U29" t="e">
            <v>#DIV/0!</v>
          </cell>
          <cell r="AD29" t="e">
            <v>#DIV/0!</v>
          </cell>
          <cell r="AM29" t="e">
            <v>#DIV/0!</v>
          </cell>
          <cell r="AV29" t="e">
            <v>#DIV/0!</v>
          </cell>
          <cell r="BE29" t="e">
            <v>#DIV/0!</v>
          </cell>
          <cell r="BN29" t="e">
            <v>#DIV/0!</v>
          </cell>
          <cell r="BW29" t="e">
            <v>#DIV/0!</v>
          </cell>
          <cell r="CF29" t="e">
            <v>#DIV/0!</v>
          </cell>
          <cell r="CO29" t="e">
            <v>#DIV/0!</v>
          </cell>
          <cell r="CX29" t="e">
            <v>#DIV/0!</v>
          </cell>
          <cell r="DG29" t="e">
            <v>#DIV/0!</v>
          </cell>
          <cell r="DP29">
            <v>1</v>
          </cell>
        </row>
        <row r="30">
          <cell r="A30">
            <v>1</v>
          </cell>
          <cell r="L30">
            <v>1</v>
          </cell>
          <cell r="U30" t="e">
            <v>#DIV/0!</v>
          </cell>
          <cell r="AD30" t="e">
            <v>#DIV/0!</v>
          </cell>
          <cell r="AM30" t="e">
            <v>#DIV/0!</v>
          </cell>
          <cell r="AV30" t="e">
            <v>#DIV/0!</v>
          </cell>
          <cell r="BE30" t="e">
            <v>#DIV/0!</v>
          </cell>
          <cell r="BN30" t="e">
            <v>#DIV/0!</v>
          </cell>
          <cell r="BW30" t="e">
            <v>#DIV/0!</v>
          </cell>
          <cell r="CF30" t="e">
            <v>#DIV/0!</v>
          </cell>
          <cell r="CO30" t="e">
            <v>#DIV/0!</v>
          </cell>
          <cell r="CX30" t="e">
            <v>#DIV/0!</v>
          </cell>
          <cell r="DG30" t="e">
            <v>#DIV/0!</v>
          </cell>
          <cell r="DP30">
            <v>1</v>
          </cell>
        </row>
        <row r="31">
          <cell r="A31">
            <v>1</v>
          </cell>
          <cell r="L31">
            <v>1</v>
          </cell>
          <cell r="U31" t="e">
            <v>#DIV/0!</v>
          </cell>
          <cell r="AD31" t="e">
            <v>#DIV/0!</v>
          </cell>
          <cell r="AM31" t="e">
            <v>#DIV/0!</v>
          </cell>
          <cell r="AV31" t="e">
            <v>#DIV/0!</v>
          </cell>
          <cell r="BE31" t="e">
            <v>#DIV/0!</v>
          </cell>
          <cell r="BN31" t="e">
            <v>#DIV/0!</v>
          </cell>
          <cell r="BW31" t="e">
            <v>#DIV/0!</v>
          </cell>
          <cell r="CF31" t="e">
            <v>#DIV/0!</v>
          </cell>
          <cell r="CO31" t="e">
            <v>#DIV/0!</v>
          </cell>
          <cell r="CX31" t="e">
            <v>#DIV/0!</v>
          </cell>
          <cell r="DG31" t="e">
            <v>#DIV/0!</v>
          </cell>
          <cell r="DP31">
            <v>1</v>
          </cell>
        </row>
        <row r="32">
          <cell r="A32">
            <v>1</v>
          </cell>
          <cell r="L32">
            <v>1</v>
          </cell>
          <cell r="U32" t="e">
            <v>#DIV/0!</v>
          </cell>
          <cell r="AD32" t="e">
            <v>#DIV/0!</v>
          </cell>
          <cell r="AM32" t="e">
            <v>#DIV/0!</v>
          </cell>
          <cell r="AV32" t="e">
            <v>#DIV/0!</v>
          </cell>
          <cell r="BE32" t="e">
            <v>#DIV/0!</v>
          </cell>
          <cell r="BN32" t="e">
            <v>#DIV/0!</v>
          </cell>
          <cell r="BW32" t="e">
            <v>#DIV/0!</v>
          </cell>
          <cell r="CF32" t="e">
            <v>#DIV/0!</v>
          </cell>
          <cell r="CO32" t="e">
            <v>#DIV/0!</v>
          </cell>
          <cell r="CX32" t="e">
            <v>#DIV/0!</v>
          </cell>
          <cell r="DG32" t="e">
            <v>#DIV/0!</v>
          </cell>
          <cell r="DP32">
            <v>1</v>
          </cell>
        </row>
        <row r="33">
          <cell r="A33">
            <v>0.25</v>
          </cell>
          <cell r="L33">
            <v>1</v>
          </cell>
          <cell r="U33" t="e">
            <v>#DIV/0!</v>
          </cell>
          <cell r="AD33" t="e">
            <v>#DIV/0!</v>
          </cell>
          <cell r="AM33" t="e">
            <v>#DIV/0!</v>
          </cell>
          <cell r="AV33" t="e">
            <v>#DIV/0!</v>
          </cell>
          <cell r="BE33" t="e">
            <v>#DIV/0!</v>
          </cell>
          <cell r="BN33" t="e">
            <v>#DIV/0!</v>
          </cell>
          <cell r="BW33" t="e">
            <v>#DIV/0!</v>
          </cell>
          <cell r="CF33" t="e">
            <v>#DIV/0!</v>
          </cell>
          <cell r="CO33" t="e">
            <v>#DIV/0!</v>
          </cell>
          <cell r="CX33" t="e">
            <v>#DIV/0!</v>
          </cell>
          <cell r="DG33" t="e">
            <v>#DIV/0!</v>
          </cell>
          <cell r="DP33">
            <v>1</v>
          </cell>
        </row>
        <row r="34">
          <cell r="A34">
            <v>0.25</v>
          </cell>
          <cell r="L34">
            <v>1</v>
          </cell>
          <cell r="U34" t="e">
            <v>#DIV/0!</v>
          </cell>
          <cell r="AD34" t="e">
            <v>#DIV/0!</v>
          </cell>
          <cell r="AM34" t="e">
            <v>#DIV/0!</v>
          </cell>
          <cell r="AV34" t="e">
            <v>#DIV/0!</v>
          </cell>
          <cell r="BE34" t="e">
            <v>#DIV/0!</v>
          </cell>
          <cell r="BN34" t="e">
            <v>#DIV/0!</v>
          </cell>
          <cell r="BW34" t="e">
            <v>#DIV/0!</v>
          </cell>
          <cell r="CF34" t="e">
            <v>#DIV/0!</v>
          </cell>
          <cell r="CO34" t="e">
            <v>#DIV/0!</v>
          </cell>
          <cell r="CX34" t="e">
            <v>#DIV/0!</v>
          </cell>
          <cell r="DG34" t="e">
            <v>#DIV/0!</v>
          </cell>
          <cell r="DP34">
            <v>1</v>
          </cell>
        </row>
        <row r="35">
          <cell r="A35">
            <v>0.25</v>
          </cell>
          <cell r="L35">
            <v>1</v>
          </cell>
          <cell r="U35" t="e">
            <v>#DIV/0!</v>
          </cell>
          <cell r="AD35" t="e">
            <v>#DIV/0!</v>
          </cell>
          <cell r="AM35" t="e">
            <v>#DIV/0!</v>
          </cell>
          <cell r="AV35" t="e">
            <v>#DIV/0!</v>
          </cell>
          <cell r="BE35" t="e">
            <v>#DIV/0!</v>
          </cell>
          <cell r="BN35" t="e">
            <v>#DIV/0!</v>
          </cell>
          <cell r="BW35" t="e">
            <v>#DIV/0!</v>
          </cell>
          <cell r="CF35" t="e">
            <v>#DIV/0!</v>
          </cell>
          <cell r="CO35" t="e">
            <v>#DIV/0!</v>
          </cell>
          <cell r="CX35" t="e">
            <v>#DIV/0!</v>
          </cell>
          <cell r="DG35" t="e">
            <v>#DIV/0!</v>
          </cell>
          <cell r="DP35">
            <v>1</v>
          </cell>
        </row>
        <row r="36">
          <cell r="A36">
            <v>0.25</v>
          </cell>
          <cell r="L36">
            <v>1</v>
          </cell>
          <cell r="U36" t="e">
            <v>#DIV/0!</v>
          </cell>
          <cell r="AD36" t="e">
            <v>#DIV/0!</v>
          </cell>
          <cell r="AM36" t="e">
            <v>#DIV/0!</v>
          </cell>
          <cell r="AV36" t="e">
            <v>#DIV/0!</v>
          </cell>
          <cell r="BE36" t="e">
            <v>#DIV/0!</v>
          </cell>
          <cell r="BN36" t="e">
            <v>#DIV/0!</v>
          </cell>
          <cell r="BW36" t="e">
            <v>#DIV/0!</v>
          </cell>
          <cell r="CF36" t="e">
            <v>#DIV/0!</v>
          </cell>
          <cell r="CO36" t="e">
            <v>#DIV/0!</v>
          </cell>
          <cell r="CX36" t="e">
            <v>#DIV/0!</v>
          </cell>
          <cell r="DG36" t="e">
            <v>#DIV/0!</v>
          </cell>
          <cell r="DP36">
            <v>1</v>
          </cell>
        </row>
        <row r="37">
          <cell r="A37">
            <v>0.67</v>
          </cell>
          <cell r="L37">
            <v>1</v>
          </cell>
          <cell r="U37" t="e">
            <v>#DIV/0!</v>
          </cell>
          <cell r="AD37" t="e">
            <v>#DIV/0!</v>
          </cell>
          <cell r="AM37" t="e">
            <v>#DIV/0!</v>
          </cell>
          <cell r="AV37" t="e">
            <v>#DIV/0!</v>
          </cell>
          <cell r="BE37" t="e">
            <v>#DIV/0!</v>
          </cell>
          <cell r="BN37" t="e">
            <v>#DIV/0!</v>
          </cell>
          <cell r="BW37" t="e">
            <v>#DIV/0!</v>
          </cell>
          <cell r="CF37" t="e">
            <v>#DIV/0!</v>
          </cell>
          <cell r="CO37" t="e">
            <v>#DIV/0!</v>
          </cell>
          <cell r="CX37" t="e">
            <v>#DIV/0!</v>
          </cell>
          <cell r="DG37" t="e">
            <v>#DIV/0!</v>
          </cell>
          <cell r="DP37">
            <v>1</v>
          </cell>
        </row>
        <row r="38">
          <cell r="A38">
            <v>0.33</v>
          </cell>
          <cell r="L38">
            <v>1</v>
          </cell>
          <cell r="U38" t="e">
            <v>#DIV/0!</v>
          </cell>
          <cell r="AD38" t="e">
            <v>#DIV/0!</v>
          </cell>
          <cell r="AM38" t="e">
            <v>#DIV/0!</v>
          </cell>
          <cell r="AV38" t="e">
            <v>#DIV/0!</v>
          </cell>
          <cell r="BE38" t="e">
            <v>#DIV/0!</v>
          </cell>
          <cell r="BN38" t="e">
            <v>#DIV/0!</v>
          </cell>
          <cell r="BW38" t="e">
            <v>#DIV/0!</v>
          </cell>
          <cell r="CF38" t="e">
            <v>#DIV/0!</v>
          </cell>
          <cell r="CO38" t="e">
            <v>#DIV/0!</v>
          </cell>
          <cell r="CX38" t="e">
            <v>#DIV/0!</v>
          </cell>
          <cell r="DG38" t="e">
            <v>#DIV/0!</v>
          </cell>
          <cell r="DP38">
            <v>1</v>
          </cell>
        </row>
        <row r="39">
          <cell r="A39">
            <v>0.66</v>
          </cell>
          <cell r="L39">
            <v>1</v>
          </cell>
          <cell r="U39" t="e">
            <v>#DIV/0!</v>
          </cell>
          <cell r="AD39" t="e">
            <v>#DIV/0!</v>
          </cell>
          <cell r="AM39" t="e">
            <v>#DIV/0!</v>
          </cell>
          <cell r="AV39" t="e">
            <v>#DIV/0!</v>
          </cell>
          <cell r="BE39" t="e">
            <v>#DIV/0!</v>
          </cell>
          <cell r="BN39" t="e">
            <v>#DIV/0!</v>
          </cell>
          <cell r="BW39" t="e">
            <v>#DIV/0!</v>
          </cell>
          <cell r="CF39" t="e">
            <v>#DIV/0!</v>
          </cell>
          <cell r="CO39" t="e">
            <v>#DIV/0!</v>
          </cell>
          <cell r="CX39" t="e">
            <v>#DIV/0!</v>
          </cell>
          <cell r="DG39" t="e">
            <v>#DIV/0!</v>
          </cell>
          <cell r="DP39">
            <v>1</v>
          </cell>
        </row>
        <row r="40">
          <cell r="A40">
            <v>0.27</v>
          </cell>
          <cell r="L40">
            <v>1</v>
          </cell>
          <cell r="U40" t="e">
            <v>#DIV/0!</v>
          </cell>
          <cell r="AD40" t="e">
            <v>#DIV/0!</v>
          </cell>
          <cell r="AM40" t="e">
            <v>#DIV/0!</v>
          </cell>
          <cell r="AV40" t="e">
            <v>#DIV/0!</v>
          </cell>
          <cell r="BE40" t="e">
            <v>#DIV/0!</v>
          </cell>
          <cell r="BN40" t="e">
            <v>#DIV/0!</v>
          </cell>
          <cell r="BW40" t="e">
            <v>#DIV/0!</v>
          </cell>
          <cell r="CF40" t="e">
            <v>#DIV/0!</v>
          </cell>
          <cell r="CO40" t="e">
            <v>#DIV/0!</v>
          </cell>
          <cell r="CX40" t="e">
            <v>#DIV/0!</v>
          </cell>
          <cell r="DG40" t="e">
            <v>#DIV/0!</v>
          </cell>
          <cell r="DP40">
            <v>1</v>
          </cell>
        </row>
        <row r="41">
          <cell r="A41">
            <v>7.0000000000000007E-2</v>
          </cell>
          <cell r="L41">
            <v>1</v>
          </cell>
          <cell r="U41" t="e">
            <v>#DIV/0!</v>
          </cell>
          <cell r="AD41" t="e">
            <v>#DIV/0!</v>
          </cell>
          <cell r="AM41" t="e">
            <v>#DIV/0!</v>
          </cell>
          <cell r="AV41" t="e">
            <v>#DIV/0!</v>
          </cell>
          <cell r="BE41" t="e">
            <v>#DIV/0!</v>
          </cell>
          <cell r="BN41" t="e">
            <v>#DIV/0!</v>
          </cell>
          <cell r="BW41" t="e">
            <v>#DIV/0!</v>
          </cell>
          <cell r="CF41" t="e">
            <v>#DIV/0!</v>
          </cell>
          <cell r="CO41" t="e">
            <v>#DIV/0!</v>
          </cell>
          <cell r="CX41" t="e">
            <v>#DIV/0!</v>
          </cell>
          <cell r="DG41" t="e">
            <v>#DIV/0!</v>
          </cell>
          <cell r="DP41">
            <v>1</v>
          </cell>
        </row>
        <row r="42">
          <cell r="A42">
            <v>1</v>
          </cell>
          <cell r="L42">
            <v>1</v>
          </cell>
          <cell r="U42" t="e">
            <v>#DIV/0!</v>
          </cell>
          <cell r="AD42" t="e">
            <v>#DIV/0!</v>
          </cell>
          <cell r="AM42" t="e">
            <v>#DIV/0!</v>
          </cell>
          <cell r="AV42" t="e">
            <v>#DIV/0!</v>
          </cell>
          <cell r="BE42" t="e">
            <v>#DIV/0!</v>
          </cell>
          <cell r="BN42" t="e">
            <v>#DIV/0!</v>
          </cell>
          <cell r="BW42" t="e">
            <v>#DIV/0!</v>
          </cell>
          <cell r="CF42" t="e">
            <v>#DIV/0!</v>
          </cell>
          <cell r="CO42" t="e">
            <v>#DIV/0!</v>
          </cell>
          <cell r="CX42" t="e">
            <v>#DIV/0!</v>
          </cell>
          <cell r="DG42" t="e">
            <v>#DIV/0!</v>
          </cell>
          <cell r="DP42">
            <v>1</v>
          </cell>
        </row>
        <row r="43">
          <cell r="A43">
            <v>0.74</v>
          </cell>
          <cell r="L43">
            <v>1</v>
          </cell>
          <cell r="U43" t="e">
            <v>#DIV/0!</v>
          </cell>
          <cell r="AD43" t="e">
            <v>#DIV/0!</v>
          </cell>
          <cell r="AM43" t="e">
            <v>#DIV/0!</v>
          </cell>
          <cell r="AV43" t="e">
            <v>#DIV/0!</v>
          </cell>
          <cell r="BE43" t="e">
            <v>#DIV/0!</v>
          </cell>
          <cell r="BN43" t="e">
            <v>#DIV/0!</v>
          </cell>
          <cell r="BW43" t="e">
            <v>#DIV/0!</v>
          </cell>
          <cell r="CF43" t="e">
            <v>#DIV/0!</v>
          </cell>
          <cell r="CO43" t="e">
            <v>#DIV/0!</v>
          </cell>
          <cell r="CX43" t="e">
            <v>#DIV/0!</v>
          </cell>
          <cell r="DG43" t="e">
            <v>#DIV/0!</v>
          </cell>
          <cell r="DP43">
            <v>1</v>
          </cell>
        </row>
        <row r="44">
          <cell r="A44">
            <v>0.13</v>
          </cell>
          <cell r="L44">
            <v>1</v>
          </cell>
          <cell r="U44" t="e">
            <v>#DIV/0!</v>
          </cell>
          <cell r="AD44" t="e">
            <v>#DIV/0!</v>
          </cell>
          <cell r="AM44" t="e">
            <v>#DIV/0!</v>
          </cell>
          <cell r="AV44" t="e">
            <v>#DIV/0!</v>
          </cell>
          <cell r="BE44" t="e">
            <v>#DIV/0!</v>
          </cell>
          <cell r="BN44" t="e">
            <v>#DIV/0!</v>
          </cell>
          <cell r="BW44" t="e">
            <v>#DIV/0!</v>
          </cell>
          <cell r="CF44" t="e">
            <v>#DIV/0!</v>
          </cell>
          <cell r="CO44" t="e">
            <v>#DIV/0!</v>
          </cell>
          <cell r="CX44" t="e">
            <v>#DIV/0!</v>
          </cell>
          <cell r="DG44" t="e">
            <v>#DIV/0!</v>
          </cell>
          <cell r="DP44">
            <v>1</v>
          </cell>
        </row>
        <row r="45">
          <cell r="A45">
            <v>0.13</v>
          </cell>
          <cell r="L45">
            <v>1</v>
          </cell>
          <cell r="U45" t="e">
            <v>#DIV/0!</v>
          </cell>
          <cell r="AD45" t="e">
            <v>#DIV/0!</v>
          </cell>
          <cell r="AM45" t="e">
            <v>#DIV/0!</v>
          </cell>
          <cell r="AV45" t="e">
            <v>#DIV/0!</v>
          </cell>
          <cell r="BE45" t="e">
            <v>#DIV/0!</v>
          </cell>
          <cell r="BN45" t="e">
            <v>#DIV/0!</v>
          </cell>
          <cell r="BW45" t="e">
            <v>#DIV/0!</v>
          </cell>
          <cell r="CF45" t="e">
            <v>#DIV/0!</v>
          </cell>
          <cell r="CO45" t="e">
            <v>#DIV/0!</v>
          </cell>
          <cell r="CX45" t="e">
            <v>#DIV/0!</v>
          </cell>
          <cell r="DG45" t="e">
            <v>#DIV/0!</v>
          </cell>
          <cell r="DP45">
            <v>1</v>
          </cell>
        </row>
        <row r="46">
          <cell r="A46">
            <v>0.67</v>
          </cell>
          <cell r="L46">
            <v>1</v>
          </cell>
          <cell r="U46" t="e">
            <v>#DIV/0!</v>
          </cell>
          <cell r="AD46" t="e">
            <v>#DIV/0!</v>
          </cell>
          <cell r="AM46" t="e">
            <v>#DIV/0!</v>
          </cell>
          <cell r="AV46" t="e">
            <v>#DIV/0!</v>
          </cell>
          <cell r="BE46" t="e">
            <v>#DIV/0!</v>
          </cell>
          <cell r="BN46" t="e">
            <v>#DIV/0!</v>
          </cell>
          <cell r="BW46" t="e">
            <v>#DIV/0!</v>
          </cell>
          <cell r="CF46" t="e">
            <v>#DIV/0!</v>
          </cell>
          <cell r="CO46" t="e">
            <v>#DIV/0!</v>
          </cell>
          <cell r="CX46" t="e">
            <v>#DIV/0!</v>
          </cell>
          <cell r="DG46" t="e">
            <v>#DIV/0!</v>
          </cell>
          <cell r="DP46">
            <v>1</v>
          </cell>
        </row>
        <row r="47">
          <cell r="A47">
            <v>0.22</v>
          </cell>
          <cell r="L47">
            <v>1</v>
          </cell>
          <cell r="U47" t="e">
            <v>#DIV/0!</v>
          </cell>
          <cell r="AD47" t="e">
            <v>#DIV/0!</v>
          </cell>
          <cell r="AM47" t="e">
            <v>#DIV/0!</v>
          </cell>
          <cell r="AV47" t="e">
            <v>#DIV/0!</v>
          </cell>
          <cell r="BE47" t="e">
            <v>#DIV/0!</v>
          </cell>
          <cell r="BN47" t="e">
            <v>#DIV/0!</v>
          </cell>
          <cell r="BW47" t="e">
            <v>#DIV/0!</v>
          </cell>
          <cell r="CF47" t="e">
            <v>#DIV/0!</v>
          </cell>
          <cell r="CO47" t="e">
            <v>#DIV/0!</v>
          </cell>
          <cell r="CX47" t="e">
            <v>#DIV/0!</v>
          </cell>
          <cell r="DG47" t="e">
            <v>#DIV/0!</v>
          </cell>
          <cell r="DP47">
            <v>1</v>
          </cell>
        </row>
        <row r="48">
          <cell r="A48">
            <v>0.11</v>
          </cell>
          <cell r="L48">
            <v>1</v>
          </cell>
          <cell r="U48" t="e">
            <v>#DIV/0!</v>
          </cell>
          <cell r="AD48" t="e">
            <v>#DIV/0!</v>
          </cell>
          <cell r="AM48" t="e">
            <v>#DIV/0!</v>
          </cell>
          <cell r="AV48" t="e">
            <v>#DIV/0!</v>
          </cell>
          <cell r="BE48" t="e">
            <v>#DIV/0!</v>
          </cell>
          <cell r="BN48" t="e">
            <v>#DIV/0!</v>
          </cell>
          <cell r="BW48" t="e">
            <v>#DIV/0!</v>
          </cell>
          <cell r="CF48" t="e">
            <v>#DIV/0!</v>
          </cell>
          <cell r="CO48" t="e">
            <v>#DIV/0!</v>
          </cell>
          <cell r="CX48" t="e">
            <v>#DIV/0!</v>
          </cell>
          <cell r="DG48" t="e">
            <v>#DIV/0!</v>
          </cell>
          <cell r="DP48">
            <v>1</v>
          </cell>
        </row>
        <row r="49">
          <cell r="A49">
            <v>1</v>
          </cell>
          <cell r="L49">
            <v>1</v>
          </cell>
          <cell r="U49" t="e">
            <v>#DIV/0!</v>
          </cell>
          <cell r="AD49" t="e">
            <v>#DIV/0!</v>
          </cell>
          <cell r="AM49" t="e">
            <v>#DIV/0!</v>
          </cell>
          <cell r="AV49" t="e">
            <v>#DIV/0!</v>
          </cell>
          <cell r="BE49" t="e">
            <v>#DIV/0!</v>
          </cell>
          <cell r="BN49" t="e">
            <v>#DIV/0!</v>
          </cell>
          <cell r="BW49" t="e">
            <v>#DIV/0!</v>
          </cell>
          <cell r="CF49" t="e">
            <v>#DIV/0!</v>
          </cell>
          <cell r="CO49" t="e">
            <v>#DIV/0!</v>
          </cell>
          <cell r="CX49" t="e">
            <v>#DIV/0!</v>
          </cell>
          <cell r="DG49" t="e">
            <v>#DIV/0!</v>
          </cell>
          <cell r="DP49">
            <v>1</v>
          </cell>
        </row>
        <row r="50">
          <cell r="A50">
            <v>0.4</v>
          </cell>
          <cell r="L50">
            <v>0.9861783154121968</v>
          </cell>
          <cell r="U50" t="e">
            <v>#DIV/0!</v>
          </cell>
          <cell r="AD50" t="e">
            <v>#DIV/0!</v>
          </cell>
          <cell r="AM50" t="e">
            <v>#DIV/0!</v>
          </cell>
          <cell r="AV50" t="e">
            <v>#DIV/0!</v>
          </cell>
          <cell r="BE50" t="e">
            <v>#DIV/0!</v>
          </cell>
          <cell r="BN50" t="e">
            <v>#DIV/0!</v>
          </cell>
          <cell r="BW50" t="e">
            <v>#DIV/0!</v>
          </cell>
          <cell r="CF50" t="e">
            <v>#DIV/0!</v>
          </cell>
          <cell r="CO50" t="e">
            <v>#DIV/0!</v>
          </cell>
          <cell r="CX50" t="e">
            <v>#DIV/0!</v>
          </cell>
          <cell r="DG50" t="e">
            <v>#DIV/0!</v>
          </cell>
          <cell r="DP50">
            <v>0.9861783154121968</v>
          </cell>
        </row>
        <row r="51">
          <cell r="A51">
            <v>0.55000000000000004</v>
          </cell>
          <cell r="L51">
            <v>0.98349014336910778</v>
          </cell>
          <cell r="U51" t="e">
            <v>#DIV/0!</v>
          </cell>
          <cell r="AD51" t="e">
            <v>#DIV/0!</v>
          </cell>
          <cell r="AM51" t="e">
            <v>#DIV/0!</v>
          </cell>
          <cell r="AV51" t="e">
            <v>#DIV/0!</v>
          </cell>
          <cell r="BE51" t="e">
            <v>#DIV/0!</v>
          </cell>
          <cell r="BN51" t="e">
            <v>#DIV/0!</v>
          </cell>
          <cell r="BW51" t="e">
            <v>#DIV/0!</v>
          </cell>
          <cell r="CF51" t="e">
            <v>#DIV/0!</v>
          </cell>
          <cell r="CO51" t="e">
            <v>#DIV/0!</v>
          </cell>
          <cell r="CX51" t="e">
            <v>#DIV/0!</v>
          </cell>
          <cell r="DG51" t="e">
            <v>#DIV/0!</v>
          </cell>
          <cell r="DP51">
            <v>0.98349014336910778</v>
          </cell>
        </row>
        <row r="52">
          <cell r="A52">
            <v>0.05</v>
          </cell>
          <cell r="L52">
            <v>1</v>
          </cell>
          <cell r="U52" t="e">
            <v>#DIV/0!</v>
          </cell>
          <cell r="AD52" t="e">
            <v>#DIV/0!</v>
          </cell>
          <cell r="AM52" t="e">
            <v>#DIV/0!</v>
          </cell>
          <cell r="AV52" t="e">
            <v>#DIV/0!</v>
          </cell>
          <cell r="BE52" t="e">
            <v>#DIV/0!</v>
          </cell>
          <cell r="BN52" t="e">
            <v>#DIV/0!</v>
          </cell>
          <cell r="BW52" t="e">
            <v>#DIV/0!</v>
          </cell>
          <cell r="CF52" t="e">
            <v>#DIV/0!</v>
          </cell>
          <cell r="CO52" t="e">
            <v>#DIV/0!</v>
          </cell>
          <cell r="CX52" t="e">
            <v>#DIV/0!</v>
          </cell>
          <cell r="DG52" t="e">
            <v>#DIV/0!</v>
          </cell>
          <cell r="DP52">
            <v>1</v>
          </cell>
        </row>
        <row r="53">
          <cell r="A53">
            <v>0.38</v>
          </cell>
          <cell r="L53">
            <v>1</v>
          </cell>
          <cell r="U53" t="e">
            <v>#DIV/0!</v>
          </cell>
          <cell r="AD53" t="e">
            <v>#DIV/0!</v>
          </cell>
          <cell r="AM53" t="e">
            <v>#DIV/0!</v>
          </cell>
          <cell r="AV53" t="e">
            <v>#DIV/0!</v>
          </cell>
          <cell r="BE53" t="e">
            <v>#DIV/0!</v>
          </cell>
          <cell r="BN53" t="e">
            <v>#DIV/0!</v>
          </cell>
          <cell r="BW53" t="e">
            <v>#DIV/0!</v>
          </cell>
          <cell r="CF53" t="e">
            <v>#DIV/0!</v>
          </cell>
          <cell r="CO53" t="e">
            <v>#DIV/0!</v>
          </cell>
          <cell r="CX53" t="e">
            <v>#DIV/0!</v>
          </cell>
          <cell r="DG53" t="e">
            <v>#DIV/0!</v>
          </cell>
          <cell r="DP53">
            <v>1</v>
          </cell>
        </row>
        <row r="54">
          <cell r="A54">
            <v>0.62</v>
          </cell>
          <cell r="L54">
            <v>1</v>
          </cell>
          <cell r="U54" t="e">
            <v>#DIV/0!</v>
          </cell>
          <cell r="AD54" t="e">
            <v>#DIV/0!</v>
          </cell>
          <cell r="AM54" t="e">
            <v>#DIV/0!</v>
          </cell>
          <cell r="AV54" t="e">
            <v>#DIV/0!</v>
          </cell>
          <cell r="BE54" t="e">
            <v>#DIV/0!</v>
          </cell>
          <cell r="BN54" t="e">
            <v>#DIV/0!</v>
          </cell>
          <cell r="BW54" t="e">
            <v>#DIV/0!</v>
          </cell>
          <cell r="CF54" t="e">
            <v>#DIV/0!</v>
          </cell>
          <cell r="CO54" t="e">
            <v>#DIV/0!</v>
          </cell>
          <cell r="CX54" t="e">
            <v>#DIV/0!</v>
          </cell>
          <cell r="DG54" t="e">
            <v>#DIV/0!</v>
          </cell>
          <cell r="DP54">
            <v>1</v>
          </cell>
        </row>
        <row r="55">
          <cell r="A55">
            <v>0.98</v>
          </cell>
          <cell r="L55">
            <v>1</v>
          </cell>
          <cell r="U55" t="e">
            <v>#DIV/0!</v>
          </cell>
          <cell r="AD55" t="e">
            <v>#DIV/0!</v>
          </cell>
          <cell r="AM55" t="e">
            <v>#DIV/0!</v>
          </cell>
          <cell r="AV55" t="e">
            <v>#DIV/0!</v>
          </cell>
          <cell r="BE55" t="e">
            <v>#DIV/0!</v>
          </cell>
          <cell r="BN55" t="e">
            <v>#DIV/0!</v>
          </cell>
          <cell r="BW55" t="e">
            <v>#DIV/0!</v>
          </cell>
          <cell r="CF55" t="e">
            <v>#DIV/0!</v>
          </cell>
          <cell r="CO55" t="e">
            <v>#DIV/0!</v>
          </cell>
          <cell r="CX55" t="e">
            <v>#DIV/0!</v>
          </cell>
          <cell r="DG55" t="e">
            <v>#DIV/0!</v>
          </cell>
          <cell r="DP55">
            <v>1</v>
          </cell>
        </row>
        <row r="56">
          <cell r="A56">
            <v>0.02</v>
          </cell>
          <cell r="L56">
            <v>1</v>
          </cell>
          <cell r="U56" t="e">
            <v>#DIV/0!</v>
          </cell>
          <cell r="AD56" t="e">
            <v>#DIV/0!</v>
          </cell>
          <cell r="AM56" t="e">
            <v>#DIV/0!</v>
          </cell>
          <cell r="AV56" t="e">
            <v>#DIV/0!</v>
          </cell>
          <cell r="BE56" t="e">
            <v>#DIV/0!</v>
          </cell>
          <cell r="BN56" t="e">
            <v>#DIV/0!</v>
          </cell>
          <cell r="BW56" t="e">
            <v>#DIV/0!</v>
          </cell>
          <cell r="CF56" t="e">
            <v>#DIV/0!</v>
          </cell>
          <cell r="CO56" t="e">
            <v>#DIV/0!</v>
          </cell>
          <cell r="CX56" t="e">
            <v>#DIV/0!</v>
          </cell>
          <cell r="DG56" t="e">
            <v>#DIV/0!</v>
          </cell>
          <cell r="DP56">
            <v>1</v>
          </cell>
        </row>
        <row r="57">
          <cell r="A57">
            <v>0.67</v>
          </cell>
          <cell r="L57">
            <v>1</v>
          </cell>
          <cell r="U57" t="e">
            <v>#DIV/0!</v>
          </cell>
          <cell r="AD57" t="e">
            <v>#DIV/0!</v>
          </cell>
          <cell r="AM57" t="e">
            <v>#DIV/0!</v>
          </cell>
          <cell r="AV57" t="e">
            <v>#DIV/0!</v>
          </cell>
          <cell r="BE57" t="e">
            <v>#DIV/0!</v>
          </cell>
          <cell r="BN57" t="e">
            <v>#DIV/0!</v>
          </cell>
          <cell r="BW57" t="e">
            <v>#DIV/0!</v>
          </cell>
          <cell r="CF57" t="e">
            <v>#DIV/0!</v>
          </cell>
          <cell r="CO57" t="e">
            <v>#DIV/0!</v>
          </cell>
          <cell r="CX57" t="e">
            <v>#DIV/0!</v>
          </cell>
          <cell r="DG57" t="e">
            <v>#DIV/0!</v>
          </cell>
          <cell r="DP57">
            <v>1</v>
          </cell>
        </row>
        <row r="58">
          <cell r="A58">
            <v>0.33</v>
          </cell>
          <cell r="L58">
            <v>1</v>
          </cell>
          <cell r="U58" t="e">
            <v>#DIV/0!</v>
          </cell>
          <cell r="AD58" t="e">
            <v>#DIV/0!</v>
          </cell>
          <cell r="AM58" t="e">
            <v>#DIV/0!</v>
          </cell>
          <cell r="AV58" t="e">
            <v>#DIV/0!</v>
          </cell>
          <cell r="BE58" t="e">
            <v>#DIV/0!</v>
          </cell>
          <cell r="BN58" t="e">
            <v>#DIV/0!</v>
          </cell>
          <cell r="BW58" t="e">
            <v>#DIV/0!</v>
          </cell>
          <cell r="CF58" t="e">
            <v>#DIV/0!</v>
          </cell>
          <cell r="CO58" t="e">
            <v>#DIV/0!</v>
          </cell>
          <cell r="CX58" t="e">
            <v>#DIV/0!</v>
          </cell>
          <cell r="DG58" t="e">
            <v>#DIV/0!</v>
          </cell>
          <cell r="DP58">
            <v>1</v>
          </cell>
        </row>
        <row r="59">
          <cell r="A59">
            <v>0.8</v>
          </cell>
          <cell r="L59">
            <v>1</v>
          </cell>
          <cell r="U59" t="e">
            <v>#DIV/0!</v>
          </cell>
          <cell r="AD59" t="e">
            <v>#DIV/0!</v>
          </cell>
          <cell r="AM59" t="e">
            <v>#DIV/0!</v>
          </cell>
          <cell r="AV59" t="e">
            <v>#DIV/0!</v>
          </cell>
          <cell r="BE59" t="e">
            <v>#DIV/0!</v>
          </cell>
          <cell r="BN59" t="e">
            <v>#DIV/0!</v>
          </cell>
          <cell r="BW59" t="e">
            <v>#DIV/0!</v>
          </cell>
          <cell r="CF59" t="e">
            <v>#DIV/0!</v>
          </cell>
          <cell r="CO59" t="e">
            <v>#DIV/0!</v>
          </cell>
          <cell r="CX59" t="e">
            <v>#DIV/0!</v>
          </cell>
          <cell r="DG59" t="e">
            <v>#DIV/0!</v>
          </cell>
          <cell r="DP59">
            <v>1</v>
          </cell>
        </row>
        <row r="60">
          <cell r="A60">
            <v>0.2</v>
          </cell>
          <cell r="L60">
            <v>1</v>
          </cell>
          <cell r="U60" t="e">
            <v>#DIV/0!</v>
          </cell>
          <cell r="AD60" t="e">
            <v>#DIV/0!</v>
          </cell>
          <cell r="AM60" t="e">
            <v>#DIV/0!</v>
          </cell>
          <cell r="AV60" t="e">
            <v>#DIV/0!</v>
          </cell>
          <cell r="BE60" t="e">
            <v>#DIV/0!</v>
          </cell>
          <cell r="BN60" t="e">
            <v>#DIV/0!</v>
          </cell>
          <cell r="BW60" t="e">
            <v>#DIV/0!</v>
          </cell>
          <cell r="CF60" t="e">
            <v>#DIV/0!</v>
          </cell>
          <cell r="CO60" t="e">
            <v>#DIV/0!</v>
          </cell>
          <cell r="CX60" t="e">
            <v>#DIV/0!</v>
          </cell>
          <cell r="DG60" t="e">
            <v>#DIV/0!</v>
          </cell>
          <cell r="DP60">
            <v>1</v>
          </cell>
        </row>
        <row r="61">
          <cell r="A61">
            <v>0.56000000000000005</v>
          </cell>
          <cell r="L61">
            <v>1</v>
          </cell>
          <cell r="U61" t="e">
            <v>#DIV/0!</v>
          </cell>
          <cell r="AD61" t="e">
            <v>#DIV/0!</v>
          </cell>
          <cell r="AM61" t="e">
            <v>#DIV/0!</v>
          </cell>
          <cell r="AV61" t="e">
            <v>#DIV/0!</v>
          </cell>
          <cell r="BE61" t="e">
            <v>#DIV/0!</v>
          </cell>
          <cell r="BN61" t="e">
            <v>#DIV/0!</v>
          </cell>
          <cell r="BW61" t="e">
            <v>#DIV/0!</v>
          </cell>
          <cell r="CF61" t="e">
            <v>#DIV/0!</v>
          </cell>
          <cell r="CO61" t="e">
            <v>#DIV/0!</v>
          </cell>
          <cell r="CX61" t="e">
            <v>#DIV/0!</v>
          </cell>
          <cell r="DG61" t="e">
            <v>#DIV/0!</v>
          </cell>
          <cell r="DP61">
            <v>1</v>
          </cell>
        </row>
        <row r="62">
          <cell r="A62">
            <v>0.44</v>
          </cell>
          <cell r="L62">
            <v>1</v>
          </cell>
          <cell r="U62" t="e">
            <v>#DIV/0!</v>
          </cell>
          <cell r="AD62" t="e">
            <v>#DIV/0!</v>
          </cell>
          <cell r="AM62" t="e">
            <v>#DIV/0!</v>
          </cell>
          <cell r="AV62" t="e">
            <v>#DIV/0!</v>
          </cell>
          <cell r="BE62" t="e">
            <v>#DIV/0!</v>
          </cell>
          <cell r="BN62" t="e">
            <v>#DIV/0!</v>
          </cell>
          <cell r="BW62" t="e">
            <v>#DIV/0!</v>
          </cell>
          <cell r="CF62" t="e">
            <v>#DIV/0!</v>
          </cell>
          <cell r="CO62" t="e">
            <v>#DIV/0!</v>
          </cell>
          <cell r="CX62" t="e">
            <v>#DIV/0!</v>
          </cell>
          <cell r="DG62" t="e">
            <v>#DIV/0!</v>
          </cell>
          <cell r="DP62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สรอ"/>
      <sheetName val="IRPC-2013 (Baseline Vs Actual)"/>
      <sheetName val="IRPC-06-13 (Target Vs Actual)"/>
      <sheetName val="IRPC-2012"/>
      <sheetName val="IRPC-2013 (Price &amp; Saving)"/>
      <sheetName val="ข้อมูลการใช้พลังงานปี2556"/>
      <sheetName val="EII-Data-56"/>
      <sheetName val="ALL IRPC-Graph (3)"/>
      <sheetName val="LO-Graph"/>
      <sheetName val="EII-Data-52 (Price &amp; Saving)"/>
      <sheetName val="Price&amp;Heating-Value"/>
      <sheetName val="Transfer Price2011"/>
      <sheetName val="Transfer Price2011 (2)"/>
      <sheetName val="PW-2012 Data"/>
      <sheetName val="ALL IRPC-Graph (2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2009"/>
      <sheetName val="2010"/>
      <sheetName val="DCC 2012 รวม GHU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>
        <row r="524">
          <cell r="T524">
            <v>2.9036695829414532</v>
          </cell>
        </row>
        <row r="561">
          <cell r="T561">
            <v>4.7578701877749208E-2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50">
          <cell r="C150" t="str">
            <v>Steam</v>
          </cell>
          <cell r="U150">
            <v>10.313758053574256</v>
          </cell>
        </row>
        <row r="151">
          <cell r="C151" t="str">
            <v>Diesel</v>
          </cell>
          <cell r="U151">
            <v>0.12642307568474695</v>
          </cell>
        </row>
        <row r="154">
          <cell r="C154" t="str">
            <v>Electricity</v>
          </cell>
          <cell r="U154">
            <v>87.843422391267609</v>
          </cell>
        </row>
        <row r="323">
          <cell r="C323" t="str">
            <v>Steam</v>
          </cell>
          <cell r="U323">
            <v>1.3419060780393421</v>
          </cell>
        </row>
        <row r="324">
          <cell r="C324" t="str">
            <v>LPG</v>
          </cell>
          <cell r="U324" t="e">
            <v>#REF!</v>
          </cell>
        </row>
        <row r="325">
          <cell r="C325" t="str">
            <v>Diesel</v>
          </cell>
          <cell r="U325">
            <v>0</v>
          </cell>
        </row>
        <row r="326">
          <cell r="C326" t="str">
            <v>Recycle Monomer</v>
          </cell>
          <cell r="U326">
            <v>1.1254313830251956</v>
          </cell>
        </row>
        <row r="328">
          <cell r="C328" t="str">
            <v>Electricity</v>
          </cell>
          <cell r="U328">
            <v>6.9762581186456885</v>
          </cell>
        </row>
        <row r="333">
          <cell r="C333" t="str">
            <v>Steam</v>
          </cell>
          <cell r="U333">
            <v>41.147176221227667</v>
          </cell>
        </row>
        <row r="334">
          <cell r="C334" t="str">
            <v>LPG</v>
          </cell>
          <cell r="U334">
            <v>42.329614495870203</v>
          </cell>
        </row>
        <row r="335">
          <cell r="C335" t="str">
            <v>Diesel</v>
          </cell>
          <cell r="U335">
            <v>4.2775995064589694</v>
          </cell>
        </row>
        <row r="336">
          <cell r="C336" t="str">
            <v>FO</v>
          </cell>
          <cell r="U336">
            <v>3.6572804790589371</v>
          </cell>
        </row>
        <row r="338">
          <cell r="C338" t="str">
            <v>Electricity</v>
          </cell>
          <cell r="U338">
            <v>5.2013959677747614</v>
          </cell>
        </row>
        <row r="439">
          <cell r="C439" t="str">
            <v>Steam</v>
          </cell>
          <cell r="U439">
            <v>15.242293683789148</v>
          </cell>
        </row>
        <row r="440">
          <cell r="C440" t="str">
            <v>LPG</v>
          </cell>
          <cell r="U440">
            <v>37.305868765682511</v>
          </cell>
        </row>
        <row r="441">
          <cell r="C441" t="str">
            <v>FO</v>
          </cell>
          <cell r="U441">
            <v>18.054949945146191</v>
          </cell>
        </row>
        <row r="442">
          <cell r="C442" t="str">
            <v>H2S</v>
          </cell>
          <cell r="U442">
            <v>1.103317733855725E-3</v>
          </cell>
        </row>
        <row r="443">
          <cell r="C443" t="str">
            <v>Coke</v>
          </cell>
          <cell r="U443">
            <v>18.457128271949436</v>
          </cell>
        </row>
        <row r="445">
          <cell r="C445" t="str">
            <v>Electricity</v>
          </cell>
          <cell r="U445">
            <v>10.938656015698854</v>
          </cell>
        </row>
        <row r="1066">
          <cell r="C1066" t="str">
            <v>B.C. Oil</v>
          </cell>
          <cell r="U1066">
            <v>4.2850212770759315</v>
          </cell>
        </row>
        <row r="1067">
          <cell r="C1067" t="str">
            <v>PGO/Diesel</v>
          </cell>
          <cell r="U1067">
            <v>3.3951888578956591</v>
          </cell>
        </row>
        <row r="1068">
          <cell r="C1068" t="str">
            <v>Fuel Gas</v>
          </cell>
          <cell r="U1068">
            <v>88.049051011966313</v>
          </cell>
        </row>
        <row r="1069">
          <cell r="C1069" t="str">
            <v>PFO</v>
          </cell>
          <cell r="U1069">
            <v>4.2707388530620882</v>
          </cell>
        </row>
        <row r="1130">
          <cell r="V1130" t="str">
            <v>FO/Coal</v>
          </cell>
          <cell r="W1130">
            <v>19.621422767010245</v>
          </cell>
        </row>
        <row r="1131">
          <cell r="V1131" t="str">
            <v>NG</v>
          </cell>
          <cell r="W1131">
            <v>80.378577232989741</v>
          </cell>
        </row>
      </sheetData>
      <sheetData sheetId="44"/>
      <sheetData sheetId="45"/>
      <sheetData sheetId="46"/>
      <sheetData sheetId="47"/>
      <sheetData sheetId="48">
        <row r="6">
          <cell r="D6">
            <v>2.4500000000000002</v>
          </cell>
          <cell r="E6">
            <v>2.54</v>
          </cell>
          <cell r="F6">
            <v>2.58</v>
          </cell>
          <cell r="G6">
            <v>2.67</v>
          </cell>
          <cell r="H6">
            <v>2.67</v>
          </cell>
          <cell r="I6">
            <v>2.67</v>
          </cell>
          <cell r="J6">
            <v>2.62</v>
          </cell>
          <cell r="P6">
            <v>2.7124999999999999</v>
          </cell>
          <cell r="R6">
            <v>3.6</v>
          </cell>
        </row>
        <row r="7">
          <cell r="D7">
            <v>1179.3506956831968</v>
          </cell>
          <cell r="E7">
            <v>1187.148055654656</v>
          </cell>
          <cell r="F7">
            <v>1176.4266856938996</v>
          </cell>
          <cell r="G7">
            <v>1200.7934356047094</v>
          </cell>
          <cell r="H7">
            <v>1317.7538351765968</v>
          </cell>
          <cell r="I7">
            <v>1453.2329646806993</v>
          </cell>
          <cell r="J7">
            <v>1547.7759543346415</v>
          </cell>
        </row>
        <row r="8">
          <cell r="D8">
            <v>1199.2079914377452</v>
          </cell>
          <cell r="E8">
            <v>1207.1366393150195</v>
          </cell>
          <cell r="F8">
            <v>1196.2347484837674</v>
          </cell>
          <cell r="G8">
            <v>1221.0117731002497</v>
          </cell>
          <cell r="H8">
            <v>1339.941491259365</v>
          </cell>
          <cell r="I8">
            <v>1477.7017481270068</v>
          </cell>
          <cell r="J8">
            <v>1573.8366036389582</v>
          </cell>
          <cell r="P8">
            <v>1290.0382923058626</v>
          </cell>
          <cell r="R8">
            <v>2778</v>
          </cell>
        </row>
        <row r="9">
          <cell r="D9">
            <v>1210</v>
          </cell>
          <cell r="E9">
            <v>1218</v>
          </cell>
          <cell r="F9">
            <v>1207</v>
          </cell>
          <cell r="G9">
            <v>1232</v>
          </cell>
          <cell r="H9">
            <v>1352</v>
          </cell>
          <cell r="I9">
            <v>1491</v>
          </cell>
          <cell r="J9">
            <v>1588</v>
          </cell>
          <cell r="P9">
            <v>1301.5833333333333</v>
          </cell>
          <cell r="R9">
            <v>2803</v>
          </cell>
        </row>
        <row r="10">
          <cell r="D10">
            <v>1230</v>
          </cell>
          <cell r="E10">
            <v>1238</v>
          </cell>
          <cell r="F10">
            <v>1227</v>
          </cell>
          <cell r="G10">
            <v>1252</v>
          </cell>
          <cell r="H10">
            <v>1372</v>
          </cell>
          <cell r="I10">
            <v>1511</v>
          </cell>
          <cell r="J10">
            <v>1608</v>
          </cell>
          <cell r="P10">
            <v>1321.5833333333333</v>
          </cell>
          <cell r="R10">
            <v>3180</v>
          </cell>
        </row>
        <row r="15">
          <cell r="D15">
            <v>3545.56</v>
          </cell>
          <cell r="E15">
            <v>3545.56</v>
          </cell>
          <cell r="F15">
            <v>3545.56</v>
          </cell>
          <cell r="G15">
            <v>3545.56</v>
          </cell>
          <cell r="H15">
            <v>3545.56</v>
          </cell>
          <cell r="I15">
            <v>3545.56</v>
          </cell>
          <cell r="J15">
            <v>3546.56</v>
          </cell>
        </row>
        <row r="16">
          <cell r="D16">
            <v>17026.52</v>
          </cell>
          <cell r="E16">
            <v>16712.7</v>
          </cell>
          <cell r="F16">
            <v>17027.009999999998</v>
          </cell>
          <cell r="G16">
            <v>18556.2</v>
          </cell>
          <cell r="H16">
            <v>21020.07</v>
          </cell>
          <cell r="I16">
            <v>22663.68</v>
          </cell>
          <cell r="J16">
            <v>26096.880000000001</v>
          </cell>
          <cell r="P16">
            <v>18208.682624999998</v>
          </cell>
          <cell r="S16">
            <v>39770</v>
          </cell>
          <cell r="T16">
            <v>0.98550000000000004</v>
          </cell>
        </row>
        <row r="18">
          <cell r="D18">
            <v>27522.32</v>
          </cell>
          <cell r="E18">
            <v>27494.030000000002</v>
          </cell>
          <cell r="F18">
            <v>29663.01</v>
          </cell>
          <cell r="G18">
            <v>32766.76</v>
          </cell>
          <cell r="H18">
            <v>37276.019999999997</v>
          </cell>
          <cell r="I18">
            <v>41000.959999999999</v>
          </cell>
          <cell r="J18">
            <v>42810.990000000005</v>
          </cell>
          <cell r="P18">
            <v>30124.568891666666</v>
          </cell>
          <cell r="R18">
            <v>30417.984</v>
          </cell>
          <cell r="T18">
            <v>0.83520000000000005</v>
          </cell>
        </row>
        <row r="19">
          <cell r="D19">
            <v>5331.2</v>
          </cell>
          <cell r="E19">
            <v>5308.7400000000007</v>
          </cell>
          <cell r="F19">
            <v>5307.12</v>
          </cell>
          <cell r="G19">
            <v>5328.96</v>
          </cell>
          <cell r="H19">
            <v>5311.3499999999995</v>
          </cell>
          <cell r="I19">
            <v>5324.8</v>
          </cell>
          <cell r="J19">
            <v>5313.54</v>
          </cell>
          <cell r="P19">
            <v>5900.3324083333328</v>
          </cell>
          <cell r="R19">
            <v>43993</v>
          </cell>
        </row>
        <row r="23">
          <cell r="D23">
            <v>11614.72</v>
          </cell>
          <cell r="E23">
            <v>11614.72</v>
          </cell>
          <cell r="F23">
            <v>11614.72</v>
          </cell>
          <cell r="G23">
            <v>11614.72</v>
          </cell>
          <cell r="H23">
            <v>11614.72</v>
          </cell>
          <cell r="I23">
            <v>11614.72</v>
          </cell>
          <cell r="J23">
            <v>11614.72</v>
          </cell>
          <cell r="P23">
            <v>11614.72</v>
          </cell>
          <cell r="R23">
            <v>50220</v>
          </cell>
        </row>
        <row r="24">
          <cell r="D24">
            <v>28388.639999999999</v>
          </cell>
          <cell r="E24">
            <v>26707.550000000003</v>
          </cell>
          <cell r="F24">
            <v>26219.7</v>
          </cell>
          <cell r="G24">
            <v>28008.76</v>
          </cell>
          <cell r="H24">
            <v>11556.21</v>
          </cell>
          <cell r="I24">
            <v>26707.550000000003</v>
          </cell>
          <cell r="J24">
            <v>12073.17</v>
          </cell>
        </row>
        <row r="25">
          <cell r="R25">
            <v>39710</v>
          </cell>
        </row>
        <row r="26">
          <cell r="R26">
            <v>40887.839999999997</v>
          </cell>
        </row>
      </sheetData>
      <sheetData sheetId="49">
        <row r="5">
          <cell r="HE5">
            <v>31.787500000000001</v>
          </cell>
        </row>
        <row r="327">
          <cell r="HE327">
            <v>1014</v>
          </cell>
        </row>
        <row r="331">
          <cell r="HE331">
            <v>741</v>
          </cell>
        </row>
        <row r="339">
          <cell r="GY339">
            <v>717.5</v>
          </cell>
          <cell r="HE339">
            <v>744</v>
          </cell>
        </row>
        <row r="459">
          <cell r="HE459">
            <v>2.99</v>
          </cell>
        </row>
        <row r="463">
          <cell r="HE463">
            <v>1585</v>
          </cell>
        </row>
        <row r="464">
          <cell r="HE464">
            <v>1605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>
        <row r="30">
          <cell r="F30">
            <v>35.969533099046117</v>
          </cell>
        </row>
      </sheetData>
      <sheetData sheetId="88"/>
      <sheetData sheetId="89"/>
      <sheetData sheetId="90"/>
      <sheetData sheetId="91"/>
      <sheetData sheetId="9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IRPC-2012"/>
      <sheetName val="IRPC-2013 (Price &amp; Saving)"/>
      <sheetName val="IRPC-2013 (Baseline Vs Actual)"/>
      <sheetName val="IRPC-06-13 (Target Vs Actual)"/>
      <sheetName val="ข้อมูลการใช้พลังงานปี2559"/>
      <sheetName val="LO-Graph"/>
      <sheetName val="Price&amp;Heating-Value"/>
      <sheetName val="Transfer Price2011"/>
      <sheetName val="Transfer Price2011 (2)"/>
      <sheetName val="EII-Data-55"/>
      <sheetName val="EII-Data-52 (Price &amp; Saving)"/>
      <sheetName val="PW-2012 Data"/>
      <sheetName val="ALL IRPC-Graph (2)"/>
      <sheetName val="ALL IRPC-Graph (3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DCC 2012 รวม GHU"/>
      <sheetName val="Sheet1"/>
      <sheetName val="Sheet2"/>
      <sheetName val="aug raw 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>
        <row r="6">
          <cell r="D6">
            <v>2.4500000000000002</v>
          </cell>
          <cell r="P6">
            <v>2.7124999999999999</v>
          </cell>
          <cell r="R6">
            <v>3.6</v>
          </cell>
        </row>
        <row r="9">
          <cell r="P9">
            <v>1301.5833333333333</v>
          </cell>
          <cell r="R9">
            <v>2803</v>
          </cell>
        </row>
        <row r="10">
          <cell r="P10">
            <v>1321.5833333333333</v>
          </cell>
          <cell r="R10">
            <v>3180</v>
          </cell>
        </row>
      </sheetData>
      <sheetData sheetId="45" refreshError="1">
        <row r="5">
          <cell r="HE5">
            <v>31.787500000000001</v>
          </cell>
        </row>
        <row r="459">
          <cell r="HE459">
            <v>2.99</v>
          </cell>
        </row>
        <row r="463">
          <cell r="HE463">
            <v>1585</v>
          </cell>
        </row>
        <row r="464">
          <cell r="HE464">
            <v>1605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3-1"/>
      <sheetName val="Com4-NH3"/>
      <sheetName val="Com4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09"/>
      <sheetName val="ข้อมูลไฟฟ้า 08-09"/>
      <sheetName val="สรุปข้อมูล 52"/>
      <sheetName val="ข้อมูลการใช้พลังงานปี2552"/>
      <sheetName val="ข้อมูลการใช้พลังงานปี2550"/>
      <sheetName val="EII&amp;EI-52"/>
      <sheetName val="EII-Data-52"/>
      <sheetName val="Saving (2007 Basis)"/>
      <sheetName val="Saving (2008 Basis)"/>
      <sheetName val="Production-Data"/>
      <sheetName val="Transfer price"/>
      <sheetName val="Transfer-sap"/>
      <sheetName val="Price&amp;Heating-Value"/>
      <sheetName val="Complex1-Graph"/>
      <sheetName val="Complex2-Graph"/>
      <sheetName val="Complex3-Graph"/>
      <sheetName val="Complex4-Graph"/>
      <sheetName val="Complex5-Graph"/>
      <sheetName val="PW-Graph"/>
      <sheetName val="ALL IRPC-Graph"/>
      <sheetName val="Information 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6">
          <cell r="D6">
            <v>2.4500000000000002</v>
          </cell>
          <cell r="E6">
            <v>2.54</v>
          </cell>
          <cell r="F6">
            <v>2.58</v>
          </cell>
          <cell r="G6">
            <v>2.67</v>
          </cell>
          <cell r="H6">
            <v>2.67</v>
          </cell>
          <cell r="I6">
            <v>2.67</v>
          </cell>
          <cell r="J6">
            <v>2.62</v>
          </cell>
          <cell r="P6">
            <v>2.7124999999999999</v>
          </cell>
          <cell r="R6">
            <v>3.6</v>
          </cell>
        </row>
        <row r="9">
          <cell r="D9">
            <v>1210</v>
          </cell>
          <cell r="E9">
            <v>1218</v>
          </cell>
          <cell r="F9">
            <v>1207</v>
          </cell>
          <cell r="G9">
            <v>1232</v>
          </cell>
          <cell r="H9">
            <v>1352</v>
          </cell>
          <cell r="I9">
            <v>1491</v>
          </cell>
          <cell r="J9">
            <v>1588</v>
          </cell>
          <cell r="P9">
            <v>1301.5833333333333</v>
          </cell>
          <cell r="R9">
            <v>2803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ETP-2011"/>
      <sheetName val="ข้อมูลการใช้พลังงานปี2011"/>
      <sheetName val="EII-Monitoring"/>
      <sheetName val="Price&amp;Heating-Value"/>
    </sheetNames>
    <sheetDataSet>
      <sheetData sheetId="0" refreshError="1"/>
      <sheetData sheetId="1">
        <row r="1">
          <cell r="D1">
            <v>54070</v>
          </cell>
          <cell r="H1">
            <v>3406</v>
          </cell>
          <cell r="L1">
            <v>487</v>
          </cell>
        </row>
        <row r="2">
          <cell r="D2">
            <v>39960</v>
          </cell>
          <cell r="H2">
            <v>3156</v>
          </cell>
          <cell r="L2">
            <v>206</v>
          </cell>
        </row>
        <row r="3">
          <cell r="D3">
            <v>40070</v>
          </cell>
          <cell r="H3">
            <v>2996</v>
          </cell>
          <cell r="L3">
            <v>210</v>
          </cell>
        </row>
        <row r="4">
          <cell r="D4">
            <v>44040</v>
          </cell>
          <cell r="H4">
            <v>2815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-Price-U$"/>
      <sheetName val="Graph-Price-Baht"/>
      <sheetName val="TransferPrice2007"/>
      <sheetName val="TransferPrice2006"/>
      <sheetName val="ข้อมูลใช้พลังงาน-49"/>
      <sheetName val="ข้อมูลการใช้พลังงาน-50"/>
      <sheetName val="HeatingValue"/>
      <sheetName val="Cost&amp;Consumption 2006-2007"/>
      <sheetName val="Graph-Cost&amp;Consumption"/>
      <sheetName val="EII-2007Base-PW&amp;UT&amp;NH3"/>
      <sheetName val="EII-2006Base-PW&amp;UT&amp;NH3"/>
      <sheetName val="EII-2007base"/>
      <sheetName val="Graph-EII-2007Base"/>
      <sheetName val="EII-2006base"/>
      <sheetName val="Graph-EII-2006Base"/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สรอ"/>
      <sheetName val="IRPC-2012"/>
      <sheetName val="IRPC-2013 (Price &amp; Saving)"/>
      <sheetName val="IRPC-2013 (Baseline Vs Actual)"/>
      <sheetName val="IRPC-06-13 (Target Vs Actual)"/>
      <sheetName val="ข้อมูลการใช้พลังงานปี2556"/>
      <sheetName val="LO-Graph"/>
      <sheetName val="Price&amp;Heating-Value"/>
      <sheetName val="Transfer Price2011"/>
      <sheetName val="Transfer Price2011 (2)"/>
      <sheetName val="EII-Data-55"/>
      <sheetName val="EII-Data-52 (Price &amp; Saving)"/>
      <sheetName val="PW-2012 Data"/>
      <sheetName val="ALL IRPC-Graph (2)"/>
      <sheetName val="ALL IRPC-Graph (3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2009"/>
      <sheetName val="2010"/>
      <sheetName val="DCC 2012 รวม GHU"/>
      <sheetName val="Sheet1"/>
      <sheetName val="Sheet2"/>
    </sheetNames>
    <sheetDataSet>
      <sheetData sheetId="0" refreshError="1"/>
      <sheetData sheetId="1" refreshError="1"/>
      <sheetData sheetId="2" refreshError="1">
        <row r="10">
          <cell r="AB10">
            <v>994.16666666666663</v>
          </cell>
        </row>
      </sheetData>
      <sheetData sheetId="3" refreshError="1"/>
      <sheetData sheetId="4" refreshError="1"/>
      <sheetData sheetId="5" refreshError="1"/>
      <sheetData sheetId="6" refreshError="1">
        <row r="16">
          <cell r="G16">
            <v>39770</v>
          </cell>
          <cell r="H16">
            <v>0.98550000000000004</v>
          </cell>
        </row>
        <row r="39">
          <cell r="C39">
            <v>3387.2929024789019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NH3"/>
      <sheetName val="Com4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2008"/>
      <sheetName val="ข้อมูล PW-2007"/>
      <sheetName val="ข้อมูลการใช้พลังงานปี2551"/>
      <sheetName val="ข้อมูลการใช้พลังงานปี2550"/>
      <sheetName val="Price&amp;Heating-Valu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8">
          <cell r="F18">
            <v>30254.094000000001</v>
          </cell>
          <cell r="H18">
            <v>0.83069999999999999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IRPC-2012"/>
      <sheetName val="IRPC-2013 (Price &amp; Saving)"/>
      <sheetName val="ข้อมูลการใช้พลังงานปี2556"/>
      <sheetName val="LO-Graph"/>
      <sheetName val="Price&amp;Heating-Value"/>
      <sheetName val="Transfer Price2011"/>
      <sheetName val="Transfer Price2011 (2)"/>
      <sheetName val="EII-Data-55"/>
      <sheetName val="EII-Data-52 (Price &amp; Saving)"/>
      <sheetName val="PW-2012 Data"/>
      <sheetName val="ALL IRPC-Graph (2)"/>
      <sheetName val="ALL IRPC-Graph (3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2009"/>
      <sheetName val="2010"/>
      <sheetName val="DCC 2012 รวม GH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>
        <row r="6">
          <cell r="P6">
            <v>2.7124999999999999</v>
          </cell>
          <cell r="R6">
            <v>3.6</v>
          </cell>
        </row>
        <row r="18">
          <cell r="P18">
            <v>30124.568891666666</v>
          </cell>
          <cell r="R18">
            <v>30417.984</v>
          </cell>
          <cell r="T18">
            <v>0.83520000000000005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ข้อมูลการใช้พลังงานปี2556"/>
      <sheetName val="EVP O1"/>
    </sheetNames>
    <sheetDataSet>
      <sheetData sheetId="0" refreshError="1">
        <row r="9">
          <cell r="D9">
            <v>30842148</v>
          </cell>
          <cell r="E9">
            <v>27708442</v>
          </cell>
          <cell r="F9">
            <v>36488436</v>
          </cell>
          <cell r="G9">
            <v>36906778.170000002</v>
          </cell>
          <cell r="H9">
            <v>36402481.909000002</v>
          </cell>
          <cell r="I9">
            <v>35251640.052000001</v>
          </cell>
          <cell r="J9">
            <v>39120975.824000001</v>
          </cell>
          <cell r="K9">
            <v>41424050</v>
          </cell>
          <cell r="L9">
            <v>34713689.200000003</v>
          </cell>
          <cell r="M9">
            <v>39506109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สรอ"/>
      <sheetName val="IRPC-2013 (Baseline Vs Actual)"/>
      <sheetName val="IRPC-06-13 (Target Vs Actual)"/>
      <sheetName val="IRPC-2012"/>
      <sheetName val="IRPC-2013 (Price &amp; Saving)"/>
      <sheetName val="ข้อมูลการใช้พลังงานปี2556"/>
      <sheetName val="EII-Data-56"/>
      <sheetName val="ALL IRPC-Graph (3)"/>
      <sheetName val="LO-Graph"/>
      <sheetName val="EII-Data-52 (Price &amp; Saving)"/>
      <sheetName val="Price&amp;Heating-Value"/>
      <sheetName val="Transfer Price2011"/>
      <sheetName val="Transfer Price2011 (2)"/>
      <sheetName val="PW-2012 Data"/>
      <sheetName val="ALL IRPC-Graph (2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2009"/>
      <sheetName val="2010"/>
      <sheetName val="DCC 2012 รวม GHU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524">
          <cell r="T524">
            <v>2.9036695829414532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150">
          <cell r="C150" t="str">
            <v>Steam</v>
          </cell>
          <cell r="U150">
            <v>12.045487566250234</v>
          </cell>
        </row>
        <row r="151">
          <cell r="C151" t="str">
            <v>Diesel</v>
          </cell>
          <cell r="U151">
            <v>0.12659202526598168</v>
          </cell>
        </row>
        <row r="154">
          <cell r="C154" t="str">
            <v>Electricity</v>
          </cell>
          <cell r="U154">
            <v>86.191346257201303</v>
          </cell>
        </row>
        <row r="323">
          <cell r="C323" t="str">
            <v>Steam</v>
          </cell>
          <cell r="U323">
            <v>1.3419060780393421</v>
          </cell>
        </row>
        <row r="324">
          <cell r="C324" t="str">
            <v>LPG</v>
          </cell>
          <cell r="U324" t="e">
            <v>#REF!</v>
          </cell>
        </row>
        <row r="325">
          <cell r="C325" t="str">
            <v>Diesel</v>
          </cell>
          <cell r="U325">
            <v>0</v>
          </cell>
        </row>
        <row r="326">
          <cell r="C326" t="str">
            <v>Recycle Monomer</v>
          </cell>
          <cell r="U326">
            <v>1.1254313830251956</v>
          </cell>
        </row>
        <row r="328">
          <cell r="C328" t="str">
            <v>Electricity</v>
          </cell>
          <cell r="U328">
            <v>6.9762581186456885</v>
          </cell>
        </row>
        <row r="333">
          <cell r="C333" t="str">
            <v>Steam</v>
          </cell>
          <cell r="U333">
            <v>41.147176221227667</v>
          </cell>
        </row>
        <row r="334">
          <cell r="C334" t="str">
            <v>LPG</v>
          </cell>
          <cell r="U334">
            <v>42.329614495870203</v>
          </cell>
        </row>
        <row r="335">
          <cell r="C335" t="str">
            <v>Diesel</v>
          </cell>
          <cell r="U335">
            <v>4.2775995064589694</v>
          </cell>
        </row>
        <row r="336">
          <cell r="C336" t="str">
            <v>FO</v>
          </cell>
          <cell r="U336">
            <v>3.6572804790589371</v>
          </cell>
        </row>
        <row r="338">
          <cell r="C338" t="str">
            <v>Electricity</v>
          </cell>
          <cell r="U338">
            <v>5.2013959677747614</v>
          </cell>
        </row>
        <row r="439">
          <cell r="C439" t="str">
            <v>Steam</v>
          </cell>
          <cell r="U439">
            <v>15.242293683789148</v>
          </cell>
        </row>
        <row r="440">
          <cell r="C440" t="str">
            <v>LPG</v>
          </cell>
          <cell r="U440">
            <v>37.305868765682511</v>
          </cell>
        </row>
        <row r="441">
          <cell r="C441" t="str">
            <v>FO</v>
          </cell>
          <cell r="U441">
            <v>18.054949945146191</v>
          </cell>
        </row>
        <row r="442">
          <cell r="C442" t="str">
            <v>H2S</v>
          </cell>
          <cell r="U442">
            <v>1.103317733855725E-3</v>
          </cell>
        </row>
        <row r="443">
          <cell r="C443" t="str">
            <v>Coke</v>
          </cell>
          <cell r="U443">
            <v>18.457128271949436</v>
          </cell>
        </row>
        <row r="445">
          <cell r="C445" t="str">
            <v>Electricity</v>
          </cell>
          <cell r="U445">
            <v>10.938656015698854</v>
          </cell>
        </row>
        <row r="1066">
          <cell r="C1066" t="str">
            <v>B.C. Oil</v>
          </cell>
          <cell r="U1066">
            <v>4.2850212770759315</v>
          </cell>
        </row>
        <row r="1067">
          <cell r="C1067" t="str">
            <v>PGO/Diesel</v>
          </cell>
          <cell r="U1067">
            <v>3.3951888578956591</v>
          </cell>
        </row>
        <row r="1068">
          <cell r="C1068" t="str">
            <v>Fuel Gas</v>
          </cell>
          <cell r="U1068">
            <v>88.049051011966313</v>
          </cell>
        </row>
        <row r="1069">
          <cell r="C1069" t="str">
            <v>PFO</v>
          </cell>
          <cell r="U1069">
            <v>4.2707388530620882</v>
          </cell>
        </row>
        <row r="1130">
          <cell r="V1130" t="str">
            <v>FO/Coal</v>
          </cell>
          <cell r="W1130">
            <v>19.621422767010245</v>
          </cell>
        </row>
        <row r="1131">
          <cell r="V1131" t="str">
            <v>NG</v>
          </cell>
          <cell r="W1131">
            <v>80.378577232989741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>
        <row r="6">
          <cell r="D6">
            <v>2.4500000000000002</v>
          </cell>
        </row>
      </sheetData>
      <sheetData sheetId="49">
        <row r="5">
          <cell r="HE5">
            <v>31.787500000000001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30">
          <cell r="F30">
            <v>35.969533099046117</v>
          </cell>
        </row>
      </sheetData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4-TF1"/>
      <sheetName val="Com4+TF1"/>
      <sheetName val="TF1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11"/>
      <sheetName val="ข้อมูลไฟฟ้า 08-11"/>
      <sheetName val="ADU&amp;DK-2007-9"/>
      <sheetName val="ADU1&amp;DK&amp;NTU-2007"/>
      <sheetName val="NTU-2007-9"/>
      <sheetName val="ABS+CCM-51"/>
      <sheetName val="ABS+CCM_54"/>
      <sheetName val="LOD-52"/>
      <sheetName val="สรุปข้อมูล 55"/>
      <sheetName val="ข้อมูลการใช้พลังงานปี2550"/>
      <sheetName val="Baseline2007"/>
      <sheetName val="Graph Baseline2007"/>
      <sheetName val="EII&amp;EI-52"/>
      <sheetName val="Saving (2008 Basis)"/>
      <sheetName val="Transfer price"/>
      <sheetName val="Transfer-sap"/>
      <sheetName val="Complex1-Graph"/>
      <sheetName val="Complex2-Graph"/>
      <sheetName val="Thai ABS-Graph"/>
      <sheetName val="IRPC-2012"/>
      <sheetName val="IRPC-2012 (Price &amp; Saving)"/>
      <sheetName val="ข้อมูลการใช้พลังงานปี2559"/>
      <sheetName val="Price&amp;Heating-Value"/>
      <sheetName val="Transfer Price2011"/>
      <sheetName val="Transfer Price2011 (2)"/>
      <sheetName val="EII-Data-52"/>
      <sheetName val="EII-Data-52 (Price &amp; Saving)"/>
      <sheetName val="PW-2012 Data"/>
      <sheetName val="ALL IRPC-Graph (2)"/>
      <sheetName val="ALL IRPC-Graph (3)"/>
      <sheetName val="IRPC Pol"/>
      <sheetName val="Complex3-Graph"/>
      <sheetName val="Complex4-Graph"/>
      <sheetName val="Complex5-Graph"/>
      <sheetName val="TF-Graph"/>
      <sheetName val="PW-Graph"/>
      <sheetName val="Saving (2007 Basis)"/>
      <sheetName val="Information Support"/>
      <sheetName val="CEL"/>
      <sheetName val="Production-Data"/>
      <sheetName val="CEL Graph"/>
      <sheetName val="CEL Graph (2)"/>
      <sheetName val="Port-54"/>
      <sheetName val="QC5-2011"/>
      <sheetName val="LO-2553"/>
      <sheetName val="Solomon Input"/>
      <sheetName val="ALL IRPC-Graph"/>
      <sheetName val="Sim IRPC"/>
      <sheetName val="Sim Com1"/>
      <sheetName val="Sim Com2"/>
      <sheetName val="Sim Com5"/>
      <sheetName val="Sim IRPC Pol"/>
      <sheetName val="Sim Com3"/>
      <sheetName val="Sim Com4"/>
      <sheetName val="Sim PW"/>
      <sheetName val="Sim TF"/>
      <sheetName val="DCC-with coke 2007"/>
      <sheetName val="DCC-with coke 2010"/>
      <sheetName val="SRU-2010"/>
      <sheetName val="ADU2_Flare"/>
      <sheetName val="DCC-Std"/>
      <sheetName val="SRU"/>
      <sheetName val="LDU-2007"/>
      <sheetName val="SEU2007_PDU2009"/>
      <sheetName val="GA"/>
      <sheetName val="2009"/>
      <sheetName val="2010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3">
          <cell r="C13">
            <v>91.657713828621084</v>
          </cell>
          <cell r="D13">
            <v>90.461367737134509</v>
          </cell>
          <cell r="E13">
            <v>92.024060125357934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</sheetData>
      <sheetData sheetId="26" refreshError="1"/>
      <sheetData sheetId="27" refreshError="1"/>
      <sheetData sheetId="28" refreshError="1">
        <row r="79">
          <cell r="T79">
            <v>2.2346748224997226</v>
          </cell>
        </row>
        <row r="108">
          <cell r="T108">
            <v>3.0803242209083765</v>
          </cell>
        </row>
        <row r="123">
          <cell r="T123">
            <v>0.27732422090837722</v>
          </cell>
        </row>
        <row r="156">
          <cell r="T156">
            <v>0.16610044821852646</v>
          </cell>
        </row>
        <row r="194">
          <cell r="T194">
            <v>3.9730194383370461</v>
          </cell>
        </row>
        <row r="328">
          <cell r="T328">
            <v>1.9171166823705479</v>
          </cell>
        </row>
        <row r="480">
          <cell r="T480">
            <v>1.0718599622879259</v>
          </cell>
        </row>
        <row r="524">
          <cell r="T524">
            <v>2.9036695829414532</v>
          </cell>
        </row>
        <row r="561">
          <cell r="T561">
            <v>4.7578701877749208E-2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>
        <row r="6">
          <cell r="D6">
            <v>2.4500000000000002</v>
          </cell>
          <cell r="E6">
            <v>2.54</v>
          </cell>
          <cell r="F6">
            <v>2.58</v>
          </cell>
          <cell r="G6">
            <v>2.67</v>
          </cell>
          <cell r="H6">
            <v>2.67</v>
          </cell>
          <cell r="I6">
            <v>2.67</v>
          </cell>
          <cell r="J6">
            <v>2.62</v>
          </cell>
          <cell r="P6">
            <v>2.7124999999999999</v>
          </cell>
          <cell r="R6">
            <v>3.6</v>
          </cell>
        </row>
        <row r="7">
          <cell r="D7">
            <v>1179.3506956831968</v>
          </cell>
          <cell r="E7">
            <v>1187.148055654656</v>
          </cell>
          <cell r="F7">
            <v>1176.4266856938996</v>
          </cell>
          <cell r="G7">
            <v>1200.7934356047094</v>
          </cell>
          <cell r="H7">
            <v>1317.7538351765968</v>
          </cell>
          <cell r="I7">
            <v>1453.2329646806993</v>
          </cell>
          <cell r="J7">
            <v>1547.7759543346415</v>
          </cell>
        </row>
        <row r="8">
          <cell r="D8">
            <v>1199.2079914377452</v>
          </cell>
          <cell r="E8">
            <v>1207.1366393150195</v>
          </cell>
          <cell r="F8">
            <v>1196.2347484837674</v>
          </cell>
          <cell r="G8">
            <v>1221.0117731002497</v>
          </cell>
          <cell r="H8">
            <v>1339.941491259365</v>
          </cell>
          <cell r="I8">
            <v>1477.7017481270068</v>
          </cell>
          <cell r="J8">
            <v>1573.8366036389582</v>
          </cell>
          <cell r="P8">
            <v>1290.0382923058626</v>
          </cell>
          <cell r="R8">
            <v>2778</v>
          </cell>
        </row>
        <row r="9">
          <cell r="D9">
            <v>1210</v>
          </cell>
          <cell r="E9">
            <v>1218</v>
          </cell>
          <cell r="F9">
            <v>1207</v>
          </cell>
          <cell r="G9">
            <v>1232</v>
          </cell>
          <cell r="H9">
            <v>1352</v>
          </cell>
          <cell r="I9">
            <v>1491</v>
          </cell>
          <cell r="J9">
            <v>1588</v>
          </cell>
          <cell r="P9">
            <v>1301.5833333333333</v>
          </cell>
          <cell r="R9">
            <v>2803</v>
          </cell>
        </row>
        <row r="10">
          <cell r="D10">
            <v>1230</v>
          </cell>
          <cell r="E10">
            <v>1238</v>
          </cell>
          <cell r="F10">
            <v>1227</v>
          </cell>
          <cell r="G10">
            <v>1252</v>
          </cell>
          <cell r="H10">
            <v>1372</v>
          </cell>
          <cell r="I10">
            <v>1511</v>
          </cell>
          <cell r="J10">
            <v>1608</v>
          </cell>
          <cell r="P10">
            <v>1321.5833333333333</v>
          </cell>
          <cell r="R10">
            <v>3180</v>
          </cell>
        </row>
        <row r="15">
          <cell r="D15">
            <v>3545.56</v>
          </cell>
          <cell r="E15">
            <v>3545.56</v>
          </cell>
          <cell r="F15">
            <v>3545.56</v>
          </cell>
          <cell r="G15">
            <v>3545.56</v>
          </cell>
          <cell r="H15">
            <v>3545.56</v>
          </cell>
          <cell r="I15">
            <v>3545.56</v>
          </cell>
          <cell r="J15">
            <v>3546.56</v>
          </cell>
        </row>
        <row r="16">
          <cell r="D16">
            <v>17026.52</v>
          </cell>
          <cell r="E16">
            <v>16712.7</v>
          </cell>
          <cell r="F16">
            <v>17027.009999999998</v>
          </cell>
          <cell r="G16">
            <v>18556.2</v>
          </cell>
          <cell r="H16">
            <v>21020.07</v>
          </cell>
          <cell r="I16">
            <v>22663.68</v>
          </cell>
          <cell r="J16">
            <v>26096.880000000001</v>
          </cell>
          <cell r="P16">
            <v>18208.682624999998</v>
          </cell>
          <cell r="S16">
            <v>39770</v>
          </cell>
          <cell r="T16">
            <v>0.98550000000000004</v>
          </cell>
        </row>
        <row r="18">
          <cell r="D18">
            <v>27522.32</v>
          </cell>
          <cell r="E18">
            <v>27494.030000000002</v>
          </cell>
          <cell r="F18">
            <v>29663.01</v>
          </cell>
          <cell r="G18">
            <v>32766.76</v>
          </cell>
          <cell r="H18">
            <v>37276.019999999997</v>
          </cell>
          <cell r="I18">
            <v>41000.959999999999</v>
          </cell>
          <cell r="J18">
            <v>42810.990000000005</v>
          </cell>
          <cell r="P18">
            <v>30124.568891666666</v>
          </cell>
          <cell r="R18">
            <v>30417.984</v>
          </cell>
          <cell r="T18">
            <v>0.83520000000000005</v>
          </cell>
        </row>
        <row r="19">
          <cell r="D19">
            <v>5331.2</v>
          </cell>
          <cell r="E19">
            <v>5308.7400000000007</v>
          </cell>
          <cell r="F19">
            <v>5307.12</v>
          </cell>
          <cell r="G19">
            <v>5328.96</v>
          </cell>
          <cell r="H19">
            <v>5311.3499999999995</v>
          </cell>
          <cell r="I19">
            <v>5324.8</v>
          </cell>
          <cell r="J19">
            <v>5313.54</v>
          </cell>
          <cell r="P19">
            <v>5900.3324083333328</v>
          </cell>
          <cell r="R19">
            <v>43993</v>
          </cell>
        </row>
        <row r="23">
          <cell r="D23">
            <v>11614.72</v>
          </cell>
          <cell r="E23">
            <v>11614.72</v>
          </cell>
          <cell r="F23">
            <v>11614.72</v>
          </cell>
          <cell r="G23">
            <v>11614.72</v>
          </cell>
          <cell r="H23">
            <v>11614.72</v>
          </cell>
          <cell r="I23">
            <v>11614.72</v>
          </cell>
          <cell r="J23">
            <v>11614.72</v>
          </cell>
          <cell r="P23">
            <v>11614.72</v>
          </cell>
          <cell r="R23">
            <v>50220</v>
          </cell>
        </row>
        <row r="24">
          <cell r="D24">
            <v>28388.639999999999</v>
          </cell>
          <cell r="E24">
            <v>26707.550000000003</v>
          </cell>
          <cell r="F24">
            <v>26219.7</v>
          </cell>
          <cell r="G24">
            <v>28008.76</v>
          </cell>
          <cell r="H24">
            <v>11556.21</v>
          </cell>
          <cell r="I24">
            <v>26707.550000000003</v>
          </cell>
          <cell r="J24">
            <v>12073.17</v>
          </cell>
          <cell r="R24">
            <v>45943.431119999994</v>
          </cell>
        </row>
        <row r="25">
          <cell r="R25">
            <v>39710</v>
          </cell>
        </row>
        <row r="26">
          <cell r="R26">
            <v>40887.839999999997</v>
          </cell>
        </row>
      </sheetData>
      <sheetData sheetId="42" refreshError="1">
        <row r="5">
          <cell r="HE5">
            <v>31.787500000000001</v>
          </cell>
        </row>
        <row r="327">
          <cell r="HE327">
            <v>1014</v>
          </cell>
        </row>
        <row r="331">
          <cell r="HE331">
            <v>741</v>
          </cell>
        </row>
        <row r="339">
          <cell r="GY339">
            <v>717.5</v>
          </cell>
          <cell r="HE339">
            <v>744</v>
          </cell>
        </row>
        <row r="459">
          <cell r="HE459">
            <v>2.99</v>
          </cell>
        </row>
        <row r="463">
          <cell r="HE463">
            <v>1585</v>
          </cell>
        </row>
        <row r="464">
          <cell r="HE464">
            <v>1605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>
        <row r="4">
          <cell r="E4">
            <v>21900.322849315067</v>
          </cell>
          <cell r="F4">
            <v>7850</v>
          </cell>
        </row>
        <row r="5">
          <cell r="E5">
            <v>20487.398794520548</v>
          </cell>
          <cell r="F5">
            <v>10300</v>
          </cell>
        </row>
        <row r="6">
          <cell r="E6">
            <v>21900.322849315067</v>
          </cell>
          <cell r="F6">
            <v>11450</v>
          </cell>
        </row>
        <row r="7">
          <cell r="E7">
            <v>0</v>
          </cell>
        </row>
        <row r="8">
          <cell r="E8">
            <v>0</v>
          </cell>
        </row>
        <row r="9">
          <cell r="E9">
            <v>0</v>
          </cell>
        </row>
        <row r="10">
          <cell r="E10">
            <v>0</v>
          </cell>
        </row>
        <row r="11">
          <cell r="E11">
            <v>0</v>
          </cell>
        </row>
        <row r="12">
          <cell r="E12">
            <v>0</v>
          </cell>
        </row>
        <row r="13">
          <cell r="E13">
            <v>0</v>
          </cell>
        </row>
        <row r="14">
          <cell r="E14">
            <v>0</v>
          </cell>
        </row>
        <row r="15">
          <cell r="E15">
            <v>0</v>
          </cell>
        </row>
      </sheetData>
      <sheetData sheetId="62" refreshError="1">
        <row r="6">
          <cell r="Q6">
            <v>77711</v>
          </cell>
          <cell r="R6">
            <v>67763</v>
          </cell>
          <cell r="S6">
            <v>79526</v>
          </cell>
          <cell r="T6">
            <v>76883</v>
          </cell>
          <cell r="U6">
            <v>91828</v>
          </cell>
          <cell r="V6">
            <v>78145</v>
          </cell>
          <cell r="W6" t="e">
            <v>#REF!</v>
          </cell>
          <cell r="X6" t="e">
            <v>#REF!</v>
          </cell>
          <cell r="Y6" t="e">
            <v>#REF!</v>
          </cell>
          <cell r="Z6" t="e">
            <v>#REF!</v>
          </cell>
          <cell r="AA6" t="e">
            <v>#REF!</v>
          </cell>
          <cell r="AB6" t="e">
            <v>#REF!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>
        <row r="8">
          <cell r="H8">
            <v>1.5355867679636046</v>
          </cell>
        </row>
      </sheetData>
      <sheetData sheetId="83" refreshError="1">
        <row r="30">
          <cell r="F30">
            <v>35.969533099046117</v>
          </cell>
        </row>
      </sheetData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Com1-UT"/>
      <sheetName val="All-Com1"/>
      <sheetName val="Com2"/>
      <sheetName val="Com3"/>
      <sheetName val="Com3-1"/>
      <sheetName val="Com4-NH3"/>
      <sheetName val="Com4"/>
      <sheetName val="Com5"/>
      <sheetName val="PW"/>
      <sheetName val="All-Production"/>
      <sheetName val="All-Production+Ut-NH3"/>
      <sheetName val="All-Production+UT"/>
      <sheetName val="ข้อมูล ETP-2007"/>
      <sheetName val="ข้อมูล PW-01-2008"/>
      <sheetName val="PW-02-08"/>
      <sheetName val="ข้อมูล PW-2007-1"/>
      <sheetName val="ข้อมูล PW-2007"/>
      <sheetName val="BIC-2008"/>
      <sheetName val="BIC-2009"/>
      <sheetName val="ข้อมูลไฟฟ้า 08-09"/>
      <sheetName val="สรุปข้อมูล 52"/>
      <sheetName val="ข้อมูลการใช้พลังงานปี2552"/>
      <sheetName val="ข้อมูลการใช้พลังงานปี2550"/>
      <sheetName val="EII&amp;EI-52"/>
      <sheetName val="EII-Data-52"/>
      <sheetName val="Saving (2007 Basis)"/>
      <sheetName val="Saving (2008 Basis)"/>
      <sheetName val="Production-Data"/>
      <sheetName val="Transfer price"/>
      <sheetName val="Transfer-sap"/>
      <sheetName val="Price&amp;Heating-Value"/>
      <sheetName val="Complex1-Graph"/>
      <sheetName val="Complex2-Graph"/>
      <sheetName val="Complex3-Graph"/>
      <sheetName val="Complex4-Graph"/>
      <sheetName val="Complex5-Graph"/>
      <sheetName val="PW-Graph"/>
      <sheetName val="ALL IRPC-Graph"/>
      <sheetName val="Information 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6">
          <cell r="D6">
            <v>2.4500000000000002</v>
          </cell>
          <cell r="E6">
            <v>2.54</v>
          </cell>
          <cell r="F6">
            <v>2.58</v>
          </cell>
          <cell r="G6">
            <v>2.67</v>
          </cell>
          <cell r="H6">
            <v>2.67</v>
          </cell>
          <cell r="I6">
            <v>2.67</v>
          </cell>
          <cell r="J6">
            <v>2.62</v>
          </cell>
          <cell r="P6">
            <v>2.7124999999999999</v>
          </cell>
          <cell r="R6">
            <v>3.6</v>
          </cell>
        </row>
        <row r="9">
          <cell r="D9">
            <v>1210</v>
          </cell>
          <cell r="E9">
            <v>1218</v>
          </cell>
          <cell r="F9">
            <v>1207</v>
          </cell>
          <cell r="G9">
            <v>1232</v>
          </cell>
          <cell r="H9">
            <v>1352</v>
          </cell>
          <cell r="I9">
            <v>1491</v>
          </cell>
          <cell r="J9">
            <v>1588</v>
          </cell>
          <cell r="P9">
            <v>1301.5833333333333</v>
          </cell>
          <cell r="R9">
            <v>2803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ปก"/>
      <sheetName val="หน้ารับรอง"/>
      <sheetName val="สารบัญ"/>
      <sheetName val="ข้อมูลเบื้องต้น"/>
      <sheetName val="เบื้องต้น-ต่อ"/>
      <sheetName val="ข้อมูลการใช้อาคาร"/>
      <sheetName val="ข้อมูลการใช้อาคาร-ต่อ"/>
      <sheetName val="หมายเหตุ"/>
      <sheetName val="ขั้นตอนที่1"/>
      <sheetName val="คำสั่งแต่งตั้ง"/>
      <sheetName val="เอกสารเผยแพร่"/>
      <sheetName val="ขั้นตอนที่2"/>
      <sheetName val="ขั้นตอนที่3"/>
      <sheetName val="เอกสารเผยแพร่นโยบาย"/>
      <sheetName val="ขั้นตอนที่4"/>
      <sheetName val="การใช้พลังงาน (METER QC5-1-62)"/>
      <sheetName val="การใช้พลังงาน (METER QC5-2-63)"/>
      <sheetName val="ประเมินระดับเครื่องจักร"/>
      <sheetName val="สัดส่วนการใช้พลังงาน"/>
      <sheetName val="SEC"/>
      <sheetName val="ข้อมูลไฟฟ้าเครื่องจักร"/>
      <sheetName val="การกำหนดเป้าหมาย"/>
      <sheetName val="ตารางมาตรการ"/>
      <sheetName val="แผนอนุรักษ์ไฟฟ้า"/>
      <sheetName val="มาตรการไฟฟ้า"/>
      <sheetName val="แผนการฝึกอบรม"/>
      <sheetName val="เพิ่มเติมเผยแพร่อบรม"/>
      <sheetName val="END"/>
      <sheetName val="เชื้อเพลิง"/>
      <sheetName val="การใช้เชื้อเพลิงเพื่อผลิตไฟฟ้า"/>
      <sheetName val="สัดส่วนเชื้อเพลิง"/>
      <sheetName val="SEC (2)"/>
      <sheetName val="SEC (3)"/>
      <sheetName val="ข้อมูลเชื้อเพลิงเครื่องจักร"/>
      <sheetName val="แผนอนุรักษ์ความร้อน"/>
      <sheetName val="มาตรการความร้อน"/>
      <sheetName val="การตรวจสอบและวิเคราะห์"/>
      <sheetName val="ผลการตรวจสอบและวิเคราะห์ไฟฟ้า"/>
      <sheetName val="ผลการตรวจสอบด้านความร้อน"/>
      <sheetName val="เพิ่มเติมขั้นตอนที่6"/>
      <sheetName val="ผลดำเนินการตามแผนฝึกอบรม"/>
      <sheetName val="การตรวจติดตาม"/>
      <sheetName val="ผลการตรวจประเมินภายใน"/>
      <sheetName val="การตรวจติดตามการจัดการ"/>
      <sheetName val="การตรวจติดตามการจัดการต่อ"/>
      <sheetName val="การทบทวนวิเคราะห์และแก้ไข"/>
      <sheetName val="เอกสารบันทึกวาระการประชุม"/>
      <sheetName val="เพิ่มเติมเผยแพร่ทบทวน"/>
      <sheetName val="สรุปผลการทบทวน"/>
      <sheetName val="Data"/>
      <sheetName val="DATA Equipment (QC5) "/>
      <sheetName val="DATA air QC5"/>
      <sheetName val="DATA Lighting QC5"/>
      <sheetName val="Data แผนลด 2554"/>
      <sheetName val="DATA สัดส่วนพลังงานมที่จะลด"/>
      <sheetName val="DATA EII QC5"/>
      <sheetName val="DATA แผนลด 2554_Rev.1"/>
      <sheetName val="DATA แผนลด 2554_Rev.1 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>
        <row r="6">
          <cell r="C6">
            <v>11682</v>
          </cell>
        </row>
      </sheetData>
      <sheetData sheetId="56" refreshError="1"/>
      <sheetData sheetId="57" refreshError="1"/>
      <sheetData sheetId="5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"/>
      <sheetName val="ETP-2011"/>
      <sheetName val="ข้อมูลการใช้พลังงานปี2011"/>
      <sheetName val="EII-Monitoring"/>
      <sheetName val="Price&amp;Heating-Value"/>
    </sheetNames>
    <sheetDataSet>
      <sheetData sheetId="0" refreshError="1"/>
      <sheetData sheetId="1" refreshError="1">
        <row r="1">
          <cell r="D1">
            <v>54070</v>
          </cell>
          <cell r="H1">
            <v>3406</v>
          </cell>
          <cell r="L1">
            <v>487</v>
          </cell>
        </row>
        <row r="2">
          <cell r="D2">
            <v>39960</v>
          </cell>
          <cell r="H2">
            <v>3156</v>
          </cell>
          <cell r="L2">
            <v>206</v>
          </cell>
        </row>
        <row r="3">
          <cell r="D3">
            <v>40070</v>
          </cell>
          <cell r="H3">
            <v>2996</v>
          </cell>
          <cell r="L3">
            <v>210</v>
          </cell>
        </row>
        <row r="4">
          <cell r="D4">
            <v>44040</v>
          </cell>
          <cell r="H4">
            <v>2815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ery (2)"/>
      <sheetName val="EII"/>
    </sheetNames>
    <sheetDataSet>
      <sheetData sheetId="0" refreshError="1"/>
      <sheetData sheetId="1" refreshError="1">
        <row r="12">
          <cell r="F12">
            <v>0</v>
          </cell>
        </row>
        <row r="14">
          <cell r="F14">
            <v>0</v>
          </cell>
        </row>
        <row r="15">
          <cell r="F15">
            <v>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ข้อมูลการใช้พลังงานปี2556"/>
      <sheetName val="EVP O1"/>
    </sheetNames>
    <sheetDataSet>
      <sheetData sheetId="0" refreshError="1">
        <row r="9">
          <cell r="D9">
            <v>30842148</v>
          </cell>
          <cell r="E9">
            <v>27708442</v>
          </cell>
          <cell r="F9">
            <v>36488436</v>
          </cell>
          <cell r="G9">
            <v>36906778.170000002</v>
          </cell>
          <cell r="H9">
            <v>36402481.909000002</v>
          </cell>
          <cell r="I9">
            <v>35251640.052000001</v>
          </cell>
          <cell r="J9">
            <v>39120975.824000001</v>
          </cell>
          <cell r="K9">
            <v>41424050</v>
          </cell>
          <cell r="L9">
            <v>34713689.200000003</v>
          </cell>
          <cell r="M9">
            <v>39506109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Cost (2)"/>
      <sheetName val="PL"/>
      <sheetName val="Analysis"/>
      <sheetName val="Base line"/>
      <sheetName val="PP recal."/>
    </sheetNames>
    <sheetDataSet>
      <sheetData sheetId="0" refreshError="1"/>
      <sheetData sheetId="1">
        <row r="16">
          <cell r="E16">
            <v>2261.5663134986153</v>
          </cell>
          <cell r="K16">
            <v>1141.9793818029573</v>
          </cell>
        </row>
        <row r="33">
          <cell r="E33">
            <v>4036.3882223584824</v>
          </cell>
        </row>
        <row r="42">
          <cell r="E42">
            <v>1404.1214898663161</v>
          </cell>
        </row>
        <row r="50">
          <cell r="K50">
            <v>5150.5769886582402</v>
          </cell>
        </row>
      </sheetData>
      <sheetData sheetId="2" refreshError="1"/>
      <sheetData sheetId="3" refreshError="1"/>
      <sheetData sheetId="4">
        <row r="520">
          <cell r="BJ520">
            <v>1040.9183761203651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8"/>
  <sheetViews>
    <sheetView tabSelected="1" zoomScale="50" zoomScaleNormal="50" zoomScaleSheetLayoutView="40" workbookViewId="0">
      <pane xSplit="3" ySplit="6" topLeftCell="D16" activePane="bottomRight" state="frozen"/>
      <selection pane="topRight" activeCell="D1" sqref="D1"/>
      <selection pane="bottomLeft" activeCell="A7" sqref="A7"/>
      <selection pane="bottomRight" activeCell="E75" sqref="E75"/>
    </sheetView>
  </sheetViews>
  <sheetFormatPr defaultColWidth="9" defaultRowHeight="28.5"/>
  <cols>
    <col min="1" max="1" width="1.85546875" style="95" customWidth="1"/>
    <col min="2" max="2" width="6.140625" style="118" customWidth="1"/>
    <col min="3" max="3" width="76.85546875" style="119" customWidth="1"/>
    <col min="4" max="4" width="9.7109375" style="119" customWidth="1"/>
    <col min="5" max="5" width="9.7109375" style="100" customWidth="1"/>
    <col min="6" max="6" width="14.42578125" style="120" customWidth="1"/>
    <col min="7" max="11" width="18.7109375" style="120" customWidth="1"/>
    <col min="12" max="12" width="8.7109375" style="121" customWidth="1"/>
    <col min="13" max="14" width="8.7109375" style="100" customWidth="1"/>
    <col min="15" max="16" width="13.85546875" style="100" customWidth="1"/>
    <col min="17" max="17" width="13.5703125" style="100" customWidth="1"/>
    <col min="18" max="18" width="12.5703125" style="100" customWidth="1"/>
    <col min="19" max="19" width="13.5703125" style="100" customWidth="1"/>
    <col min="20" max="21" width="12.5703125" style="100" customWidth="1"/>
    <col min="22" max="28" width="13.5703125" style="100" customWidth="1"/>
    <col min="29" max="16384" width="9" style="100"/>
  </cols>
  <sheetData>
    <row r="1" spans="1:28" s="66" customFormat="1" ht="60.95" customHeight="1">
      <c r="B1" s="1675" t="s">
        <v>1263</v>
      </c>
      <c r="C1" s="1675"/>
      <c r="D1" s="1675"/>
      <c r="E1" s="1675"/>
      <c r="F1" s="1675"/>
      <c r="G1" s="1675"/>
      <c r="H1" s="1675"/>
      <c r="I1" s="1675"/>
      <c r="J1" s="1675"/>
      <c r="K1" s="1675"/>
      <c r="L1" s="1675"/>
      <c r="M1" s="1675"/>
      <c r="N1" s="1675"/>
    </row>
    <row r="2" spans="1:28" s="67" customFormat="1" ht="44.1" customHeight="1">
      <c r="B2" s="1683" t="s">
        <v>1265</v>
      </c>
      <c r="C2" s="1683"/>
      <c r="D2" s="1683"/>
      <c r="E2" s="68"/>
      <c r="F2" s="68"/>
      <c r="G2" s="68"/>
      <c r="H2" s="68"/>
      <c r="I2" s="1611" t="s">
        <v>1306</v>
      </c>
      <c r="J2" s="68"/>
      <c r="K2" s="68"/>
      <c r="L2" s="69"/>
      <c r="M2" s="1575"/>
      <c r="N2" s="1576"/>
      <c r="Q2" s="1668"/>
      <c r="R2" s="1669"/>
      <c r="S2" s="1670"/>
      <c r="T2" s="1669"/>
      <c r="U2" s="1670"/>
      <c r="V2" s="1669"/>
      <c r="W2" s="1671"/>
      <c r="X2" s="1672"/>
      <c r="Y2" s="1670"/>
      <c r="Z2" s="1669"/>
    </row>
    <row r="3" spans="1:28" s="70" customFormat="1" ht="30" customHeight="1">
      <c r="B3" s="1684" t="s">
        <v>181</v>
      </c>
      <c r="C3" s="1684"/>
      <c r="D3" s="1685" t="s">
        <v>182</v>
      </c>
      <c r="E3" s="1686" t="s">
        <v>183</v>
      </c>
      <c r="F3" s="1687" t="s">
        <v>1264</v>
      </c>
      <c r="G3" s="1688" t="s">
        <v>184</v>
      </c>
      <c r="H3" s="1689"/>
      <c r="I3" s="1689"/>
      <c r="J3" s="1689"/>
      <c r="K3" s="1690"/>
      <c r="L3" s="1694" t="s">
        <v>185</v>
      </c>
      <c r="M3" s="1695"/>
      <c r="N3" s="1695"/>
    </row>
    <row r="4" spans="1:28" s="70" customFormat="1" ht="83.25" customHeight="1">
      <c r="B4" s="1684"/>
      <c r="C4" s="1684"/>
      <c r="D4" s="1685"/>
      <c r="E4" s="1686"/>
      <c r="F4" s="1687"/>
      <c r="G4" s="1691"/>
      <c r="H4" s="1692"/>
      <c r="I4" s="1692"/>
      <c r="J4" s="1692"/>
      <c r="K4" s="1693"/>
      <c r="L4" s="71" t="s">
        <v>52</v>
      </c>
      <c r="M4" s="72" t="s">
        <v>64</v>
      </c>
      <c r="N4" s="72" t="s">
        <v>49</v>
      </c>
      <c r="O4" s="1577" t="s">
        <v>1076</v>
      </c>
      <c r="P4" s="1577" t="s">
        <v>1202</v>
      </c>
      <c r="Q4" s="1577" t="s">
        <v>1258</v>
      </c>
      <c r="R4" s="1578" t="s">
        <v>1259</v>
      </c>
      <c r="S4" s="1578" t="s">
        <v>1260</v>
      </c>
      <c r="T4" s="1578" t="s">
        <v>1261</v>
      </c>
      <c r="U4" s="1578" t="s">
        <v>1262</v>
      </c>
      <c r="V4" s="1579" t="s">
        <v>1072</v>
      </c>
      <c r="W4" s="1579" t="s">
        <v>1073</v>
      </c>
      <c r="X4" s="1579" t="s">
        <v>1074</v>
      </c>
      <c r="Y4" s="1579" t="s">
        <v>1077</v>
      </c>
      <c r="Z4" s="1579" t="s">
        <v>1078</v>
      </c>
      <c r="AA4" s="1580" t="s">
        <v>1201</v>
      </c>
      <c r="AB4" s="1580" t="s">
        <v>1075</v>
      </c>
    </row>
    <row r="5" spans="1:28" s="70" customFormat="1" ht="30.6" customHeight="1">
      <c r="B5" s="1684"/>
      <c r="C5" s="1684"/>
      <c r="D5" s="1685"/>
      <c r="E5" s="1686"/>
      <c r="F5" s="1687"/>
      <c r="G5" s="73" t="s">
        <v>42</v>
      </c>
      <c r="H5" s="74" t="s">
        <v>43</v>
      </c>
      <c r="I5" s="75" t="s">
        <v>44</v>
      </c>
      <c r="J5" s="76" t="s">
        <v>45</v>
      </c>
      <c r="K5" s="77" t="s">
        <v>46</v>
      </c>
      <c r="L5" s="78">
        <f>COUNT(L7:L76)</f>
        <v>19</v>
      </c>
      <c r="M5" s="78">
        <f>COUNT(M7:M76)</f>
        <v>16</v>
      </c>
      <c r="N5" s="78">
        <f>COUNT(N7:N76)</f>
        <v>18</v>
      </c>
      <c r="O5" s="78">
        <f>COUNT(O7:O76)</f>
        <v>15</v>
      </c>
      <c r="P5" s="78">
        <f>COUNT(P7:P76)</f>
        <v>15</v>
      </c>
      <c r="Q5" s="78">
        <f>COUNT(Q7:Q76)</f>
        <v>15</v>
      </c>
      <c r="R5" s="78">
        <f>COUNT(R7:R76)</f>
        <v>14</v>
      </c>
      <c r="S5" s="78">
        <f>COUNT(S7:S76)</f>
        <v>14</v>
      </c>
      <c r="T5" s="78">
        <f>COUNT(T7:T76)</f>
        <v>14</v>
      </c>
      <c r="U5" s="78">
        <f>COUNT(U7:U76)</f>
        <v>14</v>
      </c>
      <c r="V5" s="78">
        <f>COUNT(V7:V76)</f>
        <v>14</v>
      </c>
      <c r="W5" s="78">
        <f>COUNT(W7:W76)</f>
        <v>14</v>
      </c>
      <c r="X5" s="78">
        <f>COUNT(X7:X76)</f>
        <v>14</v>
      </c>
      <c r="Y5" s="78">
        <f>COUNT(Y7:Y76)</f>
        <v>14</v>
      </c>
      <c r="Z5" s="78">
        <f>COUNT(Z7:Z76)</f>
        <v>14</v>
      </c>
      <c r="AA5" s="78">
        <f>COUNT(AA7:AA76)</f>
        <v>13</v>
      </c>
      <c r="AB5" s="78">
        <f>COUNT(AB7:AB76)</f>
        <v>13</v>
      </c>
    </row>
    <row r="6" spans="1:28" s="70" customFormat="1" ht="38.1" customHeight="1">
      <c r="B6" s="1680" t="s">
        <v>186</v>
      </c>
      <c r="C6" s="1681"/>
      <c r="D6" s="1681"/>
      <c r="E6" s="1681"/>
      <c r="F6" s="1681"/>
      <c r="G6" s="1681"/>
      <c r="H6" s="1681"/>
      <c r="I6" s="1681"/>
      <c r="J6" s="1681"/>
      <c r="K6" s="1682"/>
      <c r="L6" s="122">
        <f>SUM(L7:L76)</f>
        <v>100</v>
      </c>
      <c r="M6" s="209">
        <f>SUM(M7:M76)</f>
        <v>100</v>
      </c>
      <c r="N6" s="209">
        <f>SUM(N7:N76)</f>
        <v>100</v>
      </c>
      <c r="O6" s="1581">
        <f>SUM(O7:O76)</f>
        <v>100</v>
      </c>
      <c r="P6" s="1581">
        <f>SUM(P7:P76)</f>
        <v>100</v>
      </c>
      <c r="Q6" s="1581">
        <f>SUM(Q7:Q76)</f>
        <v>100</v>
      </c>
      <c r="R6" s="1581">
        <f>SUM(R7:R76)</f>
        <v>100</v>
      </c>
      <c r="S6" s="1581">
        <f>SUM(S7:S76)</f>
        <v>100</v>
      </c>
      <c r="T6" s="1581">
        <f>SUM(T7:T76)</f>
        <v>100</v>
      </c>
      <c r="U6" s="1581">
        <f>SUM(U7:U76)</f>
        <v>100</v>
      </c>
      <c r="V6" s="1581">
        <f>SUM(V7:V76)</f>
        <v>100</v>
      </c>
      <c r="W6" s="1581">
        <f>SUM(W7:W76)</f>
        <v>100</v>
      </c>
      <c r="X6" s="1581">
        <f>SUM(X7:X76)</f>
        <v>100</v>
      </c>
      <c r="Y6" s="1581">
        <f>SUM(Y7:Y76)</f>
        <v>100</v>
      </c>
      <c r="Z6" s="1581">
        <f>SUM(Z7:Z76)</f>
        <v>100</v>
      </c>
      <c r="AA6" s="1581">
        <f>SUM(AA7:AA78)</f>
        <v>100</v>
      </c>
      <c r="AB6" s="1581">
        <f>SUM(AB7:AB78)</f>
        <v>100</v>
      </c>
    </row>
    <row r="7" spans="1:28" s="79" customFormat="1" ht="39" customHeight="1">
      <c r="B7" s="1676">
        <v>1</v>
      </c>
      <c r="C7" s="80" t="s">
        <v>2</v>
      </c>
      <c r="D7" s="81" t="s">
        <v>187</v>
      </c>
      <c r="E7" s="81" t="s">
        <v>188</v>
      </c>
      <c r="F7" s="1618" t="s">
        <v>1169</v>
      </c>
      <c r="G7" s="1618" t="s">
        <v>1170</v>
      </c>
      <c r="H7" s="1618" t="s">
        <v>1171</v>
      </c>
      <c r="I7" s="1618" t="s">
        <v>1172</v>
      </c>
      <c r="J7" s="1619" t="s">
        <v>1173</v>
      </c>
      <c r="K7" s="1620" t="s">
        <v>1174</v>
      </c>
      <c r="L7" s="1621">
        <v>5</v>
      </c>
      <c r="M7" s="84">
        <v>5</v>
      </c>
      <c r="N7" s="84">
        <v>5</v>
      </c>
      <c r="O7" s="1582"/>
      <c r="P7" s="1582"/>
      <c r="Q7" s="1582"/>
      <c r="R7" s="1582"/>
      <c r="S7" s="1582"/>
      <c r="T7" s="1582"/>
      <c r="U7" s="1582"/>
      <c r="V7" s="1582"/>
      <c r="W7" s="1582"/>
      <c r="X7" s="1582"/>
      <c r="Y7" s="1582"/>
      <c r="Z7" s="1582"/>
      <c r="AA7" s="1582"/>
      <c r="AB7" s="1582"/>
    </row>
    <row r="8" spans="1:28" s="70" customFormat="1" ht="39" customHeight="1">
      <c r="A8" s="79"/>
      <c r="B8" s="1677"/>
      <c r="C8" s="86" t="s">
        <v>1175</v>
      </c>
      <c r="D8" s="81" t="s">
        <v>1176</v>
      </c>
      <c r="E8" s="81" t="s">
        <v>189</v>
      </c>
      <c r="F8" s="1618" t="s">
        <v>1177</v>
      </c>
      <c r="G8" s="1618" t="s">
        <v>1178</v>
      </c>
      <c r="H8" s="1618" t="s">
        <v>1179</v>
      </c>
      <c r="I8" s="1618" t="s">
        <v>1180</v>
      </c>
      <c r="J8" s="1619" t="s">
        <v>1181</v>
      </c>
      <c r="K8" s="1620" t="s">
        <v>1182</v>
      </c>
      <c r="L8" s="1621">
        <v>5</v>
      </c>
      <c r="M8" s="84">
        <v>5</v>
      </c>
      <c r="N8" s="84">
        <v>5</v>
      </c>
      <c r="O8" s="1582">
        <v>5</v>
      </c>
      <c r="P8" s="1582">
        <v>5</v>
      </c>
      <c r="Q8" s="1582">
        <v>5</v>
      </c>
      <c r="R8" s="1582">
        <v>5</v>
      </c>
      <c r="S8" s="1582">
        <v>5</v>
      </c>
      <c r="T8" s="1582">
        <v>5</v>
      </c>
      <c r="U8" s="1582">
        <v>5</v>
      </c>
      <c r="V8" s="1582">
        <v>5</v>
      </c>
      <c r="W8" s="1582">
        <v>5</v>
      </c>
      <c r="X8" s="1582">
        <v>5</v>
      </c>
      <c r="Y8" s="1582">
        <v>5</v>
      </c>
      <c r="Z8" s="1582">
        <v>5</v>
      </c>
      <c r="AA8" s="1582">
        <v>5</v>
      </c>
      <c r="AB8" s="1582">
        <v>5</v>
      </c>
    </row>
    <row r="9" spans="1:28" s="89" customFormat="1" ht="39" customHeight="1">
      <c r="A9" s="87"/>
      <c r="B9" s="1677"/>
      <c r="C9" s="80" t="s">
        <v>190</v>
      </c>
      <c r="D9" s="86" t="s">
        <v>1183</v>
      </c>
      <c r="E9" s="88" t="s">
        <v>191</v>
      </c>
      <c r="F9" s="1618">
        <v>0.8</v>
      </c>
      <c r="G9" s="1618" t="s">
        <v>1184</v>
      </c>
      <c r="H9" s="1618" t="s">
        <v>1185</v>
      </c>
      <c r="I9" s="1618" t="s">
        <v>3</v>
      </c>
      <c r="J9" s="1619" t="s">
        <v>4</v>
      </c>
      <c r="K9" s="1620" t="s">
        <v>10</v>
      </c>
      <c r="L9" s="1621">
        <v>5</v>
      </c>
      <c r="M9" s="140"/>
      <c r="N9" s="140"/>
      <c r="O9" s="1583"/>
      <c r="P9" s="1583"/>
      <c r="Q9" s="1583" t="s">
        <v>976</v>
      </c>
      <c r="R9" s="1583"/>
      <c r="S9" s="1583"/>
      <c r="T9" s="1583"/>
      <c r="U9" s="1583"/>
      <c r="V9" s="1583"/>
      <c r="W9" s="1583"/>
      <c r="X9" s="1583"/>
      <c r="Y9" s="1583"/>
      <c r="Z9" s="1583"/>
      <c r="AA9" s="1583"/>
      <c r="AB9" s="1583"/>
    </row>
    <row r="10" spans="1:28" s="89" customFormat="1" ht="39" customHeight="1">
      <c r="A10" s="87"/>
      <c r="B10" s="1677"/>
      <c r="C10" s="80" t="s">
        <v>1186</v>
      </c>
      <c r="D10" s="86" t="s">
        <v>1187</v>
      </c>
      <c r="E10" s="88" t="s">
        <v>193</v>
      </c>
      <c r="F10" s="1622">
        <v>0.4</v>
      </c>
      <c r="G10" s="1618" t="s">
        <v>1188</v>
      </c>
      <c r="H10" s="1618" t="s">
        <v>5</v>
      </c>
      <c r="I10" s="1618" t="s">
        <v>6</v>
      </c>
      <c r="J10" s="1619" t="s">
        <v>237</v>
      </c>
      <c r="K10" s="1620" t="s">
        <v>1189</v>
      </c>
      <c r="L10" s="1621">
        <v>5</v>
      </c>
      <c r="M10" s="83">
        <v>5</v>
      </c>
      <c r="N10" s="83">
        <v>5</v>
      </c>
      <c r="O10" s="1583"/>
      <c r="P10" s="1583"/>
      <c r="Q10" s="1583"/>
      <c r="R10" s="1583"/>
      <c r="S10" s="1583"/>
      <c r="T10" s="1583"/>
      <c r="U10" s="1583"/>
      <c r="V10" s="1583"/>
      <c r="W10" s="1583"/>
      <c r="X10" s="1583"/>
      <c r="Y10" s="1583"/>
      <c r="Z10" s="1583"/>
      <c r="AA10" s="1583"/>
      <c r="AB10" s="1583"/>
    </row>
    <row r="11" spans="1:28" s="89" customFormat="1" ht="39" customHeight="1">
      <c r="A11" s="87"/>
      <c r="B11" s="1677"/>
      <c r="C11" s="80" t="s">
        <v>249</v>
      </c>
      <c r="D11" s="86" t="s">
        <v>192</v>
      </c>
      <c r="E11" s="88" t="s">
        <v>238</v>
      </c>
      <c r="F11" s="1369" t="s">
        <v>1273</v>
      </c>
      <c r="G11" s="90">
        <v>1</v>
      </c>
      <c r="H11" s="90" t="s">
        <v>212</v>
      </c>
      <c r="I11" s="90" t="s">
        <v>212</v>
      </c>
      <c r="J11" s="90" t="s">
        <v>212</v>
      </c>
      <c r="K11" s="90">
        <v>0</v>
      </c>
      <c r="L11" s="137"/>
      <c r="M11" s="141"/>
      <c r="N11" s="141"/>
      <c r="O11" s="1582">
        <v>5</v>
      </c>
      <c r="P11" s="1582">
        <v>5</v>
      </c>
      <c r="Q11" s="1582">
        <v>5</v>
      </c>
      <c r="R11" s="1582">
        <v>5</v>
      </c>
      <c r="S11" s="1582">
        <v>5</v>
      </c>
      <c r="T11" s="1582">
        <v>5</v>
      </c>
      <c r="U11" s="1582">
        <v>5</v>
      </c>
      <c r="V11" s="1582">
        <v>5</v>
      </c>
      <c r="W11" s="1582">
        <v>5</v>
      </c>
      <c r="X11" s="1582">
        <v>5</v>
      </c>
      <c r="Y11" s="1582">
        <v>5</v>
      </c>
      <c r="Z11" s="1582">
        <v>5</v>
      </c>
      <c r="AA11" s="1582">
        <v>5</v>
      </c>
      <c r="AB11" s="1582">
        <v>5</v>
      </c>
    </row>
    <row r="12" spans="1:28" s="89" customFormat="1" ht="39" customHeight="1">
      <c r="A12" s="87"/>
      <c r="B12" s="1677"/>
      <c r="C12" s="80" t="s">
        <v>1190</v>
      </c>
      <c r="D12" s="86" t="s">
        <v>1191</v>
      </c>
      <c r="E12" s="88" t="s">
        <v>238</v>
      </c>
      <c r="F12" s="1618">
        <v>0.67</v>
      </c>
      <c r="G12" s="1618" t="s">
        <v>1192</v>
      </c>
      <c r="H12" s="1618" t="s">
        <v>1193</v>
      </c>
      <c r="I12" s="1618" t="s">
        <v>1194</v>
      </c>
      <c r="J12" s="1619" t="s">
        <v>1195</v>
      </c>
      <c r="K12" s="1620" t="s">
        <v>9</v>
      </c>
      <c r="L12" s="1621">
        <v>5</v>
      </c>
      <c r="M12" s="141"/>
      <c r="N12" s="141"/>
      <c r="O12" s="1583"/>
      <c r="P12" s="1583"/>
      <c r="Q12" s="1583"/>
      <c r="R12" s="1583"/>
      <c r="S12" s="1583"/>
      <c r="T12" s="1583"/>
      <c r="U12" s="1583"/>
      <c r="V12" s="1583"/>
      <c r="W12" s="1583"/>
      <c r="X12" s="1583"/>
      <c r="Y12" s="1583"/>
      <c r="Z12" s="1583"/>
      <c r="AA12" s="1583"/>
      <c r="AB12" s="1583"/>
    </row>
    <row r="13" spans="1:28" s="89" customFormat="1" ht="39" customHeight="1">
      <c r="A13" s="87"/>
      <c r="B13" s="1677"/>
      <c r="C13" s="80" t="s">
        <v>1196</v>
      </c>
      <c r="D13" s="80" t="s">
        <v>1197</v>
      </c>
      <c r="E13" s="88" t="s">
        <v>194</v>
      </c>
      <c r="F13" s="1618" t="s">
        <v>1198</v>
      </c>
      <c r="G13" s="1618" t="s">
        <v>241</v>
      </c>
      <c r="H13" s="1618" t="s">
        <v>22</v>
      </c>
      <c r="I13" s="1618" t="s">
        <v>242</v>
      </c>
      <c r="J13" s="1619" t="s">
        <v>243</v>
      </c>
      <c r="K13" s="1620" t="s">
        <v>248</v>
      </c>
      <c r="L13" s="1621">
        <v>5</v>
      </c>
      <c r="M13" s="140"/>
      <c r="N13" s="140"/>
      <c r="O13" s="1583"/>
      <c r="P13" s="1583"/>
      <c r="Q13" s="1583"/>
      <c r="R13" s="1583"/>
      <c r="S13" s="1583"/>
      <c r="T13" s="1583"/>
      <c r="U13" s="1583"/>
      <c r="V13" s="1583"/>
      <c r="W13" s="1583"/>
      <c r="X13" s="1583"/>
      <c r="Y13" s="1583"/>
      <c r="Z13" s="1583"/>
      <c r="AA13" s="1583"/>
      <c r="AB13" s="1583"/>
    </row>
    <row r="14" spans="1:28" s="91" customFormat="1" ht="39" customHeight="1">
      <c r="A14" s="87"/>
      <c r="B14" s="1677"/>
      <c r="C14" s="80" t="s">
        <v>1199</v>
      </c>
      <c r="D14" s="132" t="s">
        <v>1200</v>
      </c>
      <c r="E14" s="132" t="s">
        <v>196</v>
      </c>
      <c r="F14" s="1641">
        <v>0.83750000000000002</v>
      </c>
      <c r="G14" s="1623" t="s">
        <v>1302</v>
      </c>
      <c r="H14" s="1623" t="s">
        <v>1303</v>
      </c>
      <c r="I14" s="1623" t="s">
        <v>1268</v>
      </c>
      <c r="J14" s="1624" t="s">
        <v>1267</v>
      </c>
      <c r="K14" s="1625" t="s">
        <v>1266</v>
      </c>
      <c r="L14" s="1621">
        <v>5</v>
      </c>
      <c r="M14" s="83">
        <v>5</v>
      </c>
      <c r="N14" s="83">
        <v>5</v>
      </c>
      <c r="O14" s="1582">
        <v>5</v>
      </c>
      <c r="P14" s="1582">
        <v>5</v>
      </c>
      <c r="Q14" s="1582">
        <v>5</v>
      </c>
      <c r="R14" s="1582">
        <v>5</v>
      </c>
      <c r="S14" s="1582">
        <v>5</v>
      </c>
      <c r="T14" s="1582">
        <v>5</v>
      </c>
      <c r="U14" s="1582">
        <v>5</v>
      </c>
      <c r="V14" s="1582">
        <v>5</v>
      </c>
      <c r="W14" s="1582">
        <v>5</v>
      </c>
      <c r="X14" s="1582">
        <v>5</v>
      </c>
      <c r="Y14" s="1582">
        <v>5</v>
      </c>
      <c r="Z14" s="1582">
        <v>5</v>
      </c>
      <c r="AA14" s="1582">
        <v>5</v>
      </c>
      <c r="AB14" s="1582">
        <v>5</v>
      </c>
    </row>
    <row r="15" spans="1:28" s="91" customFormat="1" ht="39" customHeight="1">
      <c r="A15" s="87"/>
      <c r="B15" s="1677"/>
      <c r="C15" s="92" t="s">
        <v>336</v>
      </c>
      <c r="D15" s="132" t="s">
        <v>195</v>
      </c>
      <c r="E15" s="132" t="s">
        <v>196</v>
      </c>
      <c r="F15" s="132" t="s">
        <v>197</v>
      </c>
      <c r="G15" s="133" t="s">
        <v>198</v>
      </c>
      <c r="H15" s="134" t="s">
        <v>199</v>
      </c>
      <c r="I15" s="133" t="s">
        <v>200</v>
      </c>
      <c r="J15" s="134" t="s">
        <v>201</v>
      </c>
      <c r="K15" s="133" t="s">
        <v>197</v>
      </c>
      <c r="L15" s="136"/>
      <c r="M15" s="83"/>
      <c r="N15" s="140"/>
      <c r="O15" s="1583"/>
      <c r="P15" s="1583"/>
      <c r="Q15" s="1583"/>
      <c r="R15" s="1583"/>
      <c r="S15" s="1583"/>
      <c r="T15" s="1583"/>
      <c r="U15" s="1583"/>
      <c r="V15" s="1583"/>
      <c r="W15" s="1583"/>
      <c r="X15" s="1583"/>
      <c r="Y15" s="1583"/>
      <c r="Z15" s="1583"/>
      <c r="AA15" s="1583"/>
      <c r="AB15" s="1583"/>
    </row>
    <row r="16" spans="1:28" s="91" customFormat="1" ht="50.25" customHeight="1">
      <c r="A16" s="87"/>
      <c r="B16" s="1613"/>
      <c r="C16" s="92" t="s">
        <v>1155</v>
      </c>
      <c r="D16" s="132" t="s">
        <v>1156</v>
      </c>
      <c r="E16" s="132" t="s">
        <v>1157</v>
      </c>
      <c r="F16" s="1614" t="s">
        <v>1158</v>
      </c>
      <c r="G16" s="1616" t="s">
        <v>1159</v>
      </c>
      <c r="H16" s="1616" t="s">
        <v>1160</v>
      </c>
      <c r="I16" s="1616" t="s">
        <v>1161</v>
      </c>
      <c r="J16" s="1616" t="s">
        <v>1162</v>
      </c>
      <c r="K16" s="1616" t="s">
        <v>1163</v>
      </c>
      <c r="L16" s="1615"/>
      <c r="M16" s="1615"/>
      <c r="N16" s="1615"/>
      <c r="O16" s="1615"/>
      <c r="P16" s="1615"/>
      <c r="Q16" s="1615"/>
      <c r="R16" s="1615"/>
      <c r="S16" s="1583"/>
      <c r="T16" s="1583"/>
      <c r="U16" s="1583"/>
      <c r="V16" s="1583"/>
      <c r="W16" s="1583"/>
      <c r="X16" s="1583"/>
      <c r="Y16" s="1583"/>
      <c r="Z16" s="1583"/>
      <c r="AA16" s="1583"/>
      <c r="AB16" s="1583"/>
    </row>
    <row r="17" spans="1:28" s="94" customFormat="1" ht="39" customHeight="1">
      <c r="A17" s="93"/>
      <c r="B17" s="1678" t="s">
        <v>244</v>
      </c>
      <c r="C17" s="1679"/>
      <c r="D17" s="1679"/>
      <c r="E17" s="1679"/>
      <c r="F17" s="1679"/>
      <c r="G17" s="1679"/>
      <c r="H17" s="1679"/>
      <c r="I17" s="1679"/>
      <c r="J17" s="1679"/>
      <c r="K17" s="1679"/>
      <c r="L17" s="1679"/>
      <c r="M17" s="1679"/>
      <c r="N17" s="1679"/>
      <c r="O17" s="1584"/>
      <c r="P17" s="1584"/>
      <c r="Q17" s="1584"/>
      <c r="R17" s="1584"/>
      <c r="S17" s="1584"/>
      <c r="T17" s="1584"/>
      <c r="U17" s="1584"/>
      <c r="V17" s="1584"/>
      <c r="W17" s="1584"/>
      <c r="X17" s="1584"/>
      <c r="Y17" s="1584"/>
      <c r="Z17" s="1584"/>
      <c r="AA17" s="1584"/>
      <c r="AB17" s="1584"/>
    </row>
    <row r="18" spans="1:28" s="91" customFormat="1" ht="39" customHeight="1">
      <c r="A18" s="87"/>
      <c r="B18" s="82">
        <v>2</v>
      </c>
      <c r="C18" s="1626" t="s">
        <v>1203</v>
      </c>
      <c r="D18" s="97" t="s">
        <v>1204</v>
      </c>
      <c r="E18" s="98" t="s">
        <v>1205</v>
      </c>
      <c r="F18" s="1618">
        <v>1</v>
      </c>
      <c r="G18" s="1618" t="s">
        <v>12</v>
      </c>
      <c r="H18" s="1618" t="s">
        <v>13</v>
      </c>
      <c r="I18" s="1618" t="s">
        <v>11</v>
      </c>
      <c r="J18" s="1627" t="s">
        <v>14</v>
      </c>
      <c r="K18" s="1628">
        <v>100</v>
      </c>
      <c r="L18" s="1621">
        <v>5</v>
      </c>
      <c r="M18" s="85">
        <v>10</v>
      </c>
      <c r="N18" s="85">
        <v>10</v>
      </c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s="91" customFormat="1" ht="40.35" customHeight="1">
      <c r="A19" s="87"/>
      <c r="B19" s="139"/>
      <c r="C19" s="1594" t="s">
        <v>1085</v>
      </c>
      <c r="D19" s="105" t="s">
        <v>1086</v>
      </c>
      <c r="E19" s="1595" t="s">
        <v>1087</v>
      </c>
      <c r="F19" s="1596" t="s">
        <v>1088</v>
      </c>
      <c r="G19" s="1596" t="s">
        <v>1089</v>
      </c>
      <c r="H19" s="1597" t="s">
        <v>1090</v>
      </c>
      <c r="I19" s="1597" t="s">
        <v>1091</v>
      </c>
      <c r="J19" s="1597" t="s">
        <v>1088</v>
      </c>
      <c r="K19" s="1597" t="s">
        <v>1092</v>
      </c>
      <c r="L19" s="1592"/>
      <c r="M19" s="1593"/>
      <c r="N19" s="1646"/>
      <c r="O19" s="1582">
        <v>15</v>
      </c>
      <c r="P19" s="1582">
        <v>15</v>
      </c>
      <c r="Q19" s="1582">
        <v>15</v>
      </c>
      <c r="R19" s="1582">
        <v>15</v>
      </c>
      <c r="S19" s="1582">
        <v>15</v>
      </c>
      <c r="T19" s="1582">
        <v>15</v>
      </c>
      <c r="U19" s="1582">
        <v>15</v>
      </c>
      <c r="V19" s="1582">
        <v>15</v>
      </c>
      <c r="W19" s="1582">
        <v>15</v>
      </c>
      <c r="X19" s="1582">
        <v>15</v>
      </c>
      <c r="Y19" s="1582">
        <v>15</v>
      </c>
      <c r="Z19" s="1582">
        <v>15</v>
      </c>
      <c r="AA19" s="1582">
        <v>5</v>
      </c>
      <c r="AB19" s="1582">
        <v>5</v>
      </c>
    </row>
    <row r="20" spans="1:28" ht="40.35" customHeight="1">
      <c r="B20" s="1640">
        <v>3</v>
      </c>
      <c r="C20" s="1626" t="s">
        <v>1272</v>
      </c>
      <c r="D20" s="97" t="s">
        <v>1207</v>
      </c>
      <c r="E20" s="98" t="s">
        <v>1208</v>
      </c>
      <c r="F20" s="1618">
        <v>0.95</v>
      </c>
      <c r="G20" s="1618" t="s">
        <v>12</v>
      </c>
      <c r="H20" s="1618" t="s">
        <v>13</v>
      </c>
      <c r="I20" s="1618" t="s">
        <v>11</v>
      </c>
      <c r="J20" s="1619" t="s">
        <v>14</v>
      </c>
      <c r="K20" s="1620" t="s">
        <v>58</v>
      </c>
      <c r="L20" s="1621">
        <v>10</v>
      </c>
      <c r="M20" s="99">
        <v>10</v>
      </c>
      <c r="N20" s="1647"/>
      <c r="O20" s="1645"/>
      <c r="P20" s="1645"/>
      <c r="Q20" s="1645"/>
      <c r="R20" s="1645"/>
      <c r="S20" s="1645"/>
      <c r="T20" s="1645"/>
      <c r="U20" s="1645"/>
      <c r="V20" s="1645"/>
      <c r="W20" s="1645"/>
      <c r="X20" s="1645"/>
      <c r="Y20" s="1645"/>
      <c r="Z20" s="1645"/>
      <c r="AA20" s="1645"/>
      <c r="AB20" s="1645"/>
    </row>
    <row r="21" spans="1:28" ht="40.35" customHeight="1">
      <c r="B21" s="1617">
        <v>4</v>
      </c>
      <c r="C21" s="1626" t="s">
        <v>1206</v>
      </c>
      <c r="D21" s="97" t="s">
        <v>1304</v>
      </c>
      <c r="E21" s="98" t="s">
        <v>1305</v>
      </c>
      <c r="F21" s="1618">
        <v>0.85</v>
      </c>
      <c r="G21" s="1618" t="s">
        <v>1311</v>
      </c>
      <c r="H21" s="1618" t="s">
        <v>1310</v>
      </c>
      <c r="I21" s="1618" t="s">
        <v>1309</v>
      </c>
      <c r="J21" s="1619" t="s">
        <v>1307</v>
      </c>
      <c r="K21" s="1620" t="s">
        <v>1308</v>
      </c>
      <c r="L21" s="1621"/>
      <c r="M21" s="99"/>
      <c r="N21" s="1662">
        <v>5</v>
      </c>
      <c r="O21" s="1663">
        <v>5</v>
      </c>
      <c r="P21" s="1663">
        <v>5</v>
      </c>
      <c r="Q21" s="1663">
        <v>5</v>
      </c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s="91" customFormat="1" ht="39" customHeight="1">
      <c r="A22" s="87"/>
      <c r="B22" s="82"/>
      <c r="C22" s="86" t="s">
        <v>1298</v>
      </c>
      <c r="D22" s="1588" t="s">
        <v>1108</v>
      </c>
      <c r="E22" s="1600" t="s">
        <v>1109</v>
      </c>
      <c r="F22" s="1606">
        <v>0.85</v>
      </c>
      <c r="G22" s="1604" t="s">
        <v>1118</v>
      </c>
      <c r="H22" s="1605" t="s">
        <v>1110</v>
      </c>
      <c r="I22" s="1608" t="s">
        <v>1111</v>
      </c>
      <c r="J22" s="1609" t="s">
        <v>1112</v>
      </c>
      <c r="K22" s="1608" t="s">
        <v>1113</v>
      </c>
      <c r="L22" s="1631"/>
      <c r="M22" s="1631"/>
      <c r="N22" s="1631"/>
      <c r="O22" s="1582"/>
      <c r="P22" s="1582"/>
      <c r="Q22" s="1582"/>
      <c r="R22" s="1582"/>
      <c r="S22" s="1582"/>
      <c r="T22" s="1582">
        <v>5</v>
      </c>
      <c r="U22" s="1582"/>
      <c r="V22" s="1582"/>
      <c r="W22" s="1582"/>
      <c r="X22" s="1582">
        <v>5</v>
      </c>
      <c r="Y22" s="1582"/>
      <c r="Z22" s="1582"/>
      <c r="AA22" s="1582"/>
      <c r="AB22" s="1582"/>
    </row>
    <row r="23" spans="1:28" s="91" customFormat="1" ht="39" customHeight="1">
      <c r="A23" s="87"/>
      <c r="B23" s="82"/>
      <c r="C23" s="86" t="s">
        <v>1294</v>
      </c>
      <c r="D23" s="1588" t="s">
        <v>1108</v>
      </c>
      <c r="E23" s="1600" t="s">
        <v>1109</v>
      </c>
      <c r="F23" s="1606">
        <v>0.85</v>
      </c>
      <c r="G23" s="1604" t="s">
        <v>1118</v>
      </c>
      <c r="H23" s="1605" t="s">
        <v>1110</v>
      </c>
      <c r="I23" s="1608" t="s">
        <v>1111</v>
      </c>
      <c r="J23" s="1609" t="s">
        <v>1112</v>
      </c>
      <c r="K23" s="1608" t="s">
        <v>1113</v>
      </c>
      <c r="L23" s="1631"/>
      <c r="M23" s="1631"/>
      <c r="N23" s="1631"/>
      <c r="O23" s="1582"/>
      <c r="P23" s="1582"/>
      <c r="Q23" s="1582"/>
      <c r="R23" s="1582"/>
      <c r="S23" s="1582">
        <v>5</v>
      </c>
      <c r="T23" s="1582"/>
      <c r="U23" s="1582"/>
      <c r="V23" s="1582"/>
      <c r="W23" s="1582">
        <v>5</v>
      </c>
      <c r="X23" s="1582"/>
      <c r="Y23" s="1582"/>
      <c r="Z23" s="1582"/>
      <c r="AA23" s="1582"/>
      <c r="AB23" s="1582"/>
    </row>
    <row r="24" spans="1:28" s="91" customFormat="1" ht="39" customHeight="1">
      <c r="A24" s="87"/>
      <c r="B24" s="82"/>
      <c r="C24" s="86" t="s">
        <v>1295</v>
      </c>
      <c r="D24" s="1588" t="s">
        <v>1108</v>
      </c>
      <c r="E24" s="1600" t="s">
        <v>1109</v>
      </c>
      <c r="F24" s="1606">
        <v>0.85</v>
      </c>
      <c r="G24" s="1604" t="s">
        <v>1118</v>
      </c>
      <c r="H24" s="1605" t="s">
        <v>1110</v>
      </c>
      <c r="I24" s="1608" t="s">
        <v>1111</v>
      </c>
      <c r="J24" s="1609" t="s">
        <v>1112</v>
      </c>
      <c r="K24" s="1608" t="s">
        <v>1113</v>
      </c>
      <c r="L24" s="1631"/>
      <c r="M24" s="1631"/>
      <c r="N24" s="1631"/>
      <c r="O24" s="1582"/>
      <c r="P24" s="1582"/>
      <c r="Q24" s="1582"/>
      <c r="R24" s="1582">
        <v>5</v>
      </c>
      <c r="S24" s="1582"/>
      <c r="T24" s="1582"/>
      <c r="U24" s="1582"/>
      <c r="V24" s="1582"/>
      <c r="W24" s="1582"/>
      <c r="X24" s="1582"/>
      <c r="Y24" s="1582"/>
      <c r="Z24" s="1582"/>
      <c r="AA24" s="1582"/>
      <c r="AB24" s="1582"/>
    </row>
    <row r="25" spans="1:28" s="91" customFormat="1" ht="39" customHeight="1">
      <c r="A25" s="87"/>
      <c r="B25" s="82"/>
      <c r="C25" s="86" t="s">
        <v>1297</v>
      </c>
      <c r="D25" s="1588" t="s">
        <v>1108</v>
      </c>
      <c r="E25" s="1600" t="s">
        <v>1109</v>
      </c>
      <c r="F25" s="1606">
        <v>0.85</v>
      </c>
      <c r="G25" s="1604" t="s">
        <v>1118</v>
      </c>
      <c r="H25" s="1605" t="s">
        <v>1110</v>
      </c>
      <c r="I25" s="1608" t="s">
        <v>1111</v>
      </c>
      <c r="J25" s="1609" t="s">
        <v>1112</v>
      </c>
      <c r="K25" s="1608" t="s">
        <v>1113</v>
      </c>
      <c r="L25" s="1631"/>
      <c r="M25" s="1631"/>
      <c r="N25" s="1632"/>
      <c r="O25" s="1582"/>
      <c r="P25" s="1582"/>
      <c r="Q25" s="1582"/>
      <c r="R25" s="1582"/>
      <c r="S25" s="1582"/>
      <c r="T25" s="1582"/>
      <c r="U25" s="1582"/>
      <c r="V25" s="1582">
        <v>5</v>
      </c>
      <c r="W25" s="1582"/>
      <c r="X25" s="1582"/>
      <c r="Y25" s="1582"/>
      <c r="Z25" s="1582"/>
      <c r="AA25" s="1582"/>
      <c r="AB25" s="1582"/>
    </row>
    <row r="26" spans="1:28" s="91" customFormat="1" ht="39" customHeight="1">
      <c r="A26" s="87"/>
      <c r="B26" s="82"/>
      <c r="C26" s="86" t="s">
        <v>1296</v>
      </c>
      <c r="D26" s="1588" t="s">
        <v>1108</v>
      </c>
      <c r="E26" s="1600" t="s">
        <v>1109</v>
      </c>
      <c r="F26" s="1607">
        <v>0.85</v>
      </c>
      <c r="G26" s="1604" t="s">
        <v>1118</v>
      </c>
      <c r="H26" s="1605" t="s">
        <v>1110</v>
      </c>
      <c r="I26" s="1608" t="s">
        <v>1111</v>
      </c>
      <c r="J26" s="1609" t="s">
        <v>1112</v>
      </c>
      <c r="K26" s="1608" t="s">
        <v>1113</v>
      </c>
      <c r="L26" s="1631"/>
      <c r="M26" s="1631"/>
      <c r="N26" s="1631"/>
      <c r="O26" s="1582"/>
      <c r="P26" s="1582"/>
      <c r="Q26" s="1582"/>
      <c r="R26" s="1582"/>
      <c r="S26" s="1582"/>
      <c r="T26" s="1582"/>
      <c r="U26" s="1582"/>
      <c r="V26" s="1582"/>
      <c r="W26" s="1582"/>
      <c r="X26" s="1582"/>
      <c r="Y26" s="1582">
        <v>5</v>
      </c>
      <c r="Z26" s="1582"/>
      <c r="AA26" s="1582"/>
      <c r="AB26" s="1582"/>
    </row>
    <row r="27" spans="1:28" s="91" customFormat="1" ht="39" customHeight="1">
      <c r="A27" s="87"/>
      <c r="B27" s="82"/>
      <c r="C27" s="86" t="s">
        <v>1299</v>
      </c>
      <c r="D27" s="1588" t="s">
        <v>1108</v>
      </c>
      <c r="E27" s="1600" t="s">
        <v>1109</v>
      </c>
      <c r="F27" s="1607">
        <v>0.85</v>
      </c>
      <c r="G27" s="1604" t="s">
        <v>1118</v>
      </c>
      <c r="H27" s="1605" t="s">
        <v>1110</v>
      </c>
      <c r="I27" s="1608" t="s">
        <v>1111</v>
      </c>
      <c r="J27" s="1609" t="s">
        <v>1112</v>
      </c>
      <c r="K27" s="1608" t="s">
        <v>1113</v>
      </c>
      <c r="L27" s="1631"/>
      <c r="M27" s="1631"/>
      <c r="N27" s="1631"/>
      <c r="O27" s="1582"/>
      <c r="P27" s="1582"/>
      <c r="Q27" s="1582"/>
      <c r="R27" s="1582"/>
      <c r="S27" s="1582"/>
      <c r="T27" s="1582"/>
      <c r="U27" s="1582">
        <v>5</v>
      </c>
      <c r="V27" s="1582"/>
      <c r="W27" s="1582"/>
      <c r="X27" s="1582"/>
      <c r="Y27" s="1582"/>
      <c r="Z27" s="1582">
        <v>5</v>
      </c>
      <c r="AA27" s="1582"/>
      <c r="AB27" s="1582"/>
    </row>
    <row r="28" spans="1:28" ht="39" customHeight="1">
      <c r="B28" s="96">
        <v>5</v>
      </c>
      <c r="C28" s="80" t="s">
        <v>15</v>
      </c>
      <c r="D28" s="97" t="s">
        <v>205</v>
      </c>
      <c r="E28" s="98" t="s">
        <v>206</v>
      </c>
      <c r="F28" s="1371">
        <v>0.995</v>
      </c>
      <c r="G28" s="1887" t="s">
        <v>1270</v>
      </c>
      <c r="H28" s="1887" t="s">
        <v>16</v>
      </c>
      <c r="I28" s="1888" t="s">
        <v>17</v>
      </c>
      <c r="J28" s="1887" t="s">
        <v>18</v>
      </c>
      <c r="K28" s="1887" t="s">
        <v>1271</v>
      </c>
      <c r="L28" s="1659"/>
      <c r="M28" s="1659"/>
      <c r="N28" s="1660"/>
      <c r="O28" s="1658"/>
      <c r="P28" s="1658"/>
      <c r="Q28" s="1658"/>
      <c r="R28" s="1658"/>
      <c r="S28" s="1658"/>
      <c r="T28" s="1658"/>
      <c r="U28" s="1658"/>
      <c r="V28" s="1658"/>
      <c r="W28" s="1658"/>
      <c r="X28" s="1658"/>
      <c r="Y28" s="1658"/>
      <c r="Z28" s="1658"/>
      <c r="AA28" s="1658"/>
      <c r="AB28" s="1658"/>
    </row>
    <row r="29" spans="1:28" ht="39" customHeight="1">
      <c r="B29" s="96"/>
      <c r="C29" s="102" t="s">
        <v>1150</v>
      </c>
      <c r="D29" s="103" t="s">
        <v>207</v>
      </c>
      <c r="E29" s="1372" t="s">
        <v>208</v>
      </c>
      <c r="F29" s="1890" t="s">
        <v>1314</v>
      </c>
      <c r="G29" s="1889" t="s">
        <v>968</v>
      </c>
      <c r="H29" s="1890" t="s">
        <v>1312</v>
      </c>
      <c r="I29" s="1890" t="s">
        <v>1313</v>
      </c>
      <c r="J29" s="1890" t="s">
        <v>1314</v>
      </c>
      <c r="K29" s="1890" t="s">
        <v>1315</v>
      </c>
      <c r="L29" s="135"/>
      <c r="M29" s="99">
        <v>5</v>
      </c>
      <c r="N29" s="140"/>
      <c r="O29" s="1644"/>
      <c r="P29" s="1644"/>
      <c r="Q29" s="1644"/>
      <c r="R29" s="1644"/>
      <c r="S29" s="1644"/>
      <c r="T29" s="1644"/>
      <c r="U29" s="1644"/>
      <c r="V29" s="1644"/>
      <c r="W29" s="1644"/>
      <c r="X29" s="1644"/>
      <c r="Y29" s="1644"/>
      <c r="Z29" s="1644"/>
      <c r="AA29" s="1644"/>
      <c r="AB29" s="1644"/>
    </row>
    <row r="30" spans="1:28" ht="40.35" customHeight="1">
      <c r="B30" s="1640"/>
      <c r="C30" s="80" t="s">
        <v>1274</v>
      </c>
      <c r="D30" s="97" t="s">
        <v>213</v>
      </c>
      <c r="E30" s="98" t="s">
        <v>1209</v>
      </c>
      <c r="F30" s="1627" t="s">
        <v>245</v>
      </c>
      <c r="G30" s="1618" t="s">
        <v>19</v>
      </c>
      <c r="H30" s="1618" t="s">
        <v>20</v>
      </c>
      <c r="I30" s="1618" t="s">
        <v>227</v>
      </c>
      <c r="J30" s="1627" t="s">
        <v>245</v>
      </c>
      <c r="K30" s="1620" t="s">
        <v>246</v>
      </c>
      <c r="L30" s="1629"/>
      <c r="M30" s="99">
        <v>5</v>
      </c>
      <c r="N30" s="140"/>
      <c r="O30" s="1658"/>
      <c r="P30" s="1658"/>
      <c r="Q30" s="1658"/>
      <c r="R30" s="1658"/>
      <c r="S30" s="1658"/>
      <c r="T30" s="1658"/>
      <c r="U30" s="1658"/>
      <c r="V30" s="1658"/>
      <c r="W30" s="1658"/>
      <c r="X30" s="1658"/>
      <c r="Y30" s="1658"/>
      <c r="Z30" s="1658"/>
      <c r="AA30" s="1658"/>
      <c r="AB30" s="1658"/>
    </row>
    <row r="31" spans="1:28" s="91" customFormat="1" ht="40.35" customHeight="1">
      <c r="A31" s="87"/>
      <c r="B31" s="82"/>
      <c r="C31" s="86" t="s">
        <v>1151</v>
      </c>
      <c r="D31" s="1602" t="s">
        <v>1095</v>
      </c>
      <c r="E31" s="1600" t="s">
        <v>1096</v>
      </c>
      <c r="F31" s="1603">
        <f>AVERAGE(F32:F37)</f>
        <v>6.8333333333333343E-2</v>
      </c>
      <c r="G31" s="1604" t="s">
        <v>1322</v>
      </c>
      <c r="H31" s="1605" t="s">
        <v>1321</v>
      </c>
      <c r="I31" s="1605" t="s">
        <v>1320</v>
      </c>
      <c r="J31" s="1609" t="s">
        <v>1316</v>
      </c>
      <c r="K31" s="1605" t="s">
        <v>1319</v>
      </c>
      <c r="L31" s="1631"/>
      <c r="M31" s="1631"/>
      <c r="N31" s="1631"/>
      <c r="O31" s="1582">
        <v>10</v>
      </c>
      <c r="P31" s="1582">
        <v>10</v>
      </c>
      <c r="Q31" s="1582">
        <v>10</v>
      </c>
      <c r="R31" s="1582"/>
      <c r="S31" s="1582"/>
      <c r="T31" s="1582"/>
      <c r="U31" s="1582"/>
      <c r="V31" s="1582"/>
      <c r="W31" s="1582"/>
      <c r="X31" s="1582"/>
      <c r="Y31" s="1582"/>
      <c r="Z31" s="1582"/>
      <c r="AA31" s="1582"/>
      <c r="AB31" s="1582"/>
    </row>
    <row r="32" spans="1:28" s="91" customFormat="1" ht="39" customHeight="1">
      <c r="A32" s="87"/>
      <c r="B32" s="82"/>
      <c r="C32" s="86" t="s">
        <v>1152</v>
      </c>
      <c r="D32" s="1602" t="s">
        <v>1095</v>
      </c>
      <c r="E32" s="1600" t="s">
        <v>1097</v>
      </c>
      <c r="F32" s="1606">
        <v>6.5000000000000002E-2</v>
      </c>
      <c r="G32" s="1604" t="s">
        <v>1117</v>
      </c>
      <c r="H32" s="1605" t="s">
        <v>1116</v>
      </c>
      <c r="I32" s="1605" t="s">
        <v>1098</v>
      </c>
      <c r="J32" s="1609" t="s">
        <v>1099</v>
      </c>
      <c r="K32" s="1605" t="s">
        <v>1100</v>
      </c>
      <c r="L32" s="1631"/>
      <c r="M32" s="1631"/>
      <c r="N32" s="1631"/>
      <c r="O32" s="1582"/>
      <c r="P32" s="1582"/>
      <c r="Q32" s="1582"/>
      <c r="R32" s="1582"/>
      <c r="S32" s="1582"/>
      <c r="T32" s="1582">
        <v>10</v>
      </c>
      <c r="U32" s="1582"/>
      <c r="V32" s="1582"/>
      <c r="W32" s="1582"/>
      <c r="X32" s="1582">
        <v>10</v>
      </c>
      <c r="Y32" s="1582"/>
      <c r="Z32" s="1582"/>
      <c r="AA32" s="1582"/>
      <c r="AB32" s="1582"/>
    </row>
    <row r="33" spans="1:28" s="91" customFormat="1" ht="39" customHeight="1">
      <c r="A33" s="87"/>
      <c r="B33" s="82"/>
      <c r="C33" s="86" t="s">
        <v>1153</v>
      </c>
      <c r="D33" s="1602" t="s">
        <v>1095</v>
      </c>
      <c r="E33" s="1600" t="s">
        <v>1101</v>
      </c>
      <c r="F33" s="1606">
        <v>7.0000000000000007E-2</v>
      </c>
      <c r="G33" s="1604" t="s">
        <v>1102</v>
      </c>
      <c r="H33" s="1608" t="s">
        <v>1103</v>
      </c>
      <c r="I33" s="1605" t="s">
        <v>1104</v>
      </c>
      <c r="J33" s="1609" t="s">
        <v>1105</v>
      </c>
      <c r="K33" s="1605" t="s">
        <v>1106</v>
      </c>
      <c r="L33" s="1631"/>
      <c r="M33" s="1631"/>
      <c r="N33" s="1631"/>
      <c r="O33" s="1582"/>
      <c r="P33" s="1582"/>
      <c r="Q33" s="1582"/>
      <c r="R33" s="1582"/>
      <c r="S33" s="1582">
        <v>10</v>
      </c>
      <c r="T33" s="1582"/>
      <c r="U33" s="1582"/>
      <c r="V33" s="1582"/>
      <c r="W33" s="1582">
        <v>10</v>
      </c>
      <c r="X33" s="1582"/>
      <c r="Y33" s="1582"/>
      <c r="Z33" s="1582"/>
      <c r="AA33" s="1582"/>
      <c r="AB33" s="1582"/>
    </row>
    <row r="34" spans="1:28" s="91" customFormat="1" ht="39" customHeight="1">
      <c r="A34" s="87"/>
      <c r="B34" s="82"/>
      <c r="C34" s="86" t="s">
        <v>1167</v>
      </c>
      <c r="D34" s="1602" t="s">
        <v>1095</v>
      </c>
      <c r="E34" s="1600" t="s">
        <v>1107</v>
      </c>
      <c r="F34" s="1606">
        <f>AVERAGE(F35:F36)</f>
        <v>7.0000000000000007E-2</v>
      </c>
      <c r="G34" s="1604" t="s">
        <v>1102</v>
      </c>
      <c r="H34" s="1608" t="s">
        <v>1103</v>
      </c>
      <c r="I34" s="1605" t="s">
        <v>1104</v>
      </c>
      <c r="J34" s="1609" t="s">
        <v>1105</v>
      </c>
      <c r="K34" s="1605" t="s">
        <v>1106</v>
      </c>
      <c r="L34" s="1631"/>
      <c r="M34" s="1631"/>
      <c r="N34" s="1631"/>
      <c r="O34" s="1582"/>
      <c r="P34" s="1582"/>
      <c r="Q34" s="1582"/>
      <c r="R34" s="1582">
        <v>10</v>
      </c>
      <c r="S34" s="1582"/>
      <c r="T34" s="1582"/>
      <c r="U34" s="1582"/>
      <c r="V34" s="1582"/>
      <c r="W34" s="1582"/>
      <c r="X34" s="1582"/>
      <c r="Y34" s="1582"/>
      <c r="Z34" s="1582"/>
      <c r="AA34" s="1582"/>
      <c r="AB34" s="1582"/>
    </row>
    <row r="35" spans="1:28" s="91" customFormat="1" ht="39" customHeight="1">
      <c r="A35" s="87"/>
      <c r="B35" s="82"/>
      <c r="C35" s="86" t="s">
        <v>1164</v>
      </c>
      <c r="D35" s="1602" t="s">
        <v>1095</v>
      </c>
      <c r="E35" s="1600" t="s">
        <v>1107</v>
      </c>
      <c r="F35" s="1606">
        <v>7.4999999999999997E-2</v>
      </c>
      <c r="G35" s="1604" t="s">
        <v>1318</v>
      </c>
      <c r="H35" s="1605" t="s">
        <v>1317</v>
      </c>
      <c r="I35" s="1605" t="s">
        <v>1116</v>
      </c>
      <c r="J35" s="1609" t="s">
        <v>1098</v>
      </c>
      <c r="K35" s="1605" t="s">
        <v>1099</v>
      </c>
      <c r="L35" s="1631"/>
      <c r="M35" s="1631"/>
      <c r="N35" s="1631"/>
      <c r="O35" s="1582"/>
      <c r="P35" s="1582"/>
      <c r="Q35" s="1582"/>
      <c r="R35" s="1582"/>
      <c r="S35" s="1582"/>
      <c r="T35" s="1582"/>
      <c r="U35" s="1582"/>
      <c r="V35" s="1582">
        <v>10</v>
      </c>
      <c r="W35" s="1582"/>
      <c r="X35" s="1582"/>
      <c r="Y35" s="1582"/>
      <c r="Z35" s="1582"/>
      <c r="AA35" s="1582"/>
      <c r="AB35" s="1582"/>
    </row>
    <row r="36" spans="1:28" s="91" customFormat="1" ht="39" customHeight="1">
      <c r="A36" s="87"/>
      <c r="B36" s="82"/>
      <c r="C36" s="86" t="s">
        <v>1165</v>
      </c>
      <c r="D36" s="1602" t="s">
        <v>1095</v>
      </c>
      <c r="E36" s="1600" t="s">
        <v>1114</v>
      </c>
      <c r="F36" s="1606">
        <v>6.5000000000000002E-2</v>
      </c>
      <c r="G36" s="1604" t="s">
        <v>1117</v>
      </c>
      <c r="H36" s="1605" t="s">
        <v>1116</v>
      </c>
      <c r="I36" s="1605" t="s">
        <v>1098</v>
      </c>
      <c r="J36" s="1609" t="s">
        <v>1099</v>
      </c>
      <c r="K36" s="1605" t="s">
        <v>1100</v>
      </c>
      <c r="L36" s="1631"/>
      <c r="M36" s="1631"/>
      <c r="N36" s="1631"/>
      <c r="O36" s="1582"/>
      <c r="P36" s="1582"/>
      <c r="Q36" s="1582"/>
      <c r="R36" s="1582"/>
      <c r="S36" s="1582"/>
      <c r="T36" s="1582"/>
      <c r="U36" s="1582"/>
      <c r="V36" s="1582"/>
      <c r="W36" s="1582"/>
      <c r="X36" s="1582"/>
      <c r="Y36" s="1582">
        <v>10</v>
      </c>
      <c r="Z36" s="1582"/>
      <c r="AA36" s="1582"/>
      <c r="AB36" s="1582"/>
    </row>
    <row r="37" spans="1:28" s="91" customFormat="1" ht="39" customHeight="1">
      <c r="A37" s="87"/>
      <c r="B37" s="82"/>
      <c r="C37" s="86" t="s">
        <v>1166</v>
      </c>
      <c r="D37" s="1602" t="s">
        <v>1095</v>
      </c>
      <c r="E37" s="1600" t="s">
        <v>1115</v>
      </c>
      <c r="F37" s="1606">
        <v>6.5000000000000002E-2</v>
      </c>
      <c r="G37" s="1604" t="s">
        <v>1117</v>
      </c>
      <c r="H37" s="1605" t="s">
        <v>1116</v>
      </c>
      <c r="I37" s="1605" t="s">
        <v>1098</v>
      </c>
      <c r="J37" s="1609" t="s">
        <v>1099</v>
      </c>
      <c r="K37" s="1605" t="s">
        <v>1100</v>
      </c>
      <c r="L37" s="1631"/>
      <c r="M37" s="1631"/>
      <c r="N37" s="1631"/>
      <c r="O37" s="1582"/>
      <c r="P37" s="1582"/>
      <c r="Q37" s="1582"/>
      <c r="R37" s="1582"/>
      <c r="S37" s="1582"/>
      <c r="T37" s="1582"/>
      <c r="U37" s="1582">
        <v>10</v>
      </c>
      <c r="V37" s="1582"/>
      <c r="W37" s="1582"/>
      <c r="X37" s="1582"/>
      <c r="Y37" s="1582"/>
      <c r="Z37" s="1582">
        <v>10</v>
      </c>
      <c r="AA37" s="1582"/>
      <c r="AB37" s="1582"/>
    </row>
    <row r="38" spans="1:28" ht="40.35" customHeight="1">
      <c r="B38" s="111">
        <v>6</v>
      </c>
      <c r="C38" s="1626" t="s">
        <v>1210</v>
      </c>
      <c r="D38" s="80" t="s">
        <v>214</v>
      </c>
      <c r="E38" s="98" t="s">
        <v>1211</v>
      </c>
      <c r="F38" s="1618" t="s">
        <v>1269</v>
      </c>
      <c r="G38" s="1642" t="s">
        <v>50</v>
      </c>
      <c r="H38" s="1642" t="s">
        <v>54</v>
      </c>
      <c r="I38" s="1642" t="s">
        <v>247</v>
      </c>
      <c r="J38" s="1642" t="s">
        <v>969</v>
      </c>
      <c r="K38" s="1642">
        <v>0</v>
      </c>
      <c r="L38" s="1621">
        <v>5</v>
      </c>
      <c r="M38" s="99">
        <v>5</v>
      </c>
      <c r="N38" s="1639">
        <v>5</v>
      </c>
      <c r="O38" s="1639">
        <v>5</v>
      </c>
      <c r="P38" s="1639">
        <v>5</v>
      </c>
      <c r="Q38" s="1639">
        <v>5</v>
      </c>
      <c r="R38" s="1639">
        <v>5</v>
      </c>
      <c r="S38" s="1639">
        <v>5</v>
      </c>
      <c r="T38" s="1639">
        <v>5</v>
      </c>
      <c r="U38" s="1639">
        <v>5</v>
      </c>
      <c r="V38" s="1639">
        <v>5</v>
      </c>
      <c r="W38" s="1639">
        <v>5</v>
      </c>
      <c r="X38" s="1639">
        <v>5</v>
      </c>
      <c r="Y38" s="1639">
        <v>5</v>
      </c>
      <c r="Z38" s="1639">
        <v>5</v>
      </c>
      <c r="AA38" s="1639">
        <v>5</v>
      </c>
      <c r="AB38" s="1639">
        <v>5</v>
      </c>
    </row>
    <row r="39" spans="1:28" ht="40.35" customHeight="1">
      <c r="B39" s="111">
        <v>7</v>
      </c>
      <c r="C39" s="1626" t="s">
        <v>1212</v>
      </c>
      <c r="D39" s="80" t="s">
        <v>1213</v>
      </c>
      <c r="E39" s="98" t="s">
        <v>204</v>
      </c>
      <c r="F39" s="1618" t="s">
        <v>1214</v>
      </c>
      <c r="G39" s="1618" t="s">
        <v>1215</v>
      </c>
      <c r="H39" s="1618" t="s">
        <v>11</v>
      </c>
      <c r="I39" s="1618" t="s">
        <v>14</v>
      </c>
      <c r="J39" s="1619" t="s">
        <v>58</v>
      </c>
      <c r="K39" s="1620" t="s">
        <v>1216</v>
      </c>
      <c r="L39" s="1621">
        <v>5</v>
      </c>
      <c r="M39" s="99">
        <v>5</v>
      </c>
      <c r="N39" s="135"/>
      <c r="O39" s="135"/>
      <c r="P39" s="135"/>
      <c r="Q39" s="135"/>
      <c r="R39" s="135"/>
      <c r="S39" s="135"/>
      <c r="T39" s="135"/>
      <c r="U39" s="135"/>
      <c r="V39" s="135"/>
      <c r="W39" s="135"/>
      <c r="X39" s="135"/>
      <c r="Y39" s="135"/>
      <c r="Z39" s="135"/>
      <c r="AA39" s="135"/>
      <c r="AB39" s="135"/>
    </row>
    <row r="40" spans="1:28" ht="40.35" customHeight="1">
      <c r="B40" s="1617">
        <v>8</v>
      </c>
      <c r="C40" s="1626" t="s">
        <v>1217</v>
      </c>
      <c r="D40" s="97" t="s">
        <v>1218</v>
      </c>
      <c r="E40" s="98" t="s">
        <v>1219</v>
      </c>
      <c r="F40" s="1618" t="s">
        <v>1220</v>
      </c>
      <c r="G40" s="1618" t="s">
        <v>1221</v>
      </c>
      <c r="H40" s="1618" t="s">
        <v>1222</v>
      </c>
      <c r="I40" s="1618" t="s">
        <v>1223</v>
      </c>
      <c r="J40" s="1619" t="s">
        <v>1224</v>
      </c>
      <c r="K40" s="1620" t="s">
        <v>1225</v>
      </c>
      <c r="L40" s="1621">
        <v>5</v>
      </c>
      <c r="M40" s="135"/>
      <c r="N40" s="135"/>
      <c r="O40" s="135"/>
      <c r="P40" s="135"/>
      <c r="Q40" s="135"/>
      <c r="R40" s="135"/>
      <c r="S40" s="135"/>
      <c r="T40" s="135"/>
      <c r="U40" s="135"/>
      <c r="V40" s="135"/>
      <c r="W40" s="135"/>
      <c r="X40" s="135"/>
      <c r="Y40" s="135"/>
      <c r="Z40" s="135"/>
      <c r="AA40" s="135"/>
      <c r="AB40" s="135"/>
    </row>
    <row r="41" spans="1:28" ht="40.35" customHeight="1">
      <c r="B41" s="1617">
        <v>9</v>
      </c>
      <c r="C41" s="1626" t="s">
        <v>23</v>
      </c>
      <c r="D41" s="97" t="s">
        <v>202</v>
      </c>
      <c r="E41" s="98" t="s">
        <v>1226</v>
      </c>
      <c r="F41" s="1618">
        <v>0.92</v>
      </c>
      <c r="G41" s="1618" t="s">
        <v>1227</v>
      </c>
      <c r="H41" s="1618" t="s">
        <v>10</v>
      </c>
      <c r="I41" s="1618" t="s">
        <v>1228</v>
      </c>
      <c r="J41" s="1619" t="s">
        <v>1229</v>
      </c>
      <c r="K41" s="1620" t="s">
        <v>14</v>
      </c>
      <c r="L41" s="1621">
        <v>5</v>
      </c>
      <c r="M41" s="99">
        <v>5</v>
      </c>
      <c r="N41" s="1633">
        <v>5</v>
      </c>
      <c r="O41" s="1633">
        <v>5</v>
      </c>
      <c r="P41" s="1633">
        <v>5</v>
      </c>
      <c r="Q41" s="1633">
        <v>5</v>
      </c>
      <c r="R41" s="1633"/>
      <c r="S41" s="1633"/>
      <c r="T41" s="1633"/>
      <c r="U41" s="1633"/>
      <c r="V41" s="1633"/>
      <c r="W41" s="1633"/>
      <c r="X41" s="1633"/>
      <c r="Y41" s="1633"/>
      <c r="Z41" s="1633"/>
      <c r="AA41" s="1633">
        <v>5</v>
      </c>
      <c r="AB41" s="1633">
        <v>5</v>
      </c>
    </row>
    <row r="42" spans="1:28" s="91" customFormat="1" ht="40.35" customHeight="1">
      <c r="A42" s="87"/>
      <c r="B42" s="139"/>
      <c r="C42" s="1587" t="s">
        <v>1275</v>
      </c>
      <c r="D42" s="1588" t="s">
        <v>1079</v>
      </c>
      <c r="E42" s="1589" t="s">
        <v>1080</v>
      </c>
      <c r="F42" s="1590">
        <v>1</v>
      </c>
      <c r="G42" s="112" t="s">
        <v>1081</v>
      </c>
      <c r="H42" s="1591" t="s">
        <v>1082</v>
      </c>
      <c r="I42" s="1591" t="s">
        <v>1083</v>
      </c>
      <c r="J42" s="1591" t="s">
        <v>1084</v>
      </c>
      <c r="K42" s="112">
        <v>1</v>
      </c>
      <c r="L42" s="1592"/>
      <c r="M42" s="1593"/>
      <c r="N42" s="1661"/>
      <c r="O42" s="1661"/>
      <c r="P42" s="1661"/>
      <c r="Q42" s="1661"/>
      <c r="R42" s="1582">
        <v>10</v>
      </c>
      <c r="S42" s="1582">
        <v>10</v>
      </c>
      <c r="T42" s="1582">
        <v>10</v>
      </c>
      <c r="U42" s="1582">
        <v>10</v>
      </c>
      <c r="V42" s="1582">
        <v>10</v>
      </c>
      <c r="W42" s="1582">
        <v>10</v>
      </c>
      <c r="X42" s="1582">
        <v>10</v>
      </c>
      <c r="Y42" s="1582">
        <v>10</v>
      </c>
      <c r="Z42" s="1582">
        <v>10</v>
      </c>
      <c r="AA42" s="1582"/>
      <c r="AB42" s="1582"/>
    </row>
    <row r="43" spans="1:28" ht="40.35" customHeight="1">
      <c r="B43" s="1617">
        <v>10</v>
      </c>
      <c r="C43" s="1626" t="s">
        <v>240</v>
      </c>
      <c r="D43" s="103" t="s">
        <v>1230</v>
      </c>
      <c r="E43" s="1372" t="s">
        <v>1231</v>
      </c>
      <c r="F43" s="1618">
        <v>1</v>
      </c>
      <c r="G43" s="1618" t="s">
        <v>12</v>
      </c>
      <c r="H43" s="1618" t="s">
        <v>13</v>
      </c>
      <c r="I43" s="1618" t="s">
        <v>11</v>
      </c>
      <c r="J43" s="1627" t="s">
        <v>14</v>
      </c>
      <c r="K43" s="1628">
        <v>100</v>
      </c>
      <c r="L43" s="1621">
        <v>5</v>
      </c>
      <c r="M43" s="99">
        <v>5</v>
      </c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1:28" ht="40.35" customHeight="1">
      <c r="B44" s="1617">
        <v>11</v>
      </c>
      <c r="C44" s="1626" t="s">
        <v>1232</v>
      </c>
      <c r="D44" s="103" t="s">
        <v>1233</v>
      </c>
      <c r="E44" s="1372" t="s">
        <v>1234</v>
      </c>
      <c r="F44" s="1618">
        <v>1</v>
      </c>
      <c r="G44" s="1618" t="s">
        <v>12</v>
      </c>
      <c r="H44" s="1618" t="s">
        <v>13</v>
      </c>
      <c r="I44" s="1618" t="s">
        <v>11</v>
      </c>
      <c r="J44" s="1627" t="s">
        <v>14</v>
      </c>
      <c r="K44" s="1628">
        <v>100</v>
      </c>
      <c r="L44" s="1621">
        <v>5</v>
      </c>
      <c r="M44" s="99">
        <v>10</v>
      </c>
      <c r="N44" s="1634">
        <v>10</v>
      </c>
      <c r="O44" s="1634">
        <v>10</v>
      </c>
      <c r="P44" s="1634">
        <v>10</v>
      </c>
      <c r="Q44" s="1634">
        <v>10</v>
      </c>
      <c r="R44" s="1634">
        <v>10</v>
      </c>
      <c r="S44" s="1634">
        <v>10</v>
      </c>
      <c r="T44" s="1634">
        <v>10</v>
      </c>
      <c r="U44" s="1634">
        <v>10</v>
      </c>
      <c r="V44" s="1634">
        <v>10</v>
      </c>
      <c r="W44" s="1634">
        <v>10</v>
      </c>
      <c r="X44" s="1634">
        <v>10</v>
      </c>
      <c r="Y44" s="1634">
        <v>10</v>
      </c>
      <c r="Z44" s="1634">
        <v>10</v>
      </c>
      <c r="AA44" s="1634">
        <v>10</v>
      </c>
      <c r="AB44" s="1634">
        <v>10</v>
      </c>
    </row>
    <row r="45" spans="1:28" ht="40.35" customHeight="1">
      <c r="B45" s="1617">
        <v>12</v>
      </c>
      <c r="C45" s="1626" t="s">
        <v>239</v>
      </c>
      <c r="D45" s="1635" t="s">
        <v>1235</v>
      </c>
      <c r="E45" s="1630" t="s">
        <v>1234</v>
      </c>
      <c r="F45" s="1618">
        <v>1</v>
      </c>
      <c r="G45" s="1618" t="s">
        <v>12</v>
      </c>
      <c r="H45" s="1618" t="s">
        <v>13</v>
      </c>
      <c r="I45" s="1618" t="s">
        <v>11</v>
      </c>
      <c r="J45" s="1627" t="s">
        <v>14</v>
      </c>
      <c r="K45" s="1628">
        <v>100</v>
      </c>
      <c r="L45" s="1621">
        <v>5</v>
      </c>
      <c r="M45" s="99">
        <v>5</v>
      </c>
      <c r="N45" s="99">
        <v>5</v>
      </c>
      <c r="O45" s="99">
        <v>5</v>
      </c>
      <c r="P45" s="99">
        <v>5</v>
      </c>
      <c r="Q45" s="99">
        <v>5</v>
      </c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</row>
    <row r="46" spans="1:28" s="94" customFormat="1" ht="39" customHeight="1">
      <c r="A46" s="93"/>
      <c r="B46" s="1673" t="s">
        <v>1236</v>
      </c>
      <c r="C46" s="1674"/>
      <c r="D46" s="1674"/>
      <c r="E46" s="1674"/>
      <c r="F46" s="1674"/>
      <c r="G46" s="1674"/>
      <c r="H46" s="1674"/>
      <c r="I46" s="1674"/>
      <c r="J46" s="1674"/>
      <c r="K46" s="1674"/>
      <c r="L46" s="1674"/>
      <c r="M46" s="1674"/>
      <c r="N46" s="1674"/>
      <c r="O46" s="1643"/>
      <c r="P46" s="1643"/>
      <c r="Q46" s="1643"/>
      <c r="R46" s="1643"/>
      <c r="S46" s="1643"/>
      <c r="T46" s="1643"/>
      <c r="U46" s="1643"/>
      <c r="V46" s="1643"/>
      <c r="W46" s="1643"/>
      <c r="X46" s="1643"/>
      <c r="Y46" s="1643"/>
      <c r="Z46" s="1643"/>
      <c r="AA46" s="1643"/>
      <c r="AB46" s="1643"/>
    </row>
    <row r="47" spans="1:28" s="91" customFormat="1" ht="39" customHeight="1">
      <c r="A47" s="87"/>
      <c r="B47" s="82">
        <v>13</v>
      </c>
      <c r="C47" s="1626" t="s">
        <v>1237</v>
      </c>
      <c r="D47" s="97" t="s">
        <v>1238</v>
      </c>
      <c r="E47" s="81"/>
      <c r="F47" s="1620" t="s">
        <v>1239</v>
      </c>
      <c r="G47" s="1636" t="s">
        <v>1240</v>
      </c>
      <c r="H47" s="1620" t="s">
        <v>1241</v>
      </c>
      <c r="I47" s="1620" t="s">
        <v>1242</v>
      </c>
      <c r="J47" s="1628" t="s">
        <v>1243</v>
      </c>
      <c r="K47" s="1620" t="s">
        <v>1244</v>
      </c>
      <c r="L47" s="1621">
        <v>5</v>
      </c>
      <c r="M47" s="85">
        <v>5</v>
      </c>
      <c r="N47" s="85">
        <v>5</v>
      </c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s="91" customFormat="1" ht="39" customHeight="1">
      <c r="A48" s="87"/>
      <c r="B48" s="82">
        <v>14</v>
      </c>
      <c r="C48" s="1626" t="s">
        <v>1245</v>
      </c>
      <c r="D48" s="97" t="s">
        <v>1246</v>
      </c>
      <c r="E48" s="98"/>
      <c r="F48" s="1620" t="s">
        <v>1247</v>
      </c>
      <c r="G48" s="1620" t="s">
        <v>1248</v>
      </c>
      <c r="H48" s="1620" t="s">
        <v>1249</v>
      </c>
      <c r="I48" s="1620" t="s">
        <v>1250</v>
      </c>
      <c r="J48" s="1637" t="s">
        <v>1251</v>
      </c>
      <c r="K48" s="1628" t="s">
        <v>1252</v>
      </c>
      <c r="L48" s="1621">
        <v>5</v>
      </c>
      <c r="M48" s="85">
        <v>10</v>
      </c>
      <c r="N48" s="85">
        <v>5</v>
      </c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s="91" customFormat="1" ht="39" customHeight="1">
      <c r="A49" s="87"/>
      <c r="B49" s="139">
        <v>15</v>
      </c>
      <c r="C49" s="1626" t="s">
        <v>1253</v>
      </c>
      <c r="D49" s="105" t="s">
        <v>1254</v>
      </c>
      <c r="E49" s="98"/>
      <c r="F49" s="1618" t="s">
        <v>1214</v>
      </c>
      <c r="G49" s="1618" t="s">
        <v>24</v>
      </c>
      <c r="H49" s="1618" t="s">
        <v>4</v>
      </c>
      <c r="I49" s="1618" t="s">
        <v>11</v>
      </c>
      <c r="J49" s="1619" t="s">
        <v>58</v>
      </c>
      <c r="K49" s="1620" t="s">
        <v>967</v>
      </c>
      <c r="L49" s="1621">
        <v>5</v>
      </c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1:28" s="94" customFormat="1" ht="39" customHeight="1">
      <c r="A50" s="93"/>
      <c r="B50" s="1673" t="s">
        <v>215</v>
      </c>
      <c r="C50" s="1674"/>
      <c r="D50" s="1674"/>
      <c r="E50" s="1674"/>
      <c r="F50" s="1674"/>
      <c r="G50" s="1674"/>
      <c r="H50" s="1674"/>
      <c r="I50" s="1674"/>
      <c r="J50" s="1674"/>
      <c r="K50" s="1674"/>
      <c r="L50" s="1674"/>
      <c r="M50" s="1674"/>
      <c r="N50" s="1674"/>
      <c r="O50" s="1643"/>
      <c r="P50" s="1643"/>
      <c r="Q50" s="1643"/>
      <c r="R50" s="1643"/>
      <c r="S50" s="1643"/>
      <c r="T50" s="1643"/>
      <c r="U50" s="1643"/>
      <c r="V50" s="1643"/>
      <c r="W50" s="1643"/>
      <c r="X50" s="1643"/>
      <c r="Y50" s="1643"/>
      <c r="Z50" s="1643"/>
      <c r="AA50" s="1643"/>
      <c r="AB50" s="1643"/>
    </row>
    <row r="51" spans="1:28" s="94" customFormat="1" ht="39" customHeight="1">
      <c r="A51" s="93"/>
      <c r="B51" s="108">
        <v>16</v>
      </c>
      <c r="C51" s="108" t="s">
        <v>216</v>
      </c>
      <c r="D51" s="109" t="s">
        <v>217</v>
      </c>
      <c r="E51" s="109" t="s">
        <v>218</v>
      </c>
      <c r="F51" s="110">
        <v>0.9</v>
      </c>
      <c r="G51" s="107" t="s">
        <v>7</v>
      </c>
      <c r="H51" s="107" t="s">
        <v>8</v>
      </c>
      <c r="I51" s="107" t="s">
        <v>9</v>
      </c>
      <c r="J51" s="107" t="s">
        <v>4</v>
      </c>
      <c r="K51" s="107" t="s">
        <v>11</v>
      </c>
      <c r="L51" s="1593"/>
      <c r="M51" s="1593"/>
      <c r="N51" s="1638">
        <v>5</v>
      </c>
      <c r="O51" s="1638">
        <v>5</v>
      </c>
      <c r="P51" s="1638">
        <v>5</v>
      </c>
      <c r="Q51" s="1638">
        <v>5</v>
      </c>
      <c r="R51" s="85"/>
      <c r="S51" s="85"/>
      <c r="T51" s="85"/>
      <c r="U51" s="85"/>
      <c r="V51" s="85"/>
      <c r="W51" s="85"/>
      <c r="X51" s="85"/>
      <c r="Y51" s="85"/>
      <c r="Z51" s="85"/>
      <c r="AA51" s="1638">
        <v>5</v>
      </c>
      <c r="AB51" s="1638">
        <v>5</v>
      </c>
    </row>
    <row r="52" spans="1:28" s="91" customFormat="1" ht="39" customHeight="1">
      <c r="A52" s="87"/>
      <c r="B52" s="82"/>
      <c r="C52" s="1610" t="s">
        <v>1276</v>
      </c>
      <c r="D52" s="97" t="s">
        <v>1119</v>
      </c>
      <c r="E52" s="1589" t="s">
        <v>1120</v>
      </c>
      <c r="F52" s="1596" t="s">
        <v>1090</v>
      </c>
      <c r="G52" s="101" t="s">
        <v>1121</v>
      </c>
      <c r="H52" s="101" t="s">
        <v>1122</v>
      </c>
      <c r="I52" s="101" t="s">
        <v>1090</v>
      </c>
      <c r="J52" s="101" t="s">
        <v>1088</v>
      </c>
      <c r="K52" s="101" t="s">
        <v>1123</v>
      </c>
      <c r="L52" s="1593"/>
      <c r="M52" s="1593"/>
      <c r="N52" s="1582"/>
      <c r="O52" s="1582"/>
      <c r="P52" s="1582"/>
      <c r="Q52" s="1582"/>
      <c r="R52" s="1582">
        <v>5</v>
      </c>
      <c r="S52" s="1582">
        <v>5</v>
      </c>
      <c r="T52" s="1582">
        <v>5</v>
      </c>
      <c r="U52" s="1582">
        <v>5</v>
      </c>
      <c r="V52" s="1582">
        <v>5</v>
      </c>
      <c r="W52" s="1582">
        <v>5</v>
      </c>
      <c r="X52" s="1582">
        <v>5</v>
      </c>
      <c r="Y52" s="1582">
        <v>5</v>
      </c>
      <c r="Z52" s="1582">
        <v>5</v>
      </c>
      <c r="AA52" s="1582"/>
      <c r="AB52" s="1582"/>
    </row>
    <row r="53" spans="1:28" s="91" customFormat="1" ht="39" customHeight="1">
      <c r="A53" s="87"/>
      <c r="B53" s="1891"/>
      <c r="C53" s="1892" t="s">
        <v>1277</v>
      </c>
      <c r="D53" s="1893" t="s">
        <v>1124</v>
      </c>
      <c r="E53" s="1894" t="s">
        <v>1125</v>
      </c>
      <c r="F53" s="1895" t="s">
        <v>1090</v>
      </c>
      <c r="G53" s="1896" t="s">
        <v>1126</v>
      </c>
      <c r="H53" s="1896" t="s">
        <v>1127</v>
      </c>
      <c r="I53" s="1896" t="s">
        <v>1122</v>
      </c>
      <c r="J53" s="1896" t="s">
        <v>1090</v>
      </c>
      <c r="K53" s="1896" t="s">
        <v>1088</v>
      </c>
      <c r="L53" s="1593"/>
      <c r="M53" s="1593"/>
      <c r="N53" s="1582"/>
      <c r="O53" s="1582"/>
      <c r="P53" s="1582"/>
      <c r="Q53" s="1582"/>
      <c r="R53" s="1582"/>
      <c r="S53" s="1582"/>
      <c r="T53" s="1582"/>
      <c r="U53" s="1582"/>
      <c r="V53" s="1582"/>
      <c r="W53" s="1582"/>
      <c r="X53" s="1582"/>
      <c r="Y53" s="1582"/>
      <c r="Z53" s="1582"/>
      <c r="AA53" s="1582"/>
      <c r="AB53" s="1582"/>
    </row>
    <row r="54" spans="1:28" s="91" customFormat="1" ht="39" customHeight="1">
      <c r="A54" s="87"/>
      <c r="B54" s="1891"/>
      <c r="C54" s="1892" t="s">
        <v>1278</v>
      </c>
      <c r="D54" s="1893" t="s">
        <v>1128</v>
      </c>
      <c r="E54" s="1894" t="s">
        <v>1129</v>
      </c>
      <c r="F54" s="1895" t="s">
        <v>1090</v>
      </c>
      <c r="G54" s="1896" t="s">
        <v>1126</v>
      </c>
      <c r="H54" s="1896" t="s">
        <v>1127</v>
      </c>
      <c r="I54" s="1896" t="s">
        <v>1122</v>
      </c>
      <c r="J54" s="1896" t="s">
        <v>1090</v>
      </c>
      <c r="K54" s="1896" t="s">
        <v>1088</v>
      </c>
      <c r="L54" s="1593"/>
      <c r="M54" s="1593"/>
      <c r="N54" s="1582"/>
      <c r="O54" s="1582"/>
      <c r="P54" s="1582"/>
      <c r="Q54" s="1582"/>
      <c r="R54" s="1582"/>
      <c r="S54" s="1582"/>
      <c r="T54" s="1582"/>
      <c r="U54" s="1582"/>
      <c r="V54" s="1582"/>
      <c r="W54" s="1582"/>
      <c r="X54" s="1582"/>
      <c r="Y54" s="1582"/>
      <c r="Z54" s="1582"/>
      <c r="AA54" s="1582"/>
      <c r="AB54" s="1582"/>
    </row>
    <row r="55" spans="1:28" s="91" customFormat="1" ht="39" customHeight="1">
      <c r="A55" s="87"/>
      <c r="B55" s="1891"/>
      <c r="C55" s="1892" t="s">
        <v>1279</v>
      </c>
      <c r="D55" s="1893" t="s">
        <v>1130</v>
      </c>
      <c r="E55" s="1894" t="s">
        <v>1131</v>
      </c>
      <c r="F55" s="1895" t="s">
        <v>1132</v>
      </c>
      <c r="G55" s="1896" t="s">
        <v>1126</v>
      </c>
      <c r="H55" s="1896" t="s">
        <v>1127</v>
      </c>
      <c r="I55" s="1896" t="s">
        <v>1122</v>
      </c>
      <c r="J55" s="1896" t="s">
        <v>1090</v>
      </c>
      <c r="K55" s="1896" t="s">
        <v>1088</v>
      </c>
      <c r="L55" s="1593"/>
      <c r="M55" s="1593"/>
      <c r="N55" s="1582"/>
      <c r="O55" s="1582"/>
      <c r="P55" s="1582"/>
      <c r="Q55" s="1582"/>
      <c r="R55" s="1582"/>
      <c r="S55" s="1582"/>
      <c r="T55" s="1582"/>
      <c r="U55" s="1582"/>
      <c r="V55" s="1582"/>
      <c r="W55" s="1582"/>
      <c r="X55" s="1582"/>
      <c r="Y55" s="1582"/>
      <c r="Z55" s="1582"/>
      <c r="AA55" s="1582"/>
      <c r="AB55" s="1582"/>
    </row>
    <row r="56" spans="1:28" s="91" customFormat="1" ht="39" customHeight="1">
      <c r="A56" s="87"/>
      <c r="B56" s="1891"/>
      <c r="C56" s="1892" t="s">
        <v>1280</v>
      </c>
      <c r="D56" s="1893" t="s">
        <v>1133</v>
      </c>
      <c r="E56" s="1894" t="s">
        <v>1134</v>
      </c>
      <c r="F56" s="1895" t="s">
        <v>1090</v>
      </c>
      <c r="G56" s="1896" t="s">
        <v>1126</v>
      </c>
      <c r="H56" s="1896" t="s">
        <v>1127</v>
      </c>
      <c r="I56" s="1896" t="s">
        <v>1122</v>
      </c>
      <c r="J56" s="1896" t="s">
        <v>1090</v>
      </c>
      <c r="K56" s="1896" t="s">
        <v>1088</v>
      </c>
      <c r="L56" s="1593"/>
      <c r="M56" s="1593"/>
      <c r="N56" s="1582"/>
      <c r="O56" s="1582"/>
      <c r="P56" s="1582"/>
      <c r="Q56" s="1582"/>
      <c r="R56" s="1582"/>
      <c r="S56" s="1582"/>
      <c r="T56" s="1582"/>
      <c r="U56" s="1582"/>
      <c r="V56" s="1582"/>
      <c r="W56" s="1582"/>
      <c r="X56" s="1582"/>
      <c r="Y56" s="1582"/>
      <c r="Z56" s="1582"/>
      <c r="AA56" s="1582"/>
      <c r="AB56" s="1582"/>
    </row>
    <row r="57" spans="1:28" s="91" customFormat="1" ht="39" customHeight="1">
      <c r="A57" s="87"/>
      <c r="B57" s="1891"/>
      <c r="C57" s="1892" t="s">
        <v>1281</v>
      </c>
      <c r="D57" s="1893" t="s">
        <v>1135</v>
      </c>
      <c r="E57" s="1897" t="s">
        <v>1136</v>
      </c>
      <c r="F57" s="1898" t="s">
        <v>1137</v>
      </c>
      <c r="G57" s="1899" t="s">
        <v>1138</v>
      </c>
      <c r="H57" s="1899" t="s">
        <v>212</v>
      </c>
      <c r="I57" s="1899" t="s">
        <v>212</v>
      </c>
      <c r="J57" s="1899" t="s">
        <v>212</v>
      </c>
      <c r="K57" s="1899" t="s">
        <v>1139</v>
      </c>
      <c r="L57" s="1593"/>
      <c r="M57" s="1593"/>
      <c r="N57" s="1582"/>
      <c r="O57" s="1582"/>
      <c r="P57" s="1582"/>
      <c r="Q57" s="1582"/>
      <c r="R57" s="1582"/>
      <c r="S57" s="1582"/>
      <c r="T57" s="1582"/>
      <c r="U57" s="1582"/>
      <c r="V57" s="1582"/>
      <c r="W57" s="1582"/>
      <c r="X57" s="1582"/>
      <c r="Y57" s="1582"/>
      <c r="Z57" s="1582"/>
      <c r="AA57" s="1582"/>
      <c r="AB57" s="1582"/>
    </row>
    <row r="58" spans="1:28" s="94" customFormat="1" ht="39" customHeight="1">
      <c r="A58" s="93"/>
      <c r="B58" s="108">
        <v>17</v>
      </c>
      <c r="C58" s="108" t="s">
        <v>1255</v>
      </c>
      <c r="D58" s="105" t="s">
        <v>1256</v>
      </c>
      <c r="E58" s="105" t="s">
        <v>203</v>
      </c>
      <c r="F58" s="110">
        <v>1</v>
      </c>
      <c r="G58" s="107" t="s">
        <v>1154</v>
      </c>
      <c r="H58" s="107" t="s">
        <v>9</v>
      </c>
      <c r="I58" s="107" t="s">
        <v>4</v>
      </c>
      <c r="J58" s="107" t="s">
        <v>11</v>
      </c>
      <c r="K58" s="107" t="s">
        <v>58</v>
      </c>
      <c r="L58" s="1593"/>
      <c r="M58" s="1593"/>
      <c r="N58" s="1638">
        <v>5</v>
      </c>
      <c r="O58" s="1638">
        <v>5</v>
      </c>
      <c r="P58" s="1638">
        <v>5</v>
      </c>
      <c r="Q58" s="1638">
        <v>5</v>
      </c>
      <c r="R58" s="1638">
        <v>5</v>
      </c>
      <c r="S58" s="1638">
        <v>5</v>
      </c>
      <c r="T58" s="1638">
        <v>5</v>
      </c>
      <c r="U58" s="1638">
        <v>5</v>
      </c>
      <c r="V58" s="1638">
        <v>5</v>
      </c>
      <c r="W58" s="1638">
        <v>5</v>
      </c>
      <c r="X58" s="1638">
        <v>5</v>
      </c>
      <c r="Y58" s="1638">
        <v>5</v>
      </c>
      <c r="Z58" s="1638">
        <v>5</v>
      </c>
      <c r="AA58" s="1638">
        <v>5</v>
      </c>
      <c r="AB58" s="1638">
        <v>5</v>
      </c>
    </row>
    <row r="59" spans="1:28" ht="40.35" customHeight="1">
      <c r="B59" s="111">
        <v>18</v>
      </c>
      <c r="C59" s="86" t="s">
        <v>219</v>
      </c>
      <c r="D59" s="113" t="s">
        <v>220</v>
      </c>
      <c r="E59" s="114" t="s">
        <v>221</v>
      </c>
      <c r="F59" s="115">
        <v>5.0000000000000002E-5</v>
      </c>
      <c r="G59" s="1900" t="s">
        <v>1148</v>
      </c>
      <c r="H59" s="1900" t="s">
        <v>1327</v>
      </c>
      <c r="I59" s="1900" t="s">
        <v>1328</v>
      </c>
      <c r="J59" s="1900" t="s">
        <v>1329</v>
      </c>
      <c r="K59" s="1900" t="s">
        <v>1330</v>
      </c>
      <c r="L59" s="1593"/>
      <c r="M59" s="1593"/>
      <c r="N59" s="99">
        <v>5</v>
      </c>
      <c r="O59" s="99">
        <v>5</v>
      </c>
      <c r="P59" s="99">
        <v>5</v>
      </c>
      <c r="Q59" s="99">
        <v>5</v>
      </c>
      <c r="R59" s="99"/>
      <c r="S59" s="99"/>
      <c r="T59" s="99"/>
      <c r="U59" s="99"/>
      <c r="V59" s="99"/>
      <c r="W59" s="99"/>
      <c r="X59" s="99"/>
      <c r="Y59" s="99"/>
      <c r="Z59" s="99"/>
      <c r="AA59" s="99">
        <v>5</v>
      </c>
      <c r="AB59" s="99">
        <v>5</v>
      </c>
    </row>
    <row r="60" spans="1:28" ht="40.15" customHeight="1">
      <c r="B60" s="139"/>
      <c r="C60" s="86" t="s">
        <v>1282</v>
      </c>
      <c r="D60" s="113" t="s">
        <v>220</v>
      </c>
      <c r="E60" s="114" t="s">
        <v>221</v>
      </c>
      <c r="F60" s="115">
        <v>6.0000000000000002E-5</v>
      </c>
      <c r="G60" s="1900" t="s">
        <v>1257</v>
      </c>
      <c r="H60" s="1900" t="s">
        <v>1323</v>
      </c>
      <c r="I60" s="1900" t="s">
        <v>1324</v>
      </c>
      <c r="J60" s="1900" t="s">
        <v>1325</v>
      </c>
      <c r="K60" s="1901" t="s">
        <v>1326</v>
      </c>
      <c r="L60" s="1593"/>
      <c r="M60" s="1593"/>
      <c r="N60" s="1582"/>
      <c r="O60" s="1586"/>
      <c r="P60" s="1586"/>
      <c r="Q60" s="1582"/>
      <c r="R60" s="1582"/>
      <c r="S60" s="1582"/>
      <c r="T60" s="1582"/>
      <c r="U60" s="1582"/>
      <c r="V60" s="1582">
        <v>5</v>
      </c>
      <c r="W60" s="1582"/>
      <c r="X60" s="1582"/>
      <c r="Y60" s="1582"/>
      <c r="Z60" s="1582"/>
      <c r="AA60" s="1582"/>
      <c r="AB60" s="1582"/>
    </row>
    <row r="61" spans="1:28" ht="40.15" customHeight="1">
      <c r="B61" s="139"/>
      <c r="C61" s="86" t="s">
        <v>1283</v>
      </c>
      <c r="D61" s="113" t="s">
        <v>220</v>
      </c>
      <c r="E61" s="114" t="s">
        <v>221</v>
      </c>
      <c r="F61" s="115">
        <v>5.0000000000000002E-5</v>
      </c>
      <c r="G61" s="1900" t="s">
        <v>1148</v>
      </c>
      <c r="H61" s="1900" t="s">
        <v>1327</v>
      </c>
      <c r="I61" s="1900" t="s">
        <v>1328</v>
      </c>
      <c r="J61" s="1900" t="s">
        <v>1329</v>
      </c>
      <c r="K61" s="1901" t="s">
        <v>1330</v>
      </c>
      <c r="L61" s="1593"/>
      <c r="M61" s="1593"/>
      <c r="N61" s="1586"/>
      <c r="O61" s="1582"/>
      <c r="P61" s="1582"/>
      <c r="Q61" s="1582"/>
      <c r="R61" s="1582"/>
      <c r="S61" s="1586">
        <v>5</v>
      </c>
      <c r="T61" s="1582"/>
      <c r="U61" s="1586"/>
      <c r="V61" s="1582"/>
      <c r="W61" s="1586">
        <v>5</v>
      </c>
      <c r="X61" s="1582"/>
      <c r="Y61" s="1582"/>
      <c r="Z61" s="1586"/>
      <c r="AA61" s="1582"/>
      <c r="AB61" s="1582"/>
    </row>
    <row r="62" spans="1:28" ht="40.15" customHeight="1">
      <c r="B62" s="139"/>
      <c r="C62" s="86" t="s">
        <v>1284</v>
      </c>
      <c r="D62" s="113" t="s">
        <v>220</v>
      </c>
      <c r="E62" s="114" t="s">
        <v>221</v>
      </c>
      <c r="F62" s="115">
        <v>5.0000000000000002E-5</v>
      </c>
      <c r="G62" s="1900" t="s">
        <v>1148</v>
      </c>
      <c r="H62" s="1900" t="s">
        <v>1327</v>
      </c>
      <c r="I62" s="1900" t="s">
        <v>1328</v>
      </c>
      <c r="J62" s="1900" t="s">
        <v>1329</v>
      </c>
      <c r="K62" s="1901" t="s">
        <v>1330</v>
      </c>
      <c r="L62" s="1593"/>
      <c r="M62" s="1593"/>
      <c r="N62" s="1582"/>
      <c r="O62" s="1582"/>
      <c r="P62" s="1582"/>
      <c r="Q62" s="1586"/>
      <c r="R62" s="1586"/>
      <c r="S62" s="1582"/>
      <c r="T62" s="1586">
        <v>5</v>
      </c>
      <c r="U62" s="1582"/>
      <c r="V62" s="1586"/>
      <c r="W62" s="1582"/>
      <c r="X62" s="1586">
        <v>5</v>
      </c>
      <c r="Y62" s="1586"/>
      <c r="Z62" s="1582"/>
      <c r="AA62" s="1586"/>
      <c r="AB62" s="1586"/>
    </row>
    <row r="63" spans="1:28" ht="40.15" customHeight="1">
      <c r="B63" s="139"/>
      <c r="C63" s="86" t="s">
        <v>1285</v>
      </c>
      <c r="D63" s="113" t="s">
        <v>220</v>
      </c>
      <c r="E63" s="114" t="s">
        <v>1146</v>
      </c>
      <c r="F63" s="115">
        <v>5.0000000000000002E-5</v>
      </c>
      <c r="G63" s="1900" t="s">
        <v>1148</v>
      </c>
      <c r="H63" s="1900" t="s">
        <v>1327</v>
      </c>
      <c r="I63" s="1900" t="s">
        <v>1328</v>
      </c>
      <c r="J63" s="1900" t="s">
        <v>1329</v>
      </c>
      <c r="K63" s="1901" t="s">
        <v>1330</v>
      </c>
      <c r="L63" s="1593"/>
      <c r="M63" s="1593"/>
      <c r="N63" s="1582"/>
      <c r="O63" s="1582"/>
      <c r="P63" s="1582"/>
      <c r="Q63" s="1586"/>
      <c r="R63" s="1586"/>
      <c r="S63" s="1582"/>
      <c r="T63" s="1586"/>
      <c r="U63" s="1582"/>
      <c r="V63" s="1586"/>
      <c r="W63" s="1582"/>
      <c r="X63" s="1586"/>
      <c r="Y63" s="1586">
        <v>5</v>
      </c>
      <c r="Z63" s="1582"/>
      <c r="AA63" s="1586"/>
      <c r="AB63" s="1586"/>
    </row>
    <row r="64" spans="1:28" ht="40.15" customHeight="1">
      <c r="B64" s="139"/>
      <c r="C64" s="86" t="s">
        <v>1286</v>
      </c>
      <c r="D64" s="113" t="s">
        <v>220</v>
      </c>
      <c r="E64" s="114" t="s">
        <v>1147</v>
      </c>
      <c r="F64" s="115">
        <v>5.0000000000000002E-5</v>
      </c>
      <c r="G64" s="1900" t="s">
        <v>1148</v>
      </c>
      <c r="H64" s="1900" t="s">
        <v>1327</v>
      </c>
      <c r="I64" s="1900" t="s">
        <v>1328</v>
      </c>
      <c r="J64" s="1900" t="s">
        <v>1329</v>
      </c>
      <c r="K64" s="1901" t="s">
        <v>1330</v>
      </c>
      <c r="L64" s="1593"/>
      <c r="M64" s="1593"/>
      <c r="N64" s="1582"/>
      <c r="O64" s="1582"/>
      <c r="P64" s="1582"/>
      <c r="Q64" s="1586"/>
      <c r="R64" s="1586"/>
      <c r="S64" s="1582"/>
      <c r="T64" s="1586"/>
      <c r="U64" s="1582">
        <v>5</v>
      </c>
      <c r="V64" s="1586"/>
      <c r="W64" s="1582"/>
      <c r="X64" s="1586"/>
      <c r="Y64" s="1586"/>
      <c r="Z64" s="1582">
        <v>5</v>
      </c>
      <c r="AA64" s="1586"/>
      <c r="AB64" s="1586"/>
    </row>
    <row r="65" spans="1:28" ht="40.15" customHeight="1">
      <c r="B65" s="139"/>
      <c r="C65" s="86" t="s">
        <v>1287</v>
      </c>
      <c r="D65" s="113" t="s">
        <v>220</v>
      </c>
      <c r="E65" s="114" t="s">
        <v>1168</v>
      </c>
      <c r="F65" s="115">
        <f>AVERAGE(F60,F63)</f>
        <v>5.5000000000000002E-5</v>
      </c>
      <c r="G65" s="1900" t="s">
        <v>1257</v>
      </c>
      <c r="H65" s="1900" t="s">
        <v>1323</v>
      </c>
      <c r="I65" s="1900" t="s">
        <v>1324</v>
      </c>
      <c r="J65" s="1900" t="s">
        <v>1325</v>
      </c>
      <c r="K65" s="1901" t="s">
        <v>1326</v>
      </c>
      <c r="L65" s="1593"/>
      <c r="M65" s="1593"/>
      <c r="N65" s="1582"/>
      <c r="O65" s="1582"/>
      <c r="P65" s="1582"/>
      <c r="Q65" s="1586"/>
      <c r="R65" s="1586">
        <v>5</v>
      </c>
      <c r="S65" s="1582"/>
      <c r="T65" s="1586"/>
      <c r="U65" s="1582"/>
      <c r="V65" s="1586"/>
      <c r="W65" s="1582"/>
      <c r="X65" s="1586"/>
      <c r="Y65" s="1586"/>
      <c r="Z65" s="1582"/>
      <c r="AA65" s="1586"/>
      <c r="AB65" s="1586"/>
    </row>
    <row r="66" spans="1:28" ht="40.35" customHeight="1">
      <c r="B66" s="111">
        <v>19</v>
      </c>
      <c r="C66" s="80" t="s">
        <v>222</v>
      </c>
      <c r="D66" s="113" t="s">
        <v>223</v>
      </c>
      <c r="E66" s="116" t="s">
        <v>224</v>
      </c>
      <c r="F66" s="1902">
        <v>3.0000000000000001E-3</v>
      </c>
      <c r="G66" s="1900" t="s">
        <v>1335</v>
      </c>
      <c r="H66" s="1900" t="s">
        <v>1334</v>
      </c>
      <c r="I66" s="1900" t="s">
        <v>1333</v>
      </c>
      <c r="J66" s="1900" t="s">
        <v>1332</v>
      </c>
      <c r="K66" s="1900" t="s">
        <v>1331</v>
      </c>
      <c r="L66" s="138"/>
      <c r="M66" s="138"/>
      <c r="N66" s="99">
        <v>5</v>
      </c>
      <c r="O66" s="99">
        <v>5</v>
      </c>
      <c r="P66" s="99">
        <v>5</v>
      </c>
      <c r="Q66" s="99">
        <v>5</v>
      </c>
      <c r="R66" s="99"/>
      <c r="S66" s="99"/>
      <c r="T66" s="99"/>
      <c r="U66" s="99"/>
      <c r="V66" s="99"/>
      <c r="W66" s="99"/>
      <c r="X66" s="99"/>
      <c r="Y66" s="99"/>
      <c r="Z66" s="99"/>
      <c r="AA66" s="99">
        <v>5</v>
      </c>
      <c r="AB66" s="99">
        <v>5</v>
      </c>
    </row>
    <row r="67" spans="1:28" ht="40.15" customHeight="1">
      <c r="B67" s="139"/>
      <c r="C67" s="80" t="s">
        <v>1288</v>
      </c>
      <c r="D67" s="113" t="s">
        <v>223</v>
      </c>
      <c r="E67" s="116" t="s">
        <v>1145</v>
      </c>
      <c r="F67" s="1902">
        <v>2.5000000000000001E-3</v>
      </c>
      <c r="G67" s="1900" t="s">
        <v>1339</v>
      </c>
      <c r="H67" s="1900" t="s">
        <v>1338</v>
      </c>
      <c r="I67" s="1900" t="s">
        <v>1337</v>
      </c>
      <c r="J67" s="1900" t="s">
        <v>1336</v>
      </c>
      <c r="K67" s="1901" t="s">
        <v>1344</v>
      </c>
      <c r="L67" s="1593"/>
      <c r="M67" s="1593"/>
      <c r="N67" s="1582"/>
      <c r="O67" s="1586"/>
      <c r="P67" s="1586"/>
      <c r="Q67" s="1582"/>
      <c r="R67" s="1582"/>
      <c r="S67" s="1582"/>
      <c r="T67" s="1582"/>
      <c r="U67" s="1582"/>
      <c r="V67" s="1582">
        <v>5</v>
      </c>
      <c r="W67" s="1582"/>
      <c r="X67" s="1582"/>
      <c r="Y67" s="1582"/>
      <c r="Z67" s="1582"/>
      <c r="AA67" s="1582"/>
      <c r="AB67" s="1582"/>
    </row>
    <row r="68" spans="1:28" ht="40.15" customHeight="1">
      <c r="B68" s="139"/>
      <c r="C68" s="80" t="s">
        <v>1289</v>
      </c>
      <c r="D68" s="113" t="s">
        <v>223</v>
      </c>
      <c r="E68" s="116" t="s">
        <v>1145</v>
      </c>
      <c r="F68" s="1902">
        <v>4.0000000000000001E-3</v>
      </c>
      <c r="G68" s="1900" t="s">
        <v>1343</v>
      </c>
      <c r="H68" s="1900" t="s">
        <v>1342</v>
      </c>
      <c r="I68" s="1900" t="s">
        <v>1334</v>
      </c>
      <c r="J68" s="1900" t="s">
        <v>1341</v>
      </c>
      <c r="K68" s="1901" t="s">
        <v>1340</v>
      </c>
      <c r="L68" s="1593"/>
      <c r="M68" s="1593"/>
      <c r="N68" s="1586"/>
      <c r="O68" s="1582"/>
      <c r="P68" s="1582"/>
      <c r="Q68" s="1582"/>
      <c r="R68" s="1582"/>
      <c r="S68" s="1586">
        <v>5</v>
      </c>
      <c r="T68" s="1582"/>
      <c r="U68" s="1586"/>
      <c r="V68" s="1582"/>
      <c r="W68" s="1586">
        <v>5</v>
      </c>
      <c r="X68" s="1582"/>
      <c r="Y68" s="1582"/>
      <c r="Z68" s="1586"/>
      <c r="AA68" s="1582"/>
      <c r="AB68" s="1582"/>
    </row>
    <row r="69" spans="1:28" ht="40.15" customHeight="1">
      <c r="B69" s="139"/>
      <c r="C69" s="80" t="s">
        <v>1290</v>
      </c>
      <c r="D69" s="113" t="s">
        <v>223</v>
      </c>
      <c r="E69" s="116" t="s">
        <v>1145</v>
      </c>
      <c r="F69" s="1902">
        <v>4.0000000000000001E-3</v>
      </c>
      <c r="G69" s="1900" t="s">
        <v>1343</v>
      </c>
      <c r="H69" s="1900" t="s">
        <v>1342</v>
      </c>
      <c r="I69" s="1900" t="s">
        <v>1334</v>
      </c>
      <c r="J69" s="1900" t="s">
        <v>1341</v>
      </c>
      <c r="K69" s="1901" t="s">
        <v>1340</v>
      </c>
      <c r="L69" s="1593"/>
      <c r="M69" s="1593"/>
      <c r="N69" s="1582"/>
      <c r="O69" s="1582"/>
      <c r="P69" s="1582"/>
      <c r="Q69" s="1586"/>
      <c r="R69" s="1586"/>
      <c r="S69" s="1582"/>
      <c r="T69" s="1586">
        <v>5</v>
      </c>
      <c r="U69" s="1582"/>
      <c r="V69" s="1586"/>
      <c r="W69" s="1582"/>
      <c r="X69" s="1586">
        <v>5</v>
      </c>
      <c r="Y69" s="1586"/>
      <c r="Z69" s="1582"/>
      <c r="AA69" s="1582"/>
      <c r="AB69" s="1582"/>
    </row>
    <row r="70" spans="1:28" ht="40.15" customHeight="1">
      <c r="B70" s="139"/>
      <c r="C70" s="80" t="s">
        <v>1291</v>
      </c>
      <c r="D70" s="113" t="s">
        <v>223</v>
      </c>
      <c r="E70" s="116" t="s">
        <v>1145</v>
      </c>
      <c r="F70" s="1902">
        <v>2.5000000000000001E-3</v>
      </c>
      <c r="G70" s="1900" t="s">
        <v>1339</v>
      </c>
      <c r="H70" s="1900" t="s">
        <v>1338</v>
      </c>
      <c r="I70" s="1900" t="s">
        <v>1337</v>
      </c>
      <c r="J70" s="1900" t="s">
        <v>1336</v>
      </c>
      <c r="K70" s="1901" t="s">
        <v>1344</v>
      </c>
      <c r="L70" s="1593"/>
      <c r="M70" s="1593"/>
      <c r="N70" s="1582"/>
      <c r="O70" s="1582"/>
      <c r="P70" s="1582"/>
      <c r="Q70" s="1586"/>
      <c r="R70" s="1586"/>
      <c r="S70" s="1582"/>
      <c r="T70" s="1586"/>
      <c r="U70" s="1582"/>
      <c r="V70" s="1586"/>
      <c r="W70" s="1582"/>
      <c r="X70" s="1586"/>
      <c r="Y70" s="1586">
        <v>5</v>
      </c>
      <c r="Z70" s="1582"/>
      <c r="AA70" s="1582"/>
      <c r="AB70" s="1582"/>
    </row>
    <row r="71" spans="1:28" ht="40.15" customHeight="1">
      <c r="B71" s="139"/>
      <c r="C71" s="80" t="s">
        <v>1292</v>
      </c>
      <c r="D71" s="113" t="s">
        <v>223</v>
      </c>
      <c r="E71" s="116" t="s">
        <v>1145</v>
      </c>
      <c r="F71" s="1902">
        <v>2.5000000000000001E-3</v>
      </c>
      <c r="G71" s="1900" t="s">
        <v>1339</v>
      </c>
      <c r="H71" s="1900" t="s">
        <v>1338</v>
      </c>
      <c r="I71" s="1900" t="s">
        <v>1337</v>
      </c>
      <c r="J71" s="1900" t="s">
        <v>1336</v>
      </c>
      <c r="K71" s="1901" t="s">
        <v>1344</v>
      </c>
      <c r="L71" s="1593"/>
      <c r="M71" s="1593"/>
      <c r="N71" s="1582"/>
      <c r="O71" s="1582"/>
      <c r="P71" s="1582"/>
      <c r="Q71" s="1586"/>
      <c r="R71" s="1586"/>
      <c r="S71" s="1582"/>
      <c r="T71" s="1586"/>
      <c r="U71" s="1582">
        <v>5</v>
      </c>
      <c r="V71" s="1586"/>
      <c r="W71" s="1582"/>
      <c r="X71" s="1586"/>
      <c r="Y71" s="1586"/>
      <c r="Z71" s="1582">
        <v>5</v>
      </c>
      <c r="AA71" s="1582"/>
      <c r="AB71" s="1582"/>
    </row>
    <row r="72" spans="1:28" ht="40.15" customHeight="1">
      <c r="B72" s="139"/>
      <c r="C72" s="80" t="s">
        <v>1293</v>
      </c>
      <c r="D72" s="113" t="s">
        <v>223</v>
      </c>
      <c r="E72" s="116" t="s">
        <v>1145</v>
      </c>
      <c r="F72" s="1902">
        <f>AVERAGE(F67,F70)</f>
        <v>2.5000000000000001E-3</v>
      </c>
      <c r="G72" s="1900" t="s">
        <v>1339</v>
      </c>
      <c r="H72" s="1900" t="s">
        <v>1338</v>
      </c>
      <c r="I72" s="1900" t="s">
        <v>1337</v>
      </c>
      <c r="J72" s="1900" t="s">
        <v>1336</v>
      </c>
      <c r="K72" s="1901" t="s">
        <v>1344</v>
      </c>
      <c r="L72" s="1593"/>
      <c r="M72" s="1593"/>
      <c r="N72" s="1582"/>
      <c r="O72" s="1582"/>
      <c r="P72" s="1582"/>
      <c r="Q72" s="1586"/>
      <c r="R72" s="1586">
        <v>5</v>
      </c>
      <c r="S72" s="1582"/>
      <c r="T72" s="1586"/>
      <c r="U72" s="1582"/>
      <c r="V72" s="1586"/>
      <c r="W72" s="1582"/>
      <c r="X72" s="1586"/>
      <c r="Y72" s="1586"/>
      <c r="Z72" s="1582"/>
      <c r="AA72" s="1582"/>
      <c r="AB72" s="1582"/>
    </row>
    <row r="73" spans="1:28" ht="40.15" customHeight="1">
      <c r="B73" s="111">
        <v>20</v>
      </c>
      <c r="C73" s="80" t="s">
        <v>225</v>
      </c>
      <c r="D73" s="106" t="s">
        <v>226</v>
      </c>
      <c r="E73" s="106" t="s">
        <v>1149</v>
      </c>
      <c r="F73" s="115">
        <v>8.0000000000000004E-4</v>
      </c>
      <c r="G73" s="1599" t="s">
        <v>1144</v>
      </c>
      <c r="H73" s="1598" t="s">
        <v>1143</v>
      </c>
      <c r="I73" s="1598" t="s">
        <v>1142</v>
      </c>
      <c r="J73" s="1612" t="s">
        <v>1140</v>
      </c>
      <c r="K73" s="117" t="s">
        <v>1141</v>
      </c>
      <c r="L73" s="138"/>
      <c r="M73" s="138"/>
      <c r="N73" s="111">
        <v>5</v>
      </c>
      <c r="O73" s="1585">
        <v>10</v>
      </c>
      <c r="P73" s="1585">
        <v>10</v>
      </c>
      <c r="Q73" s="1585">
        <v>10</v>
      </c>
      <c r="R73" s="1585">
        <v>10</v>
      </c>
      <c r="S73" s="1585">
        <v>10</v>
      </c>
      <c r="T73" s="1585">
        <v>10</v>
      </c>
      <c r="U73" s="1585">
        <v>10</v>
      </c>
      <c r="V73" s="1585">
        <v>10</v>
      </c>
      <c r="W73" s="1585">
        <v>10</v>
      </c>
      <c r="X73" s="1585">
        <v>10</v>
      </c>
      <c r="Y73" s="1585">
        <v>10</v>
      </c>
      <c r="Z73" s="1585">
        <v>10</v>
      </c>
      <c r="AA73" s="1585">
        <v>10</v>
      </c>
      <c r="AB73" s="1585">
        <v>10</v>
      </c>
    </row>
    <row r="74" spans="1:28" ht="40.15" customHeight="1">
      <c r="B74" s="1648"/>
      <c r="C74" s="1649"/>
      <c r="D74" s="1650"/>
      <c r="E74" s="1650"/>
      <c r="F74" s="1651"/>
      <c r="G74" s="1652"/>
      <c r="H74" s="1653"/>
      <c r="I74" s="1653"/>
      <c r="J74" s="1653"/>
      <c r="K74" s="1654"/>
      <c r="L74" s="1655"/>
      <c r="M74" s="1656"/>
      <c r="N74" s="1656"/>
      <c r="O74" s="1657"/>
      <c r="P74" s="1657"/>
      <c r="Q74" s="1657"/>
      <c r="R74" s="1657"/>
      <c r="S74" s="1657"/>
      <c r="T74" s="1657"/>
      <c r="U74" s="1657"/>
      <c r="V74" s="1657"/>
      <c r="W74" s="1657"/>
      <c r="X74" s="1657"/>
      <c r="Y74" s="1657"/>
      <c r="Z74" s="1657"/>
      <c r="AA74" s="1657"/>
      <c r="AB74" s="1657"/>
    </row>
    <row r="75" spans="1:28" ht="39" customHeight="1">
      <c r="B75" s="96">
        <v>21</v>
      </c>
      <c r="C75" s="92" t="s">
        <v>1345</v>
      </c>
      <c r="D75" s="103" t="s">
        <v>209</v>
      </c>
      <c r="E75" s="1372" t="s">
        <v>210</v>
      </c>
      <c r="F75" s="1370" t="s">
        <v>211</v>
      </c>
      <c r="G75" s="104" t="s">
        <v>21</v>
      </c>
      <c r="H75" s="104" t="s">
        <v>212</v>
      </c>
      <c r="I75" s="104" t="s">
        <v>212</v>
      </c>
      <c r="J75" s="104" t="s">
        <v>212</v>
      </c>
      <c r="K75" s="104">
        <v>0</v>
      </c>
      <c r="L75" s="135"/>
      <c r="M75" s="135"/>
      <c r="N75" s="85">
        <v>5</v>
      </c>
      <c r="O75" s="1582"/>
      <c r="P75" s="1582"/>
      <c r="Q75" s="1582"/>
      <c r="R75" s="1582"/>
      <c r="S75" s="1582"/>
      <c r="T75" s="1582"/>
      <c r="U75" s="1582"/>
      <c r="V75" s="1582"/>
      <c r="W75" s="1582"/>
      <c r="X75" s="1582"/>
      <c r="Y75" s="1582"/>
      <c r="Z75" s="1582"/>
      <c r="AA75" s="1582"/>
      <c r="AB75" s="1582"/>
    </row>
    <row r="76" spans="1:28" s="91" customFormat="1" ht="39" customHeight="1">
      <c r="A76" s="87"/>
      <c r="B76" s="139"/>
      <c r="C76" s="1587" t="s">
        <v>1346</v>
      </c>
      <c r="D76" s="1588" t="s">
        <v>1093</v>
      </c>
      <c r="E76" s="1600" t="s">
        <v>1094</v>
      </c>
      <c r="F76" s="1601"/>
      <c r="G76" s="104" t="s">
        <v>21</v>
      </c>
      <c r="H76" s="104" t="s">
        <v>212</v>
      </c>
      <c r="I76" s="104" t="s">
        <v>212</v>
      </c>
      <c r="J76" s="104" t="s">
        <v>212</v>
      </c>
      <c r="K76" s="104">
        <v>0</v>
      </c>
      <c r="L76" s="1592"/>
      <c r="M76" s="1593"/>
      <c r="N76" s="1583"/>
      <c r="O76" s="1582"/>
      <c r="P76" s="1582"/>
      <c r="Q76" s="1582"/>
      <c r="R76" s="1582"/>
      <c r="S76" s="1582"/>
      <c r="T76" s="1582"/>
      <c r="U76" s="1582"/>
      <c r="V76" s="1582"/>
      <c r="W76" s="1582"/>
      <c r="X76" s="1582"/>
      <c r="Y76" s="1582"/>
      <c r="Z76" s="1582"/>
      <c r="AA76" s="1582">
        <v>10</v>
      </c>
      <c r="AB76" s="1582">
        <v>10</v>
      </c>
    </row>
    <row r="77" spans="1:28" ht="40.35" customHeight="1">
      <c r="B77" s="111">
        <v>22</v>
      </c>
      <c r="C77" s="1664" t="s">
        <v>1348</v>
      </c>
      <c r="D77" s="1665" t="s">
        <v>1300</v>
      </c>
      <c r="E77" s="1665" t="s">
        <v>1301</v>
      </c>
      <c r="F77" s="1666">
        <v>0</v>
      </c>
      <c r="G77" s="1666" t="s">
        <v>50</v>
      </c>
      <c r="H77" s="1666">
        <v>3</v>
      </c>
      <c r="I77" s="1666">
        <v>2</v>
      </c>
      <c r="J77" s="1666">
        <v>1</v>
      </c>
      <c r="K77" s="1666">
        <v>0</v>
      </c>
      <c r="L77" s="1592"/>
      <c r="M77" s="1592"/>
      <c r="N77" s="1583"/>
      <c r="O77" s="1667"/>
      <c r="P77" s="1667"/>
      <c r="Q77" s="1667"/>
      <c r="R77" s="1667"/>
      <c r="S77" s="1667"/>
      <c r="T77" s="1667"/>
      <c r="U77" s="1667"/>
      <c r="V77" s="99"/>
      <c r="W77" s="99"/>
      <c r="X77" s="99"/>
      <c r="Y77" s="99"/>
      <c r="Z77" s="99"/>
      <c r="AA77" s="1582">
        <v>10</v>
      </c>
      <c r="AB77" s="1582">
        <v>10</v>
      </c>
    </row>
    <row r="78" spans="1:28" ht="40.35" customHeight="1">
      <c r="B78" s="111">
        <v>22</v>
      </c>
      <c r="C78" s="1664" t="s">
        <v>1347</v>
      </c>
      <c r="D78" s="1665" t="s">
        <v>1349</v>
      </c>
      <c r="E78" s="1665" t="s">
        <v>1350</v>
      </c>
      <c r="F78" s="1666">
        <v>0</v>
      </c>
      <c r="G78" s="1666" t="s">
        <v>50</v>
      </c>
      <c r="H78" s="1666">
        <v>3</v>
      </c>
      <c r="I78" s="1666">
        <v>2</v>
      </c>
      <c r="J78" s="1666">
        <v>1</v>
      </c>
      <c r="K78" s="1666">
        <v>0</v>
      </c>
      <c r="L78" s="1592"/>
      <c r="M78" s="1592"/>
      <c r="N78" s="1583"/>
      <c r="O78" s="1667"/>
      <c r="P78" s="1667"/>
      <c r="Q78" s="1667"/>
      <c r="R78" s="1667"/>
      <c r="S78" s="1667"/>
      <c r="T78" s="1667"/>
      <c r="U78" s="1667"/>
      <c r="V78" s="99"/>
      <c r="W78" s="99"/>
      <c r="X78" s="99"/>
      <c r="Y78" s="99"/>
      <c r="Z78" s="99"/>
      <c r="AA78" s="1582">
        <v>10</v>
      </c>
      <c r="AB78" s="1582">
        <v>10</v>
      </c>
    </row>
  </sheetData>
  <mergeCells count="13">
    <mergeCell ref="B46:N46"/>
    <mergeCell ref="B50:N50"/>
    <mergeCell ref="B1:N1"/>
    <mergeCell ref="B7:B15"/>
    <mergeCell ref="B17:N17"/>
    <mergeCell ref="B6:K6"/>
    <mergeCell ref="B2:D2"/>
    <mergeCell ref="B3:C5"/>
    <mergeCell ref="D3:D5"/>
    <mergeCell ref="E3:E5"/>
    <mergeCell ref="F3:F5"/>
    <mergeCell ref="G3:K4"/>
    <mergeCell ref="L3:N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6"/>
  <sheetViews>
    <sheetView topLeftCell="D1" zoomScale="30" zoomScaleNormal="30" workbookViewId="0">
      <selection activeCell="I10" sqref="I10"/>
    </sheetView>
  </sheetViews>
  <sheetFormatPr defaultColWidth="9" defaultRowHeight="39"/>
  <cols>
    <col min="1" max="1" width="18.42578125" style="206" customWidth="1"/>
    <col min="2" max="2" width="24.140625" style="206" customWidth="1"/>
    <col min="3" max="3" width="22" style="206" customWidth="1"/>
    <col min="4" max="4" width="28.42578125" style="206" customWidth="1"/>
    <col min="5" max="5" width="32" style="206" customWidth="1"/>
    <col min="6" max="6" width="29.5703125" style="207" customWidth="1"/>
    <col min="7" max="7" width="30.42578125" style="142" customWidth="1"/>
    <col min="8" max="8" width="34.140625" style="206" bestFit="1" customWidth="1"/>
    <col min="9" max="9" width="29.28515625" style="206" customWidth="1"/>
    <col min="10" max="10" width="36.140625" style="142" customWidth="1"/>
    <col min="11" max="11" width="28.85546875" style="142" customWidth="1"/>
    <col min="12" max="12" width="88" style="208" bestFit="1" customWidth="1"/>
    <col min="13" max="13" width="110.42578125" style="208" customWidth="1"/>
    <col min="14" max="14" width="48" style="208" bestFit="1" customWidth="1"/>
    <col min="15" max="15" width="21.42578125" style="208" customWidth="1"/>
    <col min="16" max="23" width="21.42578125" style="142" customWidth="1"/>
    <col min="24" max="16384" width="9" style="142"/>
  </cols>
  <sheetData>
    <row r="1" spans="1:23" ht="39.950000000000003" customHeight="1">
      <c r="A1" s="1758" t="s">
        <v>250</v>
      </c>
      <c r="B1" s="1739" t="s">
        <v>251</v>
      </c>
      <c r="C1" s="1750" t="s">
        <v>252</v>
      </c>
      <c r="D1" s="1750" t="s">
        <v>253</v>
      </c>
      <c r="E1" s="1750" t="s">
        <v>254</v>
      </c>
      <c r="F1" s="1756" t="s">
        <v>255</v>
      </c>
      <c r="G1" s="1750" t="s">
        <v>256</v>
      </c>
      <c r="H1" s="1750" t="s">
        <v>257</v>
      </c>
      <c r="I1" s="1750" t="s">
        <v>229</v>
      </c>
      <c r="J1" s="1751" t="s">
        <v>258</v>
      </c>
      <c r="K1" s="1739" t="s">
        <v>259</v>
      </c>
      <c r="L1" s="1754" t="s">
        <v>260</v>
      </c>
      <c r="M1" s="1739" t="s">
        <v>261</v>
      </c>
      <c r="N1" s="1741" t="s">
        <v>262</v>
      </c>
      <c r="O1" s="1743" t="s">
        <v>263</v>
      </c>
      <c r="P1" s="1744"/>
      <c r="Q1" s="1744"/>
      <c r="R1" s="1744"/>
      <c r="S1" s="1744"/>
      <c r="T1" s="1744"/>
      <c r="U1" s="1744"/>
      <c r="V1" s="1744"/>
      <c r="W1" s="1745"/>
    </row>
    <row r="2" spans="1:23" s="146" customFormat="1" ht="39.950000000000003" customHeight="1" thickBot="1">
      <c r="A2" s="1759"/>
      <c r="B2" s="1753"/>
      <c r="C2" s="1740"/>
      <c r="D2" s="1740"/>
      <c r="E2" s="1740"/>
      <c r="F2" s="1757"/>
      <c r="G2" s="1740"/>
      <c r="H2" s="1740"/>
      <c r="I2" s="1740"/>
      <c r="J2" s="1752"/>
      <c r="K2" s="1753"/>
      <c r="L2" s="1755"/>
      <c r="M2" s="1740"/>
      <c r="N2" s="1742"/>
      <c r="O2" s="143">
        <v>2012</v>
      </c>
      <c r="P2" s="144">
        <v>2013</v>
      </c>
      <c r="Q2" s="144">
        <v>2014</v>
      </c>
      <c r="R2" s="143">
        <v>2015</v>
      </c>
      <c r="S2" s="144">
        <v>2016</v>
      </c>
      <c r="T2" s="144">
        <v>2017</v>
      </c>
      <c r="U2" s="143">
        <v>2018</v>
      </c>
      <c r="V2" s="144">
        <v>2019</v>
      </c>
      <c r="W2" s="145">
        <v>2020</v>
      </c>
    </row>
    <row r="3" spans="1:23" s="159" customFormat="1" ht="53.45" customHeight="1" thickBot="1">
      <c r="A3" s="1746" t="s">
        <v>264</v>
      </c>
      <c r="B3" s="1748"/>
      <c r="C3" s="1697" t="s">
        <v>265</v>
      </c>
      <c r="D3" s="1699">
        <f>(SUM(J3:J7))/(SUM(J3:J36))</f>
        <v>0.19305613100725805</v>
      </c>
      <c r="E3" s="147" t="s">
        <v>266</v>
      </c>
      <c r="F3" s="148">
        <f>J3/SUM(J$3:J$8)</f>
        <v>0.13407821229050279</v>
      </c>
      <c r="G3" s="149" t="s">
        <v>267</v>
      </c>
      <c r="H3" s="150">
        <v>1</v>
      </c>
      <c r="I3" s="151" t="s">
        <v>268</v>
      </c>
      <c r="J3" s="152">
        <v>120000</v>
      </c>
      <c r="K3" s="153">
        <v>1</v>
      </c>
      <c r="L3" s="154"/>
      <c r="M3" s="155" t="s">
        <v>269</v>
      </c>
      <c r="N3" s="156"/>
      <c r="O3" s="157"/>
      <c r="P3" s="158"/>
      <c r="Q3" s="158"/>
      <c r="R3" s="158"/>
      <c r="S3" s="158"/>
      <c r="T3" s="158"/>
      <c r="U3" s="158"/>
      <c r="V3" s="158"/>
      <c r="W3" s="158"/>
    </row>
    <row r="4" spans="1:23" ht="53.45" customHeight="1">
      <c r="A4" s="1746"/>
      <c r="B4" s="1748"/>
      <c r="C4" s="1697"/>
      <c r="D4" s="1700"/>
      <c r="E4" s="1725" t="s">
        <v>270</v>
      </c>
      <c r="F4" s="1732">
        <f>SUM(J4:J5)/SUM(J3:J8)</f>
        <v>0.27932960893854747</v>
      </c>
      <c r="G4" s="1734" t="s">
        <v>271</v>
      </c>
      <c r="H4" s="1732">
        <v>1</v>
      </c>
      <c r="I4" s="160" t="s">
        <v>272</v>
      </c>
      <c r="J4" s="161">
        <v>100000</v>
      </c>
      <c r="K4" s="162">
        <f>J4/(SUM(J4:J7))</f>
        <v>0.15748031496062992</v>
      </c>
      <c r="L4" s="163"/>
      <c r="M4" s="1709" t="s">
        <v>273</v>
      </c>
      <c r="N4" s="164"/>
      <c r="O4" s="165"/>
      <c r="P4" s="166"/>
      <c r="Q4" s="166"/>
      <c r="R4" s="166"/>
      <c r="S4" s="166"/>
      <c r="T4" s="166"/>
      <c r="U4" s="166"/>
      <c r="V4" s="166"/>
      <c r="W4" s="166"/>
    </row>
    <row r="5" spans="1:23" ht="53.45" customHeight="1" thickBot="1">
      <c r="A5" s="1746"/>
      <c r="B5" s="1748"/>
      <c r="C5" s="1697"/>
      <c r="D5" s="1700"/>
      <c r="E5" s="1715"/>
      <c r="F5" s="1733"/>
      <c r="G5" s="1735"/>
      <c r="H5" s="1733"/>
      <c r="I5" s="167" t="s">
        <v>274</v>
      </c>
      <c r="J5" s="168">
        <v>150000</v>
      </c>
      <c r="K5" s="169">
        <f>J5/(SUM(J4:J7))</f>
        <v>0.23622047244094488</v>
      </c>
      <c r="L5" s="163"/>
      <c r="M5" s="1710"/>
      <c r="N5" s="164"/>
      <c r="O5" s="165"/>
      <c r="P5" s="166"/>
      <c r="Q5" s="166"/>
      <c r="R5" s="166"/>
      <c r="S5" s="166"/>
      <c r="T5" s="166"/>
      <c r="U5" s="166"/>
      <c r="V5" s="166"/>
      <c r="W5" s="166"/>
    </row>
    <row r="6" spans="1:23" ht="53.45" customHeight="1">
      <c r="A6" s="1746"/>
      <c r="B6" s="1748"/>
      <c r="C6" s="1697"/>
      <c r="D6" s="1700"/>
      <c r="E6" s="1715"/>
      <c r="F6" s="1732">
        <f>SUM(J6:J7)/SUM(J3:J8)</f>
        <v>0.43016759776536312</v>
      </c>
      <c r="G6" s="1734" t="s">
        <v>275</v>
      </c>
      <c r="H6" s="1732">
        <v>1</v>
      </c>
      <c r="I6" s="160" t="s">
        <v>276</v>
      </c>
      <c r="J6" s="161">
        <v>192500</v>
      </c>
      <c r="K6" s="169">
        <f>J6/(SUM(J4:J7))</f>
        <v>0.30314960629921262</v>
      </c>
      <c r="L6" s="163"/>
      <c r="M6" s="1710"/>
      <c r="N6" s="164"/>
      <c r="O6" s="165"/>
      <c r="P6" s="166"/>
      <c r="Q6" s="166"/>
      <c r="R6" s="166"/>
      <c r="S6" s="166"/>
      <c r="T6" s="166"/>
      <c r="U6" s="166"/>
      <c r="V6" s="166"/>
      <c r="W6" s="166"/>
    </row>
    <row r="7" spans="1:23" ht="53.45" customHeight="1" thickBot="1">
      <c r="A7" s="1746"/>
      <c r="B7" s="1748"/>
      <c r="C7" s="1697"/>
      <c r="D7" s="1700"/>
      <c r="E7" s="1716"/>
      <c r="F7" s="1733"/>
      <c r="G7" s="1735"/>
      <c r="H7" s="1733"/>
      <c r="I7" s="167" t="s">
        <v>277</v>
      </c>
      <c r="J7" s="168">
        <v>192500</v>
      </c>
      <c r="K7" s="170">
        <f>J7/(SUM(J4:J7))</f>
        <v>0.30314960629921262</v>
      </c>
      <c r="L7" s="163"/>
      <c r="M7" s="1710"/>
      <c r="N7" s="164"/>
      <c r="O7" s="165"/>
      <c r="P7" s="166"/>
      <c r="Q7" s="166"/>
      <c r="R7" s="166"/>
      <c r="S7" s="166"/>
      <c r="T7" s="166"/>
      <c r="U7" s="166"/>
      <c r="V7" s="166"/>
      <c r="W7" s="166"/>
    </row>
    <row r="8" spans="1:23" ht="53.45" customHeight="1" thickBot="1">
      <c r="A8" s="1746"/>
      <c r="B8" s="1748"/>
      <c r="C8" s="151"/>
      <c r="D8" s="1701"/>
      <c r="E8" s="171" t="s">
        <v>278</v>
      </c>
      <c r="F8" s="172">
        <f>J8/SUM(J3:J8)</f>
        <v>0.15642458100558659</v>
      </c>
      <c r="G8" s="171" t="s">
        <v>279</v>
      </c>
      <c r="H8" s="172">
        <v>1</v>
      </c>
      <c r="I8" s="173" t="s">
        <v>268</v>
      </c>
      <c r="J8" s="174">
        <v>140000</v>
      </c>
      <c r="K8" s="175">
        <v>1</v>
      </c>
      <c r="L8" s="163"/>
      <c r="M8" s="164"/>
      <c r="N8" s="164"/>
      <c r="O8" s="165"/>
      <c r="P8" s="166"/>
      <c r="Q8" s="166"/>
      <c r="R8" s="166"/>
      <c r="S8" s="166"/>
      <c r="T8" s="166"/>
      <c r="U8" s="166"/>
      <c r="V8" s="166"/>
      <c r="W8" s="166"/>
    </row>
    <row r="9" spans="1:23" ht="50.25">
      <c r="A9" s="1746"/>
      <c r="B9" s="1748"/>
      <c r="C9" s="1696" t="s">
        <v>280</v>
      </c>
      <c r="D9" s="1699">
        <f>(SUM(J9:J27))/(SUM(J3:J36))</f>
        <v>0.55162393944208321</v>
      </c>
      <c r="E9" s="1727" t="s">
        <v>281</v>
      </c>
      <c r="F9" s="1703">
        <f>(SUM(J9:J12))/(SUM(J9:J27))</f>
        <v>2.3640884289501167E-2</v>
      </c>
      <c r="G9" s="1725" t="s">
        <v>282</v>
      </c>
      <c r="H9" s="1720">
        <f>(SUM(J9:J10))/SUM(J9:J12)</f>
        <v>0.70588235294117652</v>
      </c>
      <c r="I9" s="176" t="s">
        <v>283</v>
      </c>
      <c r="J9" s="177">
        <v>30000</v>
      </c>
      <c r="K9" s="178">
        <f>J9/(SUM(J9:J10))</f>
        <v>0.83333333333333337</v>
      </c>
      <c r="L9" s="179"/>
      <c r="M9" s="1709" t="s">
        <v>273</v>
      </c>
      <c r="N9" s="180"/>
      <c r="O9" s="180"/>
      <c r="P9" s="166"/>
      <c r="Q9" s="166"/>
      <c r="R9" s="166"/>
      <c r="S9" s="166"/>
      <c r="T9" s="166"/>
      <c r="U9" s="166"/>
      <c r="V9" s="166"/>
      <c r="W9" s="166"/>
    </row>
    <row r="10" spans="1:23" ht="51" thickBot="1">
      <c r="A10" s="1746"/>
      <c r="B10" s="1748"/>
      <c r="C10" s="1697"/>
      <c r="D10" s="1700"/>
      <c r="E10" s="1697"/>
      <c r="F10" s="1704"/>
      <c r="G10" s="1716"/>
      <c r="H10" s="1721"/>
      <c r="I10" s="181" t="s">
        <v>284</v>
      </c>
      <c r="J10" s="182">
        <v>6000</v>
      </c>
      <c r="K10" s="183">
        <f>J10/(SUM(J9:J10))</f>
        <v>0.16666666666666666</v>
      </c>
      <c r="L10" s="179"/>
      <c r="M10" s="1710"/>
      <c r="N10" s="180"/>
      <c r="O10" s="180"/>
      <c r="P10" s="166"/>
      <c r="Q10" s="166"/>
      <c r="R10" s="166"/>
      <c r="S10" s="166"/>
      <c r="T10" s="166"/>
      <c r="U10" s="166"/>
      <c r="V10" s="166"/>
      <c r="W10" s="166"/>
    </row>
    <row r="11" spans="1:23" ht="50.25">
      <c r="A11" s="1746"/>
      <c r="B11" s="1748"/>
      <c r="C11" s="1697"/>
      <c r="D11" s="1700"/>
      <c r="E11" s="1697"/>
      <c r="F11" s="1704"/>
      <c r="G11" s="1715" t="s">
        <v>285</v>
      </c>
      <c r="H11" s="1726">
        <f>SUM(J11:J12)/SUM(J9:J12)</f>
        <v>0.29411764705882354</v>
      </c>
      <c r="I11" s="184" t="s">
        <v>283</v>
      </c>
      <c r="J11" s="185">
        <v>9000</v>
      </c>
      <c r="K11" s="186">
        <f>J11/(SUM(J11:J12))</f>
        <v>0.6</v>
      </c>
      <c r="L11" s="179"/>
      <c r="M11" s="1710"/>
      <c r="N11" s="180"/>
      <c r="O11" s="180"/>
      <c r="P11" s="166"/>
      <c r="Q11" s="166"/>
      <c r="R11" s="166"/>
      <c r="S11" s="166"/>
      <c r="T11" s="166"/>
      <c r="U11" s="166"/>
      <c r="V11" s="166"/>
      <c r="W11" s="166"/>
    </row>
    <row r="12" spans="1:23" ht="51" thickBot="1">
      <c r="A12" s="1746"/>
      <c r="B12" s="1748"/>
      <c r="C12" s="1697"/>
      <c r="D12" s="1700"/>
      <c r="E12" s="1697"/>
      <c r="F12" s="1704"/>
      <c r="G12" s="1715"/>
      <c r="H12" s="1726"/>
      <c r="I12" s="187" t="s">
        <v>286</v>
      </c>
      <c r="J12" s="188">
        <v>6000</v>
      </c>
      <c r="K12" s="189">
        <f>J12/(SUM(J11:J12))</f>
        <v>0.4</v>
      </c>
      <c r="L12" s="179"/>
      <c r="M12" s="1710"/>
      <c r="N12" s="180"/>
      <c r="O12" s="180"/>
      <c r="P12" s="166"/>
      <c r="Q12" s="166"/>
      <c r="R12" s="166"/>
      <c r="S12" s="166"/>
      <c r="T12" s="166"/>
      <c r="U12" s="166"/>
      <c r="V12" s="166"/>
      <c r="W12" s="166"/>
    </row>
    <row r="13" spans="1:23" ht="50.25">
      <c r="A13" s="1746"/>
      <c r="B13" s="1748"/>
      <c r="C13" s="1697"/>
      <c r="D13" s="1700"/>
      <c r="E13" s="1727" t="s">
        <v>287</v>
      </c>
      <c r="F13" s="1703">
        <f>(SUM(J13:J16))/(SUM(J9:J27))</f>
        <v>7.463102687469976E-2</v>
      </c>
      <c r="G13" s="1728" t="s">
        <v>288</v>
      </c>
      <c r="H13" s="1730">
        <f>(J13+J14)/(SUM(J13:J16))</f>
        <v>0.77018633540372672</v>
      </c>
      <c r="I13" s="176" t="s">
        <v>289</v>
      </c>
      <c r="J13" s="177">
        <v>59500</v>
      </c>
      <c r="K13" s="178">
        <f>J13/(SUM(J13:J14))</f>
        <v>0.47983870967741937</v>
      </c>
      <c r="L13" s="179"/>
      <c r="M13" s="1709" t="s">
        <v>273</v>
      </c>
      <c r="N13" s="180"/>
      <c r="O13" s="180"/>
      <c r="P13" s="166"/>
      <c r="Q13" s="166"/>
      <c r="R13" s="166"/>
      <c r="S13" s="166"/>
      <c r="T13" s="166"/>
      <c r="U13" s="166"/>
      <c r="V13" s="166"/>
      <c r="W13" s="166"/>
    </row>
    <row r="14" spans="1:23" ht="51" thickBot="1">
      <c r="A14" s="1746"/>
      <c r="B14" s="1748"/>
      <c r="C14" s="1697"/>
      <c r="D14" s="1700"/>
      <c r="E14" s="1697"/>
      <c r="F14" s="1704"/>
      <c r="G14" s="1729"/>
      <c r="H14" s="1731"/>
      <c r="I14" s="181" t="s">
        <v>290</v>
      </c>
      <c r="J14" s="182">
        <v>64500</v>
      </c>
      <c r="K14" s="183">
        <f>J14/(SUM(J13:J14))</f>
        <v>0.52016129032258063</v>
      </c>
      <c r="L14" s="179"/>
      <c r="M14" s="1710"/>
      <c r="N14" s="180"/>
      <c r="O14" s="180"/>
      <c r="P14" s="166"/>
      <c r="Q14" s="166"/>
      <c r="R14" s="166"/>
      <c r="S14" s="166"/>
      <c r="T14" s="166"/>
      <c r="U14" s="166"/>
      <c r="V14" s="166"/>
      <c r="W14" s="166"/>
    </row>
    <row r="15" spans="1:23" ht="50.25">
      <c r="A15" s="1746"/>
      <c r="B15" s="1748"/>
      <c r="C15" s="1697"/>
      <c r="D15" s="1700"/>
      <c r="E15" s="1697"/>
      <c r="F15" s="1704"/>
      <c r="G15" s="1728" t="s">
        <v>291</v>
      </c>
      <c r="H15" s="1730">
        <f>(J15+J16)/(SUM(J13:J16))</f>
        <v>0.22981366459627328</v>
      </c>
      <c r="I15" s="176" t="s">
        <v>268</v>
      </c>
      <c r="J15" s="177">
        <v>18500</v>
      </c>
      <c r="K15" s="178">
        <f>J15/(SUM(J15:J16))</f>
        <v>0.5</v>
      </c>
      <c r="L15" s="179"/>
      <c r="M15" s="1709" t="s">
        <v>273</v>
      </c>
      <c r="N15" s="180"/>
      <c r="O15" s="180"/>
      <c r="P15" s="166"/>
      <c r="Q15" s="166"/>
      <c r="R15" s="166"/>
      <c r="S15" s="166"/>
      <c r="T15" s="166"/>
      <c r="U15" s="166"/>
      <c r="V15" s="166"/>
      <c r="W15" s="166"/>
    </row>
    <row r="16" spans="1:23" ht="51" thickBot="1">
      <c r="A16" s="1746"/>
      <c r="B16" s="1748"/>
      <c r="C16" s="1697"/>
      <c r="D16" s="1700"/>
      <c r="E16" s="1698"/>
      <c r="F16" s="1713"/>
      <c r="G16" s="1729"/>
      <c r="H16" s="1731"/>
      <c r="I16" s="181" t="s">
        <v>292</v>
      </c>
      <c r="J16" s="182">
        <v>18500</v>
      </c>
      <c r="K16" s="183">
        <f>J16/(SUM(J15:J16))</f>
        <v>0.5</v>
      </c>
      <c r="L16" s="179"/>
      <c r="M16" s="1710"/>
      <c r="N16" s="180"/>
      <c r="O16" s="180"/>
      <c r="P16" s="166"/>
      <c r="Q16" s="166"/>
      <c r="R16" s="166"/>
      <c r="S16" s="166"/>
      <c r="T16" s="166"/>
      <c r="U16" s="166"/>
      <c r="V16" s="166"/>
      <c r="W16" s="166"/>
    </row>
    <row r="17" spans="1:23" ht="50.25">
      <c r="A17" s="1746"/>
      <c r="B17" s="1748"/>
      <c r="C17" s="1697"/>
      <c r="D17" s="1700"/>
      <c r="E17" s="1736" t="s">
        <v>293</v>
      </c>
      <c r="F17" s="1722">
        <f>(SUM(J17:J19))/(SUM(J9:J27))</f>
        <v>4.0792114068158872E-2</v>
      </c>
      <c r="G17" s="1725" t="s">
        <v>294</v>
      </c>
      <c r="H17" s="1720">
        <f>(J17+J18)/(SUM(J17:J19))</f>
        <v>0.625</v>
      </c>
      <c r="I17" s="176" t="s">
        <v>295</v>
      </c>
      <c r="J17" s="177">
        <v>22000</v>
      </c>
      <c r="K17" s="178">
        <f>J17/(SUM(J17:J18))</f>
        <v>0.4</v>
      </c>
      <c r="L17" s="179"/>
      <c r="M17" s="1709" t="s">
        <v>273</v>
      </c>
      <c r="N17" s="180"/>
      <c r="O17" s="180"/>
      <c r="P17" s="166"/>
      <c r="Q17" s="166"/>
      <c r="R17" s="166"/>
      <c r="S17" s="166"/>
      <c r="T17" s="166"/>
      <c r="U17" s="166"/>
      <c r="V17" s="166"/>
      <c r="W17" s="166"/>
    </row>
    <row r="18" spans="1:23" ht="51" thickBot="1">
      <c r="A18" s="1746"/>
      <c r="B18" s="1748"/>
      <c r="C18" s="1697"/>
      <c r="D18" s="1700"/>
      <c r="E18" s="1737"/>
      <c r="F18" s="1723"/>
      <c r="G18" s="1716"/>
      <c r="H18" s="1721"/>
      <c r="I18" s="181" t="s">
        <v>296</v>
      </c>
      <c r="J18" s="182">
        <v>33000</v>
      </c>
      <c r="K18" s="183">
        <f>J18/(SUM(J17:J18))</f>
        <v>0.6</v>
      </c>
      <c r="L18" s="179"/>
      <c r="M18" s="1710"/>
      <c r="N18" s="180"/>
      <c r="O18" s="180"/>
      <c r="P18" s="166"/>
      <c r="Q18" s="166"/>
      <c r="R18" s="166"/>
      <c r="S18" s="166"/>
      <c r="T18" s="166"/>
      <c r="U18" s="166"/>
      <c r="V18" s="166"/>
      <c r="W18" s="166"/>
    </row>
    <row r="19" spans="1:23" ht="51" thickBot="1">
      <c r="A19" s="1746"/>
      <c r="B19" s="1748"/>
      <c r="C19" s="1697"/>
      <c r="D19" s="1700"/>
      <c r="E19" s="1738"/>
      <c r="F19" s="1724"/>
      <c r="G19" s="190" t="s">
        <v>297</v>
      </c>
      <c r="H19" s="191">
        <f>J19/(SUM(J17:J19))</f>
        <v>0.375</v>
      </c>
      <c r="I19" s="192" t="s">
        <v>298</v>
      </c>
      <c r="J19" s="193">
        <v>33000</v>
      </c>
      <c r="K19" s="194">
        <v>1</v>
      </c>
      <c r="L19" s="179"/>
      <c r="M19" s="1710"/>
      <c r="N19" s="180"/>
      <c r="O19" s="180"/>
      <c r="P19" s="166"/>
      <c r="Q19" s="166"/>
      <c r="R19" s="166"/>
      <c r="S19" s="166"/>
      <c r="T19" s="166"/>
      <c r="U19" s="166"/>
      <c r="V19" s="166"/>
      <c r="W19" s="166"/>
    </row>
    <row r="20" spans="1:23" ht="51" thickTop="1">
      <c r="A20" s="1746"/>
      <c r="B20" s="1748"/>
      <c r="C20" s="1697"/>
      <c r="D20" s="1700"/>
      <c r="E20" s="1696" t="s">
        <v>299</v>
      </c>
      <c r="F20" s="1722">
        <f>(SUM(J20:J27))/(SUM(J9:J27))</f>
        <v>0.86093597476764039</v>
      </c>
      <c r="G20" s="1725" t="s">
        <v>300</v>
      </c>
      <c r="H20" s="1720">
        <f>(J20+J21+J22+J23+J24)/(SUM(J20:J27))</f>
        <v>0.66508275694268948</v>
      </c>
      <c r="I20" s="176" t="s">
        <v>301</v>
      </c>
      <c r="J20" s="177">
        <v>455668</v>
      </c>
      <c r="K20" s="178">
        <f>J20/(SUM(J20:J24))</f>
        <v>0.36888884961548601</v>
      </c>
      <c r="L20" s="195" t="s">
        <v>302</v>
      </c>
      <c r="M20" s="1709" t="s">
        <v>303</v>
      </c>
      <c r="N20" s="180"/>
      <c r="O20" s="180"/>
      <c r="P20" s="166"/>
      <c r="Q20" s="166"/>
      <c r="R20" s="166"/>
      <c r="S20" s="166"/>
      <c r="T20" s="166"/>
      <c r="U20" s="166"/>
      <c r="V20" s="166"/>
      <c r="W20" s="166"/>
    </row>
    <row r="21" spans="1:23" ht="50.25">
      <c r="A21" s="1746"/>
      <c r="B21" s="1748"/>
      <c r="C21" s="1697"/>
      <c r="D21" s="1700"/>
      <c r="E21" s="1697"/>
      <c r="F21" s="1723"/>
      <c r="G21" s="1715"/>
      <c r="H21" s="1726"/>
      <c r="I21" s="187" t="s">
        <v>304</v>
      </c>
      <c r="J21" s="188">
        <v>119571.426536</v>
      </c>
      <c r="K21" s="189">
        <f>J21/(SUM(J20:J24))</f>
        <v>9.6799788402406231E-2</v>
      </c>
      <c r="L21" s="196" t="s">
        <v>305</v>
      </c>
      <c r="M21" s="1710"/>
      <c r="N21" s="197"/>
      <c r="O21" s="197"/>
      <c r="P21" s="166"/>
      <c r="Q21" s="166"/>
      <c r="R21" s="166"/>
      <c r="S21" s="166"/>
      <c r="T21" s="166"/>
      <c r="U21" s="166"/>
      <c r="V21" s="166"/>
      <c r="W21" s="166"/>
    </row>
    <row r="22" spans="1:23" ht="50.25">
      <c r="A22" s="1746"/>
      <c r="B22" s="1748"/>
      <c r="C22" s="1697"/>
      <c r="D22" s="1700"/>
      <c r="E22" s="1697"/>
      <c r="F22" s="1723"/>
      <c r="G22" s="1715"/>
      <c r="H22" s="1726"/>
      <c r="I22" s="187" t="s">
        <v>306</v>
      </c>
      <c r="J22" s="188">
        <v>217194.45062400002</v>
      </c>
      <c r="K22" s="189">
        <f>J22/(SUM(J20:J24))</f>
        <v>0.17583111176021762</v>
      </c>
      <c r="L22" s="196" t="s">
        <v>307</v>
      </c>
      <c r="M22" s="1710"/>
      <c r="N22" s="197"/>
      <c r="O22" s="197"/>
      <c r="P22" s="166"/>
      <c r="Q22" s="166"/>
      <c r="R22" s="166"/>
      <c r="S22" s="166"/>
      <c r="T22" s="166"/>
      <c r="U22" s="166"/>
      <c r="V22" s="166"/>
      <c r="W22" s="166"/>
    </row>
    <row r="23" spans="1:23" ht="50.25">
      <c r="A23" s="1746"/>
      <c r="B23" s="1748"/>
      <c r="C23" s="1697"/>
      <c r="D23" s="1700"/>
      <c r="E23" s="1697"/>
      <c r="F23" s="1723"/>
      <c r="G23" s="1715"/>
      <c r="H23" s="1726"/>
      <c r="I23" s="187" t="s">
        <v>308</v>
      </c>
      <c r="J23" s="188">
        <v>276140.85746640002</v>
      </c>
      <c r="K23" s="189">
        <f>J23/(SUM(J20:J24))</f>
        <v>0.22355154024994997</v>
      </c>
      <c r="L23" s="196" t="s">
        <v>309</v>
      </c>
      <c r="M23" s="1710"/>
      <c r="N23" s="197"/>
      <c r="O23" s="197"/>
      <c r="P23" s="166"/>
      <c r="Q23" s="166"/>
      <c r="R23" s="166"/>
      <c r="S23" s="166"/>
      <c r="T23" s="166"/>
      <c r="U23" s="166"/>
      <c r="V23" s="166"/>
      <c r="W23" s="166"/>
    </row>
    <row r="24" spans="1:23" ht="51" thickBot="1">
      <c r="A24" s="1746"/>
      <c r="B24" s="1748"/>
      <c r="C24" s="1697"/>
      <c r="D24" s="1700"/>
      <c r="E24" s="1697"/>
      <c r="F24" s="1723"/>
      <c r="G24" s="1716"/>
      <c r="H24" s="1721"/>
      <c r="I24" s="181" t="s">
        <v>310</v>
      </c>
      <c r="J24" s="182">
        <v>166669.97519599998</v>
      </c>
      <c r="K24" s="183">
        <f>J24/(SUM(J20:J24))</f>
        <v>0.13492870997194015</v>
      </c>
      <c r="L24" s="198" t="s">
        <v>311</v>
      </c>
      <c r="M24" s="1710"/>
      <c r="N24" s="197"/>
      <c r="O24" s="197"/>
      <c r="P24" s="166"/>
      <c r="Q24" s="166"/>
      <c r="R24" s="166"/>
      <c r="S24" s="166"/>
      <c r="T24" s="166"/>
      <c r="U24" s="166"/>
      <c r="V24" s="166"/>
      <c r="W24" s="166"/>
    </row>
    <row r="25" spans="1:23" ht="50.25">
      <c r="A25" s="1746"/>
      <c r="B25" s="1748"/>
      <c r="C25" s="1697"/>
      <c r="D25" s="1700"/>
      <c r="E25" s="1697"/>
      <c r="F25" s="1723"/>
      <c r="G25" s="1725" t="s">
        <v>312</v>
      </c>
      <c r="H25" s="1720">
        <f>(J25+J26+J27)/(SUM(J20:J27))</f>
        <v>0.33491724305731058</v>
      </c>
      <c r="I25" s="176" t="s">
        <v>313</v>
      </c>
      <c r="J25" s="177">
        <v>211016</v>
      </c>
      <c r="K25" s="178">
        <f>J25/(SUM(J25:J27))</f>
        <v>0.33923493051034104</v>
      </c>
      <c r="L25" s="196" t="s">
        <v>314</v>
      </c>
      <c r="M25" s="1709" t="s">
        <v>273</v>
      </c>
      <c r="N25" s="199"/>
      <c r="O25" s="199"/>
      <c r="P25" s="166"/>
      <c r="Q25" s="166"/>
      <c r="R25" s="166"/>
      <c r="S25" s="166"/>
      <c r="T25" s="166"/>
      <c r="U25" s="166"/>
      <c r="V25" s="166"/>
      <c r="W25" s="166"/>
    </row>
    <row r="26" spans="1:23" ht="50.25">
      <c r="A26" s="1746"/>
      <c r="B26" s="1748"/>
      <c r="C26" s="1697"/>
      <c r="D26" s="1700"/>
      <c r="E26" s="1697"/>
      <c r="F26" s="1723"/>
      <c r="G26" s="1715"/>
      <c r="H26" s="1726"/>
      <c r="I26" s="187" t="s">
        <v>315</v>
      </c>
      <c r="J26" s="188">
        <v>211016</v>
      </c>
      <c r="K26" s="189">
        <f>J26/(SUM(J25:J27))</f>
        <v>0.33923493051034104</v>
      </c>
      <c r="L26" s="196" t="s">
        <v>316</v>
      </c>
      <c r="M26" s="1710"/>
      <c r="N26" s="197"/>
      <c r="O26" s="197"/>
      <c r="P26" s="166"/>
      <c r="Q26" s="166"/>
      <c r="R26" s="166"/>
      <c r="S26" s="166"/>
      <c r="T26" s="166"/>
      <c r="U26" s="166"/>
      <c r="V26" s="166"/>
      <c r="W26" s="166"/>
    </row>
    <row r="27" spans="1:23" ht="51" thickBot="1">
      <c r="A27" s="1746"/>
      <c r="B27" s="1748"/>
      <c r="C27" s="1698"/>
      <c r="D27" s="1701"/>
      <c r="E27" s="1698"/>
      <c r="F27" s="1724"/>
      <c r="G27" s="1716"/>
      <c r="H27" s="1721"/>
      <c r="I27" s="181" t="s">
        <v>317</v>
      </c>
      <c r="J27" s="182">
        <v>200003</v>
      </c>
      <c r="K27" s="183">
        <f>J27/(SUM(J25:J27))</f>
        <v>0.32153013897931787</v>
      </c>
      <c r="L27" s="196" t="s">
        <v>318</v>
      </c>
      <c r="M27" s="1710"/>
      <c r="N27" s="197"/>
      <c r="O27" s="197"/>
      <c r="P27" s="166"/>
      <c r="Q27" s="166"/>
      <c r="R27" s="166"/>
      <c r="S27" s="166"/>
      <c r="T27" s="166"/>
      <c r="U27" s="166"/>
      <c r="V27" s="166"/>
      <c r="W27" s="166"/>
    </row>
    <row r="28" spans="1:23" ht="50.25">
      <c r="A28" s="1746"/>
      <c r="B28" s="1748"/>
      <c r="C28" s="1696" t="s">
        <v>319</v>
      </c>
      <c r="D28" s="1699">
        <f>(SUM(J28:J36))/(SUM(J3:J36))</f>
        <v>0.21952144168176296</v>
      </c>
      <c r="E28" s="1696" t="s">
        <v>320</v>
      </c>
      <c r="F28" s="1703">
        <v>0.81537565521258004</v>
      </c>
      <c r="G28" s="200" t="s">
        <v>321</v>
      </c>
      <c r="H28" s="1706">
        <f>(SUM(J28:J30))/(SUM(J28:J36))</f>
        <v>0.81537565521258004</v>
      </c>
      <c r="I28" s="176" t="s">
        <v>322</v>
      </c>
      <c r="J28" s="177">
        <v>360000</v>
      </c>
      <c r="K28" s="178">
        <f>J28/(SUM(J28:J30))</f>
        <v>0.51428571428571423</v>
      </c>
      <c r="L28" s="196" t="s">
        <v>323</v>
      </c>
      <c r="M28" s="1709" t="s">
        <v>273</v>
      </c>
      <c r="N28" s="180"/>
      <c r="O28" s="180"/>
      <c r="P28" s="166"/>
      <c r="Q28" s="166"/>
      <c r="R28" s="166"/>
      <c r="S28" s="166"/>
      <c r="T28" s="166"/>
      <c r="U28" s="166"/>
      <c r="V28" s="166"/>
      <c r="W28" s="166"/>
    </row>
    <row r="29" spans="1:23" ht="50.25">
      <c r="A29" s="1746"/>
      <c r="B29" s="1748"/>
      <c r="C29" s="1697"/>
      <c r="D29" s="1700"/>
      <c r="E29" s="1697"/>
      <c r="F29" s="1704"/>
      <c r="G29" s="201" t="s">
        <v>321</v>
      </c>
      <c r="H29" s="1707"/>
      <c r="I29" s="187" t="s">
        <v>324</v>
      </c>
      <c r="J29" s="188">
        <v>190000</v>
      </c>
      <c r="K29" s="189">
        <f>J29/(SUM(J28:J30))</f>
        <v>0.27142857142857141</v>
      </c>
      <c r="L29" s="196" t="s">
        <v>325</v>
      </c>
      <c r="M29" s="1710"/>
      <c r="N29" s="180"/>
      <c r="O29" s="180"/>
      <c r="P29" s="166"/>
      <c r="Q29" s="166"/>
      <c r="R29" s="166"/>
      <c r="S29" s="166"/>
      <c r="T29" s="166"/>
      <c r="U29" s="166"/>
      <c r="V29" s="166"/>
      <c r="W29" s="166"/>
    </row>
    <row r="30" spans="1:23" ht="51" thickBot="1">
      <c r="A30" s="1746"/>
      <c r="B30" s="1748"/>
      <c r="C30" s="1697"/>
      <c r="D30" s="1700"/>
      <c r="E30" s="1702"/>
      <c r="F30" s="1705"/>
      <c r="G30" s="202" t="s">
        <v>321</v>
      </c>
      <c r="H30" s="1708"/>
      <c r="I30" s="181" t="s">
        <v>326</v>
      </c>
      <c r="J30" s="182">
        <v>150000</v>
      </c>
      <c r="K30" s="183">
        <f>J30/(SUM(J28:J30))</f>
        <v>0.21428571428571427</v>
      </c>
      <c r="L30" s="196"/>
      <c r="M30" s="1710"/>
      <c r="N30" s="197"/>
      <c r="O30" s="197"/>
      <c r="P30" s="166"/>
      <c r="Q30" s="166"/>
      <c r="R30" s="166"/>
      <c r="S30" s="166"/>
      <c r="T30" s="166"/>
      <c r="U30" s="166"/>
      <c r="V30" s="166"/>
      <c r="W30" s="166"/>
    </row>
    <row r="31" spans="1:23" ht="50.25">
      <c r="A31" s="1746"/>
      <c r="B31" s="1748"/>
      <c r="C31" s="1697"/>
      <c r="D31" s="1700"/>
      <c r="E31" s="1711" t="s">
        <v>327</v>
      </c>
      <c r="F31" s="1712">
        <v>0.1846243447874199</v>
      </c>
      <c r="G31" s="203" t="s">
        <v>328</v>
      </c>
      <c r="H31" s="178">
        <f>J31/(SUM(J31:J36))</f>
        <v>0.3470031545741325</v>
      </c>
      <c r="I31" s="176" t="s">
        <v>329</v>
      </c>
      <c r="J31" s="177">
        <v>55000</v>
      </c>
      <c r="K31" s="178">
        <v>1</v>
      </c>
      <c r="L31" s="204"/>
      <c r="M31" s="1710"/>
      <c r="N31" s="180"/>
      <c r="O31" s="180"/>
      <c r="P31" s="166"/>
      <c r="Q31" s="166"/>
      <c r="R31" s="166"/>
      <c r="S31" s="166"/>
      <c r="T31" s="166"/>
      <c r="U31" s="166"/>
      <c r="V31" s="166"/>
      <c r="W31" s="166"/>
    </row>
    <row r="32" spans="1:23" ht="50.25">
      <c r="A32" s="1746"/>
      <c r="B32" s="1748"/>
      <c r="C32" s="1697"/>
      <c r="D32" s="1700"/>
      <c r="E32" s="1697"/>
      <c r="F32" s="1704"/>
      <c r="G32" s="205" t="s">
        <v>330</v>
      </c>
      <c r="H32" s="189">
        <f>J32/(SUM(J31:J36))</f>
        <v>0.63091482649842268</v>
      </c>
      <c r="I32" s="187" t="s">
        <v>113</v>
      </c>
      <c r="J32" s="188">
        <v>100000</v>
      </c>
      <c r="K32" s="189">
        <v>1</v>
      </c>
      <c r="L32" s="204"/>
      <c r="M32" s="1710"/>
      <c r="N32" s="180"/>
      <c r="O32" s="180"/>
      <c r="P32" s="166"/>
      <c r="Q32" s="166"/>
      <c r="R32" s="166"/>
      <c r="S32" s="166"/>
      <c r="T32" s="166"/>
      <c r="U32" s="166"/>
      <c r="V32" s="166"/>
      <c r="W32" s="166"/>
    </row>
    <row r="33" spans="1:23" ht="50.25">
      <c r="A33" s="1746"/>
      <c r="B33" s="1748"/>
      <c r="C33" s="1697"/>
      <c r="D33" s="1700"/>
      <c r="E33" s="1697"/>
      <c r="F33" s="1704"/>
      <c r="G33" s="1714" t="s">
        <v>331</v>
      </c>
      <c r="H33" s="1717">
        <f>(SUM(J33:J36))/(SUM(J31:J36))</f>
        <v>2.2082018927444796E-2</v>
      </c>
      <c r="I33" s="187" t="s">
        <v>332</v>
      </c>
      <c r="J33" s="188">
        <v>875</v>
      </c>
      <c r="K33" s="189">
        <v>1</v>
      </c>
      <c r="L33" s="204"/>
      <c r="M33" s="1710"/>
      <c r="N33" s="180"/>
      <c r="O33" s="180"/>
      <c r="P33" s="166"/>
      <c r="Q33" s="166"/>
      <c r="R33" s="166"/>
      <c r="S33" s="166"/>
      <c r="T33" s="166"/>
      <c r="U33" s="166"/>
      <c r="V33" s="166"/>
      <c r="W33" s="166"/>
    </row>
    <row r="34" spans="1:23" ht="50.25">
      <c r="A34" s="1746"/>
      <c r="B34" s="1748"/>
      <c r="C34" s="1697"/>
      <c r="D34" s="1700"/>
      <c r="E34" s="1697"/>
      <c r="F34" s="1704"/>
      <c r="G34" s="1715"/>
      <c r="H34" s="1718"/>
      <c r="I34" s="187" t="s">
        <v>333</v>
      </c>
      <c r="J34" s="188">
        <v>875</v>
      </c>
      <c r="K34" s="189">
        <v>1</v>
      </c>
      <c r="L34" s="204"/>
      <c r="M34" s="1710"/>
      <c r="N34" s="180"/>
      <c r="O34" s="180"/>
      <c r="P34" s="166"/>
      <c r="Q34" s="166"/>
      <c r="R34" s="166"/>
      <c r="S34" s="166"/>
      <c r="T34" s="166"/>
      <c r="U34" s="166"/>
      <c r="V34" s="166"/>
      <c r="W34" s="166"/>
    </row>
    <row r="35" spans="1:23" ht="50.25">
      <c r="A35" s="1746"/>
      <c r="B35" s="1748"/>
      <c r="C35" s="1697"/>
      <c r="D35" s="1700"/>
      <c r="E35" s="1697"/>
      <c r="F35" s="1704"/>
      <c r="G35" s="1715"/>
      <c r="H35" s="1718"/>
      <c r="I35" s="187" t="s">
        <v>334</v>
      </c>
      <c r="J35" s="188">
        <v>875</v>
      </c>
      <c r="K35" s="189">
        <v>1</v>
      </c>
      <c r="L35" s="204"/>
      <c r="M35" s="1710"/>
      <c r="N35" s="180"/>
      <c r="O35" s="180"/>
      <c r="P35" s="166"/>
      <c r="Q35" s="166"/>
      <c r="R35" s="166"/>
      <c r="S35" s="166"/>
      <c r="T35" s="166"/>
      <c r="U35" s="166"/>
      <c r="V35" s="166"/>
      <c r="W35" s="166"/>
    </row>
    <row r="36" spans="1:23" ht="51" thickBot="1">
      <c r="A36" s="1747"/>
      <c r="B36" s="1749"/>
      <c r="C36" s="1698"/>
      <c r="D36" s="1701"/>
      <c r="E36" s="1698"/>
      <c r="F36" s="1713"/>
      <c r="G36" s="1716"/>
      <c r="H36" s="1719"/>
      <c r="I36" s="181" t="s">
        <v>335</v>
      </c>
      <c r="J36" s="182">
        <v>875</v>
      </c>
      <c r="K36" s="183">
        <v>1</v>
      </c>
      <c r="L36" s="204"/>
      <c r="M36" s="1710"/>
      <c r="N36" s="180"/>
      <c r="O36" s="180"/>
      <c r="P36" s="166"/>
      <c r="Q36" s="166"/>
      <c r="R36" s="166"/>
      <c r="S36" s="166"/>
      <c r="T36" s="166"/>
      <c r="U36" s="166"/>
      <c r="V36" s="166"/>
      <c r="W36" s="166"/>
    </row>
  </sheetData>
  <mergeCells count="67">
    <mergeCell ref="F1:F2"/>
    <mergeCell ref="A1:A2"/>
    <mergeCell ref="B1:B2"/>
    <mergeCell ref="C1:C2"/>
    <mergeCell ref="D1:D2"/>
    <mergeCell ref="E1:E2"/>
    <mergeCell ref="M1:M2"/>
    <mergeCell ref="N1:N2"/>
    <mergeCell ref="O1:W1"/>
    <mergeCell ref="A3:A36"/>
    <mergeCell ref="B3:B36"/>
    <mergeCell ref="C3:C7"/>
    <mergeCell ref="D3:D8"/>
    <mergeCell ref="E4:E7"/>
    <mergeCell ref="F4:F5"/>
    <mergeCell ref="G4:G5"/>
    <mergeCell ref="G1:G2"/>
    <mergeCell ref="H1:H2"/>
    <mergeCell ref="I1:I2"/>
    <mergeCell ref="J1:J2"/>
    <mergeCell ref="K1:K2"/>
    <mergeCell ref="L1:L2"/>
    <mergeCell ref="C9:C27"/>
    <mergeCell ref="D9:D27"/>
    <mergeCell ref="E9:E12"/>
    <mergeCell ref="F9:F12"/>
    <mergeCell ref="G9:G10"/>
    <mergeCell ref="E17:E19"/>
    <mergeCell ref="F17:F19"/>
    <mergeCell ref="G17:G18"/>
    <mergeCell ref="H4:H5"/>
    <mergeCell ref="M4:M7"/>
    <mergeCell ref="F6:F7"/>
    <mergeCell ref="G6:G7"/>
    <mergeCell ref="H6:H7"/>
    <mergeCell ref="H9:H10"/>
    <mergeCell ref="M9:M12"/>
    <mergeCell ref="G11:G12"/>
    <mergeCell ref="H11:H12"/>
    <mergeCell ref="E13:E16"/>
    <mergeCell ref="F13:F16"/>
    <mergeCell ref="G13:G14"/>
    <mergeCell ref="H13:H14"/>
    <mergeCell ref="M13:M14"/>
    <mergeCell ref="G15:G16"/>
    <mergeCell ref="H15:H16"/>
    <mergeCell ref="M15:M16"/>
    <mergeCell ref="H17:H18"/>
    <mergeCell ref="M17:M19"/>
    <mergeCell ref="E20:E27"/>
    <mergeCell ref="F20:F27"/>
    <mergeCell ref="G20:G24"/>
    <mergeCell ref="H20:H24"/>
    <mergeCell ref="M20:M24"/>
    <mergeCell ref="G25:G27"/>
    <mergeCell ref="H25:H27"/>
    <mergeCell ref="M25:M27"/>
    <mergeCell ref="M28:M36"/>
    <mergeCell ref="E31:E36"/>
    <mergeCell ref="F31:F36"/>
    <mergeCell ref="G33:G36"/>
    <mergeCell ref="H33:H36"/>
    <mergeCell ref="C28:C36"/>
    <mergeCell ref="D28:D36"/>
    <mergeCell ref="E28:E30"/>
    <mergeCell ref="F28:F30"/>
    <mergeCell ref="H28:H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1"/>
  <sheetViews>
    <sheetView zoomScale="60" zoomScaleNormal="60" workbookViewId="0">
      <selection activeCell="E8" sqref="E8"/>
    </sheetView>
  </sheetViews>
  <sheetFormatPr defaultColWidth="8.28515625" defaultRowHeight="21.75"/>
  <cols>
    <col min="1" max="2" width="7" style="1377" customWidth="1"/>
    <col min="3" max="3" width="10.5703125" style="1377" customWidth="1"/>
    <col min="4" max="4" width="19.85546875" style="1444" customWidth="1"/>
    <col min="5" max="5" width="17.28515625" style="1377" bestFit="1" customWidth="1"/>
    <col min="6" max="6" width="8.42578125" style="1444" bestFit="1" customWidth="1"/>
    <col min="7" max="7" width="9.7109375" style="1444" customWidth="1"/>
    <col min="8" max="8" width="9.42578125" style="1444" customWidth="1"/>
    <col min="9" max="9" width="8.42578125" style="1444" bestFit="1" customWidth="1"/>
    <col min="10" max="10" width="8.7109375" style="1444" customWidth="1"/>
    <col min="11" max="11" width="9.42578125" style="1444" customWidth="1"/>
    <col min="12" max="13" width="8.42578125" style="1444" bestFit="1" customWidth="1"/>
    <col min="14" max="14" width="8.140625" style="1444" customWidth="1"/>
    <col min="15" max="15" width="8.42578125" style="1444" bestFit="1" customWidth="1"/>
    <col min="16" max="16" width="8.28515625" style="1444"/>
    <col min="17" max="17" width="9.140625" style="1444" customWidth="1"/>
    <col min="18" max="18" width="23.140625" style="1444" customWidth="1"/>
    <col min="19" max="19" width="12.42578125" style="1373" customWidth="1"/>
    <col min="20" max="20" width="14.140625" style="1373" customWidth="1"/>
    <col min="21" max="21" width="8.28515625" style="1373"/>
    <col min="22" max="22" width="6.140625" style="1373" customWidth="1"/>
    <col min="23" max="23" width="11" style="1373" customWidth="1"/>
    <col min="24" max="24" width="8.28515625" style="1373"/>
    <col min="25" max="25" width="10.28515625" style="1373" customWidth="1"/>
    <col min="26" max="26" width="8.28515625" style="1373"/>
    <col min="27" max="27" width="10.42578125" style="1373" customWidth="1"/>
    <col min="28" max="29" width="8.28515625" style="1373"/>
    <col min="30" max="30" width="10" style="1373" customWidth="1"/>
    <col min="31" max="34" width="8.28515625" style="1373"/>
    <col min="35" max="16384" width="8.28515625" style="1377"/>
  </cols>
  <sheetData>
    <row r="1" spans="1:46">
      <c r="A1" s="1373"/>
      <c r="B1" s="1373"/>
      <c r="C1" s="1373"/>
      <c r="D1" s="1374"/>
      <c r="E1" s="1375" t="s">
        <v>970</v>
      </c>
      <c r="F1" s="1376">
        <v>1</v>
      </c>
      <c r="G1" s="1376">
        <v>2</v>
      </c>
      <c r="H1" s="1376">
        <v>3</v>
      </c>
      <c r="I1" s="1376">
        <v>4</v>
      </c>
      <c r="J1" s="1376">
        <v>5</v>
      </c>
      <c r="K1" s="1376">
        <v>6</v>
      </c>
      <c r="L1" s="1376">
        <v>7</v>
      </c>
      <c r="M1" s="1376">
        <v>8</v>
      </c>
      <c r="N1" s="1376">
        <v>9</v>
      </c>
      <c r="O1" s="1376">
        <v>10</v>
      </c>
      <c r="P1" s="1376">
        <v>11</v>
      </c>
      <c r="Q1" s="1376">
        <v>12</v>
      </c>
      <c r="R1" s="1761" t="s">
        <v>971</v>
      </c>
    </row>
    <row r="2" spans="1:46">
      <c r="A2" s="1373"/>
      <c r="B2" s="1373"/>
      <c r="C2" s="1373"/>
      <c r="D2" s="1374"/>
      <c r="E2" s="1375" t="s">
        <v>972</v>
      </c>
      <c r="F2" s="1376">
        <v>31</v>
      </c>
      <c r="G2" s="1376">
        <v>28</v>
      </c>
      <c r="H2" s="1376">
        <v>31</v>
      </c>
      <c r="I2" s="1376">
        <v>30</v>
      </c>
      <c r="J2" s="1376">
        <v>31</v>
      </c>
      <c r="K2" s="1376">
        <v>30</v>
      </c>
      <c r="L2" s="1376">
        <v>31</v>
      </c>
      <c r="M2" s="1376">
        <v>31</v>
      </c>
      <c r="N2" s="1376">
        <v>30</v>
      </c>
      <c r="O2" s="1376">
        <v>31</v>
      </c>
      <c r="P2" s="1376">
        <v>30</v>
      </c>
      <c r="Q2" s="1376">
        <v>31</v>
      </c>
      <c r="R2" s="1762"/>
    </row>
    <row r="3" spans="1:46">
      <c r="A3" s="1373"/>
      <c r="B3" s="1764" t="s">
        <v>973</v>
      </c>
      <c r="C3" s="1764"/>
      <c r="D3" s="1765"/>
      <c r="E3" s="1375" t="s">
        <v>974</v>
      </c>
      <c r="F3" s="1376">
        <f>24*F2</f>
        <v>744</v>
      </c>
      <c r="G3" s="1376">
        <f t="shared" ref="G3:Q3" si="0">24*G2</f>
        <v>672</v>
      </c>
      <c r="H3" s="1376">
        <f t="shared" si="0"/>
        <v>744</v>
      </c>
      <c r="I3" s="1376">
        <f t="shared" si="0"/>
        <v>720</v>
      </c>
      <c r="J3" s="1376">
        <f t="shared" si="0"/>
        <v>744</v>
      </c>
      <c r="K3" s="1376">
        <f t="shared" si="0"/>
        <v>720</v>
      </c>
      <c r="L3" s="1376">
        <f>24*L2</f>
        <v>744</v>
      </c>
      <c r="M3" s="1376">
        <f t="shared" si="0"/>
        <v>744</v>
      </c>
      <c r="N3" s="1376">
        <f t="shared" si="0"/>
        <v>720</v>
      </c>
      <c r="O3" s="1376">
        <f t="shared" si="0"/>
        <v>744</v>
      </c>
      <c r="P3" s="1376">
        <f t="shared" si="0"/>
        <v>720</v>
      </c>
      <c r="Q3" s="1376">
        <f t="shared" si="0"/>
        <v>744</v>
      </c>
      <c r="R3" s="1763"/>
    </row>
    <row r="4" spans="1:46" s="1381" customFormat="1">
      <c r="A4" s="1378"/>
      <c r="B4" s="1766" t="s">
        <v>453</v>
      </c>
      <c r="C4" s="1766"/>
      <c r="D4" s="1766"/>
      <c r="E4" s="1766"/>
      <c r="F4" s="1379">
        <f t="shared" ref="F4:R4" si="1">(F5*$A$5)+(F33*$A$33)</f>
        <v>0.99856542152329264</v>
      </c>
      <c r="G4" s="1379" t="e">
        <f t="shared" si="1"/>
        <v>#DIV/0!</v>
      </c>
      <c r="H4" s="1379" t="e">
        <f t="shared" si="1"/>
        <v>#DIV/0!</v>
      </c>
      <c r="I4" s="1379" t="e">
        <f t="shared" si="1"/>
        <v>#DIV/0!</v>
      </c>
      <c r="J4" s="1379" t="e">
        <f t="shared" si="1"/>
        <v>#DIV/0!</v>
      </c>
      <c r="K4" s="1379" t="e">
        <f t="shared" si="1"/>
        <v>#DIV/0!</v>
      </c>
      <c r="L4" s="1379" t="e">
        <f t="shared" si="1"/>
        <v>#DIV/0!</v>
      </c>
      <c r="M4" s="1379" t="e">
        <f t="shared" si="1"/>
        <v>#DIV/0!</v>
      </c>
      <c r="N4" s="1379" t="e">
        <f t="shared" si="1"/>
        <v>#DIV/0!</v>
      </c>
      <c r="O4" s="1379" t="e">
        <f t="shared" si="1"/>
        <v>#DIV/0!</v>
      </c>
      <c r="P4" s="1379" t="e">
        <f t="shared" si="1"/>
        <v>#DIV/0!</v>
      </c>
      <c r="Q4" s="1379" t="e">
        <f t="shared" si="1"/>
        <v>#DIV/0!</v>
      </c>
      <c r="R4" s="1379">
        <f t="shared" si="1"/>
        <v>0.99856542152329264</v>
      </c>
      <c r="S4" s="1380"/>
      <c r="T4" s="1380"/>
      <c r="U4" s="1380"/>
      <c r="V4" s="1380"/>
      <c r="W4" s="1380"/>
      <c r="X4" s="1380"/>
      <c r="Y4" s="1380"/>
      <c r="Z4" s="1380"/>
      <c r="AA4" s="1380"/>
      <c r="AB4" s="1380"/>
      <c r="AC4" s="1380"/>
      <c r="AD4" s="1380"/>
      <c r="AE4" s="1380"/>
      <c r="AF4" s="1380"/>
      <c r="AG4" s="1380"/>
      <c r="AH4" s="1380"/>
    </row>
    <row r="5" spans="1:46" s="1381" customFormat="1">
      <c r="A5" s="1382">
        <v>0.36</v>
      </c>
      <c r="B5" s="1383" t="s">
        <v>975</v>
      </c>
      <c r="C5" s="1384"/>
      <c r="D5" s="1385"/>
      <c r="E5" s="1386"/>
      <c r="F5" s="1387">
        <f>((F6*$B$6)+(F11*$B$11)+(F24*$B$24))</f>
        <v>0.99817590725805605</v>
      </c>
      <c r="G5" s="1387" t="e">
        <f t="shared" ref="G5:Q5" si="2">((G6*$B$6)+(G11*$B$11)+(G24*$B$24))</f>
        <v>#DIV/0!</v>
      </c>
      <c r="H5" s="1387" t="e">
        <f t="shared" si="2"/>
        <v>#DIV/0!</v>
      </c>
      <c r="I5" s="1387" t="e">
        <f t="shared" si="2"/>
        <v>#DIV/0!</v>
      </c>
      <c r="J5" s="1387" t="e">
        <f t="shared" si="2"/>
        <v>#DIV/0!</v>
      </c>
      <c r="K5" s="1387" t="e">
        <f t="shared" si="2"/>
        <v>#DIV/0!</v>
      </c>
      <c r="L5" s="1387" t="e">
        <f t="shared" si="2"/>
        <v>#DIV/0!</v>
      </c>
      <c r="M5" s="1387" t="e">
        <f t="shared" si="2"/>
        <v>#DIV/0!</v>
      </c>
      <c r="N5" s="1387" t="e">
        <f t="shared" si="2"/>
        <v>#DIV/0!</v>
      </c>
      <c r="O5" s="1387" t="e">
        <f t="shared" si="2"/>
        <v>#DIV/0!</v>
      </c>
      <c r="P5" s="1387" t="e">
        <f t="shared" si="2"/>
        <v>#DIV/0!</v>
      </c>
      <c r="Q5" s="1387" t="e">
        <f t="shared" si="2"/>
        <v>#DIV/0!</v>
      </c>
      <c r="R5" s="1387">
        <f>((R6*$B$6)+(R11*$B$11)+(R24*$B$24))</f>
        <v>0.99817590725805605</v>
      </c>
      <c r="S5" s="1380"/>
      <c r="T5" s="1380"/>
      <c r="U5" s="1380"/>
      <c r="V5" s="1380"/>
      <c r="W5" s="1380"/>
      <c r="X5" s="1380"/>
      <c r="Y5" s="1380"/>
      <c r="Z5" s="1380"/>
      <c r="AA5" s="1380"/>
      <c r="AB5" s="1380"/>
      <c r="AC5" s="1380"/>
      <c r="AD5" s="1380"/>
      <c r="AE5" s="1380"/>
      <c r="AF5" s="1380"/>
      <c r="AG5" s="1380"/>
      <c r="AH5" s="1380"/>
    </row>
    <row r="6" spans="1:46" s="1381" customFormat="1">
      <c r="A6" s="1380"/>
      <c r="B6" s="1388">
        <v>0.15</v>
      </c>
      <c r="C6" s="1389"/>
      <c r="D6" s="1390" t="s">
        <v>52</v>
      </c>
      <c r="E6" s="1389" t="s">
        <v>976</v>
      </c>
      <c r="F6" s="1391">
        <f>((F7*$C$7)+(F9*$C$9))</f>
        <v>0.98783938172037344</v>
      </c>
      <c r="G6" s="1391" t="e">
        <f t="shared" ref="G6:R6" si="3">((G7*$C$7)+(G9*$C$9))</f>
        <v>#DIV/0!</v>
      </c>
      <c r="H6" s="1391" t="e">
        <f t="shared" si="3"/>
        <v>#DIV/0!</v>
      </c>
      <c r="I6" s="1391" t="e">
        <f t="shared" si="3"/>
        <v>#DIV/0!</v>
      </c>
      <c r="J6" s="1391" t="e">
        <f t="shared" si="3"/>
        <v>#DIV/0!</v>
      </c>
      <c r="K6" s="1391" t="e">
        <f t="shared" si="3"/>
        <v>#DIV/0!</v>
      </c>
      <c r="L6" s="1391" t="e">
        <f t="shared" si="3"/>
        <v>#DIV/0!</v>
      </c>
      <c r="M6" s="1391" t="e">
        <f t="shared" si="3"/>
        <v>#DIV/0!</v>
      </c>
      <c r="N6" s="1391" t="e">
        <f t="shared" si="3"/>
        <v>#DIV/0!</v>
      </c>
      <c r="O6" s="1391" t="e">
        <f t="shared" si="3"/>
        <v>#DIV/0!</v>
      </c>
      <c r="P6" s="1391" t="e">
        <f t="shared" si="3"/>
        <v>#DIV/0!</v>
      </c>
      <c r="Q6" s="1391" t="e">
        <f t="shared" si="3"/>
        <v>#DIV/0!</v>
      </c>
      <c r="R6" s="1391">
        <f t="shared" si="3"/>
        <v>0.98783938172037344</v>
      </c>
      <c r="S6" s="1380"/>
      <c r="T6" s="1380"/>
      <c r="U6" s="1380"/>
      <c r="V6" s="1380"/>
      <c r="W6" s="1380"/>
      <c r="X6" s="1380"/>
      <c r="Y6" s="1380"/>
      <c r="Z6" s="1380"/>
      <c r="AA6" s="1380"/>
      <c r="AB6" s="1380"/>
      <c r="AC6" s="1380"/>
      <c r="AD6" s="1380"/>
      <c r="AE6" s="1380"/>
      <c r="AF6" s="1380"/>
      <c r="AG6" s="1380"/>
      <c r="AH6" s="1380"/>
    </row>
    <row r="7" spans="1:46" s="1381" customFormat="1">
      <c r="A7" s="1380"/>
      <c r="B7" s="1392"/>
      <c r="C7" s="1393">
        <v>0.23</v>
      </c>
      <c r="D7" s="1394" t="s">
        <v>64</v>
      </c>
      <c r="E7" s="1394" t="s">
        <v>976</v>
      </c>
      <c r="F7" s="1395">
        <f>F8*$D$8</f>
        <v>1</v>
      </c>
      <c r="G7" s="1395" t="e">
        <f t="shared" ref="G7:Q7" si="4">G8*$D$8</f>
        <v>#DIV/0!</v>
      </c>
      <c r="H7" s="1395" t="e">
        <f t="shared" si="4"/>
        <v>#DIV/0!</v>
      </c>
      <c r="I7" s="1395" t="e">
        <f t="shared" si="4"/>
        <v>#DIV/0!</v>
      </c>
      <c r="J7" s="1395" t="e">
        <f t="shared" si="4"/>
        <v>#DIV/0!</v>
      </c>
      <c r="K7" s="1395" t="e">
        <f t="shared" si="4"/>
        <v>#DIV/0!</v>
      </c>
      <c r="L7" s="1395" t="e">
        <f t="shared" si="4"/>
        <v>#DIV/0!</v>
      </c>
      <c r="M7" s="1395" t="e">
        <f t="shared" si="4"/>
        <v>#DIV/0!</v>
      </c>
      <c r="N7" s="1395" t="e">
        <f t="shared" si="4"/>
        <v>#DIV/0!</v>
      </c>
      <c r="O7" s="1395" t="e">
        <f t="shared" si="4"/>
        <v>#DIV/0!</v>
      </c>
      <c r="P7" s="1395" t="e">
        <f t="shared" si="4"/>
        <v>#DIV/0!</v>
      </c>
      <c r="Q7" s="1395" t="e">
        <f t="shared" si="4"/>
        <v>#DIV/0!</v>
      </c>
      <c r="R7" s="1395">
        <f>R8*$D$8</f>
        <v>1</v>
      </c>
      <c r="S7" s="1380"/>
      <c r="T7" s="1380"/>
      <c r="U7" s="1380"/>
      <c r="V7" s="1380"/>
      <c r="W7" s="1380"/>
      <c r="X7" s="1380"/>
      <c r="Y7" s="1380"/>
      <c r="Z7" s="1380"/>
      <c r="AA7" s="1380"/>
      <c r="AB7" s="1380"/>
      <c r="AC7" s="1380"/>
      <c r="AD7" s="1380"/>
      <c r="AE7" s="1380"/>
      <c r="AF7" s="1380"/>
      <c r="AG7" s="1380"/>
      <c r="AH7" s="1380"/>
    </row>
    <row r="8" spans="1:46" s="1381" customFormat="1">
      <c r="A8" s="1380"/>
      <c r="B8" s="1392"/>
      <c r="C8" s="1396"/>
      <c r="D8" s="1397">
        <v>1</v>
      </c>
      <c r="E8" s="1398" t="s">
        <v>977</v>
      </c>
      <c r="F8" s="1399">
        <f>('[1]O1-O2 Unit-Rel'!L5*'[1]O1-O2 Unit-Rel'!$A$5)</f>
        <v>1</v>
      </c>
      <c r="G8" s="1399" t="e">
        <f>('[1]O1-O2 Unit-Rel'!U5*'[1]O1-O2 Unit-Rel'!$A$5)</f>
        <v>#DIV/0!</v>
      </c>
      <c r="H8" s="1399" t="e">
        <f>('[1]O1-O2 Unit-Rel'!AD5*'[1]O1-O2 Unit-Rel'!$A$5)</f>
        <v>#DIV/0!</v>
      </c>
      <c r="I8" s="1399" t="e">
        <f>('[1]O1-O2 Unit-Rel'!AM5*'[1]O1-O2 Unit-Rel'!$A$5)</f>
        <v>#DIV/0!</v>
      </c>
      <c r="J8" s="1399" t="e">
        <f>('[1]O1-O2 Unit-Rel'!AV5*'[1]O1-O2 Unit-Rel'!$A$5)</f>
        <v>#DIV/0!</v>
      </c>
      <c r="K8" s="1399" t="e">
        <f>('[1]O1-O2 Unit-Rel'!BE5*'[1]O1-O2 Unit-Rel'!$A$5)</f>
        <v>#DIV/0!</v>
      </c>
      <c r="L8" s="1399" t="e">
        <f>('[1]O1-O2 Unit-Rel'!BN5*'[1]O1-O2 Unit-Rel'!$A$5)</f>
        <v>#DIV/0!</v>
      </c>
      <c r="M8" s="1399" t="e">
        <f>('[1]O1-O2 Unit-Rel'!BW5*'[1]O1-O2 Unit-Rel'!$A$5)</f>
        <v>#DIV/0!</v>
      </c>
      <c r="N8" s="1399" t="e">
        <f>('[1]O1-O2 Unit-Rel'!CF5*'[1]O1-O2 Unit-Rel'!$A$5)</f>
        <v>#DIV/0!</v>
      </c>
      <c r="O8" s="1399" t="e">
        <f>('[1]O1-O2 Unit-Rel'!CO5*'[1]O1-O2 Unit-Rel'!$A$5)</f>
        <v>#DIV/0!</v>
      </c>
      <c r="P8" s="1399" t="e">
        <f>('[1]O1-O2 Unit-Rel'!CX5*'[1]O1-O2 Unit-Rel'!$A$5)</f>
        <v>#DIV/0!</v>
      </c>
      <c r="Q8" s="1399" t="e">
        <f>('[1]O1-O2 Unit-Rel'!DG5*'[1]O1-O2 Unit-Rel'!$A$5)</f>
        <v>#DIV/0!</v>
      </c>
      <c r="R8" s="1399">
        <f>'[1]O1-O2 Unit-Rel'!DP5*'[1]O1-O2 Unit-Rel'!$A$5</f>
        <v>1</v>
      </c>
      <c r="S8" s="1380"/>
      <c r="T8" s="1380"/>
      <c r="U8" s="1380"/>
      <c r="V8" s="1380"/>
      <c r="W8" s="1380"/>
      <c r="X8" s="1380"/>
      <c r="Y8" s="1380"/>
      <c r="Z8" s="1380"/>
      <c r="AA8" s="1380"/>
      <c r="AB8" s="1380"/>
      <c r="AC8" s="1380"/>
      <c r="AD8" s="1380"/>
      <c r="AE8" s="1380"/>
      <c r="AF8" s="1380"/>
      <c r="AG8" s="1380"/>
      <c r="AH8" s="1380"/>
    </row>
    <row r="9" spans="1:46" s="1381" customFormat="1">
      <c r="A9" s="1380"/>
      <c r="B9" s="1392"/>
      <c r="C9" s="1393">
        <v>0.77</v>
      </c>
      <c r="D9" s="1394" t="s">
        <v>65</v>
      </c>
      <c r="E9" s="1394" t="s">
        <v>976</v>
      </c>
      <c r="F9" s="1395">
        <f>F10*$D$10</f>
        <v>0.98420698924723826</v>
      </c>
      <c r="G9" s="1395" t="e">
        <f t="shared" ref="G9:Q9" si="5">G10*$D$10</f>
        <v>#DIV/0!</v>
      </c>
      <c r="H9" s="1395" t="e">
        <f t="shared" si="5"/>
        <v>#DIV/0!</v>
      </c>
      <c r="I9" s="1395" t="e">
        <f t="shared" si="5"/>
        <v>#DIV/0!</v>
      </c>
      <c r="J9" s="1395" t="e">
        <f t="shared" si="5"/>
        <v>#DIV/0!</v>
      </c>
      <c r="K9" s="1395" t="e">
        <f t="shared" si="5"/>
        <v>#DIV/0!</v>
      </c>
      <c r="L9" s="1395" t="e">
        <f t="shared" si="5"/>
        <v>#DIV/0!</v>
      </c>
      <c r="M9" s="1395" t="e">
        <f t="shared" si="5"/>
        <v>#DIV/0!</v>
      </c>
      <c r="N9" s="1395" t="e">
        <f t="shared" si="5"/>
        <v>#DIV/0!</v>
      </c>
      <c r="O9" s="1395" t="e">
        <f t="shared" si="5"/>
        <v>#DIV/0!</v>
      </c>
      <c r="P9" s="1395" t="e">
        <f t="shared" si="5"/>
        <v>#DIV/0!</v>
      </c>
      <c r="Q9" s="1395" t="e">
        <f t="shared" si="5"/>
        <v>#DIV/0!</v>
      </c>
      <c r="R9" s="1395">
        <f>R10*$D$10</f>
        <v>0.98420698924723826</v>
      </c>
      <c r="S9" s="1380"/>
      <c r="T9" s="1380"/>
      <c r="U9" s="1380"/>
      <c r="V9" s="1380"/>
      <c r="W9" s="1380"/>
      <c r="X9" s="1380"/>
      <c r="Y9" s="1380"/>
      <c r="Z9" s="1380"/>
      <c r="AA9" s="1380"/>
      <c r="AB9" s="1380"/>
      <c r="AC9" s="1380"/>
      <c r="AD9" s="1380"/>
      <c r="AE9" s="1380"/>
      <c r="AF9" s="1380"/>
      <c r="AG9" s="1380"/>
      <c r="AH9" s="1380"/>
    </row>
    <row r="10" spans="1:46" s="1381" customFormat="1" ht="27.75">
      <c r="A10" s="1380"/>
      <c r="B10" s="1392"/>
      <c r="C10" s="1396"/>
      <c r="D10" s="1397">
        <v>1</v>
      </c>
      <c r="E10" s="1398" t="s">
        <v>978</v>
      </c>
      <c r="F10" s="1399">
        <f>('[1]O1-O2 Unit-Rel'!L6*'[1]O1-O2 Unit-Rel'!$A$6)+('[1]O1-O2 Unit-Rel'!L7*'[1]O1-O2 Unit-Rel'!$A$7)+('[1]O1-O2 Unit-Rel'!L8*'[1]O1-O2 Unit-Rel'!$A$8)</f>
        <v>0.98420698924723826</v>
      </c>
      <c r="G10" s="1399" t="e">
        <f>('[1]O1-O2 Unit-Rel'!U6*'[1]O1-O2 Unit-Rel'!$A$6)+('[1]O1-O2 Unit-Rel'!U7*'[1]O1-O2 Unit-Rel'!$A$7)+('[1]O1-O2 Unit-Rel'!U8*'[1]O1-O2 Unit-Rel'!$A$8)</f>
        <v>#DIV/0!</v>
      </c>
      <c r="H10" s="1399" t="e">
        <f>('[1]O1-O2 Unit-Rel'!AD6*'[1]O1-O2 Unit-Rel'!$A$6)+('[1]O1-O2 Unit-Rel'!AD7*'[1]O1-O2 Unit-Rel'!$A$7)+('[1]O1-O2 Unit-Rel'!AD8*'[1]O1-O2 Unit-Rel'!$A$8)</f>
        <v>#DIV/0!</v>
      </c>
      <c r="I10" s="1399" t="e">
        <f>('[1]O1-O2 Unit-Rel'!AM6*'[1]O1-O2 Unit-Rel'!$A$6)+('[1]O1-O2 Unit-Rel'!AM7*'[1]O1-O2 Unit-Rel'!$A$7)+('[1]O1-O2 Unit-Rel'!AM8*'[1]O1-O2 Unit-Rel'!$A$8)</f>
        <v>#DIV/0!</v>
      </c>
      <c r="J10" s="1399" t="e">
        <f>('[1]O1-O2 Unit-Rel'!AV6*'[1]O1-O2 Unit-Rel'!$A$6)+('[1]O1-O2 Unit-Rel'!AV7*'[1]O1-O2 Unit-Rel'!$A$7)+('[1]O1-O2 Unit-Rel'!AV8*'[1]O1-O2 Unit-Rel'!$A$8)</f>
        <v>#DIV/0!</v>
      </c>
      <c r="K10" s="1399" t="e">
        <f>('[1]O1-O2 Unit-Rel'!BE6*'[1]O1-O2 Unit-Rel'!$A$6)+('[1]O1-O2 Unit-Rel'!BE7*'[1]O1-O2 Unit-Rel'!$A$7)+('[1]O1-O2 Unit-Rel'!BE8*'[1]O1-O2 Unit-Rel'!$A$8)</f>
        <v>#DIV/0!</v>
      </c>
      <c r="L10" s="1399" t="e">
        <f>('[1]O1-O2 Unit-Rel'!BN6*'[1]O1-O2 Unit-Rel'!$A$6)+('[1]O1-O2 Unit-Rel'!BN7*'[1]O1-O2 Unit-Rel'!$A$7)+('[1]O1-O2 Unit-Rel'!BN8*'[1]O1-O2 Unit-Rel'!$A$8)</f>
        <v>#DIV/0!</v>
      </c>
      <c r="M10" s="1399" t="e">
        <f>('[1]O1-O2 Unit-Rel'!BW6*'[1]O1-O2 Unit-Rel'!$A$6)+('[1]O1-O2 Unit-Rel'!BW7*'[1]O1-O2 Unit-Rel'!$A$7)+('[1]O1-O2 Unit-Rel'!BW8*'[1]O1-O2 Unit-Rel'!$A$8)</f>
        <v>#DIV/0!</v>
      </c>
      <c r="N10" s="1399" t="e">
        <f>('[1]O1-O2 Unit-Rel'!CF6*'[1]O1-O2 Unit-Rel'!$A$6)+('[1]O1-O2 Unit-Rel'!CF7*'[1]O1-O2 Unit-Rel'!$A$7)+('[1]O1-O2 Unit-Rel'!CF8*'[1]O1-O2 Unit-Rel'!$A$8)</f>
        <v>#DIV/0!</v>
      </c>
      <c r="O10" s="1399" t="e">
        <f>('[1]O1-O2 Unit-Rel'!CO6*'[1]O1-O2 Unit-Rel'!$A$6)+('[1]O1-O2 Unit-Rel'!CO7*'[1]O1-O2 Unit-Rel'!$A$7)+('[1]O1-O2 Unit-Rel'!CO8*'[1]O1-O2 Unit-Rel'!$A$8)</f>
        <v>#DIV/0!</v>
      </c>
      <c r="P10" s="1399" t="e">
        <f>('[1]O1-O2 Unit-Rel'!CX6*'[1]O1-O2 Unit-Rel'!$A$6)+('[1]O1-O2 Unit-Rel'!CX7*'[1]O1-O2 Unit-Rel'!$A$7)+('[1]O1-O2 Unit-Rel'!CX8*'[1]O1-O2 Unit-Rel'!$A$8)</f>
        <v>#DIV/0!</v>
      </c>
      <c r="Q10" s="1399" t="e">
        <f>('[1]O1-O2 Unit-Rel'!DG6*'[1]O1-O2 Unit-Rel'!$A$6)+('[1]O1-O2 Unit-Rel'!DG7*'[1]O1-O2 Unit-Rel'!$A$7)+('[1]O1-O2 Unit-Rel'!DG8*'[1]O1-O2 Unit-Rel'!$A$8)</f>
        <v>#DIV/0!</v>
      </c>
      <c r="R10" s="1399">
        <f>('[1]O1-O2 Unit-Rel'!DP6*'[1]O1-O2 Unit-Rel'!$A$6)+('[1]O1-O2 Unit-Rel'!DP7*'[1]O1-O2 Unit-Rel'!$A$7)+('[1]O1-O2 Unit-Rel'!DP8*'[1]O1-O2 Unit-Rel'!$A$8)</f>
        <v>0.98420698924723826</v>
      </c>
      <c r="S10" s="1400"/>
      <c r="T10" s="1401"/>
      <c r="U10" s="1401"/>
      <c r="V10" s="1401"/>
      <c r="W10" s="1401"/>
      <c r="X10" s="1380"/>
      <c r="Y10" s="1380"/>
      <c r="Z10" s="1380"/>
      <c r="AA10" s="1380"/>
      <c r="AB10" s="1380"/>
      <c r="AC10" s="1380"/>
      <c r="AD10" s="1380"/>
      <c r="AE10" s="1380"/>
      <c r="AF10" s="1380"/>
      <c r="AG10" s="1380"/>
      <c r="AH10" s="1380"/>
      <c r="AI10" s="1402"/>
      <c r="AJ10" s="1402"/>
      <c r="AK10" s="1402"/>
      <c r="AL10" s="1402"/>
      <c r="AM10" s="1402"/>
      <c r="AN10" s="1402"/>
      <c r="AO10" s="1402"/>
      <c r="AP10" s="1402"/>
      <c r="AQ10" s="1402"/>
      <c r="AR10" s="1402"/>
      <c r="AS10" s="1402"/>
      <c r="AT10" s="1402"/>
    </row>
    <row r="11" spans="1:46">
      <c r="A11" s="1373"/>
      <c r="B11" s="1388">
        <v>0.42</v>
      </c>
      <c r="C11" s="1389" t="s">
        <v>280</v>
      </c>
      <c r="D11" s="1390"/>
      <c r="E11" s="1389" t="s">
        <v>976</v>
      </c>
      <c r="F11" s="1388">
        <f>((F12*$C12)+(F21*$C21))</f>
        <v>1</v>
      </c>
      <c r="G11" s="1388" t="e">
        <f t="shared" ref="G11:Q11" si="6">((G12*$C12)+(G21*$C21))</f>
        <v>#DIV/0!</v>
      </c>
      <c r="H11" s="1388" t="e">
        <f t="shared" si="6"/>
        <v>#DIV/0!</v>
      </c>
      <c r="I11" s="1388" t="e">
        <f t="shared" si="6"/>
        <v>#DIV/0!</v>
      </c>
      <c r="J11" s="1388" t="e">
        <f t="shared" si="6"/>
        <v>#DIV/0!</v>
      </c>
      <c r="K11" s="1388" t="e">
        <f t="shared" si="6"/>
        <v>#DIV/0!</v>
      </c>
      <c r="L11" s="1388" t="e">
        <f t="shared" si="6"/>
        <v>#DIV/0!</v>
      </c>
      <c r="M11" s="1388" t="e">
        <f t="shared" si="6"/>
        <v>#DIV/0!</v>
      </c>
      <c r="N11" s="1388" t="e">
        <f t="shared" si="6"/>
        <v>#DIV/0!</v>
      </c>
      <c r="O11" s="1388" t="e">
        <f t="shared" si="6"/>
        <v>#DIV/0!</v>
      </c>
      <c r="P11" s="1388" t="e">
        <f t="shared" si="6"/>
        <v>#DIV/0!</v>
      </c>
      <c r="Q11" s="1388" t="e">
        <f t="shared" si="6"/>
        <v>#DIV/0!</v>
      </c>
      <c r="R11" s="1388">
        <f>((R12*$C12)+(R21*$C21))</f>
        <v>1</v>
      </c>
      <c r="S11" s="1380"/>
      <c r="T11" s="1403"/>
      <c r="AI11" s="1404"/>
      <c r="AJ11" s="1404"/>
      <c r="AK11" s="1404"/>
      <c r="AL11" s="1404"/>
      <c r="AM11" s="1404"/>
      <c r="AN11" s="1404"/>
      <c r="AO11" s="1404"/>
      <c r="AP11" s="1404"/>
      <c r="AQ11" s="1404"/>
      <c r="AR11" s="1404"/>
      <c r="AS11" s="1404"/>
      <c r="AT11" s="1404"/>
    </row>
    <row r="12" spans="1:46">
      <c r="A12" s="1373"/>
      <c r="B12" s="1405"/>
      <c r="C12" s="1388">
        <v>0.44</v>
      </c>
      <c r="D12" s="1406" t="s">
        <v>979</v>
      </c>
      <c r="E12" s="1406" t="s">
        <v>976</v>
      </c>
      <c r="F12" s="1407">
        <f>((F13*$C$13)+(F15*$C$15)+(F18*$C$18))</f>
        <v>1</v>
      </c>
      <c r="G12" s="1407" t="e">
        <f>((G13*$C$13)+(G15*$C$15)+(G18*$C$18))</f>
        <v>#DIV/0!</v>
      </c>
      <c r="H12" s="1407" t="e">
        <f>((H13*$C$13)+(H15*$C$15)+(H18*$C$18))</f>
        <v>#DIV/0!</v>
      </c>
      <c r="I12" s="1407" t="e">
        <f>((I13*$C$13)+(I15*$C$15)+(I18*$C$18))</f>
        <v>#DIV/0!</v>
      </c>
      <c r="J12" s="1407" t="e">
        <f t="shared" ref="J12:Q12" si="7">((J13*$C$13)+(J15*$C$15)+(J18*$C$18))</f>
        <v>#DIV/0!</v>
      </c>
      <c r="K12" s="1407" t="e">
        <f t="shared" si="7"/>
        <v>#DIV/0!</v>
      </c>
      <c r="L12" s="1407" t="e">
        <f t="shared" si="7"/>
        <v>#DIV/0!</v>
      </c>
      <c r="M12" s="1407" t="e">
        <f>((M13*$C$13)+(M15*$C$15)+(M18*$C$18))</f>
        <v>#DIV/0!</v>
      </c>
      <c r="N12" s="1407" t="e">
        <f t="shared" si="7"/>
        <v>#DIV/0!</v>
      </c>
      <c r="O12" s="1407" t="e">
        <f t="shared" si="7"/>
        <v>#DIV/0!</v>
      </c>
      <c r="P12" s="1407" t="e">
        <f t="shared" si="7"/>
        <v>#DIV/0!</v>
      </c>
      <c r="Q12" s="1407" t="e">
        <f t="shared" si="7"/>
        <v>#DIV/0!</v>
      </c>
      <c r="R12" s="1407">
        <f>((R13*$C$13)+(R15*$C$15)+(R18*$C$18))</f>
        <v>1</v>
      </c>
      <c r="T12" s="1403"/>
      <c r="AI12" s="1404"/>
      <c r="AJ12" s="1404"/>
      <c r="AK12" s="1404"/>
      <c r="AL12" s="1404"/>
      <c r="AM12" s="1404"/>
      <c r="AN12" s="1404"/>
      <c r="AO12" s="1404"/>
      <c r="AP12" s="1404"/>
      <c r="AQ12" s="1404"/>
      <c r="AR12" s="1404"/>
      <c r="AS12" s="1404"/>
      <c r="AT12" s="1404"/>
    </row>
    <row r="13" spans="1:46">
      <c r="A13" s="1373"/>
      <c r="B13" s="1408"/>
      <c r="C13" s="1409">
        <v>0.06</v>
      </c>
      <c r="D13" s="1410" t="s">
        <v>980</v>
      </c>
      <c r="E13" s="1411" t="s">
        <v>976</v>
      </c>
      <c r="F13" s="1412">
        <f>(F14*$D$14)</f>
        <v>1</v>
      </c>
      <c r="G13" s="1412" t="e">
        <f t="shared" ref="G13:Q13" si="8">(G14*$D$14)</f>
        <v>#DIV/0!</v>
      </c>
      <c r="H13" s="1412" t="e">
        <f t="shared" si="8"/>
        <v>#DIV/0!</v>
      </c>
      <c r="I13" s="1412" t="e">
        <f t="shared" si="8"/>
        <v>#DIV/0!</v>
      </c>
      <c r="J13" s="1412" t="e">
        <f t="shared" si="8"/>
        <v>#DIV/0!</v>
      </c>
      <c r="K13" s="1412" t="e">
        <f t="shared" si="8"/>
        <v>#DIV/0!</v>
      </c>
      <c r="L13" s="1412" t="e">
        <f t="shared" si="8"/>
        <v>#DIV/0!</v>
      </c>
      <c r="M13" s="1412" t="e">
        <f t="shared" si="8"/>
        <v>#DIV/0!</v>
      </c>
      <c r="N13" s="1412" t="e">
        <f t="shared" si="8"/>
        <v>#DIV/0!</v>
      </c>
      <c r="O13" s="1412" t="e">
        <f t="shared" si="8"/>
        <v>#DIV/0!</v>
      </c>
      <c r="P13" s="1412" t="e">
        <f t="shared" si="8"/>
        <v>#DIV/0!</v>
      </c>
      <c r="Q13" s="1412" t="e">
        <f t="shared" si="8"/>
        <v>#DIV/0!</v>
      </c>
      <c r="R13" s="1412">
        <f>(R14*$D$14)</f>
        <v>1</v>
      </c>
      <c r="T13" s="1403"/>
      <c r="AI13" s="1404"/>
      <c r="AJ13" s="1404"/>
      <c r="AK13" s="1404"/>
      <c r="AL13" s="1404"/>
      <c r="AM13" s="1404"/>
      <c r="AN13" s="1404"/>
      <c r="AO13" s="1404"/>
      <c r="AP13" s="1404"/>
      <c r="AQ13" s="1404"/>
      <c r="AR13" s="1404"/>
      <c r="AS13" s="1404"/>
      <c r="AT13" s="1404"/>
    </row>
    <row r="14" spans="1:46" ht="24" customHeight="1">
      <c r="A14" s="1373"/>
      <c r="B14" s="1408"/>
      <c r="C14" s="1413"/>
      <c r="D14" s="1397">
        <v>1</v>
      </c>
      <c r="E14" s="1398" t="s">
        <v>285</v>
      </c>
      <c r="F14" s="1414">
        <f>('[1]O1-O2 Unit-Rel'!L11*'[1]O1-O2 Unit-Rel'!$A$11)+('[1]O1-O2 Unit-Rel'!L12*'[1]O1-O2 Unit-Rel'!$A$12)</f>
        <v>1</v>
      </c>
      <c r="G14" s="1414" t="e">
        <f>('[1]O1-O2 Unit-Rel'!U11*'[1]O1-O2 Unit-Rel'!$A$11)+('[1]O1-O2 Unit-Rel'!U12*'[1]O1-O2 Unit-Rel'!$A$12)</f>
        <v>#DIV/0!</v>
      </c>
      <c r="H14" s="1414" t="e">
        <f>('[1]O1-O2 Unit-Rel'!AD11*'[1]O1-O2 Unit-Rel'!$A$11)+('[1]O1-O2 Unit-Rel'!AD12*'[1]O1-O2 Unit-Rel'!$A$12)</f>
        <v>#DIV/0!</v>
      </c>
      <c r="I14" s="1414" t="e">
        <f>('[1]O1-O2 Unit-Rel'!AM11*'[1]O1-O2 Unit-Rel'!$A$11)+('[1]O1-O2 Unit-Rel'!AM12*'[1]O1-O2 Unit-Rel'!$A$12)</f>
        <v>#DIV/0!</v>
      </c>
      <c r="J14" s="1414" t="e">
        <f>('[1]O1-O2 Unit-Rel'!AV11*'[1]O1-O2 Unit-Rel'!$A$11)+('[1]O1-O2 Unit-Rel'!AV12*'[1]O1-O2 Unit-Rel'!$A$12)</f>
        <v>#DIV/0!</v>
      </c>
      <c r="K14" s="1414" t="e">
        <f>('[1]O1-O2 Unit-Rel'!BE11*'[1]O1-O2 Unit-Rel'!$A$11)+('[1]O1-O2 Unit-Rel'!BE12*'[1]O1-O2 Unit-Rel'!$A$12)</f>
        <v>#DIV/0!</v>
      </c>
      <c r="L14" s="1414" t="e">
        <f>('[1]O1-O2 Unit-Rel'!BN11*'[1]O1-O2 Unit-Rel'!$A$11)+('[1]O1-O2 Unit-Rel'!BN12*'[1]O1-O2 Unit-Rel'!$A$12)</f>
        <v>#DIV/0!</v>
      </c>
      <c r="M14" s="1414" t="e">
        <f>('[1]O1-O2 Unit-Rel'!BW11*'[1]O1-O2 Unit-Rel'!$A$11)+('[1]O1-O2 Unit-Rel'!BW12*'[1]O1-O2 Unit-Rel'!$A$12)</f>
        <v>#DIV/0!</v>
      </c>
      <c r="N14" s="1414" t="e">
        <f>('[1]O1-O2 Unit-Rel'!CF11*'[1]O1-O2 Unit-Rel'!$A$11)+('[1]O1-O2 Unit-Rel'!CF12*'[1]O1-O2 Unit-Rel'!$A$12)</f>
        <v>#DIV/0!</v>
      </c>
      <c r="O14" s="1414" t="e">
        <f>('[1]O1-O2 Unit-Rel'!CO11*'[1]O1-O2 Unit-Rel'!$A$11)+('[1]O1-O2 Unit-Rel'!CO12*'[1]O1-O2 Unit-Rel'!$A$12)</f>
        <v>#DIV/0!</v>
      </c>
      <c r="P14" s="1414" t="e">
        <f>('[1]O1-O2 Unit-Rel'!CX11*'[1]O1-O2 Unit-Rel'!$A$11)+('[1]O1-O2 Unit-Rel'!CX12*'[1]O1-O2 Unit-Rel'!$A$12)</f>
        <v>#DIV/0!</v>
      </c>
      <c r="Q14" s="1414" t="e">
        <f>('[1]O1-O2 Unit-Rel'!DG11*'[1]O1-O2 Unit-Rel'!$A$11)+('[1]O1-O2 Unit-Rel'!DG12*'[1]O1-O2 Unit-Rel'!$A$12)</f>
        <v>#DIV/0!</v>
      </c>
      <c r="R14" s="1414">
        <f>('[1]O1-O2 Unit-Rel'!DP11*'[1]O1-O2 Unit-Rel'!$A$11)+('[1]O1-O2 Unit-Rel'!DP12*'[1]O1-O2 Unit-Rel'!$A$12)</f>
        <v>1</v>
      </c>
      <c r="T14" s="1415"/>
      <c r="W14" s="1380"/>
      <c r="AI14" s="1404"/>
      <c r="AJ14" s="1404"/>
      <c r="AK14" s="1404"/>
      <c r="AL14" s="1404"/>
      <c r="AM14" s="1404"/>
      <c r="AN14" s="1404"/>
      <c r="AO14" s="1404"/>
      <c r="AP14" s="1404"/>
      <c r="AQ14" s="1404"/>
      <c r="AR14" s="1404"/>
      <c r="AS14" s="1404"/>
      <c r="AT14" s="1404"/>
    </row>
    <row r="15" spans="1:46">
      <c r="A15" s="1373"/>
      <c r="B15" s="1408"/>
      <c r="C15" s="1409">
        <v>0.52</v>
      </c>
      <c r="D15" s="1410" t="s">
        <v>981</v>
      </c>
      <c r="E15" s="1411" t="s">
        <v>976</v>
      </c>
      <c r="F15" s="1412">
        <f>((F16*$D$16)+(F17*$D$17))</f>
        <v>1</v>
      </c>
      <c r="G15" s="1412" t="e">
        <f t="shared" ref="G15:R15" si="9">((G16*$D$16)+(G17*$D$17))</f>
        <v>#DIV/0!</v>
      </c>
      <c r="H15" s="1412" t="e">
        <f t="shared" si="9"/>
        <v>#DIV/0!</v>
      </c>
      <c r="I15" s="1412" t="e">
        <f t="shared" si="9"/>
        <v>#DIV/0!</v>
      </c>
      <c r="J15" s="1412" t="e">
        <f t="shared" si="9"/>
        <v>#DIV/0!</v>
      </c>
      <c r="K15" s="1412" t="e">
        <f t="shared" si="9"/>
        <v>#DIV/0!</v>
      </c>
      <c r="L15" s="1412" t="e">
        <f t="shared" si="9"/>
        <v>#DIV/0!</v>
      </c>
      <c r="M15" s="1412" t="e">
        <f t="shared" si="9"/>
        <v>#DIV/0!</v>
      </c>
      <c r="N15" s="1412" t="e">
        <f t="shared" si="9"/>
        <v>#DIV/0!</v>
      </c>
      <c r="O15" s="1412" t="e">
        <f t="shared" si="9"/>
        <v>#DIV/0!</v>
      </c>
      <c r="P15" s="1412" t="e">
        <f t="shared" si="9"/>
        <v>#DIV/0!</v>
      </c>
      <c r="Q15" s="1412" t="e">
        <f t="shared" si="9"/>
        <v>#DIV/0!</v>
      </c>
      <c r="R15" s="1412">
        <f t="shared" si="9"/>
        <v>1</v>
      </c>
      <c r="T15" s="1403"/>
      <c r="AI15" s="1404"/>
      <c r="AJ15" s="1404"/>
      <c r="AK15" s="1404"/>
      <c r="AL15" s="1404"/>
      <c r="AM15" s="1404"/>
      <c r="AN15" s="1404"/>
      <c r="AO15" s="1404"/>
      <c r="AP15" s="1404"/>
      <c r="AQ15" s="1404"/>
      <c r="AR15" s="1404"/>
      <c r="AS15" s="1404"/>
      <c r="AT15" s="1404"/>
    </row>
    <row r="16" spans="1:46">
      <c r="A16" s="1373"/>
      <c r="B16" s="1416"/>
      <c r="C16" s="1413"/>
      <c r="D16" s="1417">
        <v>0.77</v>
      </c>
      <c r="E16" s="1398" t="s">
        <v>288</v>
      </c>
      <c r="F16" s="1414">
        <f>('[1]O1-O2 Unit-Rel'!L13*'[1]O1-O2 Unit-Rel'!$A$13)+('[1]O1-O2 Unit-Rel'!L14*'[1]O1-O2 Unit-Rel'!$A$14)</f>
        <v>1</v>
      </c>
      <c r="G16" s="1414" t="e">
        <f>('[1]O1-O2 Unit-Rel'!U13*'[1]O1-O2 Unit-Rel'!$A$13)+('[1]O1-O2 Unit-Rel'!U14*'[1]O1-O2 Unit-Rel'!$A$14)</f>
        <v>#DIV/0!</v>
      </c>
      <c r="H16" s="1414" t="e">
        <f>('[1]O1-O2 Unit-Rel'!AD13*'[1]O1-O2 Unit-Rel'!$A$13)+('[1]O1-O2 Unit-Rel'!AD14*'[1]O1-O2 Unit-Rel'!$A$14)</f>
        <v>#DIV/0!</v>
      </c>
      <c r="I16" s="1414" t="e">
        <f>('[1]O1-O2 Unit-Rel'!AM13*'[1]O1-O2 Unit-Rel'!$A$13)+('[1]O1-O2 Unit-Rel'!AM14*'[1]O1-O2 Unit-Rel'!$A$14)</f>
        <v>#DIV/0!</v>
      </c>
      <c r="J16" s="1414" t="e">
        <f>('[1]O1-O2 Unit-Rel'!AV13*'[1]O1-O2 Unit-Rel'!$A$13)+('[1]O1-O2 Unit-Rel'!AV14*'[1]O1-O2 Unit-Rel'!$A$14)</f>
        <v>#DIV/0!</v>
      </c>
      <c r="K16" s="1414" t="e">
        <f>('[1]O1-O2 Unit-Rel'!BE13*'[1]O1-O2 Unit-Rel'!$A$13)+('[1]O1-O2 Unit-Rel'!BE14*'[1]O1-O2 Unit-Rel'!$A$14)</f>
        <v>#DIV/0!</v>
      </c>
      <c r="L16" s="1414" t="e">
        <f>('[1]O1-O2 Unit-Rel'!BN13*'[1]O1-O2 Unit-Rel'!$A$13)+('[1]O1-O2 Unit-Rel'!BN14*'[1]O1-O2 Unit-Rel'!$A$14)</f>
        <v>#DIV/0!</v>
      </c>
      <c r="M16" s="1414" t="e">
        <f>('[1]O1-O2 Unit-Rel'!BW13*'[1]O1-O2 Unit-Rel'!$A$13)+('[1]O1-O2 Unit-Rel'!BW14*'[1]O1-O2 Unit-Rel'!$A$14)</f>
        <v>#DIV/0!</v>
      </c>
      <c r="N16" s="1414" t="e">
        <f>('[1]O1-O2 Unit-Rel'!CF13*'[1]O1-O2 Unit-Rel'!$A$13)+('[1]O1-O2 Unit-Rel'!CF14*'[1]O1-O2 Unit-Rel'!$A$14)</f>
        <v>#DIV/0!</v>
      </c>
      <c r="O16" s="1414" t="e">
        <f>('[1]O1-O2 Unit-Rel'!CO13*'[1]O1-O2 Unit-Rel'!$A$13)+('[1]O1-O2 Unit-Rel'!CO14*'[1]O1-O2 Unit-Rel'!$A$14)</f>
        <v>#DIV/0!</v>
      </c>
      <c r="P16" s="1414" t="e">
        <f>('[1]O1-O2 Unit-Rel'!CX13*'[1]O1-O2 Unit-Rel'!$A$13)+('[1]O1-O2 Unit-Rel'!CX14*'[1]O1-O2 Unit-Rel'!$A$14)</f>
        <v>#DIV/0!</v>
      </c>
      <c r="Q16" s="1414" t="e">
        <f>('[1]O1-O2 Unit-Rel'!DG13*'[1]O1-O2 Unit-Rel'!$A$13)+('[1]O1-O2 Unit-Rel'!DG14*'[1]O1-O2 Unit-Rel'!$A$14)</f>
        <v>#DIV/0!</v>
      </c>
      <c r="R16" s="1414">
        <f>('[1]O1-O2 Unit-Rel'!DP13*'[1]O1-O2 Unit-Rel'!$A$13)+('[1]O1-O2 Unit-Rel'!DP14*'[1]O1-O2 Unit-Rel'!$A$14)</f>
        <v>1</v>
      </c>
      <c r="T16" s="1418"/>
      <c r="AI16" s="1404"/>
      <c r="AJ16" s="1404"/>
      <c r="AK16" s="1404"/>
      <c r="AL16" s="1404"/>
      <c r="AM16" s="1404"/>
      <c r="AN16" s="1404"/>
      <c r="AO16" s="1404"/>
      <c r="AP16" s="1404"/>
      <c r="AQ16" s="1404"/>
      <c r="AR16" s="1404"/>
      <c r="AS16" s="1404"/>
      <c r="AT16" s="1404"/>
    </row>
    <row r="17" spans="1:46">
      <c r="A17" s="1373"/>
      <c r="B17" s="1408"/>
      <c r="C17" s="1413"/>
      <c r="D17" s="1419">
        <v>0.23</v>
      </c>
      <c r="E17" s="1398" t="s">
        <v>291</v>
      </c>
      <c r="F17" s="1414">
        <f>('[1]O1-O2 Unit-Rel'!L15*'[1]O1-O2 Unit-Rel'!$A$15)+('[1]O1-O2 Unit-Rel'!L16*'[1]O1-O2 Unit-Rel'!$A$16)</f>
        <v>1</v>
      </c>
      <c r="G17" s="1414" t="e">
        <f>('[1]O1-O2 Unit-Rel'!U15*'[1]O1-O2 Unit-Rel'!$A$15)+('[1]O1-O2 Unit-Rel'!U16*'[1]O1-O2 Unit-Rel'!$A$16)</f>
        <v>#DIV/0!</v>
      </c>
      <c r="H17" s="1414" t="e">
        <f>('[1]O1-O2 Unit-Rel'!AD15*'[1]O1-O2 Unit-Rel'!$A$15)+('[1]O1-O2 Unit-Rel'!AD16*'[1]O1-O2 Unit-Rel'!$A$16)</f>
        <v>#DIV/0!</v>
      </c>
      <c r="I17" s="1414" t="e">
        <f>('[1]O1-O2 Unit-Rel'!AM15*'[1]O1-O2 Unit-Rel'!$A$15)+('[1]O1-O2 Unit-Rel'!AM16*'[1]O1-O2 Unit-Rel'!$A$16)</f>
        <v>#DIV/0!</v>
      </c>
      <c r="J17" s="1414" t="e">
        <f>('[1]O1-O2 Unit-Rel'!AV15*'[1]O1-O2 Unit-Rel'!$A$15)+('[1]O1-O2 Unit-Rel'!AV16*'[1]O1-O2 Unit-Rel'!$A$16)</f>
        <v>#DIV/0!</v>
      </c>
      <c r="K17" s="1414" t="e">
        <f>('[1]O1-O2 Unit-Rel'!BE15*'[1]O1-O2 Unit-Rel'!$A$15)+('[1]O1-O2 Unit-Rel'!BE16*'[1]O1-O2 Unit-Rel'!$A$16)</f>
        <v>#DIV/0!</v>
      </c>
      <c r="L17" s="1414" t="e">
        <f>('[1]O1-O2 Unit-Rel'!BN15*'[1]O1-O2 Unit-Rel'!$A$15)+('[1]O1-O2 Unit-Rel'!BN16*'[1]O1-O2 Unit-Rel'!$A$16)</f>
        <v>#DIV/0!</v>
      </c>
      <c r="M17" s="1414" t="e">
        <f>('[1]O1-O2 Unit-Rel'!BW15*'[1]O1-O2 Unit-Rel'!$A$15)+('[1]O1-O2 Unit-Rel'!BW16*'[1]O1-O2 Unit-Rel'!$A$16)</f>
        <v>#DIV/0!</v>
      </c>
      <c r="N17" s="1414" t="e">
        <f>('[1]O1-O2 Unit-Rel'!CF15*'[1]O1-O2 Unit-Rel'!$A$15)+('[1]O1-O2 Unit-Rel'!CF16*'[1]O1-O2 Unit-Rel'!$A$16)</f>
        <v>#DIV/0!</v>
      </c>
      <c r="O17" s="1414" t="e">
        <f>('[1]O1-O2 Unit-Rel'!CO15*'[1]O1-O2 Unit-Rel'!$A$15)+('[1]O1-O2 Unit-Rel'!CO16*'[1]O1-O2 Unit-Rel'!$A$16)</f>
        <v>#DIV/0!</v>
      </c>
      <c r="P17" s="1414" t="e">
        <f>('[1]O1-O2 Unit-Rel'!CX15*'[1]O1-O2 Unit-Rel'!$A$15)+('[1]O1-O2 Unit-Rel'!CX16*'[1]O1-O2 Unit-Rel'!$A$16)</f>
        <v>#DIV/0!</v>
      </c>
      <c r="Q17" s="1414" t="e">
        <f>('[1]O1-O2 Unit-Rel'!DG15*'[1]O1-O2 Unit-Rel'!$A$15)+('[1]O1-O2 Unit-Rel'!DG16*'[1]O1-O2 Unit-Rel'!$A$16)</f>
        <v>#DIV/0!</v>
      </c>
      <c r="R17" s="1414">
        <f>('[1]O1-O2 Unit-Rel'!DP15*'[1]O1-O2 Unit-Rel'!$A$15)+('[1]O1-O2 Unit-Rel'!DP16*'[1]O1-O2 Unit-Rel'!$A$16)</f>
        <v>1</v>
      </c>
      <c r="T17" s="1418"/>
      <c r="AI17" s="1404"/>
      <c r="AJ17" s="1404"/>
      <c r="AK17" s="1404"/>
      <c r="AL17" s="1404"/>
      <c r="AM17" s="1404"/>
      <c r="AN17" s="1404"/>
      <c r="AO17" s="1404"/>
      <c r="AP17" s="1404"/>
      <c r="AQ17" s="1404"/>
      <c r="AR17" s="1404"/>
      <c r="AS17" s="1404"/>
      <c r="AT17" s="1404"/>
    </row>
    <row r="18" spans="1:46">
      <c r="A18" s="1373"/>
      <c r="B18" s="1416"/>
      <c r="C18" s="1409">
        <v>0.42</v>
      </c>
      <c r="D18" s="1410" t="s">
        <v>982</v>
      </c>
      <c r="E18" s="1411" t="s">
        <v>976</v>
      </c>
      <c r="F18" s="1412">
        <f>(F19*$D19+F20*$D20)</f>
        <v>1</v>
      </c>
      <c r="G18" s="1412" t="e">
        <f t="shared" ref="G18:Q18" si="10">(G19*$D19+G20*$D20)</f>
        <v>#DIV/0!</v>
      </c>
      <c r="H18" s="1412" t="e">
        <f t="shared" si="10"/>
        <v>#DIV/0!</v>
      </c>
      <c r="I18" s="1412" t="e">
        <f t="shared" si="10"/>
        <v>#DIV/0!</v>
      </c>
      <c r="J18" s="1412" t="e">
        <f t="shared" si="10"/>
        <v>#DIV/0!</v>
      </c>
      <c r="K18" s="1412" t="e">
        <f t="shared" si="10"/>
        <v>#DIV/0!</v>
      </c>
      <c r="L18" s="1412" t="e">
        <f t="shared" si="10"/>
        <v>#DIV/0!</v>
      </c>
      <c r="M18" s="1412" t="e">
        <f t="shared" si="10"/>
        <v>#DIV/0!</v>
      </c>
      <c r="N18" s="1412" t="e">
        <f t="shared" si="10"/>
        <v>#DIV/0!</v>
      </c>
      <c r="O18" s="1412" t="e">
        <f t="shared" si="10"/>
        <v>#DIV/0!</v>
      </c>
      <c r="P18" s="1412" t="e">
        <f t="shared" si="10"/>
        <v>#DIV/0!</v>
      </c>
      <c r="Q18" s="1412" t="e">
        <f t="shared" si="10"/>
        <v>#DIV/0!</v>
      </c>
      <c r="R18" s="1412">
        <f>(R19*$D19+R20*$D20)</f>
        <v>1</v>
      </c>
      <c r="T18" s="1403"/>
      <c r="AI18" s="1404"/>
      <c r="AJ18" s="1404"/>
      <c r="AK18" s="1404"/>
      <c r="AL18" s="1404"/>
      <c r="AM18" s="1404"/>
      <c r="AN18" s="1404"/>
      <c r="AO18" s="1404"/>
      <c r="AP18" s="1404"/>
      <c r="AQ18" s="1404"/>
      <c r="AR18" s="1404"/>
      <c r="AS18" s="1404"/>
      <c r="AT18" s="1404"/>
    </row>
    <row r="19" spans="1:46">
      <c r="A19" s="1373"/>
      <c r="B19" s="1408"/>
      <c r="C19" s="1420"/>
      <c r="D19" s="1417">
        <v>0.68</v>
      </c>
      <c r="E19" s="1398" t="s">
        <v>983</v>
      </c>
      <c r="F19" s="1414">
        <f>('[1]O1-O2 Unit-Rel'!L17*'[1]O1-O2 Unit-Rel'!$A$17)+('[1]O1-O2 Unit-Rel'!L18*'[1]O1-O2 Unit-Rel'!$A$18)</f>
        <v>1</v>
      </c>
      <c r="G19" s="1414" t="e">
        <f>('[1]O1-O2 Unit-Rel'!U17*'[1]O1-O2 Unit-Rel'!$A$17)+('[1]O1-O2 Unit-Rel'!U18*'[1]O1-O2 Unit-Rel'!$A$18)</f>
        <v>#DIV/0!</v>
      </c>
      <c r="H19" s="1414" t="e">
        <f>('[1]O1-O2 Unit-Rel'!AD17*'[1]O1-O2 Unit-Rel'!$A$17)+('[1]O1-O2 Unit-Rel'!AD18*'[1]O1-O2 Unit-Rel'!$A$18)</f>
        <v>#DIV/0!</v>
      </c>
      <c r="I19" s="1414" t="e">
        <f>('[1]O1-O2 Unit-Rel'!AM17*'[1]O1-O2 Unit-Rel'!$A$17)+('[1]O1-O2 Unit-Rel'!AM18*'[1]O1-O2 Unit-Rel'!$A$18)</f>
        <v>#DIV/0!</v>
      </c>
      <c r="J19" s="1414" t="e">
        <f>('[1]O1-O2 Unit-Rel'!AV17*'[1]O1-O2 Unit-Rel'!$A$17)+('[1]O1-O2 Unit-Rel'!AV18*'[1]O1-O2 Unit-Rel'!$A$18)</f>
        <v>#DIV/0!</v>
      </c>
      <c r="K19" s="1414" t="e">
        <f>('[1]O1-O2 Unit-Rel'!BE17*'[1]O1-O2 Unit-Rel'!$A$17)+('[1]O1-O2 Unit-Rel'!BE18*'[1]O1-O2 Unit-Rel'!$A$18)</f>
        <v>#DIV/0!</v>
      </c>
      <c r="L19" s="1414" t="e">
        <f>('[1]O1-O2 Unit-Rel'!BN17*'[1]O1-O2 Unit-Rel'!$A$17)+('[1]O1-O2 Unit-Rel'!BN18*'[1]O1-O2 Unit-Rel'!$A$18)</f>
        <v>#DIV/0!</v>
      </c>
      <c r="M19" s="1414" t="e">
        <f>('[1]O1-O2 Unit-Rel'!BW17*'[1]O1-O2 Unit-Rel'!$A$17)+('[1]O1-O2 Unit-Rel'!BW18*'[1]O1-O2 Unit-Rel'!$A$18)</f>
        <v>#DIV/0!</v>
      </c>
      <c r="N19" s="1414" t="e">
        <f>('[1]O1-O2 Unit-Rel'!CF17*'[1]O1-O2 Unit-Rel'!$A$17)+('[1]O1-O2 Unit-Rel'!CF18*'[1]O1-O2 Unit-Rel'!$A$18)</f>
        <v>#DIV/0!</v>
      </c>
      <c r="O19" s="1414" t="e">
        <f>('[1]O1-O2 Unit-Rel'!CO17*'[1]O1-O2 Unit-Rel'!$A$17)+('[1]O1-O2 Unit-Rel'!CO18*'[1]O1-O2 Unit-Rel'!$A$18)</f>
        <v>#DIV/0!</v>
      </c>
      <c r="P19" s="1414" t="e">
        <f>'[1]O1-O2 Unit-Rel'!CX17*'[1]O1-O2 Unit-Rel'!A17+'[1]O1-O2 Unit-Rel'!A18*'[1]O1-O2 Unit-Rel'!CX18</f>
        <v>#DIV/0!</v>
      </c>
      <c r="Q19" s="1414" t="e">
        <f>('[1]O1-O2 Unit-Rel'!DG17*'[1]O1-O2 Unit-Rel'!$A$17)+('[1]O1-O2 Unit-Rel'!DG18*'[1]O1-O2 Unit-Rel'!$A$18)</f>
        <v>#DIV/0!</v>
      </c>
      <c r="R19" s="1414">
        <f>('[1]O1-O2 Unit-Rel'!DP17*'[1]O1-O2 Unit-Rel'!$A$17)+('[1]O1-O2 Unit-Rel'!DP18*'[1]O1-O2 Unit-Rel'!$A$18)</f>
        <v>1</v>
      </c>
      <c r="T19" s="1403"/>
      <c r="AI19" s="1404"/>
      <c r="AJ19" s="1404"/>
      <c r="AK19" s="1404"/>
      <c r="AL19" s="1404"/>
      <c r="AM19" s="1404"/>
      <c r="AN19" s="1404"/>
      <c r="AO19" s="1404"/>
      <c r="AP19" s="1404"/>
      <c r="AQ19" s="1404"/>
      <c r="AR19" s="1404"/>
      <c r="AS19" s="1404"/>
      <c r="AT19" s="1404"/>
    </row>
    <row r="20" spans="1:46" s="1404" customFormat="1">
      <c r="A20" s="1373"/>
      <c r="B20" s="1408"/>
      <c r="C20" s="1420"/>
      <c r="D20" s="1419">
        <v>0.32</v>
      </c>
      <c r="E20" s="1398" t="s">
        <v>984</v>
      </c>
      <c r="F20" s="1414">
        <f>('[1]O1-O2 Unit-Rel'!L19*'[1]O1-O2 Unit-Rel'!$A$19)</f>
        <v>1</v>
      </c>
      <c r="G20" s="1414" t="e">
        <f>('[1]O1-O2 Unit-Rel'!U19*'[1]O1-O2 Unit-Rel'!$A$19)</f>
        <v>#DIV/0!</v>
      </c>
      <c r="H20" s="1414" t="e">
        <f>('[1]O1-O2 Unit-Rel'!AD19*'[1]O1-O2 Unit-Rel'!$A$19)</f>
        <v>#DIV/0!</v>
      </c>
      <c r="I20" s="1414" t="e">
        <f>('[1]O1-O2 Unit-Rel'!AM19*'[1]O1-O2 Unit-Rel'!$A$19)</f>
        <v>#DIV/0!</v>
      </c>
      <c r="J20" s="1414" t="e">
        <f>('[1]O1-O2 Unit-Rel'!AV19*'[1]O1-O2 Unit-Rel'!$A$19)</f>
        <v>#DIV/0!</v>
      </c>
      <c r="K20" s="1414" t="e">
        <f>('[1]O1-O2 Unit-Rel'!BE19*'[1]O1-O2 Unit-Rel'!$A$19)</f>
        <v>#DIV/0!</v>
      </c>
      <c r="L20" s="1414" t="e">
        <f>('[1]O1-O2 Unit-Rel'!BN19*'[1]O1-O2 Unit-Rel'!$A$19)</f>
        <v>#DIV/0!</v>
      </c>
      <c r="M20" s="1414" t="e">
        <f>('[1]O1-O2 Unit-Rel'!BW19*'[1]O1-O2 Unit-Rel'!$A$19)</f>
        <v>#DIV/0!</v>
      </c>
      <c r="N20" s="1414" t="e">
        <f>('[1]O1-O2 Unit-Rel'!CF19*'[1]O1-O2 Unit-Rel'!$A$19)</f>
        <v>#DIV/0!</v>
      </c>
      <c r="O20" s="1414" t="e">
        <f>('[1]O1-O2 Unit-Rel'!CO19*'[1]O1-O2 Unit-Rel'!$A$19)</f>
        <v>#DIV/0!</v>
      </c>
      <c r="P20" s="1414" t="e">
        <f>('[1]O1-O2 Unit-Rel'!CX19*'[1]O1-O2 Unit-Rel'!$A$19)</f>
        <v>#DIV/0!</v>
      </c>
      <c r="Q20" s="1414" t="e">
        <f>('[1]O1-O2 Unit-Rel'!DG19*'[1]O1-O2 Unit-Rel'!$A$19)</f>
        <v>#DIV/0!</v>
      </c>
      <c r="R20" s="1414">
        <f>('[1]O1-O2 Unit-Rel'!DP19*'[1]O1-O2 Unit-Rel'!$A$19)</f>
        <v>1</v>
      </c>
      <c r="S20" s="1373"/>
      <c r="T20" s="1418"/>
      <c r="U20" s="1373"/>
      <c r="V20" s="1373"/>
      <c r="W20" s="1373"/>
      <c r="X20" s="1373"/>
      <c r="Y20" s="1373"/>
      <c r="Z20" s="1373"/>
      <c r="AA20" s="1373"/>
      <c r="AB20" s="1373"/>
      <c r="AC20" s="1373"/>
      <c r="AD20" s="1373"/>
      <c r="AE20" s="1373"/>
      <c r="AF20" s="1373"/>
      <c r="AG20" s="1373"/>
      <c r="AH20" s="1373"/>
    </row>
    <row r="21" spans="1:46">
      <c r="A21" s="1373"/>
      <c r="B21" s="1405"/>
      <c r="C21" s="1388">
        <v>0.56000000000000005</v>
      </c>
      <c r="D21" s="1421" t="s">
        <v>985</v>
      </c>
      <c r="E21" s="1406" t="s">
        <v>976</v>
      </c>
      <c r="F21" s="1422">
        <f>((F22*$D22)+(F23*$D23))</f>
        <v>0.99999999999999989</v>
      </c>
      <c r="G21" s="1422" t="e">
        <f t="shared" ref="G21:Q21" si="11">((G22*$D22)+(G23*$D23))</f>
        <v>#DIV/0!</v>
      </c>
      <c r="H21" s="1422" t="e">
        <f t="shared" si="11"/>
        <v>#DIV/0!</v>
      </c>
      <c r="I21" s="1422" t="e">
        <f t="shared" si="11"/>
        <v>#DIV/0!</v>
      </c>
      <c r="J21" s="1422" t="e">
        <f t="shared" si="11"/>
        <v>#DIV/0!</v>
      </c>
      <c r="K21" s="1422" t="e">
        <f t="shared" si="11"/>
        <v>#DIV/0!</v>
      </c>
      <c r="L21" s="1422" t="e">
        <f t="shared" si="11"/>
        <v>#DIV/0!</v>
      </c>
      <c r="M21" s="1422" t="e">
        <f t="shared" si="11"/>
        <v>#DIV/0!</v>
      </c>
      <c r="N21" s="1422" t="e">
        <f t="shared" si="11"/>
        <v>#DIV/0!</v>
      </c>
      <c r="O21" s="1422" t="e">
        <f t="shared" si="11"/>
        <v>#DIV/0!</v>
      </c>
      <c r="P21" s="1422" t="e">
        <f t="shared" si="11"/>
        <v>#DIV/0!</v>
      </c>
      <c r="Q21" s="1422" t="e">
        <f t="shared" si="11"/>
        <v>#DIV/0!</v>
      </c>
      <c r="R21" s="1422">
        <f>((R22*$D22)+(R23*$D23))</f>
        <v>0.99999999999999989</v>
      </c>
      <c r="T21" s="1403"/>
      <c r="AI21" s="1404"/>
      <c r="AJ21" s="1404"/>
      <c r="AK21" s="1404"/>
      <c r="AL21" s="1404"/>
      <c r="AM21" s="1404"/>
      <c r="AN21" s="1404"/>
      <c r="AO21" s="1404"/>
      <c r="AP21" s="1404"/>
      <c r="AQ21" s="1404"/>
      <c r="AR21" s="1404"/>
      <c r="AS21" s="1404"/>
      <c r="AT21" s="1404"/>
    </row>
    <row r="22" spans="1:46" ht="27.75">
      <c r="A22" s="1373"/>
      <c r="B22" s="1423"/>
      <c r="C22" s="1423"/>
      <c r="D22" s="1417">
        <v>0.3</v>
      </c>
      <c r="E22" s="1423" t="s">
        <v>300</v>
      </c>
      <c r="F22" s="1414">
        <f>('[1]O1-O2 Unit-Rel'!L20*'[1]O1-O2 Unit-Rel'!$A20)+('[1]O1-O2 Unit-Rel'!L21*'[1]O1-O2 Unit-Rel'!$A21)+('[1]O1-O2 Unit-Rel'!L22*'[1]O1-O2 Unit-Rel'!$A22)+('[1]O1-O2 Unit-Rel'!L23*'[1]O1-O2 Unit-Rel'!$A23)+('[1]O1-O2 Unit-Rel'!L24*'[1]O1-O2 Unit-Rel'!$A24)</f>
        <v>0.99999999999999989</v>
      </c>
      <c r="G22" s="1414" t="e">
        <f>('[1]O1-O2 Unit-Rel'!U20*'[1]O1-O2 Unit-Rel'!$A20)+('[1]O1-O2 Unit-Rel'!U21*'[1]O1-O2 Unit-Rel'!$A21)+('[1]O1-O2 Unit-Rel'!U22*'[1]O1-O2 Unit-Rel'!$A22)+('[1]O1-O2 Unit-Rel'!U23*'[1]O1-O2 Unit-Rel'!$A23)+('[1]O1-O2 Unit-Rel'!U24*'[1]O1-O2 Unit-Rel'!$A24)</f>
        <v>#DIV/0!</v>
      </c>
      <c r="H22" s="1414" t="e">
        <f>('[1]O1-O2 Unit-Rel'!AD20*'[1]O1-O2 Unit-Rel'!$A20)+('[1]O1-O2 Unit-Rel'!AD21*'[1]O1-O2 Unit-Rel'!$A21)+('[1]O1-O2 Unit-Rel'!AD22*'[1]O1-O2 Unit-Rel'!$A22)+('[1]O1-O2 Unit-Rel'!AD23*'[1]O1-O2 Unit-Rel'!$A23)+('[1]O1-O2 Unit-Rel'!AD24*'[1]O1-O2 Unit-Rel'!$A24)</f>
        <v>#DIV/0!</v>
      </c>
      <c r="I22" s="1414" t="e">
        <f>('[1]O1-O2 Unit-Rel'!AM20*'[1]O1-O2 Unit-Rel'!$A20)+('[1]O1-O2 Unit-Rel'!AM21*'[1]O1-O2 Unit-Rel'!$A21)+('[1]O1-O2 Unit-Rel'!AM22*'[1]O1-O2 Unit-Rel'!$A22)+('[1]O1-O2 Unit-Rel'!AM23*'[1]O1-O2 Unit-Rel'!$A23)+('[1]O1-O2 Unit-Rel'!AM24*'[1]O1-O2 Unit-Rel'!$A24)</f>
        <v>#DIV/0!</v>
      </c>
      <c r="J22" s="1414" t="e">
        <f>('[1]O1-O2 Unit-Rel'!AV20*'[1]O1-O2 Unit-Rel'!$A20)+('[1]O1-O2 Unit-Rel'!AV21*'[1]O1-O2 Unit-Rel'!$A21)+('[1]O1-O2 Unit-Rel'!AV22*'[1]O1-O2 Unit-Rel'!$A22)+('[1]O1-O2 Unit-Rel'!AV23*'[1]O1-O2 Unit-Rel'!$A23)+('[1]O1-O2 Unit-Rel'!AV24*'[1]O1-O2 Unit-Rel'!$A24)</f>
        <v>#DIV/0!</v>
      </c>
      <c r="K22" s="1414" t="e">
        <f>('[1]O1-O2 Unit-Rel'!BE20*'[1]O1-O2 Unit-Rel'!$A20)+('[1]O1-O2 Unit-Rel'!BE21*'[1]O1-O2 Unit-Rel'!$A21)+('[1]O1-O2 Unit-Rel'!BE22*'[1]O1-O2 Unit-Rel'!$A22)+('[1]O1-O2 Unit-Rel'!BE23*'[1]O1-O2 Unit-Rel'!$A23)+('[1]O1-O2 Unit-Rel'!BE24*'[1]O1-O2 Unit-Rel'!$A24)</f>
        <v>#DIV/0!</v>
      </c>
      <c r="L22" s="1414" t="e">
        <f>('[1]O1-O2 Unit-Rel'!BN20*'[1]O1-O2 Unit-Rel'!$A20)+('[1]O1-O2 Unit-Rel'!BN21*'[1]O1-O2 Unit-Rel'!$A21)+('[1]O1-O2 Unit-Rel'!BN22*'[1]O1-O2 Unit-Rel'!$A22)+('[1]O1-O2 Unit-Rel'!BN23*'[1]O1-O2 Unit-Rel'!$A23)+('[1]O1-O2 Unit-Rel'!BN24*'[1]O1-O2 Unit-Rel'!$A24)</f>
        <v>#DIV/0!</v>
      </c>
      <c r="M22" s="1414" t="e">
        <f>('[1]O1-O2 Unit-Rel'!BW20*'[1]O1-O2 Unit-Rel'!$A20)+('[1]O1-O2 Unit-Rel'!BW21*'[1]O1-O2 Unit-Rel'!$A21)+('[1]O1-O2 Unit-Rel'!BW22*'[1]O1-O2 Unit-Rel'!$A22)+('[1]O1-O2 Unit-Rel'!BW23*'[1]O1-O2 Unit-Rel'!$A23)+('[1]O1-O2 Unit-Rel'!BW24*'[1]O1-O2 Unit-Rel'!$A24)</f>
        <v>#DIV/0!</v>
      </c>
      <c r="N22" s="1414" t="e">
        <f>('[1]O1-O2 Unit-Rel'!CF20*'[1]O1-O2 Unit-Rel'!$A20)+('[1]O1-O2 Unit-Rel'!CF21*'[1]O1-O2 Unit-Rel'!$A21)+('[1]O1-O2 Unit-Rel'!CF22*'[1]O1-O2 Unit-Rel'!$A22)+('[1]O1-O2 Unit-Rel'!CF23*'[1]O1-O2 Unit-Rel'!$A23)+('[1]O1-O2 Unit-Rel'!CF24*'[1]O1-O2 Unit-Rel'!$A24)</f>
        <v>#DIV/0!</v>
      </c>
      <c r="O22" s="1414" t="e">
        <f>('[1]O1-O2 Unit-Rel'!CO20*'[1]O1-O2 Unit-Rel'!$A20)+('[1]O1-O2 Unit-Rel'!CO21*'[1]O1-O2 Unit-Rel'!$A21)+('[1]O1-O2 Unit-Rel'!CO22*'[1]O1-O2 Unit-Rel'!$A22)+('[1]O1-O2 Unit-Rel'!CO23*'[1]O1-O2 Unit-Rel'!$A23)+('[1]O1-O2 Unit-Rel'!CO24*'[1]O1-O2 Unit-Rel'!$A24)</f>
        <v>#DIV/0!</v>
      </c>
      <c r="P22" s="1414" t="e">
        <f>('[1]O1-O2 Unit-Rel'!CX20*'[1]O1-O2 Unit-Rel'!$A20)+('[1]O1-O2 Unit-Rel'!CX21*'[1]O1-O2 Unit-Rel'!$A21)+('[1]O1-O2 Unit-Rel'!CX22*'[1]O1-O2 Unit-Rel'!$A22)+('[1]O1-O2 Unit-Rel'!CX23*'[1]O1-O2 Unit-Rel'!$A23)+('[1]O1-O2 Unit-Rel'!CX24*'[1]O1-O2 Unit-Rel'!$A24)</f>
        <v>#DIV/0!</v>
      </c>
      <c r="Q22" s="1414" t="e">
        <f>('[1]O1-O2 Unit-Rel'!DG20*'[1]O1-O2 Unit-Rel'!$A20)+('[1]O1-O2 Unit-Rel'!DG21*'[1]O1-O2 Unit-Rel'!$A21)+('[1]O1-O2 Unit-Rel'!DG22*'[1]O1-O2 Unit-Rel'!$A22)+('[1]O1-O2 Unit-Rel'!DG23*'[1]O1-O2 Unit-Rel'!$A23)+('[1]O1-O2 Unit-Rel'!DG24*'[1]O1-O2 Unit-Rel'!$A24)</f>
        <v>#DIV/0!</v>
      </c>
      <c r="R22" s="1414">
        <f>('[1]O1-O2 Unit-Rel'!DP20*'[1]O1-O2 Unit-Rel'!$A20)+('[1]O1-O2 Unit-Rel'!DP21*'[1]O1-O2 Unit-Rel'!$A21)+('[1]O1-O2 Unit-Rel'!DP22*'[1]O1-O2 Unit-Rel'!$A22)+('[1]O1-O2 Unit-Rel'!DP23*'[1]O1-O2 Unit-Rel'!$A23)+('[1]O1-O2 Unit-Rel'!DP24*'[1]O1-O2 Unit-Rel'!$A24)</f>
        <v>0.99999999999999989</v>
      </c>
      <c r="T22" s="1424"/>
      <c r="U22" s="1401"/>
      <c r="V22" s="1401"/>
      <c r="W22" s="1401"/>
      <c r="AI22" s="1404"/>
      <c r="AJ22" s="1404"/>
      <c r="AK22" s="1404"/>
      <c r="AL22" s="1404"/>
      <c r="AM22" s="1404"/>
      <c r="AN22" s="1404"/>
      <c r="AO22" s="1404"/>
      <c r="AP22" s="1404"/>
      <c r="AQ22" s="1404"/>
      <c r="AR22" s="1404"/>
      <c r="AS22" s="1404"/>
      <c r="AT22" s="1404"/>
    </row>
    <row r="23" spans="1:46">
      <c r="A23" s="1373"/>
      <c r="B23" s="1423"/>
      <c r="C23" s="1423"/>
      <c r="D23" s="1419">
        <v>0.7</v>
      </c>
      <c r="E23" s="1423" t="s">
        <v>312</v>
      </c>
      <c r="F23" s="1414">
        <f>('[1]O1-O2 Unit-Rel'!L25*'[1]O1-O2 Unit-Rel'!$A25)+('[1]O1-O2 Unit-Rel'!L26*'[1]O1-O2 Unit-Rel'!$A26)+('[1]O1-O2 Unit-Rel'!L27*'[1]O1-O2 Unit-Rel'!$A27)</f>
        <v>1</v>
      </c>
      <c r="G23" s="1414" t="e">
        <f>('[1]O1-O2 Unit-Rel'!U25*'[1]O1-O2 Unit-Rel'!$A25)+('[1]O1-O2 Unit-Rel'!U26*'[1]O1-O2 Unit-Rel'!$A26)+('[1]O1-O2 Unit-Rel'!U27*'[1]O1-O2 Unit-Rel'!$A27)</f>
        <v>#DIV/0!</v>
      </c>
      <c r="H23" s="1414" t="e">
        <f>('[1]O1-O2 Unit-Rel'!AD25*'[1]O1-O2 Unit-Rel'!$A25)+('[1]O1-O2 Unit-Rel'!AD26*'[1]O1-O2 Unit-Rel'!$A26)+('[1]O1-O2 Unit-Rel'!AD27*'[1]O1-O2 Unit-Rel'!$A27)</f>
        <v>#DIV/0!</v>
      </c>
      <c r="I23" s="1414" t="e">
        <f>('[1]O1-O2 Unit-Rel'!AM25*'[1]O1-O2 Unit-Rel'!$A25)+('[1]O1-O2 Unit-Rel'!AM26*'[1]O1-O2 Unit-Rel'!$A26)+('[1]O1-O2 Unit-Rel'!AM27*'[1]O1-O2 Unit-Rel'!$A27)</f>
        <v>#DIV/0!</v>
      </c>
      <c r="J23" s="1414" t="e">
        <f>('[1]O1-O2 Unit-Rel'!AV25*'[1]O1-O2 Unit-Rel'!$A25)+('[1]O1-O2 Unit-Rel'!AV26*'[1]O1-O2 Unit-Rel'!$A26)+('[1]O1-O2 Unit-Rel'!AV27*'[1]O1-O2 Unit-Rel'!$A27)</f>
        <v>#DIV/0!</v>
      </c>
      <c r="K23" s="1414" t="e">
        <f>('[1]O1-O2 Unit-Rel'!BE25*'[1]O1-O2 Unit-Rel'!$A25)+('[1]O1-O2 Unit-Rel'!BE26*'[1]O1-O2 Unit-Rel'!$A26)+('[1]O1-O2 Unit-Rel'!BE27*'[1]O1-O2 Unit-Rel'!$A27)</f>
        <v>#DIV/0!</v>
      </c>
      <c r="L23" s="1414" t="e">
        <f>('[1]O1-O2 Unit-Rel'!BN25*'[1]O1-O2 Unit-Rel'!$A25)+('[1]O1-O2 Unit-Rel'!BN26*'[1]O1-O2 Unit-Rel'!$A26)+('[1]O1-O2 Unit-Rel'!BN27*'[1]O1-O2 Unit-Rel'!$A27)</f>
        <v>#DIV/0!</v>
      </c>
      <c r="M23" s="1414" t="e">
        <f>('[1]O1-O2 Unit-Rel'!BW25*'[1]O1-O2 Unit-Rel'!$A25)+('[1]O1-O2 Unit-Rel'!BW26*'[1]O1-O2 Unit-Rel'!$A26)+('[1]O1-O2 Unit-Rel'!BW27*'[1]O1-O2 Unit-Rel'!$A27)</f>
        <v>#DIV/0!</v>
      </c>
      <c r="N23" s="1414" t="e">
        <f>('[1]O1-O2 Unit-Rel'!CF25*'[1]O1-O2 Unit-Rel'!$A25)+('[1]O1-O2 Unit-Rel'!CF26*'[1]O1-O2 Unit-Rel'!$A26)+('[1]O1-O2 Unit-Rel'!CF27*'[1]O1-O2 Unit-Rel'!$A27)</f>
        <v>#DIV/0!</v>
      </c>
      <c r="O23" s="1414" t="e">
        <f>('[1]O1-O2 Unit-Rel'!CO25*'[1]O1-O2 Unit-Rel'!$A25)+('[1]O1-O2 Unit-Rel'!CO26*'[1]O1-O2 Unit-Rel'!$A26)+('[1]O1-O2 Unit-Rel'!CO27*'[1]O1-O2 Unit-Rel'!$A27)</f>
        <v>#DIV/0!</v>
      </c>
      <c r="P23" s="1414" t="e">
        <f>('[1]O1-O2 Unit-Rel'!CX25*'[1]O1-O2 Unit-Rel'!$A25)+('[1]O1-O2 Unit-Rel'!CX26*'[1]O1-O2 Unit-Rel'!$A26)+('[1]O1-O2 Unit-Rel'!CX27*'[1]O1-O2 Unit-Rel'!$A27)</f>
        <v>#DIV/0!</v>
      </c>
      <c r="Q23" s="1414" t="e">
        <f>('[1]O1-O2 Unit-Rel'!DG25*'[1]O1-O2 Unit-Rel'!$A25)+('[1]O1-O2 Unit-Rel'!DG26*'[1]O1-O2 Unit-Rel'!$A26)+('[1]O1-O2 Unit-Rel'!DG27*'[1]O1-O2 Unit-Rel'!$A27)</f>
        <v>#DIV/0!</v>
      </c>
      <c r="R23" s="1414">
        <f>('[1]O1-O2 Unit-Rel'!DP25*'[1]O1-O2 Unit-Rel'!$A25)+('[1]O1-O2 Unit-Rel'!DP26*'[1]O1-O2 Unit-Rel'!$A26)+('[1]O1-O2 Unit-Rel'!DP27*'[1]O1-O2 Unit-Rel'!$A27)</f>
        <v>1</v>
      </c>
      <c r="AI23" s="1404"/>
      <c r="AJ23" s="1404"/>
      <c r="AK23" s="1404"/>
      <c r="AL23" s="1404"/>
      <c r="AM23" s="1404"/>
      <c r="AN23" s="1404"/>
      <c r="AO23" s="1404"/>
      <c r="AP23" s="1404"/>
      <c r="AQ23" s="1404"/>
      <c r="AR23" s="1404"/>
      <c r="AS23" s="1404"/>
      <c r="AT23" s="1404"/>
    </row>
    <row r="24" spans="1:46">
      <c r="A24" s="1373"/>
      <c r="B24" s="1388">
        <v>0.43</v>
      </c>
      <c r="C24" s="1389"/>
      <c r="D24" s="1390" t="s">
        <v>986</v>
      </c>
      <c r="E24" s="1389" t="s">
        <v>976</v>
      </c>
      <c r="F24" s="1391">
        <f>((F25*$C25)+(F29*$C29))</f>
        <v>1</v>
      </c>
      <c r="G24" s="1391" t="e">
        <f t="shared" ref="G24:Q24" si="12">((G25*$C25)+(G29*$C29))</f>
        <v>#DIV/0!</v>
      </c>
      <c r="H24" s="1391" t="e">
        <f t="shared" si="12"/>
        <v>#DIV/0!</v>
      </c>
      <c r="I24" s="1391" t="e">
        <f t="shared" si="12"/>
        <v>#DIV/0!</v>
      </c>
      <c r="J24" s="1391" t="e">
        <f t="shared" si="12"/>
        <v>#DIV/0!</v>
      </c>
      <c r="K24" s="1391" t="e">
        <f t="shared" si="12"/>
        <v>#DIV/0!</v>
      </c>
      <c r="L24" s="1391" t="e">
        <f t="shared" si="12"/>
        <v>#DIV/0!</v>
      </c>
      <c r="M24" s="1391" t="e">
        <f t="shared" si="12"/>
        <v>#DIV/0!</v>
      </c>
      <c r="N24" s="1391" t="e">
        <f t="shared" si="12"/>
        <v>#DIV/0!</v>
      </c>
      <c r="O24" s="1391" t="e">
        <f t="shared" si="12"/>
        <v>#DIV/0!</v>
      </c>
      <c r="P24" s="1391" t="e">
        <f t="shared" si="12"/>
        <v>#DIV/0!</v>
      </c>
      <c r="Q24" s="1391" t="e">
        <f t="shared" si="12"/>
        <v>#DIV/0!</v>
      </c>
      <c r="R24" s="1391">
        <f>((R25*$C25)+(R29*$C29))</f>
        <v>1</v>
      </c>
      <c r="S24" s="1380"/>
      <c r="AI24" s="1404"/>
      <c r="AJ24" s="1404"/>
      <c r="AK24" s="1404"/>
      <c r="AL24" s="1404"/>
      <c r="AM24" s="1404"/>
      <c r="AN24" s="1404"/>
      <c r="AO24" s="1404"/>
      <c r="AP24" s="1404"/>
      <c r="AQ24" s="1404"/>
      <c r="AR24" s="1404"/>
      <c r="AS24" s="1404"/>
      <c r="AT24" s="1404"/>
    </row>
    <row r="25" spans="1:46">
      <c r="A25" s="1373"/>
      <c r="B25" s="1392"/>
      <c r="C25" s="1409">
        <v>0.82</v>
      </c>
      <c r="D25" s="1410" t="s">
        <v>320</v>
      </c>
      <c r="E25" s="1411" t="s">
        <v>976</v>
      </c>
      <c r="F25" s="1412">
        <f>((F26*$D26)+(F27*$D27)+(F28*$D28))</f>
        <v>1</v>
      </c>
      <c r="G25" s="1412" t="e">
        <f t="shared" ref="G25:Q25" si="13">((G26*$D26)+(G27*$D27)+(G28*$D28))</f>
        <v>#DIV/0!</v>
      </c>
      <c r="H25" s="1412" t="e">
        <f t="shared" si="13"/>
        <v>#DIV/0!</v>
      </c>
      <c r="I25" s="1412" t="e">
        <f t="shared" si="13"/>
        <v>#DIV/0!</v>
      </c>
      <c r="J25" s="1412" t="e">
        <f t="shared" si="13"/>
        <v>#DIV/0!</v>
      </c>
      <c r="K25" s="1412" t="e">
        <f t="shared" si="13"/>
        <v>#DIV/0!</v>
      </c>
      <c r="L25" s="1412" t="e">
        <f t="shared" si="13"/>
        <v>#DIV/0!</v>
      </c>
      <c r="M25" s="1412" t="e">
        <f t="shared" si="13"/>
        <v>#DIV/0!</v>
      </c>
      <c r="N25" s="1412" t="e">
        <f t="shared" si="13"/>
        <v>#DIV/0!</v>
      </c>
      <c r="O25" s="1412" t="e">
        <f t="shared" si="13"/>
        <v>#DIV/0!</v>
      </c>
      <c r="P25" s="1412" t="e">
        <f t="shared" si="13"/>
        <v>#DIV/0!</v>
      </c>
      <c r="Q25" s="1412" t="e">
        <f t="shared" si="13"/>
        <v>#DIV/0!</v>
      </c>
      <c r="R25" s="1412">
        <f>((R26*$D26)+(R27*$D27)+(R28*$D28))</f>
        <v>1</v>
      </c>
      <c r="T25" s="1403"/>
      <c r="AI25" s="1404"/>
      <c r="AJ25" s="1404"/>
      <c r="AK25" s="1404"/>
      <c r="AL25" s="1404"/>
      <c r="AM25" s="1404"/>
      <c r="AN25" s="1404"/>
      <c r="AO25" s="1404"/>
      <c r="AP25" s="1404"/>
      <c r="AQ25" s="1404"/>
      <c r="AR25" s="1404"/>
      <c r="AS25" s="1404"/>
      <c r="AT25" s="1404"/>
    </row>
    <row r="26" spans="1:46">
      <c r="A26" s="1373"/>
      <c r="B26" s="1408"/>
      <c r="C26" s="1423"/>
      <c r="D26" s="1417">
        <v>0.52</v>
      </c>
      <c r="E26" s="1423" t="s">
        <v>987</v>
      </c>
      <c r="F26" s="1414">
        <f>'[1]O1-O2 Unit-Rel'!L28*'[1]O1-O2 Unit-Rel'!$A28</f>
        <v>1</v>
      </c>
      <c r="G26" s="1414" t="e">
        <f>'[1]O1-O2 Unit-Rel'!U28*'[1]O1-O2 Unit-Rel'!$A28</f>
        <v>#DIV/0!</v>
      </c>
      <c r="H26" s="1414" t="e">
        <f>'[1]O1-O2 Unit-Rel'!AD28*'[1]O1-O2 Unit-Rel'!$A28</f>
        <v>#DIV/0!</v>
      </c>
      <c r="I26" s="1414" t="e">
        <f>'[1]O1-O2 Unit-Rel'!AM28*'[1]O1-O2 Unit-Rel'!$A28</f>
        <v>#DIV/0!</v>
      </c>
      <c r="J26" s="1414" t="e">
        <f>'[1]O1-O2 Unit-Rel'!AV28*'[1]O1-O2 Unit-Rel'!$A28</f>
        <v>#DIV/0!</v>
      </c>
      <c r="K26" s="1414" t="e">
        <f>'[1]O1-O2 Unit-Rel'!BE28*'[1]O1-O2 Unit-Rel'!$A28</f>
        <v>#DIV/0!</v>
      </c>
      <c r="L26" s="1414" t="e">
        <f>'[1]O1-O2 Unit-Rel'!BN28*'[1]O1-O2 Unit-Rel'!$A28</f>
        <v>#DIV/0!</v>
      </c>
      <c r="M26" s="1414" t="e">
        <f>'[1]O1-O2 Unit-Rel'!BW28*'[1]O1-O2 Unit-Rel'!$A28</f>
        <v>#DIV/0!</v>
      </c>
      <c r="N26" s="1414" t="e">
        <f>'[1]O1-O2 Unit-Rel'!CF28*'[1]O1-O2 Unit-Rel'!$A28</f>
        <v>#DIV/0!</v>
      </c>
      <c r="O26" s="1414" t="e">
        <f>'[1]O1-O2 Unit-Rel'!CO28*'[1]O1-O2 Unit-Rel'!$A28</f>
        <v>#DIV/0!</v>
      </c>
      <c r="P26" s="1414" t="e">
        <f>'[1]O1-O2 Unit-Rel'!CX28*'[1]O1-O2 Unit-Rel'!$A28</f>
        <v>#DIV/0!</v>
      </c>
      <c r="Q26" s="1414" t="e">
        <f>'[1]O1-O2 Unit-Rel'!DG28*'[1]O1-O2 Unit-Rel'!$A28</f>
        <v>#DIV/0!</v>
      </c>
      <c r="R26" s="1414">
        <f>'[1]O1-O2 Unit-Rel'!DP28*'[1]O1-O2 Unit-Rel'!$A28</f>
        <v>1</v>
      </c>
    </row>
    <row r="27" spans="1:46">
      <c r="A27" s="1373"/>
      <c r="B27" s="1408"/>
      <c r="C27" s="1425"/>
      <c r="D27" s="1426">
        <v>0.27</v>
      </c>
      <c r="E27" s="1423" t="s">
        <v>988</v>
      </c>
      <c r="F27" s="1414">
        <f>'[1]O1-O2 Unit-Rel'!L29*'[1]O1-O2 Unit-Rel'!$A29</f>
        <v>1</v>
      </c>
      <c r="G27" s="1414" t="e">
        <f>'[1]O1-O2 Unit-Rel'!U29*'[1]O1-O2 Unit-Rel'!$A29</f>
        <v>#DIV/0!</v>
      </c>
      <c r="H27" s="1414" t="e">
        <f>'[1]O1-O2 Unit-Rel'!AD29*'[1]O1-O2 Unit-Rel'!$A29</f>
        <v>#DIV/0!</v>
      </c>
      <c r="I27" s="1414" t="e">
        <f>'[1]O1-O2 Unit-Rel'!AM29*'[1]O1-O2 Unit-Rel'!$A29</f>
        <v>#DIV/0!</v>
      </c>
      <c r="J27" s="1414" t="e">
        <f>'[1]O1-O2 Unit-Rel'!AV29*'[1]O1-O2 Unit-Rel'!$A29</f>
        <v>#DIV/0!</v>
      </c>
      <c r="K27" s="1414" t="e">
        <f>'[1]O1-O2 Unit-Rel'!BE29*'[1]O1-O2 Unit-Rel'!$A29</f>
        <v>#DIV/0!</v>
      </c>
      <c r="L27" s="1414" t="e">
        <f>'[1]O1-O2 Unit-Rel'!BN29*'[1]O1-O2 Unit-Rel'!$A29</f>
        <v>#DIV/0!</v>
      </c>
      <c r="M27" s="1414" t="e">
        <f>'[1]O1-O2 Unit-Rel'!BW29*'[1]O1-O2 Unit-Rel'!$A29</f>
        <v>#DIV/0!</v>
      </c>
      <c r="N27" s="1414" t="e">
        <f>'[1]O1-O2 Unit-Rel'!CF29*'[1]O1-O2 Unit-Rel'!$A29</f>
        <v>#DIV/0!</v>
      </c>
      <c r="O27" s="1414" t="e">
        <f>'[1]O1-O2 Unit-Rel'!CO29*'[1]O1-O2 Unit-Rel'!$A29</f>
        <v>#DIV/0!</v>
      </c>
      <c r="P27" s="1414" t="e">
        <f>'[1]O1-O2 Unit-Rel'!CX29*'[1]O1-O2 Unit-Rel'!$A29</f>
        <v>#DIV/0!</v>
      </c>
      <c r="Q27" s="1414" t="e">
        <f>'[1]O1-O2 Unit-Rel'!DG29*'[1]O1-O2 Unit-Rel'!$A29</f>
        <v>#DIV/0!</v>
      </c>
      <c r="R27" s="1414">
        <f>'[1]O1-O2 Unit-Rel'!DP29*'[1]O1-O2 Unit-Rel'!$A29</f>
        <v>1</v>
      </c>
    </row>
    <row r="28" spans="1:46">
      <c r="A28" s="1373"/>
      <c r="B28" s="1408"/>
      <c r="C28" s="1423"/>
      <c r="D28" s="1419">
        <v>0.21</v>
      </c>
      <c r="E28" s="1423" t="s">
        <v>989</v>
      </c>
      <c r="F28" s="1414">
        <f>'[1]O1-O2 Unit-Rel'!L30*'[1]O1-O2 Unit-Rel'!$A30</f>
        <v>1</v>
      </c>
      <c r="G28" s="1414" t="e">
        <f>'[1]O1-O2 Unit-Rel'!U30*'[1]O1-O2 Unit-Rel'!$A30</f>
        <v>#DIV/0!</v>
      </c>
      <c r="H28" s="1414" t="e">
        <f>'[1]O1-O2 Unit-Rel'!AD30*'[1]O1-O2 Unit-Rel'!$A30</f>
        <v>#DIV/0!</v>
      </c>
      <c r="I28" s="1414" t="e">
        <f>'[1]O1-O2 Unit-Rel'!AM30*'[1]O1-O2 Unit-Rel'!$A30</f>
        <v>#DIV/0!</v>
      </c>
      <c r="J28" s="1414" t="e">
        <f>'[1]O1-O2 Unit-Rel'!AV30*'[1]O1-O2 Unit-Rel'!$A30</f>
        <v>#DIV/0!</v>
      </c>
      <c r="K28" s="1414" t="e">
        <f>'[1]O1-O2 Unit-Rel'!BE30*'[1]O1-O2 Unit-Rel'!$A30</f>
        <v>#DIV/0!</v>
      </c>
      <c r="L28" s="1414" t="e">
        <f>'[1]O1-O2 Unit-Rel'!BN30*'[1]O1-O2 Unit-Rel'!$A30</f>
        <v>#DIV/0!</v>
      </c>
      <c r="M28" s="1414" t="e">
        <f>'[1]O1-O2 Unit-Rel'!BW30*'[1]O1-O2 Unit-Rel'!$A30</f>
        <v>#DIV/0!</v>
      </c>
      <c r="N28" s="1414" t="e">
        <f>'[1]O1-O2 Unit-Rel'!CF30*'[1]O1-O2 Unit-Rel'!$A30</f>
        <v>#DIV/0!</v>
      </c>
      <c r="O28" s="1414" t="e">
        <f>'[1]O1-O2 Unit-Rel'!CO30*'[1]O1-O2 Unit-Rel'!$A30</f>
        <v>#DIV/0!</v>
      </c>
      <c r="P28" s="1414" t="e">
        <f>'[1]O1-O2 Unit-Rel'!CX30*'[1]O1-O2 Unit-Rel'!$A30</f>
        <v>#DIV/0!</v>
      </c>
      <c r="Q28" s="1414" t="e">
        <f>'[1]O1-O2 Unit-Rel'!DG30*'[1]O1-O2 Unit-Rel'!$A30</f>
        <v>#DIV/0!</v>
      </c>
      <c r="R28" s="1414">
        <f>'[1]O1-O2 Unit-Rel'!DP30*'[1]O1-O2 Unit-Rel'!$A30</f>
        <v>1</v>
      </c>
    </row>
    <row r="29" spans="1:46">
      <c r="A29" s="1373"/>
      <c r="B29" s="1392"/>
      <c r="C29" s="1409">
        <v>0.18</v>
      </c>
      <c r="D29" s="1410" t="s">
        <v>990</v>
      </c>
      <c r="E29" s="1411" t="s">
        <v>976</v>
      </c>
      <c r="F29" s="1412">
        <f>((F30*$D30)+(F31*$D31)+(F32*$D32))</f>
        <v>1</v>
      </c>
      <c r="G29" s="1412" t="e">
        <f t="shared" ref="G29:Q29" si="14">((G30*$D30)+(G31*$D31)+(G32*$D32))</f>
        <v>#DIV/0!</v>
      </c>
      <c r="H29" s="1412" t="e">
        <f t="shared" si="14"/>
        <v>#DIV/0!</v>
      </c>
      <c r="I29" s="1412" t="e">
        <f t="shared" si="14"/>
        <v>#DIV/0!</v>
      </c>
      <c r="J29" s="1412" t="e">
        <f t="shared" si="14"/>
        <v>#DIV/0!</v>
      </c>
      <c r="K29" s="1412" t="e">
        <f t="shared" si="14"/>
        <v>#DIV/0!</v>
      </c>
      <c r="L29" s="1412" t="e">
        <f t="shared" si="14"/>
        <v>#DIV/0!</v>
      </c>
      <c r="M29" s="1412" t="e">
        <f t="shared" si="14"/>
        <v>#DIV/0!</v>
      </c>
      <c r="N29" s="1412" t="e">
        <f t="shared" si="14"/>
        <v>#DIV/0!</v>
      </c>
      <c r="O29" s="1412" t="e">
        <f t="shared" si="14"/>
        <v>#DIV/0!</v>
      </c>
      <c r="P29" s="1412" t="e">
        <f t="shared" si="14"/>
        <v>#DIV/0!</v>
      </c>
      <c r="Q29" s="1412" t="e">
        <f t="shared" si="14"/>
        <v>#DIV/0!</v>
      </c>
      <c r="R29" s="1412">
        <f>((R30*$D30)+(R31*$D31)+(R32*$D32))</f>
        <v>1</v>
      </c>
      <c r="T29" s="1403"/>
      <c r="AI29" s="1404"/>
      <c r="AJ29" s="1404"/>
      <c r="AK29" s="1404"/>
      <c r="AL29" s="1404"/>
      <c r="AM29" s="1404"/>
      <c r="AN29" s="1404"/>
      <c r="AO29" s="1404"/>
      <c r="AP29" s="1404"/>
      <c r="AQ29" s="1404"/>
      <c r="AR29" s="1404"/>
      <c r="AS29" s="1404"/>
      <c r="AT29" s="1404"/>
    </row>
    <row r="30" spans="1:46">
      <c r="A30" s="1373"/>
      <c r="B30" s="1408"/>
      <c r="C30" s="1423"/>
      <c r="D30" s="1417">
        <v>0.35</v>
      </c>
      <c r="E30" s="1423" t="s">
        <v>328</v>
      </c>
      <c r="F30" s="1414">
        <f>'[1]O1-O2 Unit-Rel'!L31*'[1]O1-O2 Unit-Rel'!$A31</f>
        <v>1</v>
      </c>
      <c r="G30" s="1414" t="e">
        <f>'[1]O1-O2 Unit-Rel'!U31*'[1]O1-O2 Unit-Rel'!$A31</f>
        <v>#DIV/0!</v>
      </c>
      <c r="H30" s="1414" t="e">
        <f>'[1]O1-O2 Unit-Rel'!AD31*'[1]O1-O2 Unit-Rel'!$A31</f>
        <v>#DIV/0!</v>
      </c>
      <c r="I30" s="1414" t="e">
        <f>'[1]O1-O2 Unit-Rel'!AM31*'[1]O1-O2 Unit-Rel'!$A31</f>
        <v>#DIV/0!</v>
      </c>
      <c r="J30" s="1414" t="e">
        <f>'[1]O1-O2 Unit-Rel'!AV31*'[1]O1-O2 Unit-Rel'!$A31</f>
        <v>#DIV/0!</v>
      </c>
      <c r="K30" s="1414" t="e">
        <f>'[1]O1-O2 Unit-Rel'!BE31*'[1]O1-O2 Unit-Rel'!$A31</f>
        <v>#DIV/0!</v>
      </c>
      <c r="L30" s="1414" t="e">
        <f>'[1]O1-O2 Unit-Rel'!BN31*'[1]O1-O2 Unit-Rel'!$A31</f>
        <v>#DIV/0!</v>
      </c>
      <c r="M30" s="1414" t="e">
        <f>'[1]O1-O2 Unit-Rel'!BW31*'[1]O1-O2 Unit-Rel'!$A31</f>
        <v>#DIV/0!</v>
      </c>
      <c r="N30" s="1414" t="e">
        <f>'[1]O1-O2 Unit-Rel'!CF31*'[1]O1-O2 Unit-Rel'!$A31</f>
        <v>#DIV/0!</v>
      </c>
      <c r="O30" s="1414" t="e">
        <f>'[1]O1-O2 Unit-Rel'!CO31*'[1]O1-O2 Unit-Rel'!$A31</f>
        <v>#DIV/0!</v>
      </c>
      <c r="P30" s="1414" t="e">
        <f>'[1]O1-O2 Unit-Rel'!CX31*'[1]O1-O2 Unit-Rel'!$A31</f>
        <v>#DIV/0!</v>
      </c>
      <c r="Q30" s="1414" t="e">
        <f>'[1]O1-O2 Unit-Rel'!DG31*'[1]O1-O2 Unit-Rel'!$A31</f>
        <v>#DIV/0!</v>
      </c>
      <c r="R30" s="1414">
        <f>'[1]O1-O2 Unit-Rel'!DP31*'[1]O1-O2 Unit-Rel'!$A31</f>
        <v>1</v>
      </c>
    </row>
    <row r="31" spans="1:46">
      <c r="A31" s="1373"/>
      <c r="B31" s="1408"/>
      <c r="C31" s="1423"/>
      <c r="D31" s="1426">
        <v>0.63</v>
      </c>
      <c r="E31" s="1398" t="s">
        <v>330</v>
      </c>
      <c r="F31" s="1414">
        <f>'[1]O1-O2 Unit-Rel'!L32*'[1]O1-O2 Unit-Rel'!$A32</f>
        <v>1</v>
      </c>
      <c r="G31" s="1414" t="e">
        <f>'[1]O1-O2 Unit-Rel'!U32*'[1]O1-O2 Unit-Rel'!$A32</f>
        <v>#DIV/0!</v>
      </c>
      <c r="H31" s="1414" t="e">
        <f>'[1]O1-O2 Unit-Rel'!AD32*'[1]O1-O2 Unit-Rel'!$A32</f>
        <v>#DIV/0!</v>
      </c>
      <c r="I31" s="1414" t="e">
        <f>'[1]O1-O2 Unit-Rel'!AM32*'[1]O1-O2 Unit-Rel'!$A32</f>
        <v>#DIV/0!</v>
      </c>
      <c r="J31" s="1414" t="e">
        <f>'[1]O1-O2 Unit-Rel'!AV32*'[1]O1-O2 Unit-Rel'!$A32</f>
        <v>#DIV/0!</v>
      </c>
      <c r="K31" s="1414" t="e">
        <f>'[1]O1-O2 Unit-Rel'!BE32*'[1]O1-O2 Unit-Rel'!$A32</f>
        <v>#DIV/0!</v>
      </c>
      <c r="L31" s="1414" t="e">
        <f>'[1]O1-O2 Unit-Rel'!BN32*'[1]O1-O2 Unit-Rel'!$A32</f>
        <v>#DIV/0!</v>
      </c>
      <c r="M31" s="1414" t="e">
        <f>'[1]O1-O2 Unit-Rel'!BW32*'[1]O1-O2 Unit-Rel'!$A32</f>
        <v>#DIV/0!</v>
      </c>
      <c r="N31" s="1414" t="e">
        <f>'[1]O1-O2 Unit-Rel'!CF32*'[1]O1-O2 Unit-Rel'!$A32</f>
        <v>#DIV/0!</v>
      </c>
      <c r="O31" s="1414" t="e">
        <f>'[1]O1-O2 Unit-Rel'!CO32*'[1]O1-O2 Unit-Rel'!$A32</f>
        <v>#DIV/0!</v>
      </c>
      <c r="P31" s="1414" t="e">
        <f>'[1]O1-O2 Unit-Rel'!CX32*'[1]O1-O2 Unit-Rel'!$A32</f>
        <v>#DIV/0!</v>
      </c>
      <c r="Q31" s="1414" t="e">
        <f>'[1]O1-O2 Unit-Rel'!DG32*'[1]O1-O2 Unit-Rel'!$A32</f>
        <v>#DIV/0!</v>
      </c>
      <c r="R31" s="1414">
        <f>'[1]O1-O2 Unit-Rel'!DP32*'[1]O1-O2 Unit-Rel'!$A32</f>
        <v>1</v>
      </c>
    </row>
    <row r="32" spans="1:46">
      <c r="A32" s="1373"/>
      <c r="B32" s="1423"/>
      <c r="C32" s="1425"/>
      <c r="D32" s="1419">
        <v>0.02</v>
      </c>
      <c r="E32" s="1423" t="s">
        <v>331</v>
      </c>
      <c r="F32" s="1414">
        <f>(('[1]O1-O2 Unit-Rel'!L33*'[1]O1-O2 Unit-Rel'!$A$33)+('[1]O1-O2 Unit-Rel'!L34*'[1]O1-O2 Unit-Rel'!$A$34)+('[1]O1-O2 Unit-Rel'!L35*'[1]O1-O2 Unit-Rel'!$A$35)+('[1]O1-O2 Unit-Rel'!L36*'[1]O1-O2 Unit-Rel'!$A$36))</f>
        <v>1</v>
      </c>
      <c r="G32" s="1414" t="e">
        <f>(('[1]O1-O2 Unit-Rel'!U33*'[1]O1-O2 Unit-Rel'!$A$33)+('[1]O1-O2 Unit-Rel'!U34*'[1]O1-O2 Unit-Rel'!$A$34)+('[1]O1-O2 Unit-Rel'!U35*'[1]O1-O2 Unit-Rel'!$A$35)+('[1]O1-O2 Unit-Rel'!U36*'[1]O1-O2 Unit-Rel'!$A$36))</f>
        <v>#DIV/0!</v>
      </c>
      <c r="H32" s="1414" t="e">
        <f>(('[1]O1-O2 Unit-Rel'!AD33*'[1]O1-O2 Unit-Rel'!$A$33)+('[1]O1-O2 Unit-Rel'!AD34*'[1]O1-O2 Unit-Rel'!$A$34)+('[1]O1-O2 Unit-Rel'!AD35*'[1]O1-O2 Unit-Rel'!$A$35)+('[1]O1-O2 Unit-Rel'!AD36*'[1]O1-O2 Unit-Rel'!$A$36))</f>
        <v>#DIV/0!</v>
      </c>
      <c r="I32" s="1414" t="e">
        <f>(('[1]O1-O2 Unit-Rel'!AM33*'[1]O1-O2 Unit-Rel'!$A$33)+('[1]O1-O2 Unit-Rel'!AM34*'[1]O1-O2 Unit-Rel'!$A$34)+('[1]O1-O2 Unit-Rel'!AM35*'[1]O1-O2 Unit-Rel'!$A$35)+('[1]O1-O2 Unit-Rel'!AM36*'[1]O1-O2 Unit-Rel'!$A$36))</f>
        <v>#DIV/0!</v>
      </c>
      <c r="J32" s="1414" t="e">
        <f>(('[1]O1-O2 Unit-Rel'!AV33*'[1]O1-O2 Unit-Rel'!$A$33)+('[1]O1-O2 Unit-Rel'!AV34*'[1]O1-O2 Unit-Rel'!$A$34)+('[1]O1-O2 Unit-Rel'!AV35*'[1]O1-O2 Unit-Rel'!$A$35)+('[1]O1-O2 Unit-Rel'!AV36*'[1]O1-O2 Unit-Rel'!$A$36))</f>
        <v>#DIV/0!</v>
      </c>
      <c r="K32" s="1414" t="e">
        <f>(('[1]O1-O2 Unit-Rel'!BE33*'[1]O1-O2 Unit-Rel'!$A$33)+('[1]O1-O2 Unit-Rel'!BE34*'[1]O1-O2 Unit-Rel'!$A$34)+('[1]O1-O2 Unit-Rel'!BE35*'[1]O1-O2 Unit-Rel'!$A$35)+('[1]O1-O2 Unit-Rel'!BE36*'[1]O1-O2 Unit-Rel'!$A$36))</f>
        <v>#DIV/0!</v>
      </c>
      <c r="L32" s="1414" t="e">
        <f>(('[1]O1-O2 Unit-Rel'!BN33*'[1]O1-O2 Unit-Rel'!$A$33)+('[1]O1-O2 Unit-Rel'!BN34*'[1]O1-O2 Unit-Rel'!$A$34)+('[1]O1-O2 Unit-Rel'!BN35*'[1]O1-O2 Unit-Rel'!$A$35)+('[1]O1-O2 Unit-Rel'!BN36*'[1]O1-O2 Unit-Rel'!$A$36))</f>
        <v>#DIV/0!</v>
      </c>
      <c r="M32" s="1414" t="e">
        <f>(('[1]O1-O2 Unit-Rel'!BW33*'[1]O1-O2 Unit-Rel'!$A$33)+('[1]O1-O2 Unit-Rel'!BW34*'[1]O1-O2 Unit-Rel'!$A$34)+('[1]O1-O2 Unit-Rel'!BW35*'[1]O1-O2 Unit-Rel'!$A$35)+('[1]O1-O2 Unit-Rel'!BW36*'[1]O1-O2 Unit-Rel'!$A$36))</f>
        <v>#DIV/0!</v>
      </c>
      <c r="N32" s="1414" t="e">
        <f>(('[1]O1-O2 Unit-Rel'!CF33*'[1]O1-O2 Unit-Rel'!$A$33)+('[1]O1-O2 Unit-Rel'!CF34*'[1]O1-O2 Unit-Rel'!$A$34)+('[1]O1-O2 Unit-Rel'!CF35*'[1]O1-O2 Unit-Rel'!$A$35)+('[1]O1-O2 Unit-Rel'!CF36*'[1]O1-O2 Unit-Rel'!$A$36))</f>
        <v>#DIV/0!</v>
      </c>
      <c r="O32" s="1414" t="e">
        <f>(('[1]O1-O2 Unit-Rel'!CO33*'[1]O1-O2 Unit-Rel'!$A$33)+('[1]O1-O2 Unit-Rel'!CO34*'[1]O1-O2 Unit-Rel'!$A$34)+('[1]O1-O2 Unit-Rel'!CO35*'[1]O1-O2 Unit-Rel'!$A$35)+('[1]O1-O2 Unit-Rel'!CO36*'[1]O1-O2 Unit-Rel'!$A$36))</f>
        <v>#DIV/0!</v>
      </c>
      <c r="P32" s="1414" t="e">
        <f>(('[1]O1-O2 Unit-Rel'!CX33*'[1]O1-O2 Unit-Rel'!$A$33)+('[1]O1-O2 Unit-Rel'!CX34*'[1]O1-O2 Unit-Rel'!$A$34)+('[1]O1-O2 Unit-Rel'!CX35*'[1]O1-O2 Unit-Rel'!$A$35)+('[1]O1-O2 Unit-Rel'!CX36*'[1]O1-O2 Unit-Rel'!$A$36))</f>
        <v>#DIV/0!</v>
      </c>
      <c r="Q32" s="1414" t="e">
        <f>(('[1]O1-O2 Unit-Rel'!DG33*'[1]O1-O2 Unit-Rel'!$A$33)+('[1]O1-O2 Unit-Rel'!DG34*'[1]O1-O2 Unit-Rel'!$A$34)+('[1]O1-O2 Unit-Rel'!DG35*'[1]O1-O2 Unit-Rel'!$A$35)+('[1]O1-O2 Unit-Rel'!DG36*'[1]O1-O2 Unit-Rel'!$A$36))</f>
        <v>#DIV/0!</v>
      </c>
      <c r="R32" s="1414">
        <f>(('[1]O1-O2 Unit-Rel'!DP33*'[1]O1-O2 Unit-Rel'!$A$33)+('[1]O1-O2 Unit-Rel'!DP34*'[1]O1-O2 Unit-Rel'!$A$34)+('[1]O1-O2 Unit-Rel'!DP35*'[1]O1-O2 Unit-Rel'!$A$35)+('[1]O1-O2 Unit-Rel'!DP36*'[1]O1-O2 Unit-Rel'!$A$36))</f>
        <v>1</v>
      </c>
    </row>
    <row r="33" spans="1:46" s="1381" customFormat="1">
      <c r="A33" s="1382">
        <v>0.64</v>
      </c>
      <c r="B33" s="1383" t="s">
        <v>991</v>
      </c>
      <c r="C33" s="1384"/>
      <c r="D33" s="1385"/>
      <c r="E33" s="1386"/>
      <c r="F33" s="1387">
        <f>((F34*$B$34)+(F43*$B$43)+(F47*$B$47))</f>
        <v>0.99878452329748835</v>
      </c>
      <c r="G33" s="1387" t="e">
        <f>((G34*$B$34)+(G43*$B$43)+(G47*$B$47))</f>
        <v>#DIV/0!</v>
      </c>
      <c r="H33" s="1387" t="e">
        <f t="shared" ref="H33:R33" si="15">((H34*$B$34)+(H43*$B$43)+(H47*$B$47))</f>
        <v>#DIV/0!</v>
      </c>
      <c r="I33" s="1387" t="e">
        <f t="shared" si="15"/>
        <v>#DIV/0!</v>
      </c>
      <c r="J33" s="1387" t="e">
        <f t="shared" si="15"/>
        <v>#DIV/0!</v>
      </c>
      <c r="K33" s="1387" t="e">
        <f t="shared" si="15"/>
        <v>#DIV/0!</v>
      </c>
      <c r="L33" s="1387" t="e">
        <f t="shared" si="15"/>
        <v>#DIV/0!</v>
      </c>
      <c r="M33" s="1387" t="e">
        <f t="shared" si="15"/>
        <v>#DIV/0!</v>
      </c>
      <c r="N33" s="1387" t="e">
        <f t="shared" si="15"/>
        <v>#DIV/0!</v>
      </c>
      <c r="O33" s="1387" t="e">
        <f t="shared" si="15"/>
        <v>#DIV/0!</v>
      </c>
      <c r="P33" s="1387" t="e">
        <f t="shared" si="15"/>
        <v>#DIV/0!</v>
      </c>
      <c r="Q33" s="1387" t="e">
        <f t="shared" si="15"/>
        <v>#DIV/0!</v>
      </c>
      <c r="R33" s="1387">
        <f t="shared" si="15"/>
        <v>0.99878452329748835</v>
      </c>
      <c r="S33" s="1380"/>
      <c r="T33" s="1380"/>
      <c r="U33" s="1380"/>
      <c r="V33" s="1380"/>
      <c r="W33" s="1380"/>
      <c r="X33" s="1380"/>
      <c r="Y33" s="1380"/>
      <c r="Z33" s="1380"/>
      <c r="AA33" s="1380"/>
      <c r="AB33" s="1380"/>
      <c r="AC33" s="1380"/>
      <c r="AD33" s="1380"/>
      <c r="AE33" s="1380"/>
      <c r="AF33" s="1380"/>
      <c r="AG33" s="1380"/>
      <c r="AH33" s="1380"/>
    </row>
    <row r="34" spans="1:46" s="1381" customFormat="1">
      <c r="A34" s="1380"/>
      <c r="B34" s="1388">
        <v>0.4</v>
      </c>
      <c r="C34" s="1760" t="s">
        <v>992</v>
      </c>
      <c r="D34" s="1760"/>
      <c r="E34" s="1389" t="s">
        <v>976</v>
      </c>
      <c r="F34" s="1391">
        <f>((F35*$C$35)+(F39*$C$39))</f>
        <v>1</v>
      </c>
      <c r="G34" s="1391" t="e">
        <f t="shared" ref="G34:R34" si="16">((G35*$C$35)+(G39*$C$39))</f>
        <v>#DIV/0!</v>
      </c>
      <c r="H34" s="1391" t="e">
        <f t="shared" si="16"/>
        <v>#DIV/0!</v>
      </c>
      <c r="I34" s="1391" t="e">
        <f t="shared" si="16"/>
        <v>#DIV/0!</v>
      </c>
      <c r="J34" s="1391" t="e">
        <f t="shared" si="16"/>
        <v>#DIV/0!</v>
      </c>
      <c r="K34" s="1391" t="e">
        <f t="shared" si="16"/>
        <v>#DIV/0!</v>
      </c>
      <c r="L34" s="1391" t="e">
        <f t="shared" si="16"/>
        <v>#DIV/0!</v>
      </c>
      <c r="M34" s="1391" t="e">
        <f t="shared" si="16"/>
        <v>#DIV/0!</v>
      </c>
      <c r="N34" s="1391" t="e">
        <f t="shared" si="16"/>
        <v>#DIV/0!</v>
      </c>
      <c r="O34" s="1391" t="e">
        <f t="shared" si="16"/>
        <v>#DIV/0!</v>
      </c>
      <c r="P34" s="1391" t="e">
        <f t="shared" si="16"/>
        <v>#DIV/0!</v>
      </c>
      <c r="Q34" s="1391" t="e">
        <f t="shared" si="16"/>
        <v>#DIV/0!</v>
      </c>
      <c r="R34" s="1391">
        <f t="shared" si="16"/>
        <v>1</v>
      </c>
      <c r="S34" s="1380"/>
      <c r="T34" s="1380"/>
      <c r="U34" s="1380"/>
      <c r="V34" s="1380"/>
      <c r="W34" s="1380"/>
      <c r="X34" s="1380"/>
      <c r="Y34" s="1380"/>
      <c r="Z34" s="1380"/>
      <c r="AA34" s="1380"/>
      <c r="AB34" s="1380"/>
      <c r="AC34" s="1380"/>
      <c r="AD34" s="1380"/>
      <c r="AE34" s="1380"/>
      <c r="AF34" s="1380"/>
      <c r="AG34" s="1380"/>
      <c r="AH34" s="1380"/>
    </row>
    <row r="35" spans="1:46">
      <c r="A35" s="1373"/>
      <c r="B35" s="1408"/>
      <c r="C35" s="1409">
        <v>0.67</v>
      </c>
      <c r="D35" s="1410" t="s">
        <v>993</v>
      </c>
      <c r="E35" s="1411" t="s">
        <v>976</v>
      </c>
      <c r="F35" s="1412">
        <f>((F36*$D$36)+(F37*$D$37)+(F38*$D$38))</f>
        <v>1</v>
      </c>
      <c r="G35" s="1412" t="e">
        <f t="shared" ref="G35:R35" si="17">((G36*$D$36)+(G37*$D$37)+(G38*$D$38))</f>
        <v>#DIV/0!</v>
      </c>
      <c r="H35" s="1412" t="e">
        <f t="shared" si="17"/>
        <v>#DIV/0!</v>
      </c>
      <c r="I35" s="1412" t="e">
        <f t="shared" si="17"/>
        <v>#DIV/0!</v>
      </c>
      <c r="J35" s="1412" t="e">
        <f t="shared" si="17"/>
        <v>#DIV/0!</v>
      </c>
      <c r="K35" s="1412" t="e">
        <f t="shared" si="17"/>
        <v>#DIV/0!</v>
      </c>
      <c r="L35" s="1412" t="e">
        <f t="shared" si="17"/>
        <v>#DIV/0!</v>
      </c>
      <c r="M35" s="1412" t="e">
        <f t="shared" si="17"/>
        <v>#DIV/0!</v>
      </c>
      <c r="N35" s="1412" t="e">
        <f t="shared" si="17"/>
        <v>#DIV/0!</v>
      </c>
      <c r="O35" s="1412" t="e">
        <f t="shared" si="17"/>
        <v>#DIV/0!</v>
      </c>
      <c r="P35" s="1412" t="e">
        <f t="shared" si="17"/>
        <v>#DIV/0!</v>
      </c>
      <c r="Q35" s="1412" t="e">
        <f t="shared" si="17"/>
        <v>#DIV/0!</v>
      </c>
      <c r="R35" s="1412">
        <f t="shared" si="17"/>
        <v>1</v>
      </c>
      <c r="T35" s="1403"/>
      <c r="AI35" s="1404"/>
      <c r="AJ35" s="1404"/>
      <c r="AK35" s="1404"/>
      <c r="AL35" s="1404"/>
      <c r="AM35" s="1404"/>
      <c r="AN35" s="1404"/>
      <c r="AO35" s="1404"/>
      <c r="AP35" s="1404"/>
      <c r="AQ35" s="1404"/>
      <c r="AR35" s="1404"/>
      <c r="AS35" s="1404"/>
      <c r="AT35" s="1404"/>
    </row>
    <row r="36" spans="1:46">
      <c r="A36" s="1373"/>
      <c r="B36" s="1408"/>
      <c r="C36" s="1423"/>
      <c r="D36" s="1417">
        <v>0.31</v>
      </c>
      <c r="E36" s="1423" t="s">
        <v>994</v>
      </c>
      <c r="F36" s="1414">
        <f>('[1]O1-O2 Unit-Rel'!L37*'[1]O1-O2 Unit-Rel'!$A$37)+('[1]O1-O2 Unit-Rel'!L38*'[1]O1-O2 Unit-Rel'!$A$38)</f>
        <v>1</v>
      </c>
      <c r="G36" s="1414" t="e">
        <f>('[1]O1-O2 Unit-Rel'!U37*'[1]O1-O2 Unit-Rel'!$A$37)+('[1]O1-O2 Unit-Rel'!U38*'[1]O1-O2 Unit-Rel'!$A$38)</f>
        <v>#DIV/0!</v>
      </c>
      <c r="H36" s="1414" t="e">
        <f>('[1]O1-O2 Unit-Rel'!AD37*'[1]O1-O2 Unit-Rel'!$A$37)+('[1]O1-O2 Unit-Rel'!AD38*'[1]O1-O2 Unit-Rel'!$A$38)</f>
        <v>#DIV/0!</v>
      </c>
      <c r="I36" s="1414" t="e">
        <f>('[1]O1-O2 Unit-Rel'!AM37*'[1]O1-O2 Unit-Rel'!$A$37)+('[1]O1-O2 Unit-Rel'!AM38*'[1]O1-O2 Unit-Rel'!$A$38)</f>
        <v>#DIV/0!</v>
      </c>
      <c r="J36" s="1414" t="e">
        <f>('[1]O1-O2 Unit-Rel'!AV37*'[1]O1-O2 Unit-Rel'!$A$37)+('[1]O1-O2 Unit-Rel'!AV38*'[1]O1-O2 Unit-Rel'!$A$38)</f>
        <v>#DIV/0!</v>
      </c>
      <c r="K36" s="1414" t="e">
        <f>('[1]O1-O2 Unit-Rel'!BE37*'[1]O1-O2 Unit-Rel'!$A$37)+('[1]O1-O2 Unit-Rel'!BE38*'[1]O1-O2 Unit-Rel'!$A$38)</f>
        <v>#DIV/0!</v>
      </c>
      <c r="L36" s="1414" t="e">
        <f>('[1]O1-O2 Unit-Rel'!BN37*'[1]O1-O2 Unit-Rel'!$A$37)+('[1]O1-O2 Unit-Rel'!BN38*'[1]O1-O2 Unit-Rel'!$A$38)</f>
        <v>#DIV/0!</v>
      </c>
      <c r="M36" s="1414" t="e">
        <f>('[1]O1-O2 Unit-Rel'!BW37*'[1]O1-O2 Unit-Rel'!$A$37)+('[1]O1-O2 Unit-Rel'!BW38*'[1]O1-O2 Unit-Rel'!$A$38)</f>
        <v>#DIV/0!</v>
      </c>
      <c r="N36" s="1414" t="e">
        <f>('[1]O1-O2 Unit-Rel'!CF37*'[1]O1-O2 Unit-Rel'!$A$37)+('[1]O1-O2 Unit-Rel'!CF38*'[1]O1-O2 Unit-Rel'!$A$38)</f>
        <v>#DIV/0!</v>
      </c>
      <c r="O36" s="1414" t="e">
        <f>('[1]O1-O2 Unit-Rel'!CO37*'[1]O1-O2 Unit-Rel'!$A$37)+('[1]O1-O2 Unit-Rel'!CO38*'[1]O1-O2 Unit-Rel'!$A$38)</f>
        <v>#DIV/0!</v>
      </c>
      <c r="P36" s="1414" t="e">
        <f>('[1]O1-O2 Unit-Rel'!CX37*'[1]O1-O2 Unit-Rel'!$A$37)+('[1]O1-O2 Unit-Rel'!CX38*'[1]O1-O2 Unit-Rel'!$A$38)</f>
        <v>#DIV/0!</v>
      </c>
      <c r="Q36" s="1414" t="e">
        <f>('[1]O1-O2 Unit-Rel'!DG37*'[1]O1-O2 Unit-Rel'!$A$37)+('[1]O1-O2 Unit-Rel'!DG38*'[1]O1-O2 Unit-Rel'!$A$38)</f>
        <v>#DIV/0!</v>
      </c>
      <c r="R36" s="1414">
        <f>('[1]O1-O2 Unit-Rel'!DP37*'[1]O1-O2 Unit-Rel'!$A$37)+('[1]O1-O2 Unit-Rel'!DP38*'[1]O1-O2 Unit-Rel'!$A$38)</f>
        <v>1</v>
      </c>
    </row>
    <row r="37" spans="1:46">
      <c r="A37" s="1373"/>
      <c r="B37" s="1408"/>
      <c r="C37" s="1425"/>
      <c r="D37" s="1426">
        <v>0.23</v>
      </c>
      <c r="E37" s="1423" t="s">
        <v>995</v>
      </c>
      <c r="F37" s="1414">
        <f>('[1]O1-O2 Unit-Rel'!L39*'[1]O1-O2 Unit-Rel'!$A$39)+('[1]O1-O2 Unit-Rel'!L40*'[1]O1-O2 Unit-Rel'!$A$40)+('[1]O1-O2 Unit-Rel'!L41*'[1]O1-O2 Unit-Rel'!$A$41)</f>
        <v>1</v>
      </c>
      <c r="G37" s="1414" t="e">
        <f>('[1]O1-O2 Unit-Rel'!U39*'[1]O1-O2 Unit-Rel'!$A$39)+('[1]O1-O2 Unit-Rel'!U40*'[1]O1-O2 Unit-Rel'!$A$40)+('[1]O1-O2 Unit-Rel'!U41*'[1]O1-O2 Unit-Rel'!$A$41)</f>
        <v>#DIV/0!</v>
      </c>
      <c r="H37" s="1414" t="e">
        <f>('[1]O1-O2 Unit-Rel'!AD39*'[1]O1-O2 Unit-Rel'!$A$39)+('[1]O1-O2 Unit-Rel'!AD40*'[1]O1-O2 Unit-Rel'!$A$40)+('[1]O1-O2 Unit-Rel'!AD41*'[1]O1-O2 Unit-Rel'!$A$41)</f>
        <v>#DIV/0!</v>
      </c>
      <c r="I37" s="1414" t="e">
        <f>('[1]O1-O2 Unit-Rel'!AM39*'[1]O1-O2 Unit-Rel'!$A$39)+('[1]O1-O2 Unit-Rel'!AM40*'[1]O1-O2 Unit-Rel'!$A$40)+('[1]O1-O2 Unit-Rel'!AM41*'[1]O1-O2 Unit-Rel'!$A$41)</f>
        <v>#DIV/0!</v>
      </c>
      <c r="J37" s="1414" t="e">
        <f>('[1]O1-O2 Unit-Rel'!AV39*'[1]O1-O2 Unit-Rel'!$A$39)+('[1]O1-O2 Unit-Rel'!AV40*'[1]O1-O2 Unit-Rel'!$A$40)+('[1]O1-O2 Unit-Rel'!AV41*'[1]O1-O2 Unit-Rel'!$A$41)</f>
        <v>#DIV/0!</v>
      </c>
      <c r="K37" s="1414" t="e">
        <f>('[1]O1-O2 Unit-Rel'!BE39*'[1]O1-O2 Unit-Rel'!$A$39)+('[1]O1-O2 Unit-Rel'!BE40*'[1]O1-O2 Unit-Rel'!$A$40)+('[1]O1-O2 Unit-Rel'!BE41*'[1]O1-O2 Unit-Rel'!$A$41)</f>
        <v>#DIV/0!</v>
      </c>
      <c r="L37" s="1414" t="e">
        <f>('[1]O1-O2 Unit-Rel'!BN39*'[1]O1-O2 Unit-Rel'!$A$39)+('[1]O1-O2 Unit-Rel'!BN40*'[1]O1-O2 Unit-Rel'!$A$40)+('[1]O1-O2 Unit-Rel'!BN41*'[1]O1-O2 Unit-Rel'!$A$41)</f>
        <v>#DIV/0!</v>
      </c>
      <c r="M37" s="1414" t="e">
        <f>('[1]O1-O2 Unit-Rel'!BW39*'[1]O1-O2 Unit-Rel'!$A$39)+('[1]O1-O2 Unit-Rel'!BW40*'[1]O1-O2 Unit-Rel'!$A$40)+('[1]O1-O2 Unit-Rel'!BW41*'[1]O1-O2 Unit-Rel'!$A$41)</f>
        <v>#DIV/0!</v>
      </c>
      <c r="N37" s="1414" t="e">
        <f>('[1]O1-O2 Unit-Rel'!CF39*'[1]O1-O2 Unit-Rel'!$A$39)+('[1]O1-O2 Unit-Rel'!CF40*'[1]O1-O2 Unit-Rel'!$A$40)+('[1]O1-O2 Unit-Rel'!CF41*'[1]O1-O2 Unit-Rel'!$A$41)</f>
        <v>#DIV/0!</v>
      </c>
      <c r="O37" s="1414" t="e">
        <f>('[1]O1-O2 Unit-Rel'!CO39*'[1]O1-O2 Unit-Rel'!$A$39)+('[1]O1-O2 Unit-Rel'!CO40*'[1]O1-O2 Unit-Rel'!$A$40)+('[1]O1-O2 Unit-Rel'!CO41*'[1]O1-O2 Unit-Rel'!$A$41)</f>
        <v>#DIV/0!</v>
      </c>
      <c r="P37" s="1414" t="e">
        <f>('[1]O1-O2 Unit-Rel'!CX39*'[1]O1-O2 Unit-Rel'!$A$39)+('[1]O1-O2 Unit-Rel'!CX40*'[1]O1-O2 Unit-Rel'!$A$40)+('[1]O1-O2 Unit-Rel'!CX41*'[1]O1-O2 Unit-Rel'!$A$41)</f>
        <v>#DIV/0!</v>
      </c>
      <c r="Q37" s="1414" t="e">
        <f>('[1]O1-O2 Unit-Rel'!DG39*'[1]O1-O2 Unit-Rel'!$A$39)+('[1]O1-O2 Unit-Rel'!DG40*'[1]O1-O2 Unit-Rel'!$A$40)+('[1]O1-O2 Unit-Rel'!DG41*'[1]O1-O2 Unit-Rel'!$A$41)</f>
        <v>#DIV/0!</v>
      </c>
      <c r="R37" s="1414">
        <f>('[1]O1-O2 Unit-Rel'!DP39*'[1]O1-O2 Unit-Rel'!$A$39)+('[1]O1-O2 Unit-Rel'!DP40*'[1]O1-O2 Unit-Rel'!$A$40)+('[1]O1-O2 Unit-Rel'!DP41*'[1]O1-O2 Unit-Rel'!$A$41)</f>
        <v>1</v>
      </c>
    </row>
    <row r="38" spans="1:46">
      <c r="A38" s="1373"/>
      <c r="B38" s="1408"/>
      <c r="C38" s="1423"/>
      <c r="D38" s="1419">
        <v>0.46</v>
      </c>
      <c r="E38" s="1423" t="s">
        <v>996</v>
      </c>
      <c r="F38" s="1414">
        <f>('[1]O1-O2 Unit-Rel'!L42*'[1]O1-O2 Unit-Rel'!$A$42)</f>
        <v>1</v>
      </c>
      <c r="G38" s="1414" t="e">
        <f>('[1]O1-O2 Unit-Rel'!U42*'[1]O1-O2 Unit-Rel'!$A$42)</f>
        <v>#DIV/0!</v>
      </c>
      <c r="H38" s="1414" t="e">
        <f>('[1]O1-O2 Unit-Rel'!AD42*'[1]O1-O2 Unit-Rel'!$A$42)</f>
        <v>#DIV/0!</v>
      </c>
      <c r="I38" s="1414" t="e">
        <f>('[1]O1-O2 Unit-Rel'!AM42*'[1]O1-O2 Unit-Rel'!$A$42)</f>
        <v>#DIV/0!</v>
      </c>
      <c r="J38" s="1414" t="e">
        <f>('[1]O1-O2 Unit-Rel'!AV42*'[1]O1-O2 Unit-Rel'!$A$42)</f>
        <v>#DIV/0!</v>
      </c>
      <c r="K38" s="1414" t="e">
        <f>('[1]O1-O2 Unit-Rel'!BE42*'[1]O1-O2 Unit-Rel'!$A$42)</f>
        <v>#DIV/0!</v>
      </c>
      <c r="L38" s="1414" t="e">
        <f>('[1]O1-O2 Unit-Rel'!BN42*'[1]O1-O2 Unit-Rel'!$A$42)</f>
        <v>#DIV/0!</v>
      </c>
      <c r="M38" s="1414" t="e">
        <f>('[1]O1-O2 Unit-Rel'!BW42*'[1]O1-O2 Unit-Rel'!$A$42)</f>
        <v>#DIV/0!</v>
      </c>
      <c r="N38" s="1414" t="e">
        <f>('[1]O1-O2 Unit-Rel'!CF42*'[1]O1-O2 Unit-Rel'!$A$42)</f>
        <v>#DIV/0!</v>
      </c>
      <c r="O38" s="1414" t="e">
        <f>('[1]O1-O2 Unit-Rel'!CO42*'[1]O1-O2 Unit-Rel'!$A$42)</f>
        <v>#DIV/0!</v>
      </c>
      <c r="P38" s="1414" t="e">
        <f>('[1]O1-O2 Unit-Rel'!CX42*'[1]O1-O2 Unit-Rel'!$A$42)</f>
        <v>#DIV/0!</v>
      </c>
      <c r="Q38" s="1414" t="e">
        <f>('[1]O1-O2 Unit-Rel'!DG42*'[1]O1-O2 Unit-Rel'!$A$42)</f>
        <v>#DIV/0!</v>
      </c>
      <c r="R38" s="1414">
        <f>('[1]O1-O2 Unit-Rel'!DP42*'[1]O1-O2 Unit-Rel'!$A$42)</f>
        <v>1</v>
      </c>
    </row>
    <row r="39" spans="1:46">
      <c r="A39" s="1373"/>
      <c r="B39" s="1408"/>
      <c r="C39" s="1409">
        <v>0.33</v>
      </c>
      <c r="D39" s="1410" t="s">
        <v>997</v>
      </c>
      <c r="E39" s="1411" t="s">
        <v>976</v>
      </c>
      <c r="F39" s="1412">
        <f>((F40*$D$40)+(F41*$D$41)+(F42*$D$42))</f>
        <v>1</v>
      </c>
      <c r="G39" s="1412" t="e">
        <f t="shared" ref="G39:Q39" si="18">((G40*$D$40)+(G41*$D$41)+(G42*$D$42))</f>
        <v>#DIV/0!</v>
      </c>
      <c r="H39" s="1412" t="e">
        <f t="shared" si="18"/>
        <v>#DIV/0!</v>
      </c>
      <c r="I39" s="1412" t="e">
        <f t="shared" si="18"/>
        <v>#DIV/0!</v>
      </c>
      <c r="J39" s="1412" t="e">
        <f t="shared" si="18"/>
        <v>#DIV/0!</v>
      </c>
      <c r="K39" s="1412" t="e">
        <f t="shared" si="18"/>
        <v>#DIV/0!</v>
      </c>
      <c r="L39" s="1412" t="e">
        <f t="shared" si="18"/>
        <v>#DIV/0!</v>
      </c>
      <c r="M39" s="1412" t="e">
        <f t="shared" si="18"/>
        <v>#DIV/0!</v>
      </c>
      <c r="N39" s="1412" t="e">
        <f t="shared" si="18"/>
        <v>#DIV/0!</v>
      </c>
      <c r="O39" s="1412" t="e">
        <f t="shared" si="18"/>
        <v>#DIV/0!</v>
      </c>
      <c r="P39" s="1412" t="e">
        <f t="shared" si="18"/>
        <v>#DIV/0!</v>
      </c>
      <c r="Q39" s="1412" t="e">
        <f t="shared" si="18"/>
        <v>#DIV/0!</v>
      </c>
      <c r="R39" s="1412">
        <f>((R40*$D$40)+(R41*$D$41)+(R42*$D$42))</f>
        <v>1</v>
      </c>
      <c r="T39" s="1403"/>
      <c r="AI39" s="1404"/>
      <c r="AJ39" s="1404"/>
      <c r="AK39" s="1404"/>
      <c r="AL39" s="1404"/>
      <c r="AM39" s="1404"/>
      <c r="AN39" s="1404"/>
      <c r="AO39" s="1404"/>
      <c r="AP39" s="1404"/>
      <c r="AQ39" s="1404"/>
      <c r="AR39" s="1404"/>
      <c r="AS39" s="1404"/>
      <c r="AT39" s="1404"/>
    </row>
    <row r="40" spans="1:46">
      <c r="A40" s="1373"/>
      <c r="B40" s="1408"/>
      <c r="C40" s="1423"/>
      <c r="D40" s="1417">
        <v>0.63</v>
      </c>
      <c r="E40" s="1423" t="s">
        <v>998</v>
      </c>
      <c r="F40" s="1414">
        <f>('[1]O1-O2 Unit-Rel'!L43*'[1]O1-O2 Unit-Rel'!$A$43)+('[1]O1-O2 Unit-Rel'!L44*'[1]O1-O2 Unit-Rel'!$A$44)+('[1]O1-O2 Unit-Rel'!L45*'[1]O1-O2 Unit-Rel'!$A$45)</f>
        <v>1</v>
      </c>
      <c r="G40" s="1414" t="e">
        <f>('[1]O1-O2 Unit-Rel'!U43*'[1]O1-O2 Unit-Rel'!$A$43)+('[1]O1-O2 Unit-Rel'!U44*'[1]O1-O2 Unit-Rel'!$A$44)+('[1]O1-O2 Unit-Rel'!U45*'[1]O1-O2 Unit-Rel'!$A$45)</f>
        <v>#DIV/0!</v>
      </c>
      <c r="H40" s="1414" t="e">
        <f>('[1]O1-O2 Unit-Rel'!AD43*'[1]O1-O2 Unit-Rel'!$A$43)+('[1]O1-O2 Unit-Rel'!AD44*'[1]O1-O2 Unit-Rel'!$A$44)+('[1]O1-O2 Unit-Rel'!AD45*'[1]O1-O2 Unit-Rel'!$A$45)</f>
        <v>#DIV/0!</v>
      </c>
      <c r="I40" s="1414" t="e">
        <f>('[1]O1-O2 Unit-Rel'!AM43*'[1]O1-O2 Unit-Rel'!$A$43)+('[1]O1-O2 Unit-Rel'!AM44*'[1]O1-O2 Unit-Rel'!$A$44)+('[1]O1-O2 Unit-Rel'!AM45*'[1]O1-O2 Unit-Rel'!$A$45)</f>
        <v>#DIV/0!</v>
      </c>
      <c r="J40" s="1414" t="e">
        <f>('[1]O1-O2 Unit-Rel'!AV43*'[1]O1-O2 Unit-Rel'!$A$43)+('[1]O1-O2 Unit-Rel'!AV44*'[1]O1-O2 Unit-Rel'!$A$44)+('[1]O1-O2 Unit-Rel'!AV45*'[1]O1-O2 Unit-Rel'!$A$45)</f>
        <v>#DIV/0!</v>
      </c>
      <c r="K40" s="1414" t="e">
        <f>('[1]O1-O2 Unit-Rel'!BE43*'[1]O1-O2 Unit-Rel'!$A$43)+('[1]O1-O2 Unit-Rel'!BE44*'[1]O1-O2 Unit-Rel'!$A$44)+('[1]O1-O2 Unit-Rel'!BE45*'[1]O1-O2 Unit-Rel'!$A$45)</f>
        <v>#DIV/0!</v>
      </c>
      <c r="L40" s="1414" t="e">
        <f>('[1]O1-O2 Unit-Rel'!BN43*'[1]O1-O2 Unit-Rel'!$A$43)+('[1]O1-O2 Unit-Rel'!BN44*'[1]O1-O2 Unit-Rel'!$A$44)+('[1]O1-O2 Unit-Rel'!BN45*'[1]O1-O2 Unit-Rel'!$A$45)</f>
        <v>#DIV/0!</v>
      </c>
      <c r="M40" s="1414" t="e">
        <f>('[1]O1-O2 Unit-Rel'!BW43*'[1]O1-O2 Unit-Rel'!$A$43)+('[1]O1-O2 Unit-Rel'!BW44*'[1]O1-O2 Unit-Rel'!$A$44)+('[1]O1-O2 Unit-Rel'!BW45*'[1]O1-O2 Unit-Rel'!$A$45)</f>
        <v>#DIV/0!</v>
      </c>
      <c r="N40" s="1414" t="e">
        <f>('[1]O1-O2 Unit-Rel'!CF43*'[1]O1-O2 Unit-Rel'!$A$43)+('[1]O1-O2 Unit-Rel'!CF44*'[1]O1-O2 Unit-Rel'!$A$44)+('[1]O1-O2 Unit-Rel'!CF45*'[1]O1-O2 Unit-Rel'!$A$45)</f>
        <v>#DIV/0!</v>
      </c>
      <c r="O40" s="1414" t="e">
        <f>('[1]O1-O2 Unit-Rel'!CO43*'[1]O1-O2 Unit-Rel'!$A$43)+('[1]O1-O2 Unit-Rel'!CO44*'[1]O1-O2 Unit-Rel'!$A$44)+('[1]O1-O2 Unit-Rel'!CO45*'[1]O1-O2 Unit-Rel'!$A$45)</f>
        <v>#DIV/0!</v>
      </c>
      <c r="P40" s="1414" t="e">
        <f>('[1]O1-O2 Unit-Rel'!CX43*'[1]O1-O2 Unit-Rel'!$A$43)+('[1]O1-O2 Unit-Rel'!CX44*'[1]O1-O2 Unit-Rel'!$A$44)+('[1]O1-O2 Unit-Rel'!CX45*'[1]O1-O2 Unit-Rel'!$A$45)</f>
        <v>#DIV/0!</v>
      </c>
      <c r="Q40" s="1414" t="e">
        <f>('[1]O1-O2 Unit-Rel'!DG43*'[1]O1-O2 Unit-Rel'!$A$43)+('[1]O1-O2 Unit-Rel'!DG44*'[1]O1-O2 Unit-Rel'!$A$44)+('[1]O1-O2 Unit-Rel'!DG45*'[1]O1-O2 Unit-Rel'!$A$45)</f>
        <v>#DIV/0!</v>
      </c>
      <c r="R40" s="1414">
        <f>('[1]O1-O2 Unit-Rel'!DP43*'[1]O1-O2 Unit-Rel'!$A$43)+('[1]O1-O2 Unit-Rel'!DP44*'[1]O1-O2 Unit-Rel'!$A$44)+('[1]O1-O2 Unit-Rel'!DP45*'[1]O1-O2 Unit-Rel'!$A$45)</f>
        <v>1</v>
      </c>
    </row>
    <row r="41" spans="1:46">
      <c r="A41" s="1373"/>
      <c r="B41" s="1408"/>
      <c r="C41" s="1425"/>
      <c r="D41" s="1426">
        <v>0.26</v>
      </c>
      <c r="E41" s="1423" t="s">
        <v>999</v>
      </c>
      <c r="F41" s="1414">
        <f>('[1]O1-O2 Unit-Rel'!L46*'[1]O1-O2 Unit-Rel'!$A$46)+('[1]O1-O2 Unit-Rel'!L47*'[1]O1-O2 Unit-Rel'!$A$47)+('[1]O1-O2 Unit-Rel'!L48*'[1]O1-O2 Unit-Rel'!$A$48)</f>
        <v>1</v>
      </c>
      <c r="G41" s="1414" t="e">
        <f>('[1]O1-O2 Unit-Rel'!U46*'[1]O1-O2 Unit-Rel'!$A$46)+('[1]O1-O2 Unit-Rel'!U47*'[1]O1-O2 Unit-Rel'!$A$47)+('[1]O1-O2 Unit-Rel'!U48*'[1]O1-O2 Unit-Rel'!$A$48)</f>
        <v>#DIV/0!</v>
      </c>
      <c r="H41" s="1414" t="e">
        <f>('[1]O1-O2 Unit-Rel'!AD46*'[1]O1-O2 Unit-Rel'!$A$46)+('[1]O1-O2 Unit-Rel'!AD47*'[1]O1-O2 Unit-Rel'!$A$47)+('[1]O1-O2 Unit-Rel'!AD48*'[1]O1-O2 Unit-Rel'!$A$48)</f>
        <v>#DIV/0!</v>
      </c>
      <c r="I41" s="1414" t="e">
        <f>('[1]O1-O2 Unit-Rel'!AM46*'[1]O1-O2 Unit-Rel'!$A$46)+('[1]O1-O2 Unit-Rel'!AM47*'[1]O1-O2 Unit-Rel'!$A$47)+('[1]O1-O2 Unit-Rel'!AM48*'[1]O1-O2 Unit-Rel'!$A$48)</f>
        <v>#DIV/0!</v>
      </c>
      <c r="J41" s="1414" t="e">
        <f>('[1]O1-O2 Unit-Rel'!AV46*'[1]O1-O2 Unit-Rel'!$A$46)+('[1]O1-O2 Unit-Rel'!AV47*'[1]O1-O2 Unit-Rel'!$A$47)+('[1]O1-O2 Unit-Rel'!AV48*'[1]O1-O2 Unit-Rel'!$A$48)</f>
        <v>#DIV/0!</v>
      </c>
      <c r="K41" s="1414" t="e">
        <f>('[1]O1-O2 Unit-Rel'!BE46*'[1]O1-O2 Unit-Rel'!$A$46)+('[1]O1-O2 Unit-Rel'!BE47*'[1]O1-O2 Unit-Rel'!$A$47)+('[1]O1-O2 Unit-Rel'!BE48*'[1]O1-O2 Unit-Rel'!$A$48)</f>
        <v>#DIV/0!</v>
      </c>
      <c r="L41" s="1414" t="e">
        <f>('[1]O1-O2 Unit-Rel'!BN46*'[1]O1-O2 Unit-Rel'!$A$46)+('[1]O1-O2 Unit-Rel'!BN47*'[1]O1-O2 Unit-Rel'!$A$47)+('[1]O1-O2 Unit-Rel'!BN48*'[1]O1-O2 Unit-Rel'!$A$48)</f>
        <v>#DIV/0!</v>
      </c>
      <c r="M41" s="1414" t="e">
        <f>('[1]O1-O2 Unit-Rel'!BW46*'[1]O1-O2 Unit-Rel'!$A$46)+('[1]O1-O2 Unit-Rel'!BW47*'[1]O1-O2 Unit-Rel'!$A$47)+('[1]O1-O2 Unit-Rel'!BW48*'[1]O1-O2 Unit-Rel'!$A$48)</f>
        <v>#DIV/0!</v>
      </c>
      <c r="N41" s="1414" t="e">
        <f>('[1]O1-O2 Unit-Rel'!CF46*'[1]O1-O2 Unit-Rel'!$A$46)+('[1]O1-O2 Unit-Rel'!CF47*'[1]O1-O2 Unit-Rel'!$A$47)+('[1]O1-O2 Unit-Rel'!CF48*'[1]O1-O2 Unit-Rel'!$A$48)</f>
        <v>#DIV/0!</v>
      </c>
      <c r="O41" s="1414" t="e">
        <f>('[1]O1-O2 Unit-Rel'!CO46*'[1]O1-O2 Unit-Rel'!$A$46)+('[1]O1-O2 Unit-Rel'!CO47*'[1]O1-O2 Unit-Rel'!$A$47)+('[1]O1-O2 Unit-Rel'!CO48*'[1]O1-O2 Unit-Rel'!$A$48)</f>
        <v>#DIV/0!</v>
      </c>
      <c r="P41" s="1414" t="e">
        <f>('[1]O1-O2 Unit-Rel'!CX46*'[1]O1-O2 Unit-Rel'!$A$46)+('[1]O1-O2 Unit-Rel'!CX47*'[1]O1-O2 Unit-Rel'!$A$47)+('[1]O1-O2 Unit-Rel'!CX48*'[1]O1-O2 Unit-Rel'!$A$48)</f>
        <v>#DIV/0!</v>
      </c>
      <c r="Q41" s="1414" t="e">
        <f>('[1]O1-O2 Unit-Rel'!DG46*'[1]O1-O2 Unit-Rel'!$A$46)+('[1]O1-O2 Unit-Rel'!DG47*'[1]O1-O2 Unit-Rel'!$A$47)+('[1]O1-O2 Unit-Rel'!DG48*'[1]O1-O2 Unit-Rel'!$A$48)</f>
        <v>#DIV/0!</v>
      </c>
      <c r="R41" s="1414">
        <f>('[1]O1-O2 Unit-Rel'!DP46*'[1]O1-O2 Unit-Rel'!$A$46)+('[1]O1-O2 Unit-Rel'!DP47*'[1]O1-O2 Unit-Rel'!$A$47)+('[1]O1-O2 Unit-Rel'!DP48*'[1]O1-O2 Unit-Rel'!$A$48)</f>
        <v>1</v>
      </c>
    </row>
    <row r="42" spans="1:46">
      <c r="A42" s="1373"/>
      <c r="B42" s="1408"/>
      <c r="C42" s="1423"/>
      <c r="D42" s="1419">
        <v>0.11</v>
      </c>
      <c r="E42" s="1423" t="s">
        <v>1000</v>
      </c>
      <c r="F42" s="1414">
        <f>('[1]O1-O2 Unit-Rel'!L49*'[1]O1-O2 Unit-Rel'!$A$49)</f>
        <v>1</v>
      </c>
      <c r="G42" s="1414" t="e">
        <f>('[1]O1-O2 Unit-Rel'!U49*'[1]O1-O2 Unit-Rel'!$A$49)</f>
        <v>#DIV/0!</v>
      </c>
      <c r="H42" s="1414" t="e">
        <f>('[1]O1-O2 Unit-Rel'!AD49*'[1]O1-O2 Unit-Rel'!$A$49)</f>
        <v>#DIV/0!</v>
      </c>
      <c r="I42" s="1414" t="e">
        <f>('[1]O1-O2 Unit-Rel'!AM49*'[1]O1-O2 Unit-Rel'!$A$49)</f>
        <v>#DIV/0!</v>
      </c>
      <c r="J42" s="1414" t="e">
        <f>('[1]O1-O2 Unit-Rel'!AV49*'[1]O1-O2 Unit-Rel'!$A$49)</f>
        <v>#DIV/0!</v>
      </c>
      <c r="K42" s="1414" t="e">
        <f>('[1]O1-O2 Unit-Rel'!BE49*'[1]O1-O2 Unit-Rel'!$A$49)</f>
        <v>#DIV/0!</v>
      </c>
      <c r="L42" s="1414" t="e">
        <f>('[1]O1-O2 Unit-Rel'!BN49*'[1]O1-O2 Unit-Rel'!$A$49)</f>
        <v>#DIV/0!</v>
      </c>
      <c r="M42" s="1414" t="e">
        <f>('[1]O1-O2 Unit-Rel'!BW49*'[1]O1-O2 Unit-Rel'!$A$49)</f>
        <v>#DIV/0!</v>
      </c>
      <c r="N42" s="1414" t="e">
        <f>('[1]O1-O2 Unit-Rel'!CF49*'[1]O1-O2 Unit-Rel'!$A$49)</f>
        <v>#DIV/0!</v>
      </c>
      <c r="O42" s="1414" t="e">
        <f>('[1]O1-O2 Unit-Rel'!CO49*'[1]O1-O2 Unit-Rel'!$A$49)</f>
        <v>#DIV/0!</v>
      </c>
      <c r="P42" s="1414" t="e">
        <f>('[1]O1-O2 Unit-Rel'!CX49*'[1]O1-O2 Unit-Rel'!$A$49)</f>
        <v>#DIV/0!</v>
      </c>
      <c r="Q42" s="1414" t="e">
        <f>('[1]O1-O2 Unit-Rel'!DG49*'[1]O1-O2 Unit-Rel'!$A$49)</f>
        <v>#DIV/0!</v>
      </c>
      <c r="R42" s="1414">
        <f>('[1]O1-O2 Unit-Rel'!DP49*'[1]O1-O2 Unit-Rel'!$A$49)</f>
        <v>1</v>
      </c>
    </row>
    <row r="43" spans="1:46" s="1381" customFormat="1">
      <c r="A43" s="1380"/>
      <c r="B43" s="1388">
        <v>0.16</v>
      </c>
      <c r="C43" s="1760" t="s">
        <v>1001</v>
      </c>
      <c r="D43" s="1760"/>
      <c r="E43" s="1389" t="s">
        <v>976</v>
      </c>
      <c r="F43" s="1391">
        <f>(F44*$C$44)</f>
        <v>0.99240327060930189</v>
      </c>
      <c r="G43" s="1391" t="e">
        <f t="shared" ref="G43:Q43" si="19">(G44*$C$44)</f>
        <v>#DIV/0!</v>
      </c>
      <c r="H43" s="1391" t="e">
        <f t="shared" si="19"/>
        <v>#DIV/0!</v>
      </c>
      <c r="I43" s="1391" t="e">
        <f t="shared" si="19"/>
        <v>#DIV/0!</v>
      </c>
      <c r="J43" s="1391" t="e">
        <f t="shared" si="19"/>
        <v>#DIV/0!</v>
      </c>
      <c r="K43" s="1391" t="e">
        <f t="shared" si="19"/>
        <v>#DIV/0!</v>
      </c>
      <c r="L43" s="1391" t="e">
        <f t="shared" si="19"/>
        <v>#DIV/0!</v>
      </c>
      <c r="M43" s="1391" t="e">
        <f t="shared" si="19"/>
        <v>#DIV/0!</v>
      </c>
      <c r="N43" s="1391" t="e">
        <f t="shared" si="19"/>
        <v>#DIV/0!</v>
      </c>
      <c r="O43" s="1391" t="e">
        <f t="shared" si="19"/>
        <v>#DIV/0!</v>
      </c>
      <c r="P43" s="1391" t="e">
        <f t="shared" si="19"/>
        <v>#DIV/0!</v>
      </c>
      <c r="Q43" s="1391" t="e">
        <f t="shared" si="19"/>
        <v>#DIV/0!</v>
      </c>
      <c r="R43" s="1391">
        <f>(R44*$C$44)</f>
        <v>0.99240327060930189</v>
      </c>
      <c r="S43" s="1380"/>
      <c r="T43" s="1380"/>
      <c r="U43" s="1380"/>
      <c r="V43" s="1380"/>
      <c r="W43" s="1380"/>
      <c r="X43" s="1380"/>
      <c r="Y43" s="1380"/>
      <c r="Z43" s="1380"/>
      <c r="AA43" s="1380"/>
      <c r="AB43" s="1380"/>
      <c r="AC43" s="1380"/>
      <c r="AD43" s="1380"/>
      <c r="AE43" s="1380"/>
      <c r="AF43" s="1380"/>
      <c r="AG43" s="1380"/>
      <c r="AH43" s="1380"/>
    </row>
    <row r="44" spans="1:46">
      <c r="A44" s="1373"/>
      <c r="B44" s="1408"/>
      <c r="C44" s="1409">
        <v>1</v>
      </c>
      <c r="D44" s="1410" t="s">
        <v>1002</v>
      </c>
      <c r="E44" s="1411" t="s">
        <v>976</v>
      </c>
      <c r="F44" s="1412">
        <f>((F45*$D$45)+(F46*$D$46))</f>
        <v>0.99240327060930189</v>
      </c>
      <c r="G44" s="1412" t="e">
        <f t="shared" ref="G44:Q44" si="20">((G45*$D$45)+(G46*$D$46))</f>
        <v>#DIV/0!</v>
      </c>
      <c r="H44" s="1412" t="e">
        <f t="shared" si="20"/>
        <v>#DIV/0!</v>
      </c>
      <c r="I44" s="1412" t="e">
        <f t="shared" si="20"/>
        <v>#DIV/0!</v>
      </c>
      <c r="J44" s="1412" t="e">
        <f t="shared" si="20"/>
        <v>#DIV/0!</v>
      </c>
      <c r="K44" s="1412" t="e">
        <f t="shared" si="20"/>
        <v>#DIV/0!</v>
      </c>
      <c r="L44" s="1412" t="e">
        <f t="shared" si="20"/>
        <v>#DIV/0!</v>
      </c>
      <c r="M44" s="1412" t="e">
        <f t="shared" si="20"/>
        <v>#DIV/0!</v>
      </c>
      <c r="N44" s="1412" t="e">
        <f t="shared" si="20"/>
        <v>#DIV/0!</v>
      </c>
      <c r="O44" s="1412" t="e">
        <f t="shared" si="20"/>
        <v>#DIV/0!</v>
      </c>
      <c r="P44" s="1412" t="e">
        <f t="shared" si="20"/>
        <v>#DIV/0!</v>
      </c>
      <c r="Q44" s="1412" t="e">
        <f t="shared" si="20"/>
        <v>#DIV/0!</v>
      </c>
      <c r="R44" s="1412">
        <f>((R45*$D$45)+(R46*$D$46))</f>
        <v>0.99240327060930189</v>
      </c>
      <c r="T44" s="1403"/>
      <c r="AI44" s="1404"/>
      <c r="AJ44" s="1404"/>
      <c r="AK44" s="1404"/>
      <c r="AL44" s="1404"/>
      <c r="AM44" s="1404"/>
      <c r="AN44" s="1404"/>
      <c r="AO44" s="1404"/>
      <c r="AP44" s="1404"/>
      <c r="AQ44" s="1404"/>
      <c r="AR44" s="1404"/>
      <c r="AS44" s="1404"/>
      <c r="AT44" s="1404"/>
    </row>
    <row r="45" spans="1:46" ht="27.75">
      <c r="A45" s="1373"/>
      <c r="B45" s="1423"/>
      <c r="C45" s="1423"/>
      <c r="D45" s="1417">
        <v>0.52</v>
      </c>
      <c r="E45" s="1423" t="s">
        <v>1003</v>
      </c>
      <c r="F45" s="1414">
        <f>('[1]O1-O2 Unit-Rel'!L50*'[1]O1-O2 Unit-Rel'!$A$50)+('[1]O1-O2 Unit-Rel'!L51*'[1]O1-O2 Unit-Rel'!$A$51)+('[1]O1-O2 Unit-Rel'!L52*'[1]O1-O2 Unit-Rel'!$A$52)</f>
        <v>0.98539090501788817</v>
      </c>
      <c r="G45" s="1414" t="e">
        <f>('[1]O1-O2 Unit-Rel'!U50*'[1]O1-O2 Unit-Rel'!$A$50)+('[1]O1-O2 Unit-Rel'!U51*'[1]O1-O2 Unit-Rel'!$A$51)+('[1]O1-O2 Unit-Rel'!U52*'[1]O1-O2 Unit-Rel'!$A$52)</f>
        <v>#DIV/0!</v>
      </c>
      <c r="H45" s="1414" t="e">
        <f>('[1]O1-O2 Unit-Rel'!AD50*'[1]O1-O2 Unit-Rel'!$A$50)+('[1]O1-O2 Unit-Rel'!AD51*'[1]O1-O2 Unit-Rel'!$A$51)+('[1]O1-O2 Unit-Rel'!AD52*'[1]O1-O2 Unit-Rel'!$A$52)</f>
        <v>#DIV/0!</v>
      </c>
      <c r="I45" s="1414" t="e">
        <f>('[1]O1-O2 Unit-Rel'!AM50*'[1]O1-O2 Unit-Rel'!$A$50)+('[1]O1-O2 Unit-Rel'!AM51*'[1]O1-O2 Unit-Rel'!$A$51)+('[1]O1-O2 Unit-Rel'!AM52*'[1]O1-O2 Unit-Rel'!$A$52)</f>
        <v>#DIV/0!</v>
      </c>
      <c r="J45" s="1414" t="e">
        <f>('[1]O1-O2 Unit-Rel'!AV50*'[1]O1-O2 Unit-Rel'!$A$50)+('[1]O1-O2 Unit-Rel'!AV51*'[1]O1-O2 Unit-Rel'!$A$51)+('[1]O1-O2 Unit-Rel'!AV52*'[1]O1-O2 Unit-Rel'!$A$52)</f>
        <v>#DIV/0!</v>
      </c>
      <c r="K45" s="1414" t="e">
        <f>('[1]O1-O2 Unit-Rel'!BE50*'[1]O1-O2 Unit-Rel'!$A$50)+('[1]O1-O2 Unit-Rel'!BE51*'[1]O1-O2 Unit-Rel'!$A$51)+('[1]O1-O2 Unit-Rel'!BE52*'[1]O1-O2 Unit-Rel'!$A$52)</f>
        <v>#DIV/0!</v>
      </c>
      <c r="L45" s="1414" t="e">
        <f>('[1]O1-O2 Unit-Rel'!BN50*'[1]O1-O2 Unit-Rel'!$A$50)+('[1]O1-O2 Unit-Rel'!BN51*'[1]O1-O2 Unit-Rel'!$A$51)+('[1]O1-O2 Unit-Rel'!BN52*'[1]O1-O2 Unit-Rel'!$A$52)</f>
        <v>#DIV/0!</v>
      </c>
      <c r="M45" s="1414" t="e">
        <f>('[1]O1-O2 Unit-Rel'!BW50*'[1]O1-O2 Unit-Rel'!$A$50)+('[1]O1-O2 Unit-Rel'!BW51*'[1]O1-O2 Unit-Rel'!$A$51)+('[1]O1-O2 Unit-Rel'!BW52*'[1]O1-O2 Unit-Rel'!$A$52)</f>
        <v>#DIV/0!</v>
      </c>
      <c r="N45" s="1414" t="e">
        <f>('[1]O1-O2 Unit-Rel'!CF50*'[1]O1-O2 Unit-Rel'!$A$50)+('[1]O1-O2 Unit-Rel'!CF51*'[1]O1-O2 Unit-Rel'!$A$51)+('[1]O1-O2 Unit-Rel'!CF52*'[1]O1-O2 Unit-Rel'!$A$52)</f>
        <v>#DIV/0!</v>
      </c>
      <c r="O45" s="1414" t="e">
        <f>('[1]O1-O2 Unit-Rel'!CO50*'[1]O1-O2 Unit-Rel'!$A$50)+('[1]O1-O2 Unit-Rel'!CO51*'[1]O1-O2 Unit-Rel'!$A$51)+('[1]O1-O2 Unit-Rel'!CO52*'[1]O1-O2 Unit-Rel'!$A$52)</f>
        <v>#DIV/0!</v>
      </c>
      <c r="P45" s="1414" t="e">
        <f>('[1]O1-O2 Unit-Rel'!CX50*'[1]O1-O2 Unit-Rel'!$A$50)+('[1]O1-O2 Unit-Rel'!CX51*'[1]O1-O2 Unit-Rel'!$A$51)+('[1]O1-O2 Unit-Rel'!CX52*'[1]O1-O2 Unit-Rel'!$A$52)</f>
        <v>#DIV/0!</v>
      </c>
      <c r="Q45" s="1414" t="e">
        <f>('[1]O1-O2 Unit-Rel'!DG50*'[1]O1-O2 Unit-Rel'!$A$50)+('[1]O1-O2 Unit-Rel'!DG51*'[1]O1-O2 Unit-Rel'!$A$51)+('[1]O1-O2 Unit-Rel'!DG52*'[1]O1-O2 Unit-Rel'!$A$52)</f>
        <v>#DIV/0!</v>
      </c>
      <c r="R45" s="1414">
        <f>('[1]O1-O2 Unit-Rel'!DP50*'[1]O1-O2 Unit-Rel'!$A$50)+('[1]O1-O2 Unit-Rel'!DP51*'[1]O1-O2 Unit-Rel'!$A$51)+('[1]O1-O2 Unit-Rel'!DP52*'[1]O1-O2 Unit-Rel'!$A$52)</f>
        <v>0.98539090501788817</v>
      </c>
      <c r="T45" s="1424"/>
      <c r="U45" s="1401"/>
      <c r="V45" s="1401"/>
      <c r="W45" s="1401"/>
      <c r="AI45" s="1404"/>
      <c r="AJ45" s="1404"/>
      <c r="AK45" s="1404"/>
      <c r="AL45" s="1404"/>
      <c r="AM45" s="1404"/>
      <c r="AN45" s="1404"/>
      <c r="AO45" s="1404"/>
      <c r="AP45" s="1404"/>
      <c r="AQ45" s="1404"/>
      <c r="AR45" s="1404"/>
      <c r="AS45" s="1404"/>
      <c r="AT45" s="1404"/>
    </row>
    <row r="46" spans="1:46">
      <c r="A46" s="1373"/>
      <c r="B46" s="1423"/>
      <c r="C46" s="1423"/>
      <c r="D46" s="1419">
        <v>0.48</v>
      </c>
      <c r="E46" s="1423" t="s">
        <v>1004</v>
      </c>
      <c r="F46" s="1414">
        <f>('[1]O1-O2 Unit-Rel'!L53*'[1]O1-O2 Unit-Rel'!$A$53)+('[1]O1-O2 Unit-Rel'!L54*'[1]O1-O2 Unit-Rel'!$A$54)</f>
        <v>1</v>
      </c>
      <c r="G46" s="1414" t="e">
        <f>('[1]O1-O2 Unit-Rel'!U53*'[1]O1-O2 Unit-Rel'!$A$53)+('[1]O1-O2 Unit-Rel'!U54*'[1]O1-O2 Unit-Rel'!$A$54)</f>
        <v>#DIV/0!</v>
      </c>
      <c r="H46" s="1414" t="e">
        <f>('[1]O1-O2 Unit-Rel'!AD53*'[1]O1-O2 Unit-Rel'!$A$53)+('[1]O1-O2 Unit-Rel'!AD54*'[1]O1-O2 Unit-Rel'!$A$54)</f>
        <v>#DIV/0!</v>
      </c>
      <c r="I46" s="1414" t="e">
        <f>('[1]O1-O2 Unit-Rel'!AM53*'[1]O1-O2 Unit-Rel'!$A$53)+('[1]O1-O2 Unit-Rel'!AM54*'[1]O1-O2 Unit-Rel'!$A$54)</f>
        <v>#DIV/0!</v>
      </c>
      <c r="J46" s="1414" t="e">
        <f>('[1]O1-O2 Unit-Rel'!AV53*'[1]O1-O2 Unit-Rel'!$A$53)+('[1]O1-O2 Unit-Rel'!AV54*'[1]O1-O2 Unit-Rel'!$A$54)</f>
        <v>#DIV/0!</v>
      </c>
      <c r="K46" s="1414" t="e">
        <f>('[1]O1-O2 Unit-Rel'!BE53*'[1]O1-O2 Unit-Rel'!$A$53)+('[1]O1-O2 Unit-Rel'!BE54*'[1]O1-O2 Unit-Rel'!$A$54)</f>
        <v>#DIV/0!</v>
      </c>
      <c r="L46" s="1414" t="e">
        <f>('[1]O1-O2 Unit-Rel'!BN53*'[1]O1-O2 Unit-Rel'!$A$53)+('[1]O1-O2 Unit-Rel'!BN54*'[1]O1-O2 Unit-Rel'!$A$54)</f>
        <v>#DIV/0!</v>
      </c>
      <c r="M46" s="1414" t="e">
        <f>('[1]O1-O2 Unit-Rel'!BW53*'[1]O1-O2 Unit-Rel'!$A$53)+('[1]O1-O2 Unit-Rel'!BW54*'[1]O1-O2 Unit-Rel'!$A$54)</f>
        <v>#DIV/0!</v>
      </c>
      <c r="N46" s="1414" t="e">
        <f>('[1]O1-O2 Unit-Rel'!CF53*'[1]O1-O2 Unit-Rel'!$A$53)+('[1]O1-O2 Unit-Rel'!CF54*'[1]O1-O2 Unit-Rel'!$A$54)</f>
        <v>#DIV/0!</v>
      </c>
      <c r="O46" s="1414" t="e">
        <f>('[1]O1-O2 Unit-Rel'!CO53*'[1]O1-O2 Unit-Rel'!$A$53)+('[1]O1-O2 Unit-Rel'!CO54*'[1]O1-O2 Unit-Rel'!$A$54)</f>
        <v>#DIV/0!</v>
      </c>
      <c r="P46" s="1414" t="e">
        <f>('[1]O1-O2 Unit-Rel'!CX53*'[1]O1-O2 Unit-Rel'!$A$53)+('[1]O1-O2 Unit-Rel'!CX54*'[1]O1-O2 Unit-Rel'!$A$54)</f>
        <v>#DIV/0!</v>
      </c>
      <c r="Q46" s="1414" t="e">
        <f>('[1]O1-O2 Unit-Rel'!DG53*'[1]O1-O2 Unit-Rel'!$A$53)+('[1]O1-O2 Unit-Rel'!DG54*'[1]O1-O2 Unit-Rel'!$A$54)</f>
        <v>#DIV/0!</v>
      </c>
      <c r="R46" s="1414">
        <f>('[1]O1-O2 Unit-Rel'!DP53*'[1]O1-O2 Unit-Rel'!$A$53)+('[1]O1-O2 Unit-Rel'!DP54*'[1]O1-O2 Unit-Rel'!$A$54)</f>
        <v>1</v>
      </c>
      <c r="AI46" s="1404"/>
      <c r="AJ46" s="1404"/>
      <c r="AK46" s="1404"/>
      <c r="AL46" s="1404"/>
      <c r="AM46" s="1404"/>
      <c r="AN46" s="1404"/>
      <c r="AO46" s="1404"/>
      <c r="AP46" s="1404"/>
      <c r="AQ46" s="1404"/>
      <c r="AR46" s="1404"/>
      <c r="AS46" s="1404"/>
      <c r="AT46" s="1404"/>
    </row>
    <row r="47" spans="1:46" s="1381" customFormat="1">
      <c r="A47" s="1380"/>
      <c r="B47" s="1388">
        <v>0.44</v>
      </c>
      <c r="C47" s="1760" t="s">
        <v>1005</v>
      </c>
      <c r="D47" s="1760"/>
      <c r="E47" s="1389" t="s">
        <v>976</v>
      </c>
      <c r="F47" s="1391">
        <f>((F48*$C$48)+(F51*$C$51))</f>
        <v>1</v>
      </c>
      <c r="G47" s="1391" t="e">
        <f t="shared" ref="G47:R47" si="21">((G48*$C$48)+(G51*$C$51))</f>
        <v>#DIV/0!</v>
      </c>
      <c r="H47" s="1391" t="e">
        <f>((H48*$C$48)+(H51*$C$51))</f>
        <v>#DIV/0!</v>
      </c>
      <c r="I47" s="1391" t="e">
        <f t="shared" si="21"/>
        <v>#DIV/0!</v>
      </c>
      <c r="J47" s="1391" t="e">
        <f t="shared" si="21"/>
        <v>#DIV/0!</v>
      </c>
      <c r="K47" s="1391" t="e">
        <f t="shared" si="21"/>
        <v>#DIV/0!</v>
      </c>
      <c r="L47" s="1391" t="e">
        <f t="shared" si="21"/>
        <v>#DIV/0!</v>
      </c>
      <c r="M47" s="1391" t="e">
        <f t="shared" si="21"/>
        <v>#DIV/0!</v>
      </c>
      <c r="N47" s="1391" t="e">
        <f t="shared" si="21"/>
        <v>#DIV/0!</v>
      </c>
      <c r="O47" s="1391" t="e">
        <f t="shared" si="21"/>
        <v>#DIV/0!</v>
      </c>
      <c r="P47" s="1391" t="e">
        <f t="shared" si="21"/>
        <v>#DIV/0!</v>
      </c>
      <c r="Q47" s="1391" t="e">
        <f t="shared" si="21"/>
        <v>#DIV/0!</v>
      </c>
      <c r="R47" s="1391">
        <f t="shared" si="21"/>
        <v>1</v>
      </c>
      <c r="S47" s="1380"/>
      <c r="T47" s="1380"/>
      <c r="U47" s="1380"/>
      <c r="V47" s="1380"/>
      <c r="W47" s="1380"/>
      <c r="X47" s="1380"/>
      <c r="Y47" s="1380"/>
      <c r="Z47" s="1380"/>
      <c r="AA47" s="1380"/>
      <c r="AB47" s="1380"/>
      <c r="AC47" s="1380"/>
      <c r="AD47" s="1380"/>
      <c r="AE47" s="1380"/>
      <c r="AF47" s="1380"/>
      <c r="AG47" s="1380"/>
      <c r="AH47" s="1380"/>
    </row>
    <row r="48" spans="1:46">
      <c r="A48" s="1373"/>
      <c r="B48" s="1408"/>
      <c r="C48" s="1409">
        <v>0.48</v>
      </c>
      <c r="D48" s="1410" t="s">
        <v>1006</v>
      </c>
      <c r="E48" s="1411" t="s">
        <v>976</v>
      </c>
      <c r="F48" s="1412">
        <f>((F49*$D$49)+(F50*$D$50))</f>
        <v>1</v>
      </c>
      <c r="G48" s="1412" t="e">
        <f>((G49*$D$49)+(G50*$D$50))</f>
        <v>#DIV/0!</v>
      </c>
      <c r="H48" s="1412" t="e">
        <f>((H49*$D$49)+(H50*$D$50))</f>
        <v>#DIV/0!</v>
      </c>
      <c r="I48" s="1412" t="e">
        <f>((I49*$D$49)+(I50*$D$50))</f>
        <v>#DIV/0!</v>
      </c>
      <c r="J48" s="1412" t="e">
        <f>((J49*$D$49)+(J50*$D$50))</f>
        <v>#DIV/0!</v>
      </c>
      <c r="K48" s="1412" t="e">
        <f t="shared" ref="K48:R48" si="22">((K49*$D$49)+(K50*$D$50))</f>
        <v>#DIV/0!</v>
      </c>
      <c r="L48" s="1412" t="e">
        <f t="shared" si="22"/>
        <v>#DIV/0!</v>
      </c>
      <c r="M48" s="1412" t="e">
        <f t="shared" si="22"/>
        <v>#DIV/0!</v>
      </c>
      <c r="N48" s="1412" t="e">
        <f t="shared" si="22"/>
        <v>#DIV/0!</v>
      </c>
      <c r="O48" s="1412" t="e">
        <f t="shared" si="22"/>
        <v>#DIV/0!</v>
      </c>
      <c r="P48" s="1412" t="e">
        <f t="shared" si="22"/>
        <v>#DIV/0!</v>
      </c>
      <c r="Q48" s="1412" t="e">
        <f t="shared" si="22"/>
        <v>#DIV/0!</v>
      </c>
      <c r="R48" s="1412">
        <f t="shared" si="22"/>
        <v>1</v>
      </c>
      <c r="T48" s="1403"/>
      <c r="AI48" s="1404"/>
      <c r="AJ48" s="1404"/>
      <c r="AK48" s="1404"/>
      <c r="AL48" s="1404"/>
      <c r="AM48" s="1404"/>
      <c r="AN48" s="1404"/>
      <c r="AO48" s="1404"/>
      <c r="AP48" s="1404"/>
      <c r="AQ48" s="1404"/>
      <c r="AR48" s="1404"/>
      <c r="AS48" s="1404"/>
      <c r="AT48" s="1404"/>
    </row>
    <row r="49" spans="1:46" ht="27.75">
      <c r="A49" s="1373"/>
      <c r="B49" s="1423"/>
      <c r="C49" s="1423"/>
      <c r="D49" s="1417">
        <v>0.84</v>
      </c>
      <c r="E49" s="1423" t="s">
        <v>1007</v>
      </c>
      <c r="F49" s="1414">
        <f>('[1]O1-O2 Unit-Rel'!L55*'[1]O1-O2 Unit-Rel'!$A$55)+('[1]O1-O2 Unit-Rel'!L56*'[1]O1-O2 Unit-Rel'!$A$56)</f>
        <v>1</v>
      </c>
      <c r="G49" s="1414" t="e">
        <f>('[1]O1-O2 Unit-Rel'!U55*'[1]O1-O2 Unit-Rel'!$A$55)+('[1]O1-O2 Unit-Rel'!U56*'[1]O1-O2 Unit-Rel'!$A$56)</f>
        <v>#DIV/0!</v>
      </c>
      <c r="H49" s="1414" t="e">
        <f>('[1]O1-O2 Unit-Rel'!AD55*'[1]O1-O2 Unit-Rel'!$A$55)+('[1]O1-O2 Unit-Rel'!AD56*'[1]O1-O2 Unit-Rel'!$A$56)</f>
        <v>#DIV/0!</v>
      </c>
      <c r="I49" s="1414" t="e">
        <f>('[1]O1-O2 Unit-Rel'!AM55*'[1]O1-O2 Unit-Rel'!$A$55)+('[1]O1-O2 Unit-Rel'!AM56*'[1]O1-O2 Unit-Rel'!$A$56)</f>
        <v>#DIV/0!</v>
      </c>
      <c r="J49" s="1414" t="e">
        <f>('[1]O1-O2 Unit-Rel'!AV55*'[1]O1-O2 Unit-Rel'!$A$55)+('[1]O1-O2 Unit-Rel'!AV56*'[1]O1-O2 Unit-Rel'!$A$56)</f>
        <v>#DIV/0!</v>
      </c>
      <c r="K49" s="1414" t="e">
        <f>('[1]O1-O2 Unit-Rel'!BE55*'[1]O1-O2 Unit-Rel'!$A$55)+('[1]O1-O2 Unit-Rel'!BE56*'[1]O1-O2 Unit-Rel'!$A$56)</f>
        <v>#DIV/0!</v>
      </c>
      <c r="L49" s="1414" t="e">
        <f>('[1]O1-O2 Unit-Rel'!BN55*'[1]O1-O2 Unit-Rel'!$A$55)+('[1]O1-O2 Unit-Rel'!BN56*'[1]O1-O2 Unit-Rel'!$A$56)</f>
        <v>#DIV/0!</v>
      </c>
      <c r="M49" s="1414" t="e">
        <f>('[1]O1-O2 Unit-Rel'!BW55*'[1]O1-O2 Unit-Rel'!$A$55)+('[1]O1-O2 Unit-Rel'!BW56*'[1]O1-O2 Unit-Rel'!$A$56)</f>
        <v>#DIV/0!</v>
      </c>
      <c r="N49" s="1414" t="e">
        <f>('[1]O1-O2 Unit-Rel'!CF55*'[1]O1-O2 Unit-Rel'!$A$55)+('[1]O1-O2 Unit-Rel'!CF56*'[1]O1-O2 Unit-Rel'!$A$56)</f>
        <v>#DIV/0!</v>
      </c>
      <c r="O49" s="1414" t="e">
        <f>('[1]O1-O2 Unit-Rel'!CO55*'[1]O1-O2 Unit-Rel'!$A$55)+('[1]O1-O2 Unit-Rel'!CO56*'[1]O1-O2 Unit-Rel'!$A$56)</f>
        <v>#DIV/0!</v>
      </c>
      <c r="P49" s="1414" t="e">
        <f>('[1]O1-O2 Unit-Rel'!CX55*'[1]O1-O2 Unit-Rel'!$A$55)+('[1]O1-O2 Unit-Rel'!CX56*'[1]O1-O2 Unit-Rel'!$A$56)</f>
        <v>#DIV/0!</v>
      </c>
      <c r="Q49" s="1414" t="e">
        <f>('[1]O1-O2 Unit-Rel'!DG55*'[1]O1-O2 Unit-Rel'!$A$55)+('[1]O1-O2 Unit-Rel'!DG56*'[1]O1-O2 Unit-Rel'!$A$56)</f>
        <v>#DIV/0!</v>
      </c>
      <c r="R49" s="1414">
        <f>('[1]O1-O2 Unit-Rel'!DP55*'[1]O1-O2 Unit-Rel'!$A$55)+('[1]O1-O2 Unit-Rel'!DP56*'[1]O1-O2 Unit-Rel'!$A$56)</f>
        <v>1</v>
      </c>
      <c r="T49" s="1424"/>
      <c r="U49" s="1401"/>
      <c r="V49" s="1401"/>
      <c r="W49" s="1401"/>
      <c r="AI49" s="1404"/>
      <c r="AJ49" s="1404"/>
      <c r="AK49" s="1404"/>
      <c r="AL49" s="1404"/>
      <c r="AM49" s="1404"/>
      <c r="AN49" s="1404"/>
      <c r="AO49" s="1404"/>
      <c r="AP49" s="1404"/>
      <c r="AQ49" s="1404"/>
      <c r="AR49" s="1404"/>
      <c r="AS49" s="1404"/>
      <c r="AT49" s="1404"/>
    </row>
    <row r="50" spans="1:46">
      <c r="A50" s="1373"/>
      <c r="B50" s="1423"/>
      <c r="C50" s="1423"/>
      <c r="D50" s="1419">
        <v>0.16</v>
      </c>
      <c r="E50" s="1423" t="s">
        <v>1008</v>
      </c>
      <c r="F50" s="1414">
        <f>('[1]O1-O2 Unit-Rel'!L57*'[1]O1-O2 Unit-Rel'!$A$57)+('[1]O1-O2 Unit-Rel'!L58*'[1]O1-O2 Unit-Rel'!$A$58)</f>
        <v>1</v>
      </c>
      <c r="G50" s="1414" t="e">
        <f>('[1]O1-O2 Unit-Rel'!U57*'[1]O1-O2 Unit-Rel'!$A$57)+('[1]O1-O2 Unit-Rel'!U58*'[1]O1-O2 Unit-Rel'!$A$58)</f>
        <v>#DIV/0!</v>
      </c>
      <c r="H50" s="1414" t="e">
        <f>('[1]O1-O2 Unit-Rel'!AD57*'[1]O1-O2 Unit-Rel'!$A$57)+('[1]O1-O2 Unit-Rel'!AD58*'[1]O1-O2 Unit-Rel'!$A$58)</f>
        <v>#DIV/0!</v>
      </c>
      <c r="I50" s="1414" t="e">
        <f>('[1]O1-O2 Unit-Rel'!AM57*'[1]O1-O2 Unit-Rel'!$A$57)+('[1]O1-O2 Unit-Rel'!AM58*'[1]O1-O2 Unit-Rel'!$A$58)</f>
        <v>#DIV/0!</v>
      </c>
      <c r="J50" s="1414" t="e">
        <f>('[1]O1-O2 Unit-Rel'!AV57*'[1]O1-O2 Unit-Rel'!$A$57)+('[1]O1-O2 Unit-Rel'!AV58*'[1]O1-O2 Unit-Rel'!$A$58)</f>
        <v>#DIV/0!</v>
      </c>
      <c r="K50" s="1414" t="e">
        <f>('[1]O1-O2 Unit-Rel'!BE57*'[1]O1-O2 Unit-Rel'!$A$57)+('[1]O1-O2 Unit-Rel'!BE58*'[1]O1-O2 Unit-Rel'!$A$58)</f>
        <v>#DIV/0!</v>
      </c>
      <c r="L50" s="1414" t="e">
        <f>('[1]O1-O2 Unit-Rel'!BN57*'[1]O1-O2 Unit-Rel'!$A$57)+('[1]O1-O2 Unit-Rel'!BN58*'[1]O1-O2 Unit-Rel'!$A$58)</f>
        <v>#DIV/0!</v>
      </c>
      <c r="M50" s="1414" t="e">
        <f>('[1]O1-O2 Unit-Rel'!BW57*'[1]O1-O2 Unit-Rel'!$A$57)+('[1]O1-O2 Unit-Rel'!BW58*'[1]O1-O2 Unit-Rel'!$A$58)</f>
        <v>#DIV/0!</v>
      </c>
      <c r="N50" s="1414" t="e">
        <f>('[1]O1-O2 Unit-Rel'!CF57*'[1]O1-O2 Unit-Rel'!$A$57)+('[1]O1-O2 Unit-Rel'!CF58*'[1]O1-O2 Unit-Rel'!$A$58)</f>
        <v>#DIV/0!</v>
      </c>
      <c r="O50" s="1414" t="e">
        <f>('[1]O1-O2 Unit-Rel'!CO57*'[1]O1-O2 Unit-Rel'!$A$57)+('[1]O1-O2 Unit-Rel'!CO58*'[1]O1-O2 Unit-Rel'!$A$58)</f>
        <v>#DIV/0!</v>
      </c>
      <c r="P50" s="1414" t="e">
        <f>('[1]O1-O2 Unit-Rel'!CX57*'[1]O1-O2 Unit-Rel'!$A$57)+('[1]O1-O2 Unit-Rel'!CX58*'[1]O1-O2 Unit-Rel'!$A$58)</f>
        <v>#DIV/0!</v>
      </c>
      <c r="Q50" s="1414" t="e">
        <f>('[1]O1-O2 Unit-Rel'!DG57*'[1]O1-O2 Unit-Rel'!$A$57)+('[1]O1-O2 Unit-Rel'!DG58*'[1]O1-O2 Unit-Rel'!$A$58)</f>
        <v>#DIV/0!</v>
      </c>
      <c r="R50" s="1414">
        <f>('[1]O1-O2 Unit-Rel'!DP57*'[1]O1-O2 Unit-Rel'!$A$57)+('[1]O1-O2 Unit-Rel'!DP58*'[1]O1-O2 Unit-Rel'!$A$58)</f>
        <v>1</v>
      </c>
      <c r="AI50" s="1404"/>
      <c r="AJ50" s="1404"/>
      <c r="AK50" s="1404"/>
      <c r="AL50" s="1404"/>
      <c r="AM50" s="1404"/>
      <c r="AN50" s="1404"/>
      <c r="AO50" s="1404"/>
      <c r="AP50" s="1404"/>
      <c r="AQ50" s="1404"/>
      <c r="AR50" s="1404"/>
      <c r="AS50" s="1404"/>
      <c r="AT50" s="1404"/>
    </row>
    <row r="51" spans="1:46">
      <c r="A51" s="1373"/>
      <c r="B51" s="1408"/>
      <c r="C51" s="1409">
        <v>0.52</v>
      </c>
      <c r="D51" s="1410" t="s">
        <v>1009</v>
      </c>
      <c r="E51" s="1411"/>
      <c r="F51" s="1412">
        <f>((F52*$D$52)+(F53*$D$53))</f>
        <v>1</v>
      </c>
      <c r="G51" s="1412" t="e">
        <f>((G52*$D$52)+(G53*$D$53))</f>
        <v>#DIV/0!</v>
      </c>
      <c r="H51" s="1412" t="e">
        <f t="shared" ref="H51:Q51" si="23">((H52*$D$52)+(H53*$D$53))</f>
        <v>#DIV/0!</v>
      </c>
      <c r="I51" s="1412" t="e">
        <f t="shared" si="23"/>
        <v>#DIV/0!</v>
      </c>
      <c r="J51" s="1412" t="e">
        <f t="shared" si="23"/>
        <v>#DIV/0!</v>
      </c>
      <c r="K51" s="1412" t="e">
        <f t="shared" si="23"/>
        <v>#DIV/0!</v>
      </c>
      <c r="L51" s="1412" t="e">
        <f t="shared" si="23"/>
        <v>#DIV/0!</v>
      </c>
      <c r="M51" s="1412" t="e">
        <f t="shared" si="23"/>
        <v>#DIV/0!</v>
      </c>
      <c r="N51" s="1412" t="e">
        <f t="shared" si="23"/>
        <v>#DIV/0!</v>
      </c>
      <c r="O51" s="1412" t="e">
        <f t="shared" si="23"/>
        <v>#DIV/0!</v>
      </c>
      <c r="P51" s="1412" t="e">
        <f t="shared" si="23"/>
        <v>#DIV/0!</v>
      </c>
      <c r="Q51" s="1412" t="e">
        <f t="shared" si="23"/>
        <v>#DIV/0!</v>
      </c>
      <c r="R51" s="1412">
        <f>((R52*$D$52)+(R53*$D$53))</f>
        <v>1</v>
      </c>
      <c r="T51" s="1403"/>
      <c r="AI51" s="1404"/>
      <c r="AJ51" s="1404"/>
      <c r="AK51" s="1404"/>
      <c r="AL51" s="1404"/>
      <c r="AM51" s="1404"/>
      <c r="AN51" s="1404"/>
      <c r="AO51" s="1404"/>
      <c r="AP51" s="1404"/>
      <c r="AQ51" s="1404"/>
      <c r="AR51" s="1404"/>
      <c r="AS51" s="1404"/>
      <c r="AT51" s="1404"/>
    </row>
    <row r="52" spans="1:46" ht="27.75">
      <c r="A52" s="1373"/>
      <c r="B52" s="1423"/>
      <c r="C52" s="1423"/>
      <c r="D52" s="1417">
        <v>0.45</v>
      </c>
      <c r="E52" s="1423" t="s">
        <v>1010</v>
      </c>
      <c r="F52" s="1414">
        <f>('[1]O1-O2 Unit-Rel'!L59*'[1]O1-O2 Unit-Rel'!$A$59)+('[1]O1-O2 Unit-Rel'!L60*'[1]O1-O2 Unit-Rel'!$A$60)</f>
        <v>1</v>
      </c>
      <c r="G52" s="1414" t="e">
        <f>('[1]O1-O2 Unit-Rel'!U59*'[1]O1-O2 Unit-Rel'!$A$59)+('[1]O1-O2 Unit-Rel'!U60*'[1]O1-O2 Unit-Rel'!$A$60)</f>
        <v>#DIV/0!</v>
      </c>
      <c r="H52" s="1414" t="e">
        <f>('[1]O1-O2 Unit-Rel'!AD59*'[1]O1-O2 Unit-Rel'!$A$59)+('[1]O1-O2 Unit-Rel'!AD60*'[1]O1-O2 Unit-Rel'!$A$60)</f>
        <v>#DIV/0!</v>
      </c>
      <c r="I52" s="1414" t="e">
        <f>('[1]O1-O2 Unit-Rel'!AM59*'[1]O1-O2 Unit-Rel'!$A$59)+('[1]O1-O2 Unit-Rel'!AM60*'[1]O1-O2 Unit-Rel'!$A$60)</f>
        <v>#DIV/0!</v>
      </c>
      <c r="J52" s="1414" t="e">
        <f>('[1]O1-O2 Unit-Rel'!AV59*'[1]O1-O2 Unit-Rel'!$A$59)+('[1]O1-O2 Unit-Rel'!AV60*'[1]O1-O2 Unit-Rel'!$A$60)</f>
        <v>#DIV/0!</v>
      </c>
      <c r="K52" s="1414" t="e">
        <f>('[1]O1-O2 Unit-Rel'!BE59*'[1]O1-O2 Unit-Rel'!$A$59)+('[1]O1-O2 Unit-Rel'!BE60*'[1]O1-O2 Unit-Rel'!$A$60)</f>
        <v>#DIV/0!</v>
      </c>
      <c r="L52" s="1414" t="e">
        <f>('[1]O1-O2 Unit-Rel'!BN59*'[1]O1-O2 Unit-Rel'!$A$59)+('[1]O1-O2 Unit-Rel'!BN60*'[1]O1-O2 Unit-Rel'!$A$60)</f>
        <v>#DIV/0!</v>
      </c>
      <c r="M52" s="1414" t="e">
        <f>('[1]O1-O2 Unit-Rel'!BW59*'[1]O1-O2 Unit-Rel'!$A$59)+('[1]O1-O2 Unit-Rel'!BW60*'[1]O1-O2 Unit-Rel'!$A$60)</f>
        <v>#DIV/0!</v>
      </c>
      <c r="N52" s="1414" t="e">
        <f>('[1]O1-O2 Unit-Rel'!CF59*'[1]O1-O2 Unit-Rel'!$A$59)+('[1]O1-O2 Unit-Rel'!CF60*'[1]O1-O2 Unit-Rel'!$A$60)</f>
        <v>#DIV/0!</v>
      </c>
      <c r="O52" s="1414" t="e">
        <f>('[1]O1-O2 Unit-Rel'!CO59*'[1]O1-O2 Unit-Rel'!$A$59)+('[1]O1-O2 Unit-Rel'!CO60*'[1]O1-O2 Unit-Rel'!$A$60)</f>
        <v>#DIV/0!</v>
      </c>
      <c r="P52" s="1414" t="e">
        <f>('[1]O1-O2 Unit-Rel'!CX59*'[1]O1-O2 Unit-Rel'!$A$59)+('[1]O1-O2 Unit-Rel'!CX60*'[1]O1-O2 Unit-Rel'!$A$60)</f>
        <v>#DIV/0!</v>
      </c>
      <c r="Q52" s="1414" t="e">
        <f>('[1]O1-O2 Unit-Rel'!DG59*'[1]O1-O2 Unit-Rel'!$A$59)+('[1]O1-O2 Unit-Rel'!DG60*'[1]O1-O2 Unit-Rel'!$A$60)</f>
        <v>#DIV/0!</v>
      </c>
      <c r="R52" s="1414">
        <f>('[1]O1-O2 Unit-Rel'!DP59*'[1]O1-O2 Unit-Rel'!$A$59)+('[1]O1-O2 Unit-Rel'!DP60*'[1]O1-O2 Unit-Rel'!$A$60)</f>
        <v>1</v>
      </c>
      <c r="T52" s="1424"/>
      <c r="U52" s="1401"/>
      <c r="V52" s="1401"/>
      <c r="W52" s="1401"/>
      <c r="AI52" s="1404"/>
      <c r="AJ52" s="1404"/>
      <c r="AK52" s="1404"/>
      <c r="AL52" s="1404"/>
      <c r="AM52" s="1404"/>
      <c r="AN52" s="1404"/>
      <c r="AO52" s="1404"/>
      <c r="AP52" s="1404"/>
      <c r="AQ52" s="1404"/>
      <c r="AR52" s="1404"/>
      <c r="AS52" s="1404"/>
      <c r="AT52" s="1404"/>
    </row>
    <row r="53" spans="1:46">
      <c r="A53" s="1373"/>
      <c r="B53" s="1423"/>
      <c r="C53" s="1423"/>
      <c r="D53" s="1419">
        <v>0.55000000000000004</v>
      </c>
      <c r="E53" s="1423" t="s">
        <v>1011</v>
      </c>
      <c r="F53" s="1414">
        <f>('[1]O1-O2 Unit-Rel'!L61*'[1]O1-O2 Unit-Rel'!$A$61)+('[1]O1-O2 Unit-Rel'!L62*'[1]O1-O2 Unit-Rel'!$A$62)</f>
        <v>1</v>
      </c>
      <c r="G53" s="1414" t="e">
        <f>('[1]O1-O2 Unit-Rel'!U61*'[1]O1-O2 Unit-Rel'!$A$61)+('[1]O1-O2 Unit-Rel'!U62*'[1]O1-O2 Unit-Rel'!$A$62)</f>
        <v>#DIV/0!</v>
      </c>
      <c r="H53" s="1414" t="e">
        <f>('[1]O1-O2 Unit-Rel'!AD61*'[1]O1-O2 Unit-Rel'!$A$61)+('[1]O1-O2 Unit-Rel'!AD62*'[1]O1-O2 Unit-Rel'!$A$62)</f>
        <v>#DIV/0!</v>
      </c>
      <c r="I53" s="1414" t="e">
        <f>('[1]O1-O2 Unit-Rel'!AM61*'[1]O1-O2 Unit-Rel'!$A$61)+('[1]O1-O2 Unit-Rel'!AM62*'[1]O1-O2 Unit-Rel'!$A$62)</f>
        <v>#DIV/0!</v>
      </c>
      <c r="J53" s="1414" t="e">
        <f>('[1]O1-O2 Unit-Rel'!AV61*'[1]O1-O2 Unit-Rel'!$A$61)+('[1]O1-O2 Unit-Rel'!AV62*'[1]O1-O2 Unit-Rel'!$A$62)</f>
        <v>#DIV/0!</v>
      </c>
      <c r="K53" s="1414" t="e">
        <f>('[1]O1-O2 Unit-Rel'!BE61*'[1]O1-O2 Unit-Rel'!$A$61)+('[1]O1-O2 Unit-Rel'!BE62*'[1]O1-O2 Unit-Rel'!$A$62)</f>
        <v>#DIV/0!</v>
      </c>
      <c r="L53" s="1414" t="e">
        <f>('[1]O1-O2 Unit-Rel'!BN61*'[1]O1-O2 Unit-Rel'!$A$61)+('[1]O1-O2 Unit-Rel'!BN62*'[1]O1-O2 Unit-Rel'!$A$62)</f>
        <v>#DIV/0!</v>
      </c>
      <c r="M53" s="1414" t="e">
        <f>('[1]O1-O2 Unit-Rel'!BW61*'[1]O1-O2 Unit-Rel'!$A$61)+('[1]O1-O2 Unit-Rel'!BW62*'[1]O1-O2 Unit-Rel'!$A$62)</f>
        <v>#DIV/0!</v>
      </c>
      <c r="N53" s="1414" t="e">
        <f>('[1]O1-O2 Unit-Rel'!CF61*'[1]O1-O2 Unit-Rel'!$A$61)+('[1]O1-O2 Unit-Rel'!CF62*'[1]O1-O2 Unit-Rel'!$A$62)</f>
        <v>#DIV/0!</v>
      </c>
      <c r="O53" s="1414" t="e">
        <f>('[1]O1-O2 Unit-Rel'!CO61*'[1]O1-O2 Unit-Rel'!$A$61)+('[1]O1-O2 Unit-Rel'!CO62*'[1]O1-O2 Unit-Rel'!$A$62)</f>
        <v>#DIV/0!</v>
      </c>
      <c r="P53" s="1414" t="e">
        <f>('[1]O1-O2 Unit-Rel'!CX61*'[1]O1-O2 Unit-Rel'!$A$61)+('[1]O1-O2 Unit-Rel'!CX62*'[1]O1-O2 Unit-Rel'!$A$62)</f>
        <v>#DIV/0!</v>
      </c>
      <c r="Q53" s="1414" t="e">
        <f>('[1]O1-O2 Unit-Rel'!DG61*'[1]O1-O2 Unit-Rel'!$A$61)+('[1]O1-O2 Unit-Rel'!DG62*'[1]O1-O2 Unit-Rel'!$A$62)</f>
        <v>#DIV/0!</v>
      </c>
      <c r="R53" s="1414">
        <f>('[1]O1-O2 Unit-Rel'!DP61*'[1]O1-O2 Unit-Rel'!$A$61)+('[1]O1-O2 Unit-Rel'!DP62*'[1]O1-O2 Unit-Rel'!$A$62)</f>
        <v>1</v>
      </c>
      <c r="AI53" s="1404"/>
      <c r="AJ53" s="1404"/>
      <c r="AK53" s="1404"/>
      <c r="AL53" s="1404"/>
      <c r="AM53" s="1404"/>
      <c r="AN53" s="1404"/>
      <c r="AO53" s="1404"/>
      <c r="AP53" s="1404"/>
      <c r="AQ53" s="1404"/>
      <c r="AR53" s="1404"/>
      <c r="AS53" s="1404"/>
      <c r="AT53" s="1404"/>
    </row>
    <row r="54" spans="1:46" s="1427" customFormat="1">
      <c r="D54" s="1428"/>
      <c r="E54" s="1429"/>
      <c r="F54" s="1430"/>
      <c r="G54" s="1431"/>
      <c r="H54" s="1431"/>
      <c r="I54" s="1431"/>
      <c r="J54" s="1431"/>
      <c r="K54" s="1432"/>
      <c r="L54" s="1432"/>
      <c r="M54" s="1432"/>
      <c r="N54" s="1433"/>
      <c r="O54" s="1433"/>
      <c r="P54" s="1433"/>
      <c r="Q54" s="1433"/>
      <c r="R54" s="1433"/>
    </row>
    <row r="55" spans="1:46" s="1427" customFormat="1" hidden="1">
      <c r="D55" s="1433"/>
      <c r="E55" s="1429"/>
      <c r="F55" s="1434" t="s">
        <v>1012</v>
      </c>
      <c r="G55" s="1435" t="s">
        <v>1013</v>
      </c>
      <c r="H55" s="1435" t="s">
        <v>1014</v>
      </c>
      <c r="I55" s="1435" t="s">
        <v>1015</v>
      </c>
      <c r="J55" s="1435" t="s">
        <v>1016</v>
      </c>
      <c r="K55" s="1436" t="s">
        <v>1017</v>
      </c>
      <c r="L55" s="1436" t="s">
        <v>1018</v>
      </c>
      <c r="M55" s="1436" t="s">
        <v>1019</v>
      </c>
      <c r="N55" s="1436" t="s">
        <v>1020</v>
      </c>
      <c r="O55" s="1436" t="s">
        <v>1021</v>
      </c>
      <c r="P55" s="1436" t="s">
        <v>1022</v>
      </c>
      <c r="Q55" s="1436" t="s">
        <v>1023</v>
      </c>
      <c r="R55" s="1437" t="s">
        <v>1024</v>
      </c>
    </row>
    <row r="56" spans="1:46" s="1427" customFormat="1">
      <c r="D56" s="1433"/>
      <c r="E56" s="1429"/>
      <c r="F56" s="1430"/>
      <c r="G56" s="1431"/>
      <c r="H56" s="1431"/>
      <c r="I56" s="1431"/>
      <c r="J56" s="1431"/>
      <c r="K56" s="1432"/>
      <c r="L56" s="1432"/>
      <c r="M56" s="1432"/>
      <c r="N56" s="1433"/>
      <c r="O56" s="1433"/>
      <c r="P56" s="1433"/>
      <c r="Q56" s="1433"/>
      <c r="R56" s="1433"/>
    </row>
    <row r="57" spans="1:46" s="1427" customFormat="1">
      <c r="D57" s="1433"/>
      <c r="E57" s="1438"/>
      <c r="F57" s="1439"/>
      <c r="G57" s="1431"/>
      <c r="H57" s="1431"/>
      <c r="I57" s="1431"/>
      <c r="J57" s="1431"/>
      <c r="K57" s="1432"/>
      <c r="L57" s="1432"/>
      <c r="M57" s="1432"/>
      <c r="N57" s="1433"/>
      <c r="O57" s="1433"/>
      <c r="P57" s="1433"/>
      <c r="Q57" s="1433"/>
      <c r="R57" s="1433"/>
    </row>
    <row r="58" spans="1:46" s="1427" customFormat="1" ht="26.25">
      <c r="D58" s="1433"/>
      <c r="E58" s="1440"/>
      <c r="F58" s="1433"/>
      <c r="G58" s="1433"/>
      <c r="H58" s="1433"/>
      <c r="I58" s="1433"/>
      <c r="J58" s="1433"/>
      <c r="K58" s="1433"/>
      <c r="L58" s="1433"/>
      <c r="M58" s="1433"/>
      <c r="N58" s="1433"/>
      <c r="O58" s="1433"/>
      <c r="P58" s="1433"/>
      <c r="Q58" s="1433"/>
      <c r="R58" s="1433"/>
    </row>
    <row r="59" spans="1:46" s="1427" customFormat="1" ht="26.25">
      <c r="D59" s="1441"/>
      <c r="E59" s="1442"/>
      <c r="F59" s="1433"/>
      <c r="G59" s="1433"/>
      <c r="H59" s="1433"/>
      <c r="I59" s="1433"/>
      <c r="J59" s="1433"/>
      <c r="K59" s="1433"/>
      <c r="L59" s="1433"/>
      <c r="M59" s="1433"/>
      <c r="N59" s="1433"/>
      <c r="O59" s="1433"/>
      <c r="P59" s="1433"/>
      <c r="Q59" s="1433"/>
      <c r="R59" s="1433"/>
    </row>
    <row r="60" spans="1:46" s="1427" customFormat="1" ht="26.25">
      <c r="D60" s="1441"/>
      <c r="E60" s="1440"/>
      <c r="F60" s="1433"/>
      <c r="G60" s="1433"/>
      <c r="H60" s="1433"/>
      <c r="I60" s="1433"/>
      <c r="J60" s="1433"/>
      <c r="K60" s="1433"/>
      <c r="L60" s="1433"/>
      <c r="M60" s="1433"/>
      <c r="N60" s="1433"/>
      <c r="O60" s="1433"/>
      <c r="P60" s="1433"/>
      <c r="Q60" s="1433"/>
      <c r="R60" s="1433"/>
    </row>
    <row r="61" spans="1:46" s="1427" customFormat="1" ht="26.25">
      <c r="D61" s="1433"/>
      <c r="E61" s="1443"/>
      <c r="F61" s="1433"/>
      <c r="G61" s="1433"/>
      <c r="H61" s="1433"/>
      <c r="I61" s="1433"/>
      <c r="J61" s="1433"/>
      <c r="K61" s="1433"/>
      <c r="L61" s="1433"/>
      <c r="M61" s="1433"/>
      <c r="N61" s="1433"/>
      <c r="O61" s="1433"/>
      <c r="P61" s="1433"/>
      <c r="Q61" s="1433"/>
      <c r="R61" s="1433"/>
    </row>
    <row r="62" spans="1:46" s="1427" customFormat="1" ht="26.25">
      <c r="D62" s="1441"/>
      <c r="E62" s="1440"/>
      <c r="F62" s="1433"/>
      <c r="G62" s="1433"/>
      <c r="H62" s="1433"/>
      <c r="I62" s="1433"/>
      <c r="J62" s="1433"/>
      <c r="K62" s="1433"/>
      <c r="L62" s="1433"/>
      <c r="M62" s="1433"/>
      <c r="N62" s="1433"/>
      <c r="O62" s="1433"/>
      <c r="P62" s="1433"/>
      <c r="Q62" s="1433"/>
      <c r="R62" s="1433"/>
    </row>
    <row r="63" spans="1:46" s="1427" customFormat="1">
      <c r="D63" s="1433"/>
      <c r="F63" s="1433"/>
      <c r="G63" s="1433"/>
      <c r="H63" s="1433"/>
      <c r="I63" s="1433"/>
      <c r="J63" s="1433"/>
      <c r="K63" s="1433"/>
      <c r="L63" s="1433"/>
      <c r="M63" s="1433"/>
      <c r="N63" s="1433"/>
      <c r="O63" s="1433"/>
      <c r="P63" s="1433"/>
      <c r="Q63" s="1433"/>
      <c r="R63" s="1433"/>
    </row>
    <row r="64" spans="1:46" s="1427" customFormat="1">
      <c r="D64" s="1433"/>
      <c r="F64" s="1433"/>
      <c r="G64" s="1433"/>
      <c r="H64" s="1433"/>
      <c r="I64" s="1433"/>
      <c r="J64" s="1433"/>
      <c r="K64" s="1433"/>
      <c r="L64" s="1433"/>
      <c r="M64" s="1433"/>
      <c r="N64" s="1433"/>
      <c r="O64" s="1433"/>
      <c r="P64" s="1433"/>
      <c r="Q64" s="1433"/>
      <c r="R64" s="1433"/>
    </row>
    <row r="65" spans="4:18" s="1427" customFormat="1">
      <c r="D65" s="1433"/>
      <c r="F65" s="1433"/>
      <c r="G65" s="1433"/>
      <c r="H65" s="1433"/>
      <c r="I65" s="1433"/>
      <c r="J65" s="1433"/>
      <c r="K65" s="1433"/>
      <c r="L65" s="1433"/>
      <c r="M65" s="1433"/>
      <c r="N65" s="1433"/>
      <c r="O65" s="1433"/>
      <c r="P65" s="1433"/>
      <c r="Q65" s="1433"/>
      <c r="R65" s="1433"/>
    </row>
    <row r="66" spans="4:18" s="1427" customFormat="1">
      <c r="D66" s="1433"/>
      <c r="F66" s="1433"/>
      <c r="G66" s="1433"/>
      <c r="H66" s="1433"/>
      <c r="I66" s="1433"/>
      <c r="J66" s="1433"/>
      <c r="K66" s="1433"/>
      <c r="L66" s="1433"/>
      <c r="M66" s="1433"/>
      <c r="N66" s="1433"/>
      <c r="O66" s="1433"/>
      <c r="P66" s="1433"/>
      <c r="Q66" s="1433"/>
      <c r="R66" s="1433"/>
    </row>
    <row r="67" spans="4:18" s="1427" customFormat="1">
      <c r="D67" s="1433"/>
      <c r="E67" s="1442"/>
      <c r="F67" s="1433"/>
      <c r="G67" s="1433"/>
      <c r="H67" s="1433"/>
      <c r="I67" s="1433"/>
      <c r="J67" s="1433"/>
      <c r="K67" s="1433"/>
      <c r="L67" s="1433"/>
      <c r="M67" s="1433"/>
      <c r="N67" s="1433"/>
      <c r="O67" s="1433"/>
      <c r="P67" s="1433"/>
      <c r="Q67" s="1433"/>
      <c r="R67" s="1433"/>
    </row>
    <row r="68" spans="4:18" s="1427" customFormat="1">
      <c r="D68" s="1433"/>
      <c r="F68" s="1433"/>
      <c r="G68" s="1433"/>
      <c r="H68" s="1433"/>
      <c r="I68" s="1433"/>
      <c r="J68" s="1433"/>
      <c r="K68" s="1433"/>
      <c r="L68" s="1433"/>
      <c r="M68" s="1433"/>
      <c r="N68" s="1433"/>
      <c r="O68" s="1433"/>
      <c r="P68" s="1433"/>
      <c r="Q68" s="1433"/>
      <c r="R68" s="1433"/>
    </row>
    <row r="69" spans="4:18" s="1427" customFormat="1">
      <c r="D69" s="1433"/>
      <c r="F69" s="1433"/>
      <c r="G69" s="1433"/>
      <c r="H69" s="1433"/>
      <c r="I69" s="1433"/>
      <c r="J69" s="1433"/>
      <c r="K69" s="1433"/>
      <c r="L69" s="1433"/>
      <c r="M69" s="1433"/>
      <c r="N69" s="1433"/>
      <c r="O69" s="1433"/>
      <c r="P69" s="1433"/>
      <c r="Q69" s="1433"/>
      <c r="R69" s="1433"/>
    </row>
    <row r="70" spans="4:18" s="1427" customFormat="1">
      <c r="D70" s="1433"/>
      <c r="F70" s="1433"/>
      <c r="G70" s="1433"/>
      <c r="H70" s="1433"/>
      <c r="I70" s="1433"/>
      <c r="J70" s="1433"/>
      <c r="K70" s="1433"/>
      <c r="L70" s="1433"/>
      <c r="M70" s="1433"/>
      <c r="N70" s="1433"/>
      <c r="O70" s="1433"/>
      <c r="P70" s="1433"/>
      <c r="Q70" s="1433"/>
      <c r="R70" s="1433"/>
    </row>
    <row r="71" spans="4:18" s="1427" customFormat="1">
      <c r="D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1433"/>
    </row>
    <row r="72" spans="4:18" s="1427" customFormat="1">
      <c r="D72" s="1433"/>
      <c r="F72" s="1433"/>
      <c r="G72" s="1433"/>
      <c r="H72" s="1433"/>
      <c r="I72" s="1433"/>
      <c r="J72" s="1433"/>
      <c r="K72" s="1433"/>
      <c r="L72" s="1433"/>
      <c r="M72" s="1433"/>
      <c r="N72" s="1433"/>
      <c r="O72" s="1433"/>
      <c r="P72" s="1433"/>
      <c r="Q72" s="1433"/>
      <c r="R72" s="1433"/>
    </row>
    <row r="73" spans="4:18" s="1427" customFormat="1">
      <c r="D73" s="1433"/>
      <c r="F73" s="1433"/>
      <c r="G73" s="1433"/>
      <c r="H73" s="1433"/>
      <c r="I73" s="1433"/>
      <c r="J73" s="1433"/>
      <c r="K73" s="1433"/>
      <c r="L73" s="1433"/>
      <c r="M73" s="1433"/>
      <c r="N73" s="1433"/>
      <c r="O73" s="1433"/>
      <c r="P73" s="1433"/>
      <c r="Q73" s="1433"/>
      <c r="R73" s="1433"/>
    </row>
    <row r="74" spans="4:18" s="1427" customFormat="1">
      <c r="D74" s="1433"/>
      <c r="F74" s="1433"/>
      <c r="G74" s="1433"/>
      <c r="H74" s="1433"/>
      <c r="I74" s="1433"/>
      <c r="J74" s="1433"/>
      <c r="K74" s="1433"/>
      <c r="L74" s="1433"/>
      <c r="M74" s="1433"/>
      <c r="N74" s="1433"/>
      <c r="O74" s="1433"/>
      <c r="P74" s="1433"/>
      <c r="Q74" s="1433"/>
      <c r="R74" s="1433"/>
    </row>
    <row r="75" spans="4:18" s="1427" customFormat="1">
      <c r="D75" s="1433"/>
      <c r="F75" s="1433"/>
      <c r="G75" s="1433"/>
      <c r="H75" s="1433"/>
      <c r="I75" s="1433"/>
      <c r="J75" s="1433"/>
      <c r="K75" s="1433"/>
      <c r="L75" s="1433"/>
      <c r="M75" s="1433"/>
      <c r="N75" s="1433"/>
      <c r="O75" s="1433"/>
      <c r="P75" s="1433"/>
      <c r="Q75" s="1433"/>
      <c r="R75" s="1433"/>
    </row>
    <row r="76" spans="4:18">
      <c r="E76" s="1404"/>
      <c r="F76" s="1445"/>
      <c r="G76" s="1446"/>
      <c r="H76" s="1446"/>
      <c r="I76" s="1446"/>
      <c r="J76" s="1446"/>
      <c r="K76" s="1446"/>
      <c r="L76" s="1446"/>
      <c r="M76" s="1446"/>
      <c r="N76" s="1446"/>
      <c r="O76" s="1446"/>
    </row>
    <row r="77" spans="4:18">
      <c r="D77" s="1377"/>
      <c r="E77" s="1447"/>
      <c r="F77" s="1445"/>
      <c r="G77" s="1446"/>
      <c r="H77" s="1446"/>
      <c r="I77" s="1446"/>
      <c r="J77" s="1446"/>
      <c r="K77" s="1446"/>
      <c r="L77" s="1446"/>
      <c r="M77" s="1446"/>
      <c r="N77" s="1446"/>
      <c r="O77" s="1446"/>
    </row>
    <row r="78" spans="4:18">
      <c r="D78" s="1377"/>
      <c r="E78" s="1447"/>
      <c r="F78" s="1445"/>
      <c r="G78" s="1446"/>
      <c r="H78" s="1446"/>
      <c r="I78" s="1446"/>
      <c r="J78" s="1446"/>
      <c r="K78" s="1446"/>
      <c r="L78" s="1446"/>
      <c r="M78" s="1446"/>
      <c r="N78" s="1446"/>
      <c r="O78" s="1446"/>
    </row>
    <row r="79" spans="4:18">
      <c r="D79" s="1377"/>
      <c r="E79" s="1447"/>
      <c r="F79" s="1445"/>
      <c r="G79" s="1446"/>
      <c r="H79" s="1446"/>
      <c r="I79" s="1446"/>
      <c r="J79" s="1446"/>
      <c r="K79" s="1446"/>
      <c r="L79" s="1446"/>
      <c r="M79" s="1446"/>
      <c r="N79" s="1446"/>
      <c r="O79" s="1446"/>
    </row>
    <row r="80" spans="4:18">
      <c r="D80" s="1377"/>
      <c r="E80" s="1404"/>
      <c r="F80" s="1446"/>
      <c r="G80" s="1446"/>
      <c r="H80" s="1446"/>
      <c r="I80" s="1446"/>
      <c r="J80" s="1446"/>
      <c r="K80" s="1446"/>
      <c r="L80" s="1446"/>
      <c r="M80" s="1446"/>
      <c r="N80" s="1446"/>
      <c r="O80" s="1446"/>
    </row>
    <row r="81" spans="4:15">
      <c r="D81" s="1377"/>
      <c r="E81" s="1404"/>
      <c r="F81" s="1446"/>
      <c r="G81" s="1446"/>
      <c r="H81" s="1446"/>
      <c r="I81" s="1446"/>
      <c r="J81" s="1446"/>
      <c r="K81" s="1446"/>
      <c r="L81" s="1446"/>
      <c r="M81" s="1446"/>
      <c r="N81" s="1446"/>
      <c r="O81" s="1446"/>
    </row>
  </sheetData>
  <mergeCells count="6">
    <mergeCell ref="C47:D47"/>
    <mergeCell ref="R1:R3"/>
    <mergeCell ref="B3:D3"/>
    <mergeCell ref="B4:E4"/>
    <mergeCell ref="C34:D34"/>
    <mergeCell ref="C43:D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340"/>
  <sheetViews>
    <sheetView workbookViewId="0">
      <selection activeCell="J7" sqref="J7"/>
    </sheetView>
  </sheetViews>
  <sheetFormatPr defaultColWidth="8.140625" defaultRowHeight="15"/>
  <cols>
    <col min="1" max="1" width="13.140625" style="1448" customWidth="1"/>
    <col min="2" max="2" width="9.42578125" style="1451" customWidth="1"/>
    <col min="3" max="3" width="8.85546875" style="1448" customWidth="1"/>
    <col min="4" max="4" width="4.28515625" style="1451" customWidth="1"/>
    <col min="5" max="5" width="6.5703125" style="1451" bestFit="1" customWidth="1"/>
    <col min="6" max="6" width="5.140625" style="1451" bestFit="1" customWidth="1"/>
    <col min="7" max="7" width="3.28515625" style="1451" bestFit="1" customWidth="1"/>
    <col min="8" max="8" width="5.42578125" style="1451" customWidth="1"/>
    <col min="9" max="9" width="7.42578125" style="1451" bestFit="1" customWidth="1"/>
    <col min="10" max="10" width="6" style="1451" customWidth="1"/>
    <col min="11" max="11" width="4" style="1574" bestFit="1" customWidth="1"/>
    <col min="12" max="12" width="5.42578125" style="1530" bestFit="1" customWidth="1"/>
    <col min="13" max="13" width="4.42578125" style="1451" customWidth="1"/>
    <col min="14" max="14" width="6.5703125" style="1451" bestFit="1" customWidth="1"/>
    <col min="15" max="15" width="5.140625" style="1451" bestFit="1" customWidth="1"/>
    <col min="16" max="16" width="3.28515625" style="1451" bestFit="1" customWidth="1"/>
    <col min="17" max="17" width="4.140625" style="1451" bestFit="1" customWidth="1"/>
    <col min="18" max="18" width="7.42578125" style="1451" bestFit="1" customWidth="1"/>
    <col min="19" max="19" width="6" style="1451" bestFit="1" customWidth="1"/>
    <col min="20" max="20" width="4" style="1451" bestFit="1" customWidth="1"/>
    <col min="21" max="21" width="5.42578125" style="1572" bestFit="1" customWidth="1"/>
    <col min="22" max="22" width="3.42578125" style="1451" bestFit="1" customWidth="1"/>
    <col min="23" max="23" width="6.5703125" style="1451" bestFit="1" customWidth="1"/>
    <col min="24" max="24" width="5.140625" style="1451" bestFit="1" customWidth="1"/>
    <col min="25" max="25" width="3.28515625" style="1451" bestFit="1" customWidth="1"/>
    <col min="26" max="26" width="4.140625" style="1451" bestFit="1" customWidth="1"/>
    <col min="27" max="27" width="7.42578125" style="1451" bestFit="1" customWidth="1"/>
    <col min="28" max="28" width="6" style="1451" bestFit="1" customWidth="1"/>
    <col min="29" max="29" width="4" style="1451" bestFit="1" customWidth="1"/>
    <col min="30" max="30" width="5.42578125" style="1572" bestFit="1" customWidth="1"/>
    <col min="31" max="31" width="3.42578125" style="1451" bestFit="1" customWidth="1"/>
    <col min="32" max="32" width="6.5703125" style="1451" bestFit="1" customWidth="1"/>
    <col min="33" max="33" width="5.140625" style="1451" bestFit="1" customWidth="1"/>
    <col min="34" max="34" width="3.28515625" style="1451" bestFit="1" customWidth="1"/>
    <col min="35" max="35" width="4.140625" style="1451" bestFit="1" customWidth="1"/>
    <col min="36" max="36" width="7.42578125" style="1451" bestFit="1" customWidth="1"/>
    <col min="37" max="37" width="6" style="1451" bestFit="1" customWidth="1"/>
    <col min="38" max="38" width="4" style="1451" bestFit="1" customWidth="1"/>
    <col min="39" max="39" width="4.5703125" style="1572" bestFit="1" customWidth="1"/>
    <col min="40" max="40" width="3.42578125" style="1451" bestFit="1" customWidth="1"/>
    <col min="41" max="41" width="6.5703125" style="1451" bestFit="1" customWidth="1"/>
    <col min="42" max="42" width="5.140625" style="1451" bestFit="1" customWidth="1"/>
    <col min="43" max="43" width="3.28515625" style="1451" bestFit="1" customWidth="1"/>
    <col min="44" max="44" width="4.140625" style="1451" bestFit="1" customWidth="1"/>
    <col min="45" max="45" width="7.42578125" style="1451" bestFit="1" customWidth="1"/>
    <col min="46" max="46" width="6" style="1451" bestFit="1" customWidth="1"/>
    <col min="47" max="47" width="4" style="1451" bestFit="1" customWidth="1"/>
    <col min="48" max="48" width="4.5703125" style="1572" bestFit="1" customWidth="1"/>
    <col min="49" max="49" width="3.42578125" style="1451" bestFit="1" customWidth="1"/>
    <col min="50" max="50" width="6.5703125" style="1451" bestFit="1" customWidth="1"/>
    <col min="51" max="51" width="5.140625" style="1451" bestFit="1" customWidth="1"/>
    <col min="52" max="52" width="3.28515625" style="1451" bestFit="1" customWidth="1"/>
    <col min="53" max="53" width="4.140625" style="1451" bestFit="1" customWidth="1"/>
    <col min="54" max="54" width="7.42578125" style="1451" bestFit="1" customWidth="1"/>
    <col min="55" max="55" width="6" style="1451" bestFit="1" customWidth="1"/>
    <col min="56" max="56" width="4" style="1451" bestFit="1" customWidth="1"/>
    <col min="57" max="57" width="4.5703125" style="1572" bestFit="1" customWidth="1"/>
    <col min="58" max="58" width="3.42578125" style="1451" bestFit="1" customWidth="1"/>
    <col min="59" max="59" width="6.5703125" style="1451" bestFit="1" customWidth="1"/>
    <col min="60" max="60" width="5.140625" style="1451" bestFit="1" customWidth="1"/>
    <col min="61" max="61" width="3.28515625" style="1451" bestFit="1" customWidth="1"/>
    <col min="62" max="62" width="4.140625" style="1451" bestFit="1" customWidth="1"/>
    <col min="63" max="63" width="7.42578125" style="1451" bestFit="1" customWidth="1"/>
    <col min="64" max="64" width="6" style="1451" bestFit="1" customWidth="1"/>
    <col min="65" max="65" width="4" style="1451" bestFit="1" customWidth="1"/>
    <col min="66" max="66" width="4.5703125" style="1572" bestFit="1" customWidth="1"/>
    <col min="67" max="67" width="3.42578125" style="1451" bestFit="1" customWidth="1"/>
    <col min="68" max="68" width="6.5703125" style="1451" bestFit="1" customWidth="1"/>
    <col min="69" max="69" width="5.140625" style="1451" bestFit="1" customWidth="1"/>
    <col min="70" max="70" width="3.28515625" style="1451" bestFit="1" customWidth="1"/>
    <col min="71" max="71" width="4.140625" style="1451" bestFit="1" customWidth="1"/>
    <col min="72" max="72" width="7.42578125" style="1451" bestFit="1" customWidth="1"/>
    <col min="73" max="73" width="6" style="1451" bestFit="1" customWidth="1"/>
    <col min="74" max="74" width="4" style="1568" bestFit="1" customWidth="1"/>
    <col min="75" max="75" width="4.5703125" style="1573" bestFit="1" customWidth="1"/>
    <col min="76" max="76" width="3.42578125" style="1451" bestFit="1" customWidth="1"/>
    <col min="77" max="77" width="6.5703125" style="1451" bestFit="1" customWidth="1"/>
    <col min="78" max="78" width="5.140625" style="1451" bestFit="1" customWidth="1"/>
    <col min="79" max="79" width="3.28515625" style="1451" bestFit="1" customWidth="1"/>
    <col min="80" max="80" width="4.140625" style="1451" bestFit="1" customWidth="1"/>
    <col min="81" max="81" width="7.42578125" style="1451" bestFit="1" customWidth="1"/>
    <col min="82" max="82" width="6" style="1451" bestFit="1" customWidth="1"/>
    <col min="83" max="83" width="4" style="1451" bestFit="1" customWidth="1"/>
    <col min="84" max="84" width="5.42578125" style="1572" bestFit="1" customWidth="1"/>
    <col min="85" max="85" width="3.42578125" style="1451" bestFit="1" customWidth="1"/>
    <col min="86" max="86" width="6.5703125" style="1451" bestFit="1" customWidth="1"/>
    <col min="87" max="87" width="5.140625" style="1451" bestFit="1" customWidth="1"/>
    <col min="88" max="88" width="3.28515625" style="1451" bestFit="1" customWidth="1"/>
    <col min="89" max="89" width="4.140625" style="1451" bestFit="1" customWidth="1"/>
    <col min="90" max="90" width="7.42578125" style="1451" bestFit="1" customWidth="1"/>
    <col min="91" max="91" width="6" style="1451" bestFit="1" customWidth="1"/>
    <col min="92" max="92" width="4" style="1568" bestFit="1" customWidth="1"/>
    <col min="93" max="93" width="5.42578125" style="1572" bestFit="1" customWidth="1"/>
    <col min="94" max="94" width="3.42578125" style="1451" bestFit="1" customWidth="1"/>
    <col min="95" max="95" width="6.5703125" style="1451" bestFit="1" customWidth="1"/>
    <col min="96" max="96" width="5.140625" style="1451" bestFit="1" customWidth="1"/>
    <col min="97" max="97" width="3.28515625" style="1451" bestFit="1" customWidth="1"/>
    <col min="98" max="98" width="4.140625" style="1451" bestFit="1" customWidth="1"/>
    <col min="99" max="99" width="7.42578125" style="1451" bestFit="1" customWidth="1"/>
    <col min="100" max="100" width="6" style="1451" bestFit="1" customWidth="1"/>
    <col min="101" max="101" width="4" style="1451" bestFit="1" customWidth="1"/>
    <col min="102" max="102" width="5.42578125" style="1572" bestFit="1" customWidth="1"/>
    <col min="103" max="103" width="3.42578125" style="1451" bestFit="1" customWidth="1"/>
    <col min="104" max="104" width="6.5703125" style="1451" bestFit="1" customWidth="1"/>
    <col min="105" max="105" width="5.140625" style="1451" bestFit="1" customWidth="1"/>
    <col min="106" max="106" width="3.28515625" style="1451" bestFit="1" customWidth="1"/>
    <col min="107" max="107" width="4.140625" style="1451" bestFit="1" customWidth="1"/>
    <col min="108" max="108" width="7.42578125" style="1451" bestFit="1" customWidth="1"/>
    <col min="109" max="109" width="6" style="1451" bestFit="1" customWidth="1"/>
    <col min="110" max="110" width="4" style="1451" bestFit="1" customWidth="1"/>
    <col min="111" max="111" width="5.42578125" style="1572" bestFit="1" customWidth="1"/>
    <col min="112" max="116" width="5.85546875" style="1451" customWidth="1"/>
    <col min="117" max="117" width="7" style="1451" customWidth="1"/>
    <col min="118" max="118" width="5.85546875" style="1574" customWidth="1"/>
    <col min="119" max="119" width="5.85546875" style="1451" customWidth="1"/>
    <col min="120" max="120" width="5.85546875" style="1572" customWidth="1"/>
    <col min="121" max="16384" width="8.140625" style="1451"/>
  </cols>
  <sheetData>
    <row r="1" spans="1:123" s="1448" customFormat="1" ht="15" customHeight="1">
      <c r="C1" s="1449" t="s">
        <v>970</v>
      </c>
      <c r="D1" s="1767">
        <v>1</v>
      </c>
      <c r="E1" s="1768"/>
      <c r="F1" s="1768"/>
      <c r="G1" s="1768"/>
      <c r="H1" s="1768"/>
      <c r="I1" s="1768"/>
      <c r="J1" s="1768"/>
      <c r="K1" s="1768"/>
      <c r="L1" s="1769"/>
      <c r="M1" s="1767">
        <v>2</v>
      </c>
      <c r="N1" s="1768"/>
      <c r="O1" s="1768"/>
      <c r="P1" s="1768"/>
      <c r="Q1" s="1768"/>
      <c r="R1" s="1768"/>
      <c r="S1" s="1768"/>
      <c r="T1" s="1768"/>
      <c r="U1" s="1769"/>
      <c r="V1" s="1767">
        <v>3</v>
      </c>
      <c r="W1" s="1768"/>
      <c r="X1" s="1768"/>
      <c r="Y1" s="1768"/>
      <c r="Z1" s="1768"/>
      <c r="AA1" s="1768"/>
      <c r="AB1" s="1768"/>
      <c r="AC1" s="1768"/>
      <c r="AD1" s="1769"/>
      <c r="AE1" s="1767">
        <v>4</v>
      </c>
      <c r="AF1" s="1768"/>
      <c r="AG1" s="1768"/>
      <c r="AH1" s="1768"/>
      <c r="AI1" s="1768"/>
      <c r="AJ1" s="1768"/>
      <c r="AK1" s="1768"/>
      <c r="AL1" s="1768"/>
      <c r="AM1" s="1769"/>
      <c r="AN1" s="1767">
        <v>5</v>
      </c>
      <c r="AO1" s="1768"/>
      <c r="AP1" s="1768"/>
      <c r="AQ1" s="1768"/>
      <c r="AR1" s="1768"/>
      <c r="AS1" s="1768"/>
      <c r="AT1" s="1768"/>
      <c r="AU1" s="1768"/>
      <c r="AV1" s="1769"/>
      <c r="AW1" s="1767">
        <v>6</v>
      </c>
      <c r="AX1" s="1768"/>
      <c r="AY1" s="1768"/>
      <c r="AZ1" s="1768"/>
      <c r="BA1" s="1768"/>
      <c r="BB1" s="1768"/>
      <c r="BC1" s="1768"/>
      <c r="BD1" s="1768"/>
      <c r="BE1" s="1769"/>
      <c r="BF1" s="1767">
        <v>7</v>
      </c>
      <c r="BG1" s="1768"/>
      <c r="BH1" s="1768"/>
      <c r="BI1" s="1768"/>
      <c r="BJ1" s="1768"/>
      <c r="BK1" s="1768"/>
      <c r="BL1" s="1768"/>
      <c r="BM1" s="1768"/>
      <c r="BN1" s="1769"/>
      <c r="BO1" s="1767">
        <v>8</v>
      </c>
      <c r="BP1" s="1768"/>
      <c r="BQ1" s="1768"/>
      <c r="BR1" s="1768"/>
      <c r="BS1" s="1768"/>
      <c r="BT1" s="1768"/>
      <c r="BU1" s="1768"/>
      <c r="BV1" s="1768"/>
      <c r="BW1" s="1769"/>
      <c r="BX1" s="1767">
        <v>9</v>
      </c>
      <c r="BY1" s="1768"/>
      <c r="BZ1" s="1768"/>
      <c r="CA1" s="1768"/>
      <c r="CB1" s="1768"/>
      <c r="CC1" s="1768"/>
      <c r="CD1" s="1768"/>
      <c r="CE1" s="1768"/>
      <c r="CF1" s="1769"/>
      <c r="CG1" s="1767">
        <v>10</v>
      </c>
      <c r="CH1" s="1768"/>
      <c r="CI1" s="1768"/>
      <c r="CJ1" s="1768"/>
      <c r="CK1" s="1768"/>
      <c r="CL1" s="1768"/>
      <c r="CM1" s="1768"/>
      <c r="CN1" s="1768"/>
      <c r="CO1" s="1769"/>
      <c r="CP1" s="1767">
        <v>11</v>
      </c>
      <c r="CQ1" s="1768"/>
      <c r="CR1" s="1768"/>
      <c r="CS1" s="1768"/>
      <c r="CT1" s="1768"/>
      <c r="CU1" s="1768"/>
      <c r="CV1" s="1768"/>
      <c r="CW1" s="1768"/>
      <c r="CX1" s="1769"/>
      <c r="CY1" s="1770">
        <v>12</v>
      </c>
      <c r="CZ1" s="1770"/>
      <c r="DA1" s="1770"/>
      <c r="DB1" s="1770"/>
      <c r="DC1" s="1770"/>
      <c r="DD1" s="1770"/>
      <c r="DE1" s="1770"/>
      <c r="DF1" s="1770"/>
      <c r="DG1" s="1770"/>
      <c r="DH1" s="1770" t="s">
        <v>1025</v>
      </c>
      <c r="DI1" s="1770"/>
      <c r="DJ1" s="1770"/>
      <c r="DK1" s="1770"/>
      <c r="DL1" s="1770"/>
      <c r="DM1" s="1770"/>
      <c r="DN1" s="1770"/>
      <c r="DO1" s="1770"/>
      <c r="DP1" s="1770"/>
      <c r="DQ1" s="1450"/>
    </row>
    <row r="2" spans="1:123">
      <c r="C2" s="1449" t="s">
        <v>972</v>
      </c>
      <c r="D2" s="1767">
        <v>31</v>
      </c>
      <c r="E2" s="1768"/>
      <c r="F2" s="1768"/>
      <c r="G2" s="1768"/>
      <c r="H2" s="1768"/>
      <c r="I2" s="1768"/>
      <c r="J2" s="1768"/>
      <c r="K2" s="1768"/>
      <c r="L2" s="1769"/>
      <c r="M2" s="1767"/>
      <c r="N2" s="1768"/>
      <c r="O2" s="1768"/>
      <c r="P2" s="1768"/>
      <c r="Q2" s="1768"/>
      <c r="R2" s="1768"/>
      <c r="S2" s="1768"/>
      <c r="T2" s="1768"/>
      <c r="U2" s="1769"/>
      <c r="V2" s="1767"/>
      <c r="W2" s="1768"/>
      <c r="X2" s="1768"/>
      <c r="Y2" s="1768"/>
      <c r="Z2" s="1768"/>
      <c r="AA2" s="1768"/>
      <c r="AB2" s="1768"/>
      <c r="AC2" s="1768"/>
      <c r="AD2" s="1769"/>
      <c r="AE2" s="1767"/>
      <c r="AF2" s="1768"/>
      <c r="AG2" s="1768"/>
      <c r="AH2" s="1768"/>
      <c r="AI2" s="1768"/>
      <c r="AJ2" s="1768"/>
      <c r="AK2" s="1768"/>
      <c r="AL2" s="1768"/>
      <c r="AM2" s="1769"/>
      <c r="AN2" s="1767"/>
      <c r="AO2" s="1768"/>
      <c r="AP2" s="1768"/>
      <c r="AQ2" s="1768"/>
      <c r="AR2" s="1768"/>
      <c r="AS2" s="1768"/>
      <c r="AT2" s="1768"/>
      <c r="AU2" s="1768"/>
      <c r="AV2" s="1769"/>
      <c r="AW2" s="1767"/>
      <c r="AX2" s="1768"/>
      <c r="AY2" s="1768"/>
      <c r="AZ2" s="1768"/>
      <c r="BA2" s="1768"/>
      <c r="BB2" s="1768"/>
      <c r="BC2" s="1768"/>
      <c r="BD2" s="1768"/>
      <c r="BE2" s="1769"/>
      <c r="BF2" s="1767"/>
      <c r="BG2" s="1768"/>
      <c r="BH2" s="1768"/>
      <c r="BI2" s="1768"/>
      <c r="BJ2" s="1768"/>
      <c r="BK2" s="1768"/>
      <c r="BL2" s="1768"/>
      <c r="BM2" s="1768"/>
      <c r="BN2" s="1769"/>
      <c r="BO2" s="1767"/>
      <c r="BP2" s="1768"/>
      <c r="BQ2" s="1768"/>
      <c r="BR2" s="1768"/>
      <c r="BS2" s="1768"/>
      <c r="BT2" s="1768"/>
      <c r="BU2" s="1768"/>
      <c r="BV2" s="1768"/>
      <c r="BW2" s="1769"/>
      <c r="BX2" s="1767"/>
      <c r="BY2" s="1768"/>
      <c r="BZ2" s="1768"/>
      <c r="CA2" s="1768"/>
      <c r="CB2" s="1768"/>
      <c r="CC2" s="1768"/>
      <c r="CD2" s="1768"/>
      <c r="CE2" s="1768"/>
      <c r="CF2" s="1769"/>
      <c r="CG2" s="1767"/>
      <c r="CH2" s="1768"/>
      <c r="CI2" s="1768"/>
      <c r="CJ2" s="1768"/>
      <c r="CK2" s="1768"/>
      <c r="CL2" s="1768"/>
      <c r="CM2" s="1768"/>
      <c r="CN2" s="1768"/>
      <c r="CO2" s="1769"/>
      <c r="CP2" s="1767"/>
      <c r="CQ2" s="1768"/>
      <c r="CR2" s="1768"/>
      <c r="CS2" s="1768"/>
      <c r="CT2" s="1768"/>
      <c r="CU2" s="1768"/>
      <c r="CV2" s="1768"/>
      <c r="CW2" s="1768"/>
      <c r="CX2" s="1769"/>
      <c r="CY2" s="1770"/>
      <c r="CZ2" s="1770"/>
      <c r="DA2" s="1770"/>
      <c r="DB2" s="1770"/>
      <c r="DC2" s="1770"/>
      <c r="DD2" s="1770"/>
      <c r="DE2" s="1770"/>
      <c r="DF2" s="1770"/>
      <c r="DG2" s="1770"/>
      <c r="DH2" s="1770">
        <f>SUM(D2:DG2)</f>
        <v>31</v>
      </c>
      <c r="DI2" s="1770"/>
      <c r="DJ2" s="1770"/>
      <c r="DK2" s="1770"/>
      <c r="DL2" s="1770"/>
      <c r="DM2" s="1770"/>
      <c r="DN2" s="1770"/>
      <c r="DO2" s="1770"/>
      <c r="DP2" s="1770"/>
      <c r="DQ2" s="1452"/>
    </row>
    <row r="3" spans="1:123">
      <c r="C3" s="1453" t="s">
        <v>974</v>
      </c>
      <c r="D3" s="1767">
        <f>D2*24</f>
        <v>744</v>
      </c>
      <c r="E3" s="1768"/>
      <c r="F3" s="1768"/>
      <c r="G3" s="1768"/>
      <c r="H3" s="1768"/>
      <c r="I3" s="1768"/>
      <c r="J3" s="1768"/>
      <c r="K3" s="1768"/>
      <c r="L3" s="1769"/>
      <c r="M3" s="1767">
        <f>M2*24</f>
        <v>0</v>
      </c>
      <c r="N3" s="1768"/>
      <c r="O3" s="1768"/>
      <c r="P3" s="1768"/>
      <c r="Q3" s="1768"/>
      <c r="R3" s="1768"/>
      <c r="S3" s="1768"/>
      <c r="T3" s="1768"/>
      <c r="U3" s="1769"/>
      <c r="V3" s="1767">
        <f>V2*24</f>
        <v>0</v>
      </c>
      <c r="W3" s="1768"/>
      <c r="X3" s="1768"/>
      <c r="Y3" s="1768"/>
      <c r="Z3" s="1768"/>
      <c r="AA3" s="1768"/>
      <c r="AB3" s="1768"/>
      <c r="AC3" s="1768"/>
      <c r="AD3" s="1769"/>
      <c r="AE3" s="1767">
        <f>AE2*24</f>
        <v>0</v>
      </c>
      <c r="AF3" s="1768"/>
      <c r="AG3" s="1768"/>
      <c r="AH3" s="1768"/>
      <c r="AI3" s="1768"/>
      <c r="AJ3" s="1768"/>
      <c r="AK3" s="1768"/>
      <c r="AL3" s="1768"/>
      <c r="AM3" s="1769"/>
      <c r="AN3" s="1767">
        <f>AN2*24</f>
        <v>0</v>
      </c>
      <c r="AO3" s="1768"/>
      <c r="AP3" s="1768"/>
      <c r="AQ3" s="1768"/>
      <c r="AR3" s="1768"/>
      <c r="AS3" s="1768"/>
      <c r="AT3" s="1768"/>
      <c r="AU3" s="1768"/>
      <c r="AV3" s="1769"/>
      <c r="AW3" s="1767">
        <f>AW2*24</f>
        <v>0</v>
      </c>
      <c r="AX3" s="1768"/>
      <c r="AY3" s="1768"/>
      <c r="AZ3" s="1768"/>
      <c r="BA3" s="1768"/>
      <c r="BB3" s="1768"/>
      <c r="BC3" s="1768"/>
      <c r="BD3" s="1768"/>
      <c r="BE3" s="1769"/>
      <c r="BF3" s="1767">
        <f>BF2*24</f>
        <v>0</v>
      </c>
      <c r="BG3" s="1768"/>
      <c r="BH3" s="1768"/>
      <c r="BI3" s="1768"/>
      <c r="BJ3" s="1768"/>
      <c r="BK3" s="1768"/>
      <c r="BL3" s="1768"/>
      <c r="BM3" s="1768"/>
      <c r="BN3" s="1769"/>
      <c r="BO3" s="1767">
        <f>BO2*24</f>
        <v>0</v>
      </c>
      <c r="BP3" s="1768"/>
      <c r="BQ3" s="1768"/>
      <c r="BR3" s="1768"/>
      <c r="BS3" s="1768"/>
      <c r="BT3" s="1768"/>
      <c r="BU3" s="1768"/>
      <c r="BV3" s="1768"/>
      <c r="BW3" s="1769"/>
      <c r="BX3" s="1767">
        <f>BX2*24</f>
        <v>0</v>
      </c>
      <c r="BY3" s="1768"/>
      <c r="BZ3" s="1768"/>
      <c r="CA3" s="1768"/>
      <c r="CB3" s="1768"/>
      <c r="CC3" s="1768"/>
      <c r="CD3" s="1768"/>
      <c r="CE3" s="1768"/>
      <c r="CF3" s="1769"/>
      <c r="CG3" s="1767">
        <f>CG2*24</f>
        <v>0</v>
      </c>
      <c r="CH3" s="1768"/>
      <c r="CI3" s="1768"/>
      <c r="CJ3" s="1768"/>
      <c r="CK3" s="1768"/>
      <c r="CL3" s="1768"/>
      <c r="CM3" s="1768"/>
      <c r="CN3" s="1768"/>
      <c r="CO3" s="1769"/>
      <c r="CP3" s="1767">
        <f>CP2*24</f>
        <v>0</v>
      </c>
      <c r="CQ3" s="1768"/>
      <c r="CR3" s="1768"/>
      <c r="CS3" s="1768"/>
      <c r="CT3" s="1768"/>
      <c r="CU3" s="1768"/>
      <c r="CV3" s="1768"/>
      <c r="CW3" s="1768"/>
      <c r="CX3" s="1769"/>
      <c r="CY3" s="1767">
        <f>CY2*24</f>
        <v>0</v>
      </c>
      <c r="CZ3" s="1768"/>
      <c r="DA3" s="1768"/>
      <c r="DB3" s="1768"/>
      <c r="DC3" s="1768"/>
      <c r="DD3" s="1768"/>
      <c r="DE3" s="1768"/>
      <c r="DF3" s="1768"/>
      <c r="DG3" s="1769"/>
      <c r="DH3" s="1767">
        <f>DH2*24</f>
        <v>744</v>
      </c>
      <c r="DI3" s="1768"/>
      <c r="DJ3" s="1768"/>
      <c r="DK3" s="1768"/>
      <c r="DL3" s="1768"/>
      <c r="DM3" s="1768"/>
      <c r="DN3" s="1768"/>
      <c r="DO3" s="1768"/>
      <c r="DP3" s="1769"/>
      <c r="DQ3" s="1452"/>
    </row>
    <row r="4" spans="1:123" s="1463" customFormat="1" ht="14.25">
      <c r="A4" s="1454" t="s">
        <v>1026</v>
      </c>
      <c r="B4" s="1454" t="s">
        <v>27</v>
      </c>
      <c r="C4" s="1455" t="s">
        <v>229</v>
      </c>
      <c r="D4" s="1456" t="s">
        <v>1027</v>
      </c>
      <c r="E4" s="1457" t="s">
        <v>1028</v>
      </c>
      <c r="F4" s="1457" t="s">
        <v>1029</v>
      </c>
      <c r="G4" s="1457" t="s">
        <v>1030</v>
      </c>
      <c r="H4" s="1457" t="s">
        <v>1031</v>
      </c>
      <c r="I4" s="1457" t="s">
        <v>1032</v>
      </c>
      <c r="J4" s="1457" t="s">
        <v>1033</v>
      </c>
      <c r="K4" s="1458" t="s">
        <v>1034</v>
      </c>
      <c r="L4" s="1459" t="s">
        <v>1035</v>
      </c>
      <c r="M4" s="1456" t="s">
        <v>1027</v>
      </c>
      <c r="N4" s="1457" t="s">
        <v>1028</v>
      </c>
      <c r="O4" s="1457" t="s">
        <v>1029</v>
      </c>
      <c r="P4" s="1457" t="s">
        <v>1030</v>
      </c>
      <c r="Q4" s="1457" t="s">
        <v>1031</v>
      </c>
      <c r="R4" s="1457" t="s">
        <v>1032</v>
      </c>
      <c r="S4" s="1457" t="s">
        <v>1033</v>
      </c>
      <c r="T4" s="1458" t="s">
        <v>1034</v>
      </c>
      <c r="U4" s="1459" t="s">
        <v>1035</v>
      </c>
      <c r="V4" s="1456" t="s">
        <v>1027</v>
      </c>
      <c r="W4" s="1457" t="s">
        <v>1028</v>
      </c>
      <c r="X4" s="1457" t="s">
        <v>1029</v>
      </c>
      <c r="Y4" s="1457" t="s">
        <v>1030</v>
      </c>
      <c r="Z4" s="1457" t="s">
        <v>1031</v>
      </c>
      <c r="AA4" s="1457" t="s">
        <v>1032</v>
      </c>
      <c r="AB4" s="1457" t="s">
        <v>1033</v>
      </c>
      <c r="AC4" s="1458" t="s">
        <v>1034</v>
      </c>
      <c r="AD4" s="1459" t="s">
        <v>1035</v>
      </c>
      <c r="AE4" s="1456" t="s">
        <v>1027</v>
      </c>
      <c r="AF4" s="1457" t="s">
        <v>1028</v>
      </c>
      <c r="AG4" s="1457" t="s">
        <v>1029</v>
      </c>
      <c r="AH4" s="1457" t="s">
        <v>1030</v>
      </c>
      <c r="AI4" s="1457" t="s">
        <v>1031</v>
      </c>
      <c r="AJ4" s="1457" t="s">
        <v>1032</v>
      </c>
      <c r="AK4" s="1457" t="s">
        <v>1033</v>
      </c>
      <c r="AL4" s="1458" t="s">
        <v>1034</v>
      </c>
      <c r="AM4" s="1459" t="s">
        <v>1035</v>
      </c>
      <c r="AN4" s="1455" t="s">
        <v>1027</v>
      </c>
      <c r="AO4" s="1460" t="s">
        <v>1028</v>
      </c>
      <c r="AP4" s="1460" t="s">
        <v>1029</v>
      </c>
      <c r="AQ4" s="1460" t="s">
        <v>1030</v>
      </c>
      <c r="AR4" s="1460" t="s">
        <v>1031</v>
      </c>
      <c r="AS4" s="1460" t="s">
        <v>1032</v>
      </c>
      <c r="AT4" s="1460" t="s">
        <v>1033</v>
      </c>
      <c r="AU4" s="1461" t="s">
        <v>1034</v>
      </c>
      <c r="AV4" s="1462" t="s">
        <v>1035</v>
      </c>
      <c r="AW4" s="1456" t="s">
        <v>1027</v>
      </c>
      <c r="AX4" s="1457" t="s">
        <v>1028</v>
      </c>
      <c r="AY4" s="1457" t="s">
        <v>1029</v>
      </c>
      <c r="AZ4" s="1457" t="s">
        <v>1030</v>
      </c>
      <c r="BA4" s="1457" t="s">
        <v>1031</v>
      </c>
      <c r="BB4" s="1457" t="s">
        <v>1032</v>
      </c>
      <c r="BC4" s="1457" t="s">
        <v>1033</v>
      </c>
      <c r="BD4" s="1458" t="s">
        <v>1034</v>
      </c>
      <c r="BE4" s="1459" t="s">
        <v>1035</v>
      </c>
      <c r="BF4" s="1456" t="s">
        <v>1027</v>
      </c>
      <c r="BG4" s="1457" t="s">
        <v>1028</v>
      </c>
      <c r="BH4" s="1457" t="s">
        <v>1029</v>
      </c>
      <c r="BI4" s="1457" t="s">
        <v>1030</v>
      </c>
      <c r="BJ4" s="1457" t="s">
        <v>1031</v>
      </c>
      <c r="BK4" s="1457" t="s">
        <v>1032</v>
      </c>
      <c r="BL4" s="1457" t="s">
        <v>1033</v>
      </c>
      <c r="BM4" s="1458" t="s">
        <v>1034</v>
      </c>
      <c r="BN4" s="1459" t="s">
        <v>1035</v>
      </c>
      <c r="BO4" s="1456" t="s">
        <v>1027</v>
      </c>
      <c r="BP4" s="1457" t="s">
        <v>1028</v>
      </c>
      <c r="BQ4" s="1457" t="s">
        <v>1029</v>
      </c>
      <c r="BR4" s="1457" t="s">
        <v>1030</v>
      </c>
      <c r="BS4" s="1457" t="s">
        <v>1031</v>
      </c>
      <c r="BT4" s="1457" t="s">
        <v>1032</v>
      </c>
      <c r="BU4" s="1457" t="s">
        <v>1033</v>
      </c>
      <c r="BV4" s="1458" t="s">
        <v>1034</v>
      </c>
      <c r="BW4" s="1459" t="s">
        <v>1035</v>
      </c>
      <c r="BX4" s="1456" t="s">
        <v>1027</v>
      </c>
      <c r="BY4" s="1457" t="s">
        <v>1028</v>
      </c>
      <c r="BZ4" s="1457" t="s">
        <v>1029</v>
      </c>
      <c r="CA4" s="1457" t="s">
        <v>1030</v>
      </c>
      <c r="CB4" s="1457" t="s">
        <v>1031</v>
      </c>
      <c r="CC4" s="1457" t="s">
        <v>1032</v>
      </c>
      <c r="CD4" s="1457" t="s">
        <v>1033</v>
      </c>
      <c r="CE4" s="1458" t="s">
        <v>1034</v>
      </c>
      <c r="CF4" s="1459" t="s">
        <v>1035</v>
      </c>
      <c r="CG4" s="1456" t="s">
        <v>1027</v>
      </c>
      <c r="CH4" s="1457" t="s">
        <v>1028</v>
      </c>
      <c r="CI4" s="1457" t="s">
        <v>1029</v>
      </c>
      <c r="CJ4" s="1457" t="s">
        <v>1030</v>
      </c>
      <c r="CK4" s="1457" t="s">
        <v>1031</v>
      </c>
      <c r="CL4" s="1457" t="s">
        <v>1032</v>
      </c>
      <c r="CM4" s="1457" t="s">
        <v>1033</v>
      </c>
      <c r="CN4" s="1458" t="s">
        <v>1034</v>
      </c>
      <c r="CO4" s="1459" t="s">
        <v>1035</v>
      </c>
      <c r="CP4" s="1456" t="s">
        <v>1027</v>
      </c>
      <c r="CQ4" s="1457" t="s">
        <v>1028</v>
      </c>
      <c r="CR4" s="1457" t="s">
        <v>1029</v>
      </c>
      <c r="CS4" s="1457" t="s">
        <v>1030</v>
      </c>
      <c r="CT4" s="1457" t="s">
        <v>1031</v>
      </c>
      <c r="CU4" s="1457" t="s">
        <v>1032</v>
      </c>
      <c r="CV4" s="1457" t="s">
        <v>1033</v>
      </c>
      <c r="CW4" s="1458" t="s">
        <v>1034</v>
      </c>
      <c r="CX4" s="1459" t="s">
        <v>1035</v>
      </c>
      <c r="CY4" s="1456" t="s">
        <v>1027</v>
      </c>
      <c r="CZ4" s="1457" t="s">
        <v>1028</v>
      </c>
      <c r="DA4" s="1457" t="s">
        <v>1029</v>
      </c>
      <c r="DB4" s="1457" t="s">
        <v>1030</v>
      </c>
      <c r="DC4" s="1457" t="s">
        <v>1031</v>
      </c>
      <c r="DD4" s="1457" t="s">
        <v>1032</v>
      </c>
      <c r="DE4" s="1457" t="s">
        <v>1033</v>
      </c>
      <c r="DF4" s="1458" t="s">
        <v>1034</v>
      </c>
      <c r="DG4" s="1459" t="s">
        <v>1035</v>
      </c>
      <c r="DH4" s="1455" t="s">
        <v>1036</v>
      </c>
      <c r="DI4" s="1460" t="s">
        <v>1028</v>
      </c>
      <c r="DJ4" s="1460" t="s">
        <v>1029</v>
      </c>
      <c r="DK4" s="1460" t="s">
        <v>1030</v>
      </c>
      <c r="DL4" s="1460" t="s">
        <v>1037</v>
      </c>
      <c r="DM4" s="1460" t="s">
        <v>1032</v>
      </c>
      <c r="DN4" s="1461" t="s">
        <v>1033</v>
      </c>
      <c r="DO4" s="1460" t="s">
        <v>1034</v>
      </c>
      <c r="DP4" s="1459" t="s">
        <v>1035</v>
      </c>
    </row>
    <row r="5" spans="1:123" s="1448" customFormat="1">
      <c r="A5" s="1464">
        <v>1</v>
      </c>
      <c r="B5" s="1465" t="s">
        <v>64</v>
      </c>
      <c r="C5" s="1466" t="s">
        <v>1038</v>
      </c>
      <c r="D5" s="1467"/>
      <c r="E5" s="1468"/>
      <c r="F5" s="1468"/>
      <c r="G5" s="1469">
        <f>SUM(D5:F5)</f>
        <v>0</v>
      </c>
      <c r="H5" s="1468"/>
      <c r="I5" s="1468"/>
      <c r="J5" s="1468"/>
      <c r="K5" s="1469">
        <f>SUM(H5:J5)</f>
        <v>0</v>
      </c>
      <c r="L5" s="1470">
        <f>(D$3-G5-K5)/(D$3-G5)</f>
        <v>1</v>
      </c>
      <c r="M5" s="1471"/>
      <c r="N5" s="1468"/>
      <c r="O5" s="1468"/>
      <c r="P5" s="1469">
        <f>SUM(M5:O5)</f>
        <v>0</v>
      </c>
      <c r="Q5" s="1468"/>
      <c r="R5" s="1468"/>
      <c r="S5" s="1468"/>
      <c r="T5" s="1469">
        <f>SUM(Q5:S5)</f>
        <v>0</v>
      </c>
      <c r="U5" s="1470" t="e">
        <f t="shared" ref="U5:U7" si="0">(M$3-P5-T5)/(M$3-P5)</f>
        <v>#DIV/0!</v>
      </c>
      <c r="V5" s="1471"/>
      <c r="W5" s="1468"/>
      <c r="X5" s="1468"/>
      <c r="Y5" s="1469">
        <f>SUM(V5:X5)</f>
        <v>0</v>
      </c>
      <c r="Z5" s="1468"/>
      <c r="AA5" s="1468"/>
      <c r="AB5" s="1468"/>
      <c r="AC5" s="1469">
        <f>SUM(Z5:AB5)</f>
        <v>0</v>
      </c>
      <c r="AD5" s="1470" t="e">
        <f t="shared" ref="AD5:AD7" si="1">(V$3-Y5-AC5)/(V$3-Y5)</f>
        <v>#DIV/0!</v>
      </c>
      <c r="AE5" s="1467"/>
      <c r="AF5" s="1468"/>
      <c r="AG5" s="1468"/>
      <c r="AH5" s="1469">
        <f>SUM(AE5:AG5)</f>
        <v>0</v>
      </c>
      <c r="AI5" s="1468"/>
      <c r="AJ5" s="1468"/>
      <c r="AK5" s="1468"/>
      <c r="AL5" s="1469">
        <f>SUM(AI5:AK5)</f>
        <v>0</v>
      </c>
      <c r="AM5" s="1470" t="e">
        <f t="shared" ref="AM5:AM7" si="2">(AE$3-AH5-AL5)/(AE$3-AH5)</f>
        <v>#DIV/0!</v>
      </c>
      <c r="AN5" s="1472"/>
      <c r="AO5" s="1473"/>
      <c r="AP5" s="1473"/>
      <c r="AQ5" s="1474">
        <f>SUM(AN5:AP5)</f>
        <v>0</v>
      </c>
      <c r="AR5" s="1473"/>
      <c r="AS5" s="1473"/>
      <c r="AT5" s="1473"/>
      <c r="AU5" s="1474">
        <f>SUM(AR5:AT5)</f>
        <v>0</v>
      </c>
      <c r="AV5" s="1475" t="e">
        <f t="shared" ref="AV5:AV7" si="3">(AN$3-AQ5-AU5)/(AN$3-AQ5)</f>
        <v>#DIV/0!</v>
      </c>
      <c r="AW5" s="1467"/>
      <c r="AX5" s="1468"/>
      <c r="AY5" s="1468"/>
      <c r="AZ5" s="1474">
        <f>SUM(AW5:AY5)</f>
        <v>0</v>
      </c>
      <c r="BA5" s="1468"/>
      <c r="BB5" s="1468"/>
      <c r="BC5" s="1468"/>
      <c r="BD5" s="1474">
        <f>SUM(BA5:BC5)</f>
        <v>0</v>
      </c>
      <c r="BE5" s="1475" t="e">
        <f t="shared" ref="BE5:BE7" si="4">(AW$3-AZ5-BD5)/(AW$3-AZ5)</f>
        <v>#DIV/0!</v>
      </c>
      <c r="BF5" s="1467"/>
      <c r="BG5" s="1468"/>
      <c r="BH5" s="1468"/>
      <c r="BI5" s="1474">
        <f>SUM(BF5:BH5)</f>
        <v>0</v>
      </c>
      <c r="BJ5" s="1468"/>
      <c r="BK5" s="1468"/>
      <c r="BL5" s="1468"/>
      <c r="BM5" s="1474">
        <f>SUM(BJ5:BL5)</f>
        <v>0</v>
      </c>
      <c r="BN5" s="1475" t="e">
        <f t="shared" ref="BN5:BN7" si="5">(BF$3-BI5-BM5)/(BF$3-BI5)</f>
        <v>#DIV/0!</v>
      </c>
      <c r="BO5" s="1471"/>
      <c r="BP5" s="1468"/>
      <c r="BQ5" s="1468"/>
      <c r="BR5" s="1474">
        <f>SUM(BO5:BQ5)</f>
        <v>0</v>
      </c>
      <c r="BS5" s="1468"/>
      <c r="BT5" s="1468"/>
      <c r="BU5" s="1468"/>
      <c r="BV5" s="1474">
        <f>SUM(BS5:BU5)</f>
        <v>0</v>
      </c>
      <c r="BW5" s="1475" t="e">
        <f>(BO$3-BR5-BV5)/(BO$3-BR5)</f>
        <v>#DIV/0!</v>
      </c>
      <c r="BX5" s="1467"/>
      <c r="BY5" s="1468"/>
      <c r="BZ5" s="1468"/>
      <c r="CA5" s="1474">
        <f>SUM(BX5:BZ5)</f>
        <v>0</v>
      </c>
      <c r="CB5" s="1468"/>
      <c r="CC5" s="1468"/>
      <c r="CD5" s="1468"/>
      <c r="CE5" s="1474">
        <f>SUM(CB5:CD5)</f>
        <v>0</v>
      </c>
      <c r="CF5" s="1475" t="e">
        <f>(BX$3-CA5-CE5)/(BX$3-CA5)</f>
        <v>#DIV/0!</v>
      </c>
      <c r="CG5" s="1467"/>
      <c r="CH5" s="1468"/>
      <c r="CI5" s="1468"/>
      <c r="CJ5" s="1474">
        <f>SUM(CG5:CI5)</f>
        <v>0</v>
      </c>
      <c r="CK5" s="1468"/>
      <c r="CL5" s="1468"/>
      <c r="CM5" s="1468"/>
      <c r="CN5" s="1474">
        <f>SUM(CK5:CM5)</f>
        <v>0</v>
      </c>
      <c r="CO5" s="1475" t="e">
        <f t="shared" ref="CO5:CO7" si="6">(CG$3-CJ5-CN5)/(CG$3-CJ5)</f>
        <v>#DIV/0!</v>
      </c>
      <c r="CP5" s="1467"/>
      <c r="CQ5" s="1468"/>
      <c r="CR5" s="1468"/>
      <c r="CS5" s="1474">
        <f>SUM(CP5:CR5)</f>
        <v>0</v>
      </c>
      <c r="CT5" s="1468"/>
      <c r="CU5" s="1468"/>
      <c r="CV5" s="1468"/>
      <c r="CW5" s="1474">
        <f>SUM(CT5:CV5)</f>
        <v>0</v>
      </c>
      <c r="CX5" s="1475" t="e">
        <f t="shared" ref="CX5:CX7" si="7">(CP$3-CS5-CW5)/(CP$3-CS5)</f>
        <v>#DIV/0!</v>
      </c>
      <c r="CY5" s="1467"/>
      <c r="CZ5" s="1468"/>
      <c r="DA5" s="1468"/>
      <c r="DB5" s="1474">
        <f>SUM(CY5:DA5)</f>
        <v>0</v>
      </c>
      <c r="DC5" s="1468"/>
      <c r="DD5" s="1468"/>
      <c r="DE5" s="1468"/>
      <c r="DF5" s="1474">
        <f>SUM(DC5:DE5)</f>
        <v>0</v>
      </c>
      <c r="DG5" s="1475" t="e">
        <f t="shared" ref="DG5:DG7" si="8">(CY$3-DB5-DF5)/(CY$3-DB5)</f>
        <v>#DIV/0!</v>
      </c>
      <c r="DH5" s="1472">
        <f>SUM(D5,M5,V5,AE5,AN5,AW5,BF5,BO5,BX5,CG5,CP5,CY5)</f>
        <v>0</v>
      </c>
      <c r="DI5" s="1473">
        <f>SUM(E5,N5,W5,AF5,AO5,AX5,BG5,BP5,BY5,CH5,CQ5,CZ5)</f>
        <v>0</v>
      </c>
      <c r="DJ5" s="1473">
        <f>SUM(F5,O5,X5,AG5,AP5,AY5,BH5,BQ5,BZ5,CI5,CR5,DA5)</f>
        <v>0</v>
      </c>
      <c r="DK5" s="1476">
        <f t="shared" ref="DK5:DN24" si="9">SUM(G5,P5,Y5,AH5,AQ5,AZ5,BI5,BR5,CA5,CJ5,CS5,DB5)</f>
        <v>0</v>
      </c>
      <c r="DL5" s="1473">
        <f>SUM(H5,Q5,Z5,AI5,AR5,BA5,BJ5,BS5,CB5,CK5,CT5,DC5)</f>
        <v>0</v>
      </c>
      <c r="DM5" s="1473">
        <f>SUM(I5,R5,AA5,AJ5,AS5,BB5,BK5,BT5,CC5,CL5,CU5,DD5)</f>
        <v>0</v>
      </c>
      <c r="DN5" s="1473">
        <f>SUM(J5,S5,AB5,AK5,AT5,BC5,BL5,BU5,CD5,CM5,CV5,DE5)</f>
        <v>0</v>
      </c>
      <c r="DO5" s="1476">
        <f>SUM(K5,T5,AC5,AL5,AU5,BD5,BM5,BV5,CE5,CN5,CW5,DF5)</f>
        <v>0</v>
      </c>
      <c r="DP5" s="1470">
        <f>($DH$3-DK5-DO5)/($DH$3-DK5)</f>
        <v>1</v>
      </c>
      <c r="DQ5" s="1477"/>
    </row>
    <row r="6" spans="1:123" s="1448" customFormat="1">
      <c r="A6" s="1478">
        <v>0.21</v>
      </c>
      <c r="B6" s="1479" t="s">
        <v>65</v>
      </c>
      <c r="C6" s="1480" t="s">
        <v>272</v>
      </c>
      <c r="D6" s="1467"/>
      <c r="E6" s="1468"/>
      <c r="F6" s="1468"/>
      <c r="G6" s="1469">
        <f t="shared" ref="G6:G35" si="10">SUM(D6:F6)</f>
        <v>0</v>
      </c>
      <c r="H6" s="1468"/>
      <c r="I6" s="1468"/>
      <c r="J6" s="1468"/>
      <c r="K6" s="1469">
        <f t="shared" ref="K6:K62" si="11">SUM(H6:J6)</f>
        <v>0</v>
      </c>
      <c r="L6" s="1470">
        <f t="shared" ref="L6:L35" si="12">(D$3-G6-K6)/(D$3-G6)</f>
        <v>1</v>
      </c>
      <c r="M6" s="1471"/>
      <c r="N6" s="1468"/>
      <c r="O6" s="1468"/>
      <c r="P6" s="1469">
        <f t="shared" ref="P6:P8" si="13">SUM(M6:O6)</f>
        <v>0</v>
      </c>
      <c r="Q6" s="1468"/>
      <c r="R6" s="1468"/>
      <c r="S6" s="1468"/>
      <c r="T6" s="1469">
        <f t="shared" ref="T6:T7" si="14">SUM(Q6:S6)</f>
        <v>0</v>
      </c>
      <c r="U6" s="1470" t="e">
        <f t="shared" si="0"/>
        <v>#DIV/0!</v>
      </c>
      <c r="V6" s="1471"/>
      <c r="W6" s="1468"/>
      <c r="X6" s="1468"/>
      <c r="Y6" s="1469">
        <f>SUM(V6:X6)</f>
        <v>0</v>
      </c>
      <c r="Z6" s="1468"/>
      <c r="AA6" s="1468"/>
      <c r="AB6" s="1468"/>
      <c r="AC6" s="1469">
        <f>SUM(Z6:AB6)</f>
        <v>0</v>
      </c>
      <c r="AD6" s="1470" t="e">
        <f t="shared" si="1"/>
        <v>#DIV/0!</v>
      </c>
      <c r="AE6" s="1467"/>
      <c r="AF6" s="1468"/>
      <c r="AG6" s="1468"/>
      <c r="AH6" s="1469">
        <f t="shared" ref="AH6:AH8" si="15">SUM(AE6:AG6)</f>
        <v>0</v>
      </c>
      <c r="AI6" s="1468"/>
      <c r="AJ6" s="1468"/>
      <c r="AK6" s="1468"/>
      <c r="AL6" s="1469">
        <f t="shared" ref="AL6:AL8" si="16">SUM(AI6:AK6)</f>
        <v>0</v>
      </c>
      <c r="AM6" s="1470" t="e">
        <f t="shared" si="2"/>
        <v>#DIV/0!</v>
      </c>
      <c r="AN6" s="1467"/>
      <c r="AO6" s="1468"/>
      <c r="AP6" s="1468"/>
      <c r="AQ6" s="1469">
        <f t="shared" ref="AQ6:AQ8" si="17">SUM(AN6:AP6)</f>
        <v>0</v>
      </c>
      <c r="AR6" s="1468"/>
      <c r="AS6" s="1468"/>
      <c r="AT6" s="1468"/>
      <c r="AU6" s="1469">
        <f t="shared" ref="AU6:AU8" si="18">SUM(AR6:AT6)</f>
        <v>0</v>
      </c>
      <c r="AV6" s="1470" t="e">
        <f t="shared" si="3"/>
        <v>#DIV/0!</v>
      </c>
      <c r="AW6" s="1467"/>
      <c r="AX6" s="1468"/>
      <c r="AY6" s="1468"/>
      <c r="AZ6" s="1469">
        <f t="shared" ref="AZ6:AZ8" si="19">SUM(AW6:AY6)</f>
        <v>0</v>
      </c>
      <c r="BA6" s="1468"/>
      <c r="BB6" s="1468"/>
      <c r="BC6" s="1468"/>
      <c r="BD6" s="1469">
        <f t="shared" ref="BD6:BD8" si="20">SUM(BA6:BC6)</f>
        <v>0</v>
      </c>
      <c r="BE6" s="1470" t="e">
        <f t="shared" si="4"/>
        <v>#DIV/0!</v>
      </c>
      <c r="BF6" s="1467"/>
      <c r="BG6" s="1468"/>
      <c r="BH6" s="1468"/>
      <c r="BI6" s="1469">
        <f t="shared" ref="BI6:BI8" si="21">SUM(BF6:BH6)</f>
        <v>0</v>
      </c>
      <c r="BJ6" s="1468"/>
      <c r="BK6" s="1468"/>
      <c r="BL6" s="1468"/>
      <c r="BM6" s="1469">
        <f t="shared" ref="BM6:BM8" si="22">SUM(BJ6:BL6)</f>
        <v>0</v>
      </c>
      <c r="BN6" s="1470" t="e">
        <f t="shared" si="5"/>
        <v>#DIV/0!</v>
      </c>
      <c r="BO6" s="1467"/>
      <c r="BP6" s="1468"/>
      <c r="BQ6" s="1468"/>
      <c r="BR6" s="1469">
        <f t="shared" ref="BR6:BR8" si="23">SUM(BO6:BQ6)</f>
        <v>0</v>
      </c>
      <c r="BS6" s="1468"/>
      <c r="BT6" s="1468"/>
      <c r="BU6" s="1468"/>
      <c r="BV6" s="1469">
        <f t="shared" ref="BV6:BV8" si="24">SUM(BS6:BU6)</f>
        <v>0</v>
      </c>
      <c r="BW6" s="1470" t="e">
        <f t="shared" ref="BW6:BW7" si="25">(BO$3-BR6-BV6)/(BO$3-BR6)</f>
        <v>#DIV/0!</v>
      </c>
      <c r="BX6" s="1467"/>
      <c r="BY6" s="1468"/>
      <c r="BZ6" s="1468"/>
      <c r="CA6" s="1469">
        <f t="shared" ref="CA6:CA8" si="26">SUM(BX6:BZ6)</f>
        <v>0</v>
      </c>
      <c r="CB6" s="1468"/>
      <c r="CC6" s="1468"/>
      <c r="CD6" s="1468"/>
      <c r="CE6" s="1469">
        <f t="shared" ref="CE6:CE8" si="27">SUM(CB6:CD6)</f>
        <v>0</v>
      </c>
      <c r="CF6" s="1470" t="e">
        <f>(BX$3-CA6-CE6)/(BX$3-CA6)</f>
        <v>#DIV/0!</v>
      </c>
      <c r="CG6" s="1467"/>
      <c r="CH6" s="1468"/>
      <c r="CI6" s="1468"/>
      <c r="CJ6" s="1469">
        <f t="shared" ref="CJ6:CJ8" si="28">SUM(CG6:CI6)</f>
        <v>0</v>
      </c>
      <c r="CK6" s="1468"/>
      <c r="CL6" s="1468"/>
      <c r="CM6" s="1468"/>
      <c r="CN6" s="1469">
        <f t="shared" ref="CN6:CN8" si="29">SUM(CK6:CM6)</f>
        <v>0</v>
      </c>
      <c r="CO6" s="1470" t="e">
        <f t="shared" si="6"/>
        <v>#DIV/0!</v>
      </c>
      <c r="CP6" s="1467"/>
      <c r="CQ6" s="1468"/>
      <c r="CR6" s="1468"/>
      <c r="CS6" s="1469">
        <f t="shared" ref="CS6:CS8" si="30">SUM(CP6:CR6)</f>
        <v>0</v>
      </c>
      <c r="CT6" s="1468"/>
      <c r="CU6" s="1468"/>
      <c r="CV6" s="1468"/>
      <c r="CW6" s="1469">
        <f t="shared" ref="CW6:CW8" si="31">SUM(CT6:CV6)</f>
        <v>0</v>
      </c>
      <c r="CX6" s="1470" t="e">
        <f t="shared" si="7"/>
        <v>#DIV/0!</v>
      </c>
      <c r="CY6" s="1467"/>
      <c r="CZ6" s="1468"/>
      <c r="DA6" s="1468"/>
      <c r="DB6" s="1469">
        <f t="shared" ref="DB6:DB8" si="32">SUM(CY6:DA6)</f>
        <v>0</v>
      </c>
      <c r="DC6" s="1468"/>
      <c r="DD6" s="1468"/>
      <c r="DE6" s="1468"/>
      <c r="DF6" s="1469">
        <f t="shared" ref="DF6:DF8" si="33">SUM(DC6:DE6)</f>
        <v>0</v>
      </c>
      <c r="DG6" s="1470" t="e">
        <f t="shared" si="8"/>
        <v>#DIV/0!</v>
      </c>
      <c r="DH6" s="1467">
        <f t="shared" ref="DH6:DO24" si="34">SUM(D6,M6,V6,AE6,AN6,AW6,BF6,BO6,BX6,CG6,CP6,CY6)</f>
        <v>0</v>
      </c>
      <c r="DI6" s="1468">
        <f t="shared" si="34"/>
        <v>0</v>
      </c>
      <c r="DJ6" s="1468">
        <f t="shared" si="34"/>
        <v>0</v>
      </c>
      <c r="DK6" s="1481">
        <f t="shared" si="9"/>
        <v>0</v>
      </c>
      <c r="DL6" s="1468">
        <f t="shared" si="9"/>
        <v>0</v>
      </c>
      <c r="DM6" s="1468">
        <f t="shared" si="9"/>
        <v>0</v>
      </c>
      <c r="DN6" s="1468">
        <f>SUM(J6,S6,AB6,AK6,AT6,BC6,BL6,BU6,CD6,CM6,CV6,DE6)</f>
        <v>0</v>
      </c>
      <c r="DO6" s="1481">
        <f t="shared" ref="DO6:DO62" si="35">SUM(K6,T6,AC6,AL6,AU6,BD6,BM6,BV6,CE6,CN6,CW6,DF6)</f>
        <v>0</v>
      </c>
      <c r="DP6" s="1470">
        <f t="shared" ref="DP6:DP62" si="36">($DH$3-DK6-DO6)/($DH$3-DK6)</f>
        <v>1</v>
      </c>
      <c r="DQ6" s="1477"/>
    </row>
    <row r="7" spans="1:123" s="1448" customFormat="1">
      <c r="A7" s="1482">
        <v>0.32</v>
      </c>
      <c r="B7" s="1483"/>
      <c r="C7" s="1484" t="s">
        <v>274</v>
      </c>
      <c r="D7" s="1467"/>
      <c r="E7" s="1468"/>
      <c r="F7" s="1468"/>
      <c r="G7" s="1469">
        <f t="shared" si="10"/>
        <v>0</v>
      </c>
      <c r="H7" s="1468"/>
      <c r="I7" s="1468"/>
      <c r="J7" s="1468"/>
      <c r="K7" s="1469">
        <f t="shared" si="11"/>
        <v>0</v>
      </c>
      <c r="L7" s="1470">
        <f t="shared" si="12"/>
        <v>1</v>
      </c>
      <c r="M7" s="1471"/>
      <c r="N7" s="1468"/>
      <c r="O7" s="1468"/>
      <c r="P7" s="1469">
        <f t="shared" si="13"/>
        <v>0</v>
      </c>
      <c r="Q7" s="1468"/>
      <c r="R7" s="1468"/>
      <c r="S7" s="1468"/>
      <c r="T7" s="1469">
        <f t="shared" si="14"/>
        <v>0</v>
      </c>
      <c r="U7" s="1470" t="e">
        <f t="shared" si="0"/>
        <v>#DIV/0!</v>
      </c>
      <c r="V7" s="1471"/>
      <c r="W7" s="1468"/>
      <c r="X7" s="1468"/>
      <c r="Y7" s="1469">
        <f>SUM(V7:X7)</f>
        <v>0</v>
      </c>
      <c r="Z7" s="1468"/>
      <c r="AA7" s="1468"/>
      <c r="AB7" s="1468"/>
      <c r="AC7" s="1469">
        <f>SUM(Z7:AB7)</f>
        <v>0</v>
      </c>
      <c r="AD7" s="1470" t="e">
        <f t="shared" si="1"/>
        <v>#DIV/0!</v>
      </c>
      <c r="AE7" s="1467"/>
      <c r="AF7" s="1468"/>
      <c r="AG7" s="1468"/>
      <c r="AH7" s="1469">
        <f t="shared" si="15"/>
        <v>0</v>
      </c>
      <c r="AI7" s="1468"/>
      <c r="AJ7" s="1468"/>
      <c r="AK7" s="1468"/>
      <c r="AL7" s="1469">
        <f t="shared" si="16"/>
        <v>0</v>
      </c>
      <c r="AM7" s="1470" t="e">
        <f t="shared" si="2"/>
        <v>#DIV/0!</v>
      </c>
      <c r="AN7" s="1467"/>
      <c r="AO7" s="1468"/>
      <c r="AP7" s="1468"/>
      <c r="AQ7" s="1469">
        <f t="shared" si="17"/>
        <v>0</v>
      </c>
      <c r="AR7" s="1468"/>
      <c r="AS7" s="1468"/>
      <c r="AT7" s="1468"/>
      <c r="AU7" s="1469">
        <f t="shared" si="18"/>
        <v>0</v>
      </c>
      <c r="AV7" s="1470" t="e">
        <f t="shared" si="3"/>
        <v>#DIV/0!</v>
      </c>
      <c r="AW7" s="1467"/>
      <c r="AX7" s="1468"/>
      <c r="AY7" s="1468"/>
      <c r="AZ7" s="1469">
        <f t="shared" si="19"/>
        <v>0</v>
      </c>
      <c r="BA7" s="1468"/>
      <c r="BB7" s="1468"/>
      <c r="BC7" s="1468"/>
      <c r="BD7" s="1469">
        <f t="shared" si="20"/>
        <v>0</v>
      </c>
      <c r="BE7" s="1470" t="e">
        <f t="shared" si="4"/>
        <v>#DIV/0!</v>
      </c>
      <c r="BF7" s="1467"/>
      <c r="BG7" s="1468"/>
      <c r="BH7" s="1468"/>
      <c r="BI7" s="1469">
        <f t="shared" si="21"/>
        <v>0</v>
      </c>
      <c r="BJ7" s="1468"/>
      <c r="BK7" s="1468"/>
      <c r="BL7" s="1468"/>
      <c r="BM7" s="1469">
        <f t="shared" si="22"/>
        <v>0</v>
      </c>
      <c r="BN7" s="1470" t="e">
        <f t="shared" si="5"/>
        <v>#DIV/0!</v>
      </c>
      <c r="BO7" s="1467"/>
      <c r="BP7" s="1468"/>
      <c r="BQ7" s="1468"/>
      <c r="BR7" s="1469">
        <f t="shared" si="23"/>
        <v>0</v>
      </c>
      <c r="BS7" s="1468"/>
      <c r="BT7" s="1468"/>
      <c r="BU7" s="1468"/>
      <c r="BV7" s="1469">
        <f t="shared" si="24"/>
        <v>0</v>
      </c>
      <c r="BW7" s="1470" t="e">
        <f t="shared" si="25"/>
        <v>#DIV/0!</v>
      </c>
      <c r="BX7" s="1467"/>
      <c r="BY7" s="1468"/>
      <c r="BZ7" s="1468"/>
      <c r="CA7" s="1469">
        <f t="shared" si="26"/>
        <v>0</v>
      </c>
      <c r="CB7" s="1468"/>
      <c r="CC7" s="1468"/>
      <c r="CD7" s="1468"/>
      <c r="CE7" s="1469">
        <f t="shared" si="27"/>
        <v>0</v>
      </c>
      <c r="CF7" s="1470" t="e">
        <f>(BX$3-CA7-CE7)/(BX$3-CA7)</f>
        <v>#DIV/0!</v>
      </c>
      <c r="CG7" s="1467"/>
      <c r="CH7" s="1468"/>
      <c r="CI7" s="1468"/>
      <c r="CJ7" s="1469">
        <f t="shared" si="28"/>
        <v>0</v>
      </c>
      <c r="CK7" s="1468"/>
      <c r="CL7" s="1468"/>
      <c r="CM7" s="1468"/>
      <c r="CN7" s="1469">
        <f t="shared" si="29"/>
        <v>0</v>
      </c>
      <c r="CO7" s="1470" t="e">
        <f t="shared" si="6"/>
        <v>#DIV/0!</v>
      </c>
      <c r="CP7" s="1467"/>
      <c r="CQ7" s="1468"/>
      <c r="CR7" s="1468"/>
      <c r="CS7" s="1469">
        <f t="shared" si="30"/>
        <v>0</v>
      </c>
      <c r="CT7" s="1468"/>
      <c r="CU7" s="1468"/>
      <c r="CV7" s="1468"/>
      <c r="CW7" s="1469">
        <f t="shared" si="31"/>
        <v>0</v>
      </c>
      <c r="CX7" s="1470" t="e">
        <f t="shared" si="7"/>
        <v>#DIV/0!</v>
      </c>
      <c r="CY7" s="1467"/>
      <c r="CZ7" s="1468"/>
      <c r="DA7" s="1468"/>
      <c r="DB7" s="1469">
        <f t="shared" si="32"/>
        <v>0</v>
      </c>
      <c r="DC7" s="1468"/>
      <c r="DD7" s="1468"/>
      <c r="DE7" s="1468"/>
      <c r="DF7" s="1469">
        <f t="shared" si="33"/>
        <v>0</v>
      </c>
      <c r="DG7" s="1470" t="e">
        <f t="shared" si="8"/>
        <v>#DIV/0!</v>
      </c>
      <c r="DH7" s="1467">
        <f t="shared" si="34"/>
        <v>0</v>
      </c>
      <c r="DI7" s="1468">
        <f t="shared" si="34"/>
        <v>0</v>
      </c>
      <c r="DJ7" s="1468">
        <f t="shared" si="34"/>
        <v>0</v>
      </c>
      <c r="DK7" s="1481">
        <f t="shared" si="9"/>
        <v>0</v>
      </c>
      <c r="DL7" s="1468">
        <f t="shared" si="9"/>
        <v>0</v>
      </c>
      <c r="DM7" s="1468">
        <f t="shared" si="9"/>
        <v>0</v>
      </c>
      <c r="DN7" s="1468">
        <f t="shared" si="9"/>
        <v>0</v>
      </c>
      <c r="DO7" s="1481">
        <f t="shared" si="35"/>
        <v>0</v>
      </c>
      <c r="DP7" s="1470">
        <f t="shared" si="36"/>
        <v>1</v>
      </c>
      <c r="DQ7" s="1477"/>
    </row>
    <row r="8" spans="1:123" s="1448" customFormat="1">
      <c r="A8" s="1485">
        <v>0.47</v>
      </c>
      <c r="B8" s="1486"/>
      <c r="C8" s="1487" t="s">
        <v>276</v>
      </c>
      <c r="D8" s="1467"/>
      <c r="E8" s="1468"/>
      <c r="F8" s="1468"/>
      <c r="G8" s="1469">
        <f t="shared" si="10"/>
        <v>0</v>
      </c>
      <c r="H8" s="1468"/>
      <c r="I8" s="1481">
        <v>25.000000000116415</v>
      </c>
      <c r="J8" s="1468"/>
      <c r="K8" s="1469">
        <f>SUM(H8:J8)</f>
        <v>25.000000000116415</v>
      </c>
      <c r="L8" s="1470">
        <f>(D$3-G8-K8)/(D$3-G8)</f>
        <v>0.96639784946220908</v>
      </c>
      <c r="M8" s="1471"/>
      <c r="N8" s="1468"/>
      <c r="O8" s="1468"/>
      <c r="P8" s="1469">
        <f t="shared" si="13"/>
        <v>0</v>
      </c>
      <c r="Q8" s="1468"/>
      <c r="R8" s="1468"/>
      <c r="S8" s="1468"/>
      <c r="T8" s="1469">
        <f>SUM(Q8:S8)</f>
        <v>0</v>
      </c>
      <c r="U8" s="1470" t="e">
        <f>(M$3-P8-T8)/(M$3-P8)</f>
        <v>#DIV/0!</v>
      </c>
      <c r="V8" s="1471"/>
      <c r="W8" s="1468"/>
      <c r="X8" s="1468"/>
      <c r="Y8" s="1469">
        <f>SUM(V8:X8)</f>
        <v>0</v>
      </c>
      <c r="Z8" s="1468"/>
      <c r="AA8" s="1468"/>
      <c r="AB8" s="1468"/>
      <c r="AC8" s="1469">
        <f>SUM(Z8:AB8)</f>
        <v>0</v>
      </c>
      <c r="AD8" s="1470" t="e">
        <f>(V$3-Y8-AC8)/(V$3-Y8)</f>
        <v>#DIV/0!</v>
      </c>
      <c r="AE8" s="1467"/>
      <c r="AF8" s="1468"/>
      <c r="AG8" s="1468"/>
      <c r="AH8" s="1469">
        <f t="shared" si="15"/>
        <v>0</v>
      </c>
      <c r="AI8" s="1468"/>
      <c r="AJ8" s="1468"/>
      <c r="AK8" s="1468"/>
      <c r="AL8" s="1469">
        <f t="shared" si="16"/>
        <v>0</v>
      </c>
      <c r="AM8" s="1470" t="e">
        <f>(AE$3-AH8-AL8)/(AE$3-AH8)</f>
        <v>#DIV/0!</v>
      </c>
      <c r="AN8" s="1467"/>
      <c r="AO8" s="1468"/>
      <c r="AP8" s="1468"/>
      <c r="AQ8" s="1469">
        <f t="shared" si="17"/>
        <v>0</v>
      </c>
      <c r="AR8" s="1468"/>
      <c r="AS8" s="1468"/>
      <c r="AT8" s="1468"/>
      <c r="AU8" s="1469">
        <f t="shared" si="18"/>
        <v>0</v>
      </c>
      <c r="AV8" s="1470" t="e">
        <f>(AN$3-AQ8-AU8)/(AN$3-AQ8)</f>
        <v>#DIV/0!</v>
      </c>
      <c r="AW8" s="1467"/>
      <c r="AX8" s="1468"/>
      <c r="AY8" s="1468"/>
      <c r="AZ8" s="1469">
        <f t="shared" si="19"/>
        <v>0</v>
      </c>
      <c r="BA8" s="1468"/>
      <c r="BB8" s="1468"/>
      <c r="BC8" s="1468"/>
      <c r="BD8" s="1469">
        <f t="shared" si="20"/>
        <v>0</v>
      </c>
      <c r="BE8" s="1470" t="e">
        <f>(AW$3-AZ8-BD8)/(AW$3-AZ8)</f>
        <v>#DIV/0!</v>
      </c>
      <c r="BF8" s="1467"/>
      <c r="BG8" s="1468"/>
      <c r="BH8" s="1468"/>
      <c r="BI8" s="1469">
        <f t="shared" si="21"/>
        <v>0</v>
      </c>
      <c r="BJ8" s="1468"/>
      <c r="BK8" s="1468"/>
      <c r="BL8" s="1468"/>
      <c r="BM8" s="1469">
        <f t="shared" si="22"/>
        <v>0</v>
      </c>
      <c r="BN8" s="1470" t="e">
        <f>(BF$3-BI8-BM8)/(BF$3-BI8)</f>
        <v>#DIV/0!</v>
      </c>
      <c r="BO8" s="1467"/>
      <c r="BP8" s="1468"/>
      <c r="BQ8" s="1468"/>
      <c r="BR8" s="1469">
        <f t="shared" si="23"/>
        <v>0</v>
      </c>
      <c r="BS8" s="1468"/>
      <c r="BT8" s="1468"/>
      <c r="BU8" s="1468"/>
      <c r="BV8" s="1469">
        <f t="shared" si="24"/>
        <v>0</v>
      </c>
      <c r="BW8" s="1470" t="e">
        <f>(BO$3-BR8-BV8)/(BO$3-BR8)</f>
        <v>#DIV/0!</v>
      </c>
      <c r="BX8" s="1467"/>
      <c r="BY8" s="1468"/>
      <c r="BZ8" s="1468"/>
      <c r="CA8" s="1469">
        <f t="shared" si="26"/>
        <v>0</v>
      </c>
      <c r="CB8" s="1468"/>
      <c r="CC8" s="1468"/>
      <c r="CD8" s="1468"/>
      <c r="CE8" s="1469">
        <f t="shared" si="27"/>
        <v>0</v>
      </c>
      <c r="CF8" s="1470" t="e">
        <f>(BX$3-CA8-CE8)/(BX$3-CA8)</f>
        <v>#DIV/0!</v>
      </c>
      <c r="CG8" s="1467"/>
      <c r="CH8" s="1468"/>
      <c r="CI8" s="1468"/>
      <c r="CJ8" s="1469">
        <f t="shared" si="28"/>
        <v>0</v>
      </c>
      <c r="CK8" s="1468"/>
      <c r="CL8" s="1468"/>
      <c r="CM8" s="1468"/>
      <c r="CN8" s="1469">
        <f t="shared" si="29"/>
        <v>0</v>
      </c>
      <c r="CO8" s="1470" t="e">
        <f>(CG$3-CJ8-CN8)/(CG$3-CJ8)</f>
        <v>#DIV/0!</v>
      </c>
      <c r="CP8" s="1467"/>
      <c r="CQ8" s="1468"/>
      <c r="CR8" s="1468"/>
      <c r="CS8" s="1469">
        <f t="shared" si="30"/>
        <v>0</v>
      </c>
      <c r="CT8" s="1468"/>
      <c r="CU8" s="1468"/>
      <c r="CV8" s="1468"/>
      <c r="CW8" s="1469">
        <f t="shared" si="31"/>
        <v>0</v>
      </c>
      <c r="CX8" s="1470" t="e">
        <f>(CP$3-CS8-CW8)/(CP$3-CS8)</f>
        <v>#DIV/0!</v>
      </c>
      <c r="CY8" s="1467"/>
      <c r="CZ8" s="1468"/>
      <c r="DA8" s="1468"/>
      <c r="DB8" s="1469">
        <f t="shared" si="32"/>
        <v>0</v>
      </c>
      <c r="DC8" s="1468"/>
      <c r="DD8" s="1468"/>
      <c r="DE8" s="1468"/>
      <c r="DF8" s="1469">
        <f t="shared" si="33"/>
        <v>0</v>
      </c>
      <c r="DG8" s="1470" t="e">
        <f>(CY$3-DB8-DF8)/(CY$3-DB8)</f>
        <v>#DIV/0!</v>
      </c>
      <c r="DH8" s="1467">
        <f t="shared" si="34"/>
        <v>0</v>
      </c>
      <c r="DI8" s="1468">
        <f t="shared" si="34"/>
        <v>0</v>
      </c>
      <c r="DJ8" s="1468">
        <f t="shared" si="34"/>
        <v>0</v>
      </c>
      <c r="DK8" s="1468">
        <f t="shared" si="34"/>
        <v>0</v>
      </c>
      <c r="DL8" s="1468">
        <f t="shared" si="34"/>
        <v>0</v>
      </c>
      <c r="DM8" s="1468">
        <f t="shared" si="34"/>
        <v>25.000000000116415</v>
      </c>
      <c r="DN8" s="1468">
        <f t="shared" si="34"/>
        <v>0</v>
      </c>
      <c r="DO8" s="1468">
        <f t="shared" si="34"/>
        <v>25.000000000116415</v>
      </c>
      <c r="DP8" s="1470">
        <f t="shared" si="36"/>
        <v>0.96639784946220908</v>
      </c>
      <c r="DQ8" s="1488"/>
      <c r="DR8" s="1488"/>
      <c r="DS8" s="1488"/>
    </row>
    <row r="9" spans="1:123">
      <c r="A9" s="1489">
        <v>0</v>
      </c>
      <c r="B9" s="1490" t="s">
        <v>1039</v>
      </c>
      <c r="C9" s="1490" t="s">
        <v>283</v>
      </c>
      <c r="D9" s="1491"/>
      <c r="E9" s="1492"/>
      <c r="F9" s="1492"/>
      <c r="G9" s="1493"/>
      <c r="H9" s="1492"/>
      <c r="I9" s="1492"/>
      <c r="J9" s="1492"/>
      <c r="K9" s="1493"/>
      <c r="L9" s="1494"/>
      <c r="M9" s="1495"/>
      <c r="N9" s="1496"/>
      <c r="O9" s="1496"/>
      <c r="P9" s="1493"/>
      <c r="Q9" s="1496"/>
      <c r="R9" s="1496"/>
      <c r="S9" s="1496"/>
      <c r="T9" s="1493"/>
      <c r="U9" s="1494"/>
      <c r="V9" s="1495"/>
      <c r="W9" s="1496"/>
      <c r="X9" s="1496"/>
      <c r="Y9" s="1493"/>
      <c r="Z9" s="1496"/>
      <c r="AA9" s="1496"/>
      <c r="AB9" s="1496"/>
      <c r="AC9" s="1493"/>
      <c r="AD9" s="1494"/>
      <c r="AE9" s="1495"/>
      <c r="AF9" s="1496"/>
      <c r="AG9" s="1496"/>
      <c r="AH9" s="1493"/>
      <c r="AI9" s="1496"/>
      <c r="AJ9" s="1496"/>
      <c r="AK9" s="1496"/>
      <c r="AL9" s="1493"/>
      <c r="AM9" s="1494"/>
      <c r="AN9" s="1495"/>
      <c r="AO9" s="1496"/>
      <c r="AP9" s="1496"/>
      <c r="AQ9" s="1493"/>
      <c r="AR9" s="1496"/>
      <c r="AS9" s="1496"/>
      <c r="AT9" s="1496"/>
      <c r="AU9" s="1493"/>
      <c r="AV9" s="1494"/>
      <c r="AW9" s="1495"/>
      <c r="AX9" s="1496"/>
      <c r="AY9" s="1496"/>
      <c r="AZ9" s="1493"/>
      <c r="BA9" s="1496"/>
      <c r="BB9" s="1496"/>
      <c r="BC9" s="1496"/>
      <c r="BD9" s="1493"/>
      <c r="BE9" s="1494"/>
      <c r="BF9" s="1495"/>
      <c r="BG9" s="1496"/>
      <c r="BH9" s="1496"/>
      <c r="BI9" s="1493"/>
      <c r="BJ9" s="1496"/>
      <c r="BK9" s="1496"/>
      <c r="BL9" s="1496"/>
      <c r="BM9" s="1493"/>
      <c r="BN9" s="1494"/>
      <c r="BO9" s="1495"/>
      <c r="BP9" s="1496"/>
      <c r="BQ9" s="1496"/>
      <c r="BR9" s="1493"/>
      <c r="BS9" s="1496"/>
      <c r="BT9" s="1496"/>
      <c r="BU9" s="1496"/>
      <c r="BV9" s="1493"/>
      <c r="BW9" s="1494"/>
      <c r="BX9" s="1495"/>
      <c r="BY9" s="1496"/>
      <c r="BZ9" s="1496"/>
      <c r="CA9" s="1493"/>
      <c r="CB9" s="1496"/>
      <c r="CC9" s="1496"/>
      <c r="CD9" s="1496"/>
      <c r="CE9" s="1493"/>
      <c r="CF9" s="1494"/>
      <c r="CG9" s="1495"/>
      <c r="CH9" s="1496"/>
      <c r="CI9" s="1496"/>
      <c r="CJ9" s="1493"/>
      <c r="CK9" s="1496"/>
      <c r="CL9" s="1496"/>
      <c r="CM9" s="1496"/>
      <c r="CN9" s="1493"/>
      <c r="CO9" s="1494"/>
      <c r="CP9" s="1495"/>
      <c r="CQ9" s="1496"/>
      <c r="CR9" s="1496"/>
      <c r="CS9" s="1493"/>
      <c r="CT9" s="1496"/>
      <c r="CU9" s="1496"/>
      <c r="CV9" s="1496"/>
      <c r="CW9" s="1493"/>
      <c r="CX9" s="1494"/>
      <c r="CY9" s="1495"/>
      <c r="CZ9" s="1496"/>
      <c r="DA9" s="1496"/>
      <c r="DB9" s="1493"/>
      <c r="DC9" s="1496"/>
      <c r="DD9" s="1496"/>
      <c r="DE9" s="1496"/>
      <c r="DF9" s="1493"/>
      <c r="DG9" s="1494"/>
      <c r="DH9" s="1467">
        <f t="shared" si="34"/>
        <v>0</v>
      </c>
      <c r="DI9" s="1468">
        <f t="shared" si="34"/>
        <v>0</v>
      </c>
      <c r="DJ9" s="1468">
        <f t="shared" si="34"/>
        <v>0</v>
      </c>
      <c r="DK9" s="1481">
        <f t="shared" si="9"/>
        <v>0</v>
      </c>
      <c r="DL9" s="1468">
        <f t="shared" si="9"/>
        <v>0</v>
      </c>
      <c r="DM9" s="1468">
        <f t="shared" si="9"/>
        <v>0</v>
      </c>
      <c r="DN9" s="1468">
        <f t="shared" si="9"/>
        <v>0</v>
      </c>
      <c r="DO9" s="1481">
        <f t="shared" si="35"/>
        <v>0</v>
      </c>
      <c r="DP9" s="1470">
        <f t="shared" si="36"/>
        <v>1</v>
      </c>
      <c r="DQ9" s="1477"/>
      <c r="DR9" s="1488"/>
      <c r="DS9" s="1488"/>
    </row>
    <row r="10" spans="1:123">
      <c r="A10" s="1489">
        <v>0</v>
      </c>
      <c r="B10" s="1490" t="s">
        <v>1039</v>
      </c>
      <c r="C10" s="1490" t="s">
        <v>286</v>
      </c>
      <c r="D10" s="1491"/>
      <c r="E10" s="1492"/>
      <c r="F10" s="1492"/>
      <c r="G10" s="1493"/>
      <c r="H10" s="1492"/>
      <c r="I10" s="1492"/>
      <c r="J10" s="1492"/>
      <c r="K10" s="1493"/>
      <c r="L10" s="1494"/>
      <c r="M10" s="1495"/>
      <c r="N10" s="1496"/>
      <c r="O10" s="1496"/>
      <c r="P10" s="1493"/>
      <c r="Q10" s="1496"/>
      <c r="R10" s="1496"/>
      <c r="S10" s="1496"/>
      <c r="T10" s="1493"/>
      <c r="U10" s="1494"/>
      <c r="V10" s="1495"/>
      <c r="W10" s="1496"/>
      <c r="X10" s="1496"/>
      <c r="Y10" s="1493"/>
      <c r="Z10" s="1496"/>
      <c r="AA10" s="1496"/>
      <c r="AB10" s="1496"/>
      <c r="AC10" s="1493"/>
      <c r="AD10" s="1494"/>
      <c r="AE10" s="1495"/>
      <c r="AF10" s="1496"/>
      <c r="AG10" s="1496"/>
      <c r="AH10" s="1493"/>
      <c r="AI10" s="1496"/>
      <c r="AJ10" s="1496"/>
      <c r="AK10" s="1496"/>
      <c r="AL10" s="1493"/>
      <c r="AM10" s="1494"/>
      <c r="AN10" s="1495"/>
      <c r="AO10" s="1496"/>
      <c r="AP10" s="1496"/>
      <c r="AQ10" s="1493"/>
      <c r="AR10" s="1496"/>
      <c r="AS10" s="1496"/>
      <c r="AT10" s="1496"/>
      <c r="AU10" s="1493"/>
      <c r="AV10" s="1494"/>
      <c r="AW10" s="1495"/>
      <c r="AX10" s="1496"/>
      <c r="AY10" s="1496"/>
      <c r="AZ10" s="1493"/>
      <c r="BA10" s="1496"/>
      <c r="BB10" s="1496"/>
      <c r="BC10" s="1496"/>
      <c r="BD10" s="1493"/>
      <c r="BE10" s="1494"/>
      <c r="BF10" s="1495"/>
      <c r="BG10" s="1496"/>
      <c r="BH10" s="1496"/>
      <c r="BI10" s="1493"/>
      <c r="BJ10" s="1496"/>
      <c r="BK10" s="1496"/>
      <c r="BL10" s="1496"/>
      <c r="BM10" s="1493"/>
      <c r="BN10" s="1494"/>
      <c r="BO10" s="1495"/>
      <c r="BP10" s="1496"/>
      <c r="BQ10" s="1496"/>
      <c r="BR10" s="1493"/>
      <c r="BS10" s="1496"/>
      <c r="BT10" s="1496"/>
      <c r="BU10" s="1496"/>
      <c r="BV10" s="1493"/>
      <c r="BW10" s="1494"/>
      <c r="BX10" s="1495"/>
      <c r="BY10" s="1496"/>
      <c r="BZ10" s="1496"/>
      <c r="CA10" s="1493"/>
      <c r="CB10" s="1496"/>
      <c r="CC10" s="1496"/>
      <c r="CD10" s="1496"/>
      <c r="CE10" s="1493"/>
      <c r="CF10" s="1494"/>
      <c r="CG10" s="1495"/>
      <c r="CH10" s="1496"/>
      <c r="CI10" s="1496"/>
      <c r="CJ10" s="1493"/>
      <c r="CK10" s="1496"/>
      <c r="CL10" s="1496"/>
      <c r="CM10" s="1496"/>
      <c r="CN10" s="1493"/>
      <c r="CO10" s="1494"/>
      <c r="CP10" s="1495"/>
      <c r="CQ10" s="1496"/>
      <c r="CR10" s="1496"/>
      <c r="CS10" s="1493"/>
      <c r="CT10" s="1496"/>
      <c r="CU10" s="1496"/>
      <c r="CV10" s="1496"/>
      <c r="CW10" s="1493"/>
      <c r="CX10" s="1494"/>
      <c r="CY10" s="1495"/>
      <c r="CZ10" s="1496"/>
      <c r="DA10" s="1496"/>
      <c r="DB10" s="1493"/>
      <c r="DC10" s="1496"/>
      <c r="DD10" s="1496"/>
      <c r="DE10" s="1496"/>
      <c r="DF10" s="1493"/>
      <c r="DG10" s="1494"/>
      <c r="DH10" s="1467">
        <f t="shared" si="34"/>
        <v>0</v>
      </c>
      <c r="DI10" s="1468">
        <f t="shared" si="34"/>
        <v>0</v>
      </c>
      <c r="DJ10" s="1468">
        <f t="shared" si="34"/>
        <v>0</v>
      </c>
      <c r="DK10" s="1481">
        <f t="shared" si="9"/>
        <v>0</v>
      </c>
      <c r="DL10" s="1468">
        <f t="shared" si="9"/>
        <v>0</v>
      </c>
      <c r="DM10" s="1468">
        <f t="shared" si="9"/>
        <v>0</v>
      </c>
      <c r="DN10" s="1468">
        <f t="shared" si="9"/>
        <v>0</v>
      </c>
      <c r="DO10" s="1481">
        <f t="shared" si="35"/>
        <v>0</v>
      </c>
      <c r="DP10" s="1470">
        <f t="shared" si="36"/>
        <v>1</v>
      </c>
      <c r="DQ10" s="1477"/>
      <c r="DR10" s="1488"/>
      <c r="DS10" s="1488"/>
    </row>
    <row r="11" spans="1:123">
      <c r="A11" s="1497">
        <v>0.67</v>
      </c>
      <c r="B11" s="1498" t="s">
        <v>1040</v>
      </c>
      <c r="C11" s="1499" t="s">
        <v>283</v>
      </c>
      <c r="D11" s="1467"/>
      <c r="E11" s="1468"/>
      <c r="F11" s="1468"/>
      <c r="G11" s="1500">
        <f t="shared" si="10"/>
        <v>0</v>
      </c>
      <c r="H11" s="1468"/>
      <c r="I11" s="1468"/>
      <c r="J11" s="1468"/>
      <c r="K11" s="1500">
        <f t="shared" si="11"/>
        <v>0</v>
      </c>
      <c r="L11" s="1470">
        <f>(D$3-G11-K11)/(D$3-G11)</f>
        <v>1</v>
      </c>
      <c r="M11" s="1471"/>
      <c r="N11" s="1468"/>
      <c r="O11" s="1468"/>
      <c r="P11" s="1500">
        <f t="shared" ref="P11:P36" si="37">SUM(M11:O11)</f>
        <v>0</v>
      </c>
      <c r="Q11" s="1468"/>
      <c r="R11" s="1468"/>
      <c r="S11" s="1468"/>
      <c r="T11" s="1500">
        <f t="shared" ref="T11:T36" si="38">SUM(Q11:S11)</f>
        <v>0</v>
      </c>
      <c r="U11" s="1470" t="e">
        <f t="shared" ref="U11:U61" si="39">(M$3-P11-T11)/(M$3-P11)</f>
        <v>#DIV/0!</v>
      </c>
      <c r="V11" s="1471"/>
      <c r="W11" s="1468"/>
      <c r="X11" s="1468"/>
      <c r="Y11" s="1500">
        <f t="shared" ref="Y11:Y36" si="40">SUM(V11:X11)</f>
        <v>0</v>
      </c>
      <c r="Z11" s="1468"/>
      <c r="AA11" s="1468"/>
      <c r="AB11" s="1468"/>
      <c r="AC11" s="1500">
        <f t="shared" ref="AC11:AC36" si="41">SUM(Z11:AB11)</f>
        <v>0</v>
      </c>
      <c r="AD11" s="1470" t="e">
        <f t="shared" ref="AD11:AD61" si="42">(V$3-Y11-AC11)/(V$3-Y11)</f>
        <v>#DIV/0!</v>
      </c>
      <c r="AE11" s="1467"/>
      <c r="AF11" s="1468"/>
      <c r="AG11" s="1468"/>
      <c r="AH11" s="1500">
        <f t="shared" ref="AH11:AH62" si="43">SUM(AE11:AG11)</f>
        <v>0</v>
      </c>
      <c r="AI11" s="1468"/>
      <c r="AJ11" s="1468"/>
      <c r="AK11" s="1468"/>
      <c r="AL11" s="1500">
        <f t="shared" ref="AL11:AL36" si="44">SUM(AI11:AK11)</f>
        <v>0</v>
      </c>
      <c r="AM11" s="1470" t="e">
        <f t="shared" ref="AM11:AM61" si="45">(AE$3-AH11-AL11)/(AE$3-AH11)</f>
        <v>#DIV/0!</v>
      </c>
      <c r="AN11" s="1467"/>
      <c r="AO11" s="1468"/>
      <c r="AP11" s="1468"/>
      <c r="AQ11" s="1500">
        <f t="shared" ref="AQ11:AQ62" si="46">SUM(AN11:AP11)</f>
        <v>0</v>
      </c>
      <c r="AR11" s="1468"/>
      <c r="AS11" s="1468"/>
      <c r="AT11" s="1468"/>
      <c r="AU11" s="1500">
        <f t="shared" ref="AU11:AU36" si="47">SUM(AR11:AT11)</f>
        <v>0</v>
      </c>
      <c r="AV11" s="1470" t="e">
        <f t="shared" ref="AV11:AV61" si="48">(AN$3-AQ11-AU11)/(AN$3-AQ11)</f>
        <v>#DIV/0!</v>
      </c>
      <c r="AW11" s="1467"/>
      <c r="AX11" s="1468"/>
      <c r="AY11" s="1468"/>
      <c r="AZ11" s="1500">
        <f t="shared" ref="AZ11:AZ62" si="49">SUM(AW11:AY11)</f>
        <v>0</v>
      </c>
      <c r="BA11" s="1468"/>
      <c r="BB11" s="1468"/>
      <c r="BC11" s="1468"/>
      <c r="BD11" s="1500">
        <f t="shared" ref="BD11:BD36" si="50">SUM(BA11:BC11)</f>
        <v>0</v>
      </c>
      <c r="BE11" s="1470" t="e">
        <f t="shared" ref="BE11:BE61" si="51">(AW$3-AZ11-BD11)/(AW$3-AZ11)</f>
        <v>#DIV/0!</v>
      </c>
      <c r="BF11" s="1467"/>
      <c r="BG11" s="1468"/>
      <c r="BH11" s="1468"/>
      <c r="BI11" s="1500">
        <f t="shared" ref="BI11:BI62" si="52">SUM(BF11:BH11)</f>
        <v>0</v>
      </c>
      <c r="BJ11" s="1468"/>
      <c r="BK11" s="1468"/>
      <c r="BL11" s="1468"/>
      <c r="BM11" s="1500">
        <f t="shared" ref="BM11:BM36" si="53">SUM(BJ11:BL11)</f>
        <v>0</v>
      </c>
      <c r="BN11" s="1470" t="e">
        <f t="shared" ref="BN11:BN61" si="54">(BF$3-BI11-BM11)/(BF$3-BI11)</f>
        <v>#DIV/0!</v>
      </c>
      <c r="BO11" s="1467"/>
      <c r="BP11" s="1468"/>
      <c r="BQ11" s="1468"/>
      <c r="BR11" s="1500">
        <f t="shared" ref="BR11:BR62" si="55">SUM(BO11:BQ11)</f>
        <v>0</v>
      </c>
      <c r="BS11" s="1468"/>
      <c r="BT11" s="1468"/>
      <c r="BU11" s="1468"/>
      <c r="BV11" s="1500">
        <f t="shared" ref="BV11:BV36" si="56">SUM(BS11:BU11)</f>
        <v>0</v>
      </c>
      <c r="BW11" s="1470" t="e">
        <f t="shared" ref="BW11:BW61" si="57">(BO$3-BR11-BV11)/(BO$3-BR11)</f>
        <v>#DIV/0!</v>
      </c>
      <c r="BX11" s="1467"/>
      <c r="BY11" s="1468"/>
      <c r="BZ11" s="1468"/>
      <c r="CA11" s="1500">
        <f t="shared" ref="CA11:CA62" si="58">SUM(BX11:BZ11)</f>
        <v>0</v>
      </c>
      <c r="CB11" s="1468"/>
      <c r="CC11" s="1468"/>
      <c r="CD11" s="1468"/>
      <c r="CE11" s="1500">
        <f t="shared" ref="CE11:CE36" si="59">SUM(CB11:CD11)</f>
        <v>0</v>
      </c>
      <c r="CF11" s="1470" t="e">
        <f t="shared" ref="CF11:CF61" si="60">(BX$3-CA11-CE11)/(BX$3-CA11)</f>
        <v>#DIV/0!</v>
      </c>
      <c r="CG11" s="1467"/>
      <c r="CH11" s="1468"/>
      <c r="CI11" s="1468"/>
      <c r="CJ11" s="1500">
        <f t="shared" ref="CJ11:CJ62" si="61">SUM(CG11:CI11)</f>
        <v>0</v>
      </c>
      <c r="CK11" s="1468"/>
      <c r="CL11" s="1468"/>
      <c r="CM11" s="1468"/>
      <c r="CN11" s="1500">
        <f t="shared" ref="CN11:CN36" si="62">SUM(CK11:CM11)</f>
        <v>0</v>
      </c>
      <c r="CO11" s="1470" t="e">
        <f t="shared" ref="CO11:CO61" si="63">(CG$3-CJ11-CN11)/(CG$3-CJ11)</f>
        <v>#DIV/0!</v>
      </c>
      <c r="CP11" s="1467"/>
      <c r="CQ11" s="1468"/>
      <c r="CR11" s="1468"/>
      <c r="CS11" s="1500">
        <f t="shared" ref="CS11:CS62" si="64">SUM(CP11:CR11)</f>
        <v>0</v>
      </c>
      <c r="CT11" s="1468"/>
      <c r="CU11" s="1468"/>
      <c r="CV11" s="1468"/>
      <c r="CW11" s="1500">
        <f t="shared" ref="CW11:CW36" si="65">SUM(CT11:CV11)</f>
        <v>0</v>
      </c>
      <c r="CX11" s="1470" t="e">
        <f t="shared" ref="CX11:CX61" si="66">(CP$3-CS11-CW11)/(CP$3-CS11)</f>
        <v>#DIV/0!</v>
      </c>
      <c r="CY11" s="1467"/>
      <c r="CZ11" s="1468"/>
      <c r="DA11" s="1468"/>
      <c r="DB11" s="1500">
        <f t="shared" ref="DB11:DB62" si="67">SUM(CY11:DA11)</f>
        <v>0</v>
      </c>
      <c r="DC11" s="1468"/>
      <c r="DD11" s="1468"/>
      <c r="DE11" s="1468"/>
      <c r="DF11" s="1500">
        <f t="shared" ref="DF11:DF36" si="68">SUM(DC11:DE11)</f>
        <v>0</v>
      </c>
      <c r="DG11" s="1470" t="e">
        <f t="shared" ref="DG11:DG61" si="69">(CY$3-DB11-DF11)/(CY$3-DB11)</f>
        <v>#DIV/0!</v>
      </c>
      <c r="DH11" s="1467">
        <f t="shared" si="34"/>
        <v>0</v>
      </c>
      <c r="DI11" s="1468">
        <f t="shared" si="34"/>
        <v>0</v>
      </c>
      <c r="DJ11" s="1468">
        <f t="shared" si="34"/>
        <v>0</v>
      </c>
      <c r="DK11" s="1481">
        <f t="shared" si="9"/>
        <v>0</v>
      </c>
      <c r="DL11" s="1468">
        <f t="shared" si="9"/>
        <v>0</v>
      </c>
      <c r="DM11" s="1468">
        <f t="shared" si="9"/>
        <v>0</v>
      </c>
      <c r="DN11" s="1468">
        <f t="shared" si="9"/>
        <v>0</v>
      </c>
      <c r="DO11" s="1481">
        <f t="shared" si="35"/>
        <v>0</v>
      </c>
      <c r="DP11" s="1470">
        <f t="shared" si="36"/>
        <v>1</v>
      </c>
      <c r="DQ11" s="1477"/>
      <c r="DR11" s="1488"/>
      <c r="DS11" s="1488"/>
    </row>
    <row r="12" spans="1:123">
      <c r="A12" s="1501">
        <v>0.33</v>
      </c>
      <c r="B12" s="1502" t="s">
        <v>1040</v>
      </c>
      <c r="C12" s="1503" t="s">
        <v>286</v>
      </c>
      <c r="D12" s="1467"/>
      <c r="E12" s="1468"/>
      <c r="F12" s="1468"/>
      <c r="G12" s="1500">
        <f t="shared" si="10"/>
        <v>0</v>
      </c>
      <c r="H12" s="1468"/>
      <c r="I12" s="1468"/>
      <c r="J12" s="1468"/>
      <c r="K12" s="1500">
        <f t="shared" si="11"/>
        <v>0</v>
      </c>
      <c r="L12" s="1470">
        <f t="shared" si="12"/>
        <v>1</v>
      </c>
      <c r="M12" s="1471"/>
      <c r="N12" s="1468"/>
      <c r="O12" s="1468"/>
      <c r="P12" s="1500">
        <f t="shared" si="37"/>
        <v>0</v>
      </c>
      <c r="Q12" s="1468"/>
      <c r="R12" s="1468"/>
      <c r="S12" s="1468"/>
      <c r="T12" s="1500">
        <f t="shared" si="38"/>
        <v>0</v>
      </c>
      <c r="U12" s="1470" t="e">
        <f t="shared" si="39"/>
        <v>#DIV/0!</v>
      </c>
      <c r="V12" s="1471"/>
      <c r="W12" s="1468"/>
      <c r="X12" s="1468"/>
      <c r="Y12" s="1500">
        <f t="shared" si="40"/>
        <v>0</v>
      </c>
      <c r="Z12" s="1468"/>
      <c r="AA12" s="1468"/>
      <c r="AB12" s="1468"/>
      <c r="AC12" s="1500">
        <f t="shared" si="41"/>
        <v>0</v>
      </c>
      <c r="AD12" s="1470" t="e">
        <f t="shared" si="42"/>
        <v>#DIV/0!</v>
      </c>
      <c r="AE12" s="1467"/>
      <c r="AF12" s="1468"/>
      <c r="AG12" s="1468"/>
      <c r="AH12" s="1500">
        <f t="shared" si="43"/>
        <v>0</v>
      </c>
      <c r="AI12" s="1468"/>
      <c r="AJ12" s="1468"/>
      <c r="AK12" s="1468"/>
      <c r="AL12" s="1500">
        <f t="shared" si="44"/>
        <v>0</v>
      </c>
      <c r="AM12" s="1470" t="e">
        <f t="shared" si="45"/>
        <v>#DIV/0!</v>
      </c>
      <c r="AN12" s="1467"/>
      <c r="AO12" s="1468"/>
      <c r="AP12" s="1468"/>
      <c r="AQ12" s="1500">
        <f t="shared" si="46"/>
        <v>0</v>
      </c>
      <c r="AR12" s="1468"/>
      <c r="AS12" s="1468"/>
      <c r="AT12" s="1468"/>
      <c r="AU12" s="1500">
        <f t="shared" si="47"/>
        <v>0</v>
      </c>
      <c r="AV12" s="1470" t="e">
        <f t="shared" si="48"/>
        <v>#DIV/0!</v>
      </c>
      <c r="AW12" s="1467"/>
      <c r="AX12" s="1468"/>
      <c r="AY12" s="1468"/>
      <c r="AZ12" s="1500">
        <f t="shared" si="49"/>
        <v>0</v>
      </c>
      <c r="BA12" s="1468"/>
      <c r="BB12" s="1468"/>
      <c r="BC12" s="1468"/>
      <c r="BD12" s="1500">
        <f t="shared" si="50"/>
        <v>0</v>
      </c>
      <c r="BE12" s="1470" t="e">
        <f t="shared" si="51"/>
        <v>#DIV/0!</v>
      </c>
      <c r="BF12" s="1467"/>
      <c r="BG12" s="1468"/>
      <c r="BH12" s="1468"/>
      <c r="BI12" s="1500">
        <f t="shared" si="52"/>
        <v>0</v>
      </c>
      <c r="BJ12" s="1468"/>
      <c r="BK12" s="1468"/>
      <c r="BL12" s="1468"/>
      <c r="BM12" s="1500">
        <f t="shared" si="53"/>
        <v>0</v>
      </c>
      <c r="BN12" s="1470" t="e">
        <f t="shared" si="54"/>
        <v>#DIV/0!</v>
      </c>
      <c r="BO12" s="1467"/>
      <c r="BP12" s="1468"/>
      <c r="BQ12" s="1468"/>
      <c r="BR12" s="1500">
        <f t="shared" si="55"/>
        <v>0</v>
      </c>
      <c r="BS12" s="1468"/>
      <c r="BT12" s="1468"/>
      <c r="BU12" s="1468"/>
      <c r="BV12" s="1500">
        <f t="shared" si="56"/>
        <v>0</v>
      </c>
      <c r="BW12" s="1470" t="e">
        <f t="shared" si="57"/>
        <v>#DIV/0!</v>
      </c>
      <c r="BX12" s="1467"/>
      <c r="BY12" s="1468"/>
      <c r="BZ12" s="1468"/>
      <c r="CA12" s="1500">
        <f t="shared" si="58"/>
        <v>0</v>
      </c>
      <c r="CB12" s="1468"/>
      <c r="CC12" s="1468"/>
      <c r="CD12" s="1468"/>
      <c r="CE12" s="1500">
        <f t="shared" si="59"/>
        <v>0</v>
      </c>
      <c r="CF12" s="1470" t="e">
        <f t="shared" si="60"/>
        <v>#DIV/0!</v>
      </c>
      <c r="CG12" s="1467"/>
      <c r="CH12" s="1468"/>
      <c r="CI12" s="1468"/>
      <c r="CJ12" s="1500">
        <f t="shared" si="61"/>
        <v>0</v>
      </c>
      <c r="CK12" s="1468"/>
      <c r="CL12" s="1468"/>
      <c r="CM12" s="1468"/>
      <c r="CN12" s="1500">
        <f t="shared" si="62"/>
        <v>0</v>
      </c>
      <c r="CO12" s="1470" t="e">
        <f t="shared" si="63"/>
        <v>#DIV/0!</v>
      </c>
      <c r="CP12" s="1467"/>
      <c r="CQ12" s="1468"/>
      <c r="CR12" s="1468"/>
      <c r="CS12" s="1500">
        <f t="shared" si="64"/>
        <v>0</v>
      </c>
      <c r="CT12" s="1468"/>
      <c r="CU12" s="1468"/>
      <c r="CV12" s="1468"/>
      <c r="CW12" s="1500">
        <f t="shared" si="65"/>
        <v>0</v>
      </c>
      <c r="CX12" s="1470" t="e">
        <f t="shared" si="66"/>
        <v>#DIV/0!</v>
      </c>
      <c r="CY12" s="1467"/>
      <c r="CZ12" s="1468"/>
      <c r="DA12" s="1468"/>
      <c r="DB12" s="1500">
        <f t="shared" si="67"/>
        <v>0</v>
      </c>
      <c r="DC12" s="1468"/>
      <c r="DD12" s="1468"/>
      <c r="DE12" s="1468"/>
      <c r="DF12" s="1500">
        <f t="shared" si="68"/>
        <v>0</v>
      </c>
      <c r="DG12" s="1470" t="e">
        <f t="shared" si="69"/>
        <v>#DIV/0!</v>
      </c>
      <c r="DH12" s="1467">
        <f t="shared" si="34"/>
        <v>0</v>
      </c>
      <c r="DI12" s="1468">
        <f t="shared" si="34"/>
        <v>0</v>
      </c>
      <c r="DJ12" s="1468">
        <f t="shared" si="34"/>
        <v>0</v>
      </c>
      <c r="DK12" s="1481">
        <f t="shared" si="9"/>
        <v>0</v>
      </c>
      <c r="DL12" s="1468">
        <f t="shared" si="9"/>
        <v>0</v>
      </c>
      <c r="DM12" s="1468">
        <f t="shared" si="9"/>
        <v>0</v>
      </c>
      <c r="DN12" s="1468">
        <f t="shared" si="9"/>
        <v>0</v>
      </c>
      <c r="DO12" s="1481">
        <f t="shared" si="35"/>
        <v>0</v>
      </c>
      <c r="DP12" s="1470">
        <f>($DH$3-DK12-DO12)/($DH$3-DK12)</f>
        <v>1</v>
      </c>
      <c r="DQ12" s="1477"/>
      <c r="DR12" s="1488"/>
      <c r="DS12" s="1488"/>
    </row>
    <row r="13" spans="1:123">
      <c r="A13" s="1497">
        <v>0.47983870967741937</v>
      </c>
      <c r="B13" s="1498" t="s">
        <v>288</v>
      </c>
      <c r="C13" s="1499" t="s">
        <v>289</v>
      </c>
      <c r="D13" s="1467"/>
      <c r="E13" s="1468"/>
      <c r="F13" s="1468"/>
      <c r="G13" s="1500">
        <f t="shared" si="10"/>
        <v>0</v>
      </c>
      <c r="H13" s="1468"/>
      <c r="I13" s="1468"/>
      <c r="J13" s="1468"/>
      <c r="K13" s="1500">
        <f t="shared" si="11"/>
        <v>0</v>
      </c>
      <c r="L13" s="1470">
        <f t="shared" si="12"/>
        <v>1</v>
      </c>
      <c r="M13" s="1471"/>
      <c r="N13" s="1468"/>
      <c r="O13" s="1468"/>
      <c r="P13" s="1500">
        <f t="shared" si="37"/>
        <v>0</v>
      </c>
      <c r="Q13" s="1468"/>
      <c r="R13" s="1468"/>
      <c r="S13" s="1468"/>
      <c r="T13" s="1500">
        <f t="shared" si="38"/>
        <v>0</v>
      </c>
      <c r="U13" s="1470" t="e">
        <f t="shared" si="39"/>
        <v>#DIV/0!</v>
      </c>
      <c r="V13" s="1471"/>
      <c r="W13" s="1468"/>
      <c r="X13" s="1468"/>
      <c r="Y13" s="1500">
        <f t="shared" si="40"/>
        <v>0</v>
      </c>
      <c r="Z13" s="1468"/>
      <c r="AA13" s="1468"/>
      <c r="AB13" s="1468"/>
      <c r="AC13" s="1500">
        <f t="shared" si="41"/>
        <v>0</v>
      </c>
      <c r="AD13" s="1470" t="e">
        <f t="shared" si="42"/>
        <v>#DIV/0!</v>
      </c>
      <c r="AE13" s="1467"/>
      <c r="AF13" s="1468"/>
      <c r="AG13" s="1468"/>
      <c r="AH13" s="1500">
        <f t="shared" si="43"/>
        <v>0</v>
      </c>
      <c r="AI13" s="1468"/>
      <c r="AJ13" s="1468"/>
      <c r="AK13" s="1468"/>
      <c r="AL13" s="1500">
        <f t="shared" si="44"/>
        <v>0</v>
      </c>
      <c r="AM13" s="1470" t="e">
        <f t="shared" si="45"/>
        <v>#DIV/0!</v>
      </c>
      <c r="AN13" s="1467"/>
      <c r="AO13" s="1468"/>
      <c r="AP13" s="1468"/>
      <c r="AQ13" s="1500">
        <f t="shared" si="46"/>
        <v>0</v>
      </c>
      <c r="AR13" s="1468"/>
      <c r="AS13" s="1468"/>
      <c r="AT13" s="1468"/>
      <c r="AU13" s="1500">
        <f t="shared" si="47"/>
        <v>0</v>
      </c>
      <c r="AV13" s="1470" t="e">
        <f t="shared" si="48"/>
        <v>#DIV/0!</v>
      </c>
      <c r="AW13" s="1467"/>
      <c r="AX13" s="1468"/>
      <c r="AY13" s="1468"/>
      <c r="AZ13" s="1500">
        <f t="shared" si="49"/>
        <v>0</v>
      </c>
      <c r="BA13" s="1468"/>
      <c r="BB13" s="1468"/>
      <c r="BC13" s="1468"/>
      <c r="BD13" s="1500">
        <f t="shared" si="50"/>
        <v>0</v>
      </c>
      <c r="BE13" s="1470" t="e">
        <f t="shared" si="51"/>
        <v>#DIV/0!</v>
      </c>
      <c r="BF13" s="1467"/>
      <c r="BG13" s="1468"/>
      <c r="BH13" s="1468"/>
      <c r="BI13" s="1500">
        <f t="shared" si="52"/>
        <v>0</v>
      </c>
      <c r="BJ13" s="1468"/>
      <c r="BK13" s="1468"/>
      <c r="BL13" s="1468"/>
      <c r="BM13" s="1500">
        <f t="shared" si="53"/>
        <v>0</v>
      </c>
      <c r="BN13" s="1470" t="e">
        <f t="shared" si="54"/>
        <v>#DIV/0!</v>
      </c>
      <c r="BO13" s="1467"/>
      <c r="BP13" s="1468"/>
      <c r="BQ13" s="1481"/>
      <c r="BR13" s="1500">
        <f t="shared" si="55"/>
        <v>0</v>
      </c>
      <c r="BS13" s="1468"/>
      <c r="BT13" s="1468"/>
      <c r="BU13" s="1468"/>
      <c r="BV13" s="1500">
        <f t="shared" si="56"/>
        <v>0</v>
      </c>
      <c r="BW13" s="1470" t="e">
        <f t="shared" si="57"/>
        <v>#DIV/0!</v>
      </c>
      <c r="BX13" s="1467"/>
      <c r="BY13" s="1468"/>
      <c r="BZ13" s="1468"/>
      <c r="CA13" s="1500">
        <f t="shared" si="58"/>
        <v>0</v>
      </c>
      <c r="CB13" s="1468"/>
      <c r="CC13" s="1468"/>
      <c r="CD13" s="1468"/>
      <c r="CE13" s="1500">
        <f t="shared" si="59"/>
        <v>0</v>
      </c>
      <c r="CF13" s="1470" t="e">
        <f t="shared" si="60"/>
        <v>#DIV/0!</v>
      </c>
      <c r="CG13" s="1467"/>
      <c r="CH13" s="1468"/>
      <c r="CI13" s="1468"/>
      <c r="CJ13" s="1500">
        <f t="shared" si="61"/>
        <v>0</v>
      </c>
      <c r="CK13" s="1468"/>
      <c r="CL13" s="1468"/>
      <c r="CM13" s="1468"/>
      <c r="CN13" s="1500">
        <f t="shared" si="62"/>
        <v>0</v>
      </c>
      <c r="CO13" s="1470" t="e">
        <f t="shared" si="63"/>
        <v>#DIV/0!</v>
      </c>
      <c r="CP13" s="1467"/>
      <c r="CQ13" s="1468"/>
      <c r="CR13" s="1468"/>
      <c r="CS13" s="1500">
        <f t="shared" si="64"/>
        <v>0</v>
      </c>
      <c r="CT13" s="1468"/>
      <c r="CU13" s="1468"/>
      <c r="CV13" s="1468"/>
      <c r="CW13" s="1500">
        <f t="shared" si="65"/>
        <v>0</v>
      </c>
      <c r="CX13" s="1470" t="e">
        <f t="shared" si="66"/>
        <v>#DIV/0!</v>
      </c>
      <c r="CY13" s="1467"/>
      <c r="CZ13" s="1468"/>
      <c r="DA13" s="1468"/>
      <c r="DB13" s="1500">
        <f t="shared" si="67"/>
        <v>0</v>
      </c>
      <c r="DC13" s="1468"/>
      <c r="DD13" s="1468"/>
      <c r="DE13" s="1468"/>
      <c r="DF13" s="1500">
        <f t="shared" si="68"/>
        <v>0</v>
      </c>
      <c r="DG13" s="1470" t="e">
        <f t="shared" si="69"/>
        <v>#DIV/0!</v>
      </c>
      <c r="DH13" s="1467">
        <f t="shared" si="34"/>
        <v>0</v>
      </c>
      <c r="DI13" s="1468">
        <f t="shared" si="34"/>
        <v>0</v>
      </c>
      <c r="DJ13" s="1468">
        <f t="shared" si="34"/>
        <v>0</v>
      </c>
      <c r="DK13" s="1481">
        <f t="shared" si="9"/>
        <v>0</v>
      </c>
      <c r="DL13" s="1468">
        <f t="shared" si="9"/>
        <v>0</v>
      </c>
      <c r="DM13" s="1468">
        <f t="shared" si="9"/>
        <v>0</v>
      </c>
      <c r="DN13" s="1468">
        <f t="shared" si="9"/>
        <v>0</v>
      </c>
      <c r="DO13" s="1481">
        <f t="shared" si="35"/>
        <v>0</v>
      </c>
      <c r="DP13" s="1470">
        <f>($DH$3-DK13-DO13)/($DH$3-DK13)</f>
        <v>1</v>
      </c>
      <c r="DQ13" s="1477"/>
      <c r="DR13" s="1488"/>
      <c r="DS13" s="1488"/>
    </row>
    <row r="14" spans="1:123">
      <c r="A14" s="1501">
        <v>0.52016129032258063</v>
      </c>
      <c r="B14" s="1502" t="s">
        <v>288</v>
      </c>
      <c r="C14" s="1503" t="s">
        <v>290</v>
      </c>
      <c r="D14" s="1467"/>
      <c r="E14" s="1468"/>
      <c r="F14" s="1468"/>
      <c r="G14" s="1500">
        <f t="shared" si="10"/>
        <v>0</v>
      </c>
      <c r="H14" s="1468"/>
      <c r="I14" s="1468"/>
      <c r="J14" s="1468"/>
      <c r="K14" s="1500">
        <f t="shared" si="11"/>
        <v>0</v>
      </c>
      <c r="L14" s="1470">
        <f t="shared" si="12"/>
        <v>1</v>
      </c>
      <c r="M14" s="1471"/>
      <c r="N14" s="1468"/>
      <c r="O14" s="1468"/>
      <c r="P14" s="1500">
        <f t="shared" si="37"/>
        <v>0</v>
      </c>
      <c r="Q14" s="1468"/>
      <c r="R14" s="1468"/>
      <c r="S14" s="1468"/>
      <c r="T14" s="1500">
        <f t="shared" si="38"/>
        <v>0</v>
      </c>
      <c r="U14" s="1470" t="e">
        <f t="shared" si="39"/>
        <v>#DIV/0!</v>
      </c>
      <c r="V14" s="1471"/>
      <c r="W14" s="1468"/>
      <c r="X14" s="1468"/>
      <c r="Y14" s="1500">
        <f t="shared" si="40"/>
        <v>0</v>
      </c>
      <c r="Z14" s="1468"/>
      <c r="AA14" s="1468"/>
      <c r="AB14" s="1468"/>
      <c r="AC14" s="1500">
        <f t="shared" si="41"/>
        <v>0</v>
      </c>
      <c r="AD14" s="1470" t="e">
        <f t="shared" si="42"/>
        <v>#DIV/0!</v>
      </c>
      <c r="AE14" s="1467"/>
      <c r="AF14" s="1468"/>
      <c r="AG14" s="1468"/>
      <c r="AH14" s="1500">
        <f t="shared" si="43"/>
        <v>0</v>
      </c>
      <c r="AI14" s="1468"/>
      <c r="AJ14" s="1468"/>
      <c r="AK14" s="1468"/>
      <c r="AL14" s="1500">
        <f t="shared" si="44"/>
        <v>0</v>
      </c>
      <c r="AM14" s="1470" t="e">
        <f t="shared" si="45"/>
        <v>#DIV/0!</v>
      </c>
      <c r="AN14" s="1467"/>
      <c r="AO14" s="1468"/>
      <c r="AP14" s="1468"/>
      <c r="AQ14" s="1500">
        <f t="shared" si="46"/>
        <v>0</v>
      </c>
      <c r="AR14" s="1468"/>
      <c r="AS14" s="1481"/>
      <c r="AT14" s="1468"/>
      <c r="AU14" s="1500">
        <f t="shared" si="47"/>
        <v>0</v>
      </c>
      <c r="AV14" s="1470" t="e">
        <f t="shared" si="48"/>
        <v>#DIV/0!</v>
      </c>
      <c r="AW14" s="1467"/>
      <c r="AX14" s="1468"/>
      <c r="AY14" s="1468"/>
      <c r="AZ14" s="1500">
        <f t="shared" si="49"/>
        <v>0</v>
      </c>
      <c r="BA14" s="1468"/>
      <c r="BB14" s="1468"/>
      <c r="BC14" s="1468"/>
      <c r="BD14" s="1500">
        <f t="shared" si="50"/>
        <v>0</v>
      </c>
      <c r="BE14" s="1470" t="e">
        <f t="shared" si="51"/>
        <v>#DIV/0!</v>
      </c>
      <c r="BF14" s="1467"/>
      <c r="BG14" s="1468"/>
      <c r="BH14" s="1468"/>
      <c r="BI14" s="1500">
        <f t="shared" si="52"/>
        <v>0</v>
      </c>
      <c r="BJ14" s="1468"/>
      <c r="BK14" s="1468"/>
      <c r="BL14" s="1468"/>
      <c r="BM14" s="1500">
        <f t="shared" si="53"/>
        <v>0</v>
      </c>
      <c r="BN14" s="1470" t="e">
        <f t="shared" si="54"/>
        <v>#DIV/0!</v>
      </c>
      <c r="BO14" s="1467"/>
      <c r="BP14" s="1468"/>
      <c r="BQ14" s="1481"/>
      <c r="BR14" s="1500">
        <f t="shared" si="55"/>
        <v>0</v>
      </c>
      <c r="BS14" s="1468"/>
      <c r="BT14" s="1468"/>
      <c r="BU14" s="1468"/>
      <c r="BV14" s="1500">
        <f t="shared" si="56"/>
        <v>0</v>
      </c>
      <c r="BW14" s="1470" t="e">
        <f t="shared" si="57"/>
        <v>#DIV/0!</v>
      </c>
      <c r="BX14" s="1467"/>
      <c r="BY14" s="1468"/>
      <c r="BZ14" s="1468"/>
      <c r="CA14" s="1500">
        <f t="shared" si="58"/>
        <v>0</v>
      </c>
      <c r="CB14" s="1468"/>
      <c r="CC14" s="1468"/>
      <c r="CD14" s="1468"/>
      <c r="CE14" s="1500">
        <f t="shared" si="59"/>
        <v>0</v>
      </c>
      <c r="CF14" s="1470" t="e">
        <f t="shared" si="60"/>
        <v>#DIV/0!</v>
      </c>
      <c r="CG14" s="1467"/>
      <c r="CH14" s="1468"/>
      <c r="CI14" s="1468"/>
      <c r="CJ14" s="1500">
        <f t="shared" si="61"/>
        <v>0</v>
      </c>
      <c r="CK14" s="1468"/>
      <c r="CL14" s="1468"/>
      <c r="CM14" s="1468"/>
      <c r="CN14" s="1500">
        <f t="shared" si="62"/>
        <v>0</v>
      </c>
      <c r="CO14" s="1470" t="e">
        <f t="shared" si="63"/>
        <v>#DIV/0!</v>
      </c>
      <c r="CP14" s="1467"/>
      <c r="CQ14" s="1468"/>
      <c r="CR14" s="1468"/>
      <c r="CS14" s="1500">
        <f t="shared" si="64"/>
        <v>0</v>
      </c>
      <c r="CT14" s="1468"/>
      <c r="CU14" s="1468"/>
      <c r="CV14" s="1468"/>
      <c r="CW14" s="1500">
        <f t="shared" si="65"/>
        <v>0</v>
      </c>
      <c r="CX14" s="1470" t="e">
        <f t="shared" si="66"/>
        <v>#DIV/0!</v>
      </c>
      <c r="CY14" s="1467"/>
      <c r="CZ14" s="1468"/>
      <c r="DA14" s="1468"/>
      <c r="DB14" s="1500">
        <f t="shared" si="67"/>
        <v>0</v>
      </c>
      <c r="DC14" s="1468"/>
      <c r="DD14" s="1468"/>
      <c r="DE14" s="1468"/>
      <c r="DF14" s="1500">
        <f t="shared" si="68"/>
        <v>0</v>
      </c>
      <c r="DG14" s="1470" t="e">
        <f t="shared" si="69"/>
        <v>#DIV/0!</v>
      </c>
      <c r="DH14" s="1467">
        <f t="shared" si="34"/>
        <v>0</v>
      </c>
      <c r="DI14" s="1468">
        <f t="shared" si="34"/>
        <v>0</v>
      </c>
      <c r="DJ14" s="1468">
        <f t="shared" si="34"/>
        <v>0</v>
      </c>
      <c r="DK14" s="1481">
        <f t="shared" si="9"/>
        <v>0</v>
      </c>
      <c r="DL14" s="1468">
        <f t="shared" si="9"/>
        <v>0</v>
      </c>
      <c r="DM14" s="1468">
        <f t="shared" si="9"/>
        <v>0</v>
      </c>
      <c r="DN14" s="1468">
        <f t="shared" si="9"/>
        <v>0</v>
      </c>
      <c r="DO14" s="1481">
        <f t="shared" si="35"/>
        <v>0</v>
      </c>
      <c r="DP14" s="1470">
        <f>($DH$3-DK14-DO14)/($DH$3-DK14)</f>
        <v>1</v>
      </c>
      <c r="DQ14" s="1477"/>
      <c r="DR14" s="1488"/>
      <c r="DS14" s="1488"/>
    </row>
    <row r="15" spans="1:123">
      <c r="A15" s="1497">
        <v>0.5</v>
      </c>
      <c r="B15" s="1498" t="s">
        <v>291</v>
      </c>
      <c r="C15" s="1499" t="s">
        <v>268</v>
      </c>
      <c r="D15" s="1467"/>
      <c r="E15" s="1468"/>
      <c r="F15" s="1468"/>
      <c r="G15" s="1500">
        <f t="shared" si="10"/>
        <v>0</v>
      </c>
      <c r="H15" s="1468"/>
      <c r="I15" s="1468"/>
      <c r="J15" s="1468"/>
      <c r="K15" s="1500">
        <f t="shared" si="11"/>
        <v>0</v>
      </c>
      <c r="L15" s="1470">
        <f t="shared" si="12"/>
        <v>1</v>
      </c>
      <c r="M15" s="1471"/>
      <c r="N15" s="1468"/>
      <c r="O15" s="1468"/>
      <c r="P15" s="1500">
        <f t="shared" si="37"/>
        <v>0</v>
      </c>
      <c r="Q15" s="1468"/>
      <c r="R15" s="1468"/>
      <c r="S15" s="1468"/>
      <c r="T15" s="1500">
        <f t="shared" si="38"/>
        <v>0</v>
      </c>
      <c r="U15" s="1470" t="e">
        <f t="shared" si="39"/>
        <v>#DIV/0!</v>
      </c>
      <c r="V15" s="1471"/>
      <c r="W15" s="1468"/>
      <c r="X15" s="1468"/>
      <c r="Y15" s="1500">
        <f t="shared" si="40"/>
        <v>0</v>
      </c>
      <c r="Z15" s="1468"/>
      <c r="AA15" s="1468"/>
      <c r="AB15" s="1468"/>
      <c r="AC15" s="1500">
        <f t="shared" si="41"/>
        <v>0</v>
      </c>
      <c r="AD15" s="1470" t="e">
        <f t="shared" si="42"/>
        <v>#DIV/0!</v>
      </c>
      <c r="AE15" s="1467"/>
      <c r="AF15" s="1468"/>
      <c r="AG15" s="1468"/>
      <c r="AH15" s="1500">
        <f t="shared" si="43"/>
        <v>0</v>
      </c>
      <c r="AI15" s="1468"/>
      <c r="AJ15" s="1468"/>
      <c r="AK15" s="1468"/>
      <c r="AL15" s="1500">
        <f t="shared" si="44"/>
        <v>0</v>
      </c>
      <c r="AM15" s="1470" t="e">
        <f t="shared" si="45"/>
        <v>#DIV/0!</v>
      </c>
      <c r="AN15" s="1467"/>
      <c r="AO15" s="1468"/>
      <c r="AP15" s="1468"/>
      <c r="AQ15" s="1500">
        <f t="shared" si="46"/>
        <v>0</v>
      </c>
      <c r="AR15" s="1468"/>
      <c r="AS15" s="1468"/>
      <c r="AT15" s="1468"/>
      <c r="AU15" s="1500">
        <f t="shared" si="47"/>
        <v>0</v>
      </c>
      <c r="AV15" s="1470" t="e">
        <f t="shared" si="48"/>
        <v>#DIV/0!</v>
      </c>
      <c r="AW15" s="1467"/>
      <c r="AX15" s="1468"/>
      <c r="AY15" s="1468"/>
      <c r="AZ15" s="1500">
        <f t="shared" si="49"/>
        <v>0</v>
      </c>
      <c r="BA15" s="1468"/>
      <c r="BB15" s="1468"/>
      <c r="BC15" s="1468"/>
      <c r="BD15" s="1500">
        <f t="shared" si="50"/>
        <v>0</v>
      </c>
      <c r="BE15" s="1470" t="e">
        <f t="shared" si="51"/>
        <v>#DIV/0!</v>
      </c>
      <c r="BF15" s="1467"/>
      <c r="BG15" s="1468"/>
      <c r="BH15" s="1468"/>
      <c r="BI15" s="1500">
        <f t="shared" si="52"/>
        <v>0</v>
      </c>
      <c r="BJ15" s="1468"/>
      <c r="BK15" s="1468"/>
      <c r="BL15" s="1468"/>
      <c r="BM15" s="1500">
        <f t="shared" si="53"/>
        <v>0</v>
      </c>
      <c r="BN15" s="1470" t="e">
        <f t="shared" si="54"/>
        <v>#DIV/0!</v>
      </c>
      <c r="BO15" s="1467"/>
      <c r="BP15" s="1468"/>
      <c r="BQ15" s="1468"/>
      <c r="BR15" s="1500">
        <f t="shared" si="55"/>
        <v>0</v>
      </c>
      <c r="BS15" s="1468"/>
      <c r="BT15" s="1468"/>
      <c r="BU15" s="1468"/>
      <c r="BV15" s="1500">
        <f t="shared" si="56"/>
        <v>0</v>
      </c>
      <c r="BW15" s="1470" t="e">
        <f t="shared" si="57"/>
        <v>#DIV/0!</v>
      </c>
      <c r="BX15" s="1467"/>
      <c r="BY15" s="1468"/>
      <c r="BZ15" s="1468"/>
      <c r="CA15" s="1500">
        <f t="shared" si="58"/>
        <v>0</v>
      </c>
      <c r="CB15" s="1468"/>
      <c r="CC15" s="1468"/>
      <c r="CD15" s="1468"/>
      <c r="CE15" s="1500">
        <f t="shared" si="59"/>
        <v>0</v>
      </c>
      <c r="CF15" s="1470" t="e">
        <f t="shared" si="60"/>
        <v>#DIV/0!</v>
      </c>
      <c r="CG15" s="1467"/>
      <c r="CH15" s="1468"/>
      <c r="CI15" s="1468"/>
      <c r="CJ15" s="1500">
        <f t="shared" si="61"/>
        <v>0</v>
      </c>
      <c r="CK15" s="1468"/>
      <c r="CL15" s="1468"/>
      <c r="CM15" s="1468"/>
      <c r="CN15" s="1500">
        <f t="shared" si="62"/>
        <v>0</v>
      </c>
      <c r="CO15" s="1470" t="e">
        <f t="shared" si="63"/>
        <v>#DIV/0!</v>
      </c>
      <c r="CP15" s="1467"/>
      <c r="CQ15" s="1468"/>
      <c r="CR15" s="1468"/>
      <c r="CS15" s="1500">
        <f t="shared" si="64"/>
        <v>0</v>
      </c>
      <c r="CT15" s="1468"/>
      <c r="CU15" s="1468"/>
      <c r="CV15" s="1468"/>
      <c r="CW15" s="1500">
        <f t="shared" si="65"/>
        <v>0</v>
      </c>
      <c r="CX15" s="1470" t="e">
        <f t="shared" si="66"/>
        <v>#DIV/0!</v>
      </c>
      <c r="CY15" s="1467"/>
      <c r="CZ15" s="1468"/>
      <c r="DA15" s="1468"/>
      <c r="DB15" s="1500">
        <f t="shared" si="67"/>
        <v>0</v>
      </c>
      <c r="DC15" s="1468"/>
      <c r="DD15" s="1468"/>
      <c r="DE15" s="1468"/>
      <c r="DF15" s="1500">
        <f t="shared" si="68"/>
        <v>0</v>
      </c>
      <c r="DG15" s="1470" t="e">
        <f t="shared" si="69"/>
        <v>#DIV/0!</v>
      </c>
      <c r="DH15" s="1467">
        <f t="shared" si="34"/>
        <v>0</v>
      </c>
      <c r="DI15" s="1468">
        <f t="shared" si="34"/>
        <v>0</v>
      </c>
      <c r="DJ15" s="1468">
        <f t="shared" si="34"/>
        <v>0</v>
      </c>
      <c r="DK15" s="1481">
        <f t="shared" si="9"/>
        <v>0</v>
      </c>
      <c r="DL15" s="1468">
        <f t="shared" si="9"/>
        <v>0</v>
      </c>
      <c r="DM15" s="1468">
        <f t="shared" si="9"/>
        <v>0</v>
      </c>
      <c r="DN15" s="1504">
        <f t="shared" si="9"/>
        <v>0</v>
      </c>
      <c r="DO15" s="1481">
        <f t="shared" si="35"/>
        <v>0</v>
      </c>
      <c r="DP15" s="1470">
        <f>($DH$3-DK15-DO15)/($DH$3-DK15)</f>
        <v>1</v>
      </c>
      <c r="DQ15" s="1477"/>
    </row>
    <row r="16" spans="1:123">
      <c r="A16" s="1501">
        <v>0.5</v>
      </c>
      <c r="B16" s="1502" t="s">
        <v>291</v>
      </c>
      <c r="C16" s="1503" t="s">
        <v>292</v>
      </c>
      <c r="D16" s="1467"/>
      <c r="E16" s="1468"/>
      <c r="F16" s="1468"/>
      <c r="G16" s="1500">
        <f t="shared" si="10"/>
        <v>0</v>
      </c>
      <c r="H16" s="1468"/>
      <c r="I16" s="1468"/>
      <c r="J16" s="1468"/>
      <c r="K16" s="1500">
        <f t="shared" si="11"/>
        <v>0</v>
      </c>
      <c r="L16" s="1470">
        <f t="shared" si="12"/>
        <v>1</v>
      </c>
      <c r="M16" s="1471"/>
      <c r="N16" s="1468"/>
      <c r="O16" s="1468"/>
      <c r="P16" s="1500">
        <f t="shared" si="37"/>
        <v>0</v>
      </c>
      <c r="Q16" s="1468"/>
      <c r="R16" s="1468"/>
      <c r="S16" s="1468"/>
      <c r="T16" s="1500">
        <f t="shared" si="38"/>
        <v>0</v>
      </c>
      <c r="U16" s="1470" t="e">
        <f t="shared" si="39"/>
        <v>#DIV/0!</v>
      </c>
      <c r="V16" s="1471"/>
      <c r="W16" s="1468"/>
      <c r="X16" s="1468"/>
      <c r="Y16" s="1500">
        <f t="shared" si="40"/>
        <v>0</v>
      </c>
      <c r="Z16" s="1468"/>
      <c r="AA16" s="1468"/>
      <c r="AB16" s="1468"/>
      <c r="AC16" s="1500">
        <f t="shared" si="41"/>
        <v>0</v>
      </c>
      <c r="AD16" s="1470" t="e">
        <f t="shared" si="42"/>
        <v>#DIV/0!</v>
      </c>
      <c r="AE16" s="1467"/>
      <c r="AF16" s="1468"/>
      <c r="AG16" s="1468"/>
      <c r="AH16" s="1500">
        <f t="shared" si="43"/>
        <v>0</v>
      </c>
      <c r="AI16" s="1468"/>
      <c r="AJ16" s="1468"/>
      <c r="AK16" s="1468"/>
      <c r="AL16" s="1500">
        <f t="shared" si="44"/>
        <v>0</v>
      </c>
      <c r="AM16" s="1470" t="e">
        <f t="shared" si="45"/>
        <v>#DIV/0!</v>
      </c>
      <c r="AN16" s="1467"/>
      <c r="AO16" s="1468"/>
      <c r="AP16" s="1468"/>
      <c r="AQ16" s="1500">
        <f t="shared" si="46"/>
        <v>0</v>
      </c>
      <c r="AR16" s="1468"/>
      <c r="AS16" s="1468"/>
      <c r="AT16" s="1468"/>
      <c r="AU16" s="1500">
        <f t="shared" si="47"/>
        <v>0</v>
      </c>
      <c r="AV16" s="1470" t="e">
        <f t="shared" si="48"/>
        <v>#DIV/0!</v>
      </c>
      <c r="AW16" s="1467"/>
      <c r="AX16" s="1468"/>
      <c r="AY16" s="1468"/>
      <c r="AZ16" s="1500">
        <f t="shared" si="49"/>
        <v>0</v>
      </c>
      <c r="BA16" s="1468"/>
      <c r="BB16" s="1468"/>
      <c r="BC16" s="1468"/>
      <c r="BD16" s="1500">
        <f t="shared" si="50"/>
        <v>0</v>
      </c>
      <c r="BE16" s="1470" t="e">
        <f t="shared" si="51"/>
        <v>#DIV/0!</v>
      </c>
      <c r="BF16" s="1467"/>
      <c r="BG16" s="1468"/>
      <c r="BH16" s="1468"/>
      <c r="BI16" s="1500">
        <f t="shared" si="52"/>
        <v>0</v>
      </c>
      <c r="BJ16" s="1468"/>
      <c r="BK16" s="1468"/>
      <c r="BL16" s="1468"/>
      <c r="BM16" s="1500">
        <f t="shared" si="53"/>
        <v>0</v>
      </c>
      <c r="BN16" s="1470" t="e">
        <f t="shared" si="54"/>
        <v>#DIV/0!</v>
      </c>
      <c r="BO16" s="1467"/>
      <c r="BP16" s="1468"/>
      <c r="BQ16" s="1468"/>
      <c r="BR16" s="1500">
        <f t="shared" si="55"/>
        <v>0</v>
      </c>
      <c r="BS16" s="1468"/>
      <c r="BT16" s="1468"/>
      <c r="BU16" s="1468"/>
      <c r="BV16" s="1500">
        <f t="shared" si="56"/>
        <v>0</v>
      </c>
      <c r="BW16" s="1470" t="e">
        <f t="shared" si="57"/>
        <v>#DIV/0!</v>
      </c>
      <c r="BX16" s="1467"/>
      <c r="BY16" s="1468"/>
      <c r="BZ16" s="1468"/>
      <c r="CA16" s="1500">
        <f t="shared" si="58"/>
        <v>0</v>
      </c>
      <c r="CB16" s="1468"/>
      <c r="CC16" s="1468"/>
      <c r="CD16" s="1468"/>
      <c r="CE16" s="1500">
        <f t="shared" si="59"/>
        <v>0</v>
      </c>
      <c r="CF16" s="1470" t="e">
        <f t="shared" si="60"/>
        <v>#DIV/0!</v>
      </c>
      <c r="CG16" s="1467"/>
      <c r="CH16" s="1468"/>
      <c r="CI16" s="1468"/>
      <c r="CJ16" s="1500">
        <f t="shared" si="61"/>
        <v>0</v>
      </c>
      <c r="CK16" s="1468"/>
      <c r="CL16" s="1468"/>
      <c r="CM16" s="1468"/>
      <c r="CN16" s="1500">
        <f t="shared" si="62"/>
        <v>0</v>
      </c>
      <c r="CO16" s="1470" t="e">
        <f t="shared" si="63"/>
        <v>#DIV/0!</v>
      </c>
      <c r="CP16" s="1467"/>
      <c r="CQ16" s="1468"/>
      <c r="CR16" s="1468"/>
      <c r="CS16" s="1500">
        <f t="shared" si="64"/>
        <v>0</v>
      </c>
      <c r="CT16" s="1468"/>
      <c r="CU16" s="1468"/>
      <c r="CV16" s="1468"/>
      <c r="CW16" s="1500">
        <f t="shared" si="65"/>
        <v>0</v>
      </c>
      <c r="CX16" s="1470" t="e">
        <f t="shared" si="66"/>
        <v>#DIV/0!</v>
      </c>
      <c r="CY16" s="1467"/>
      <c r="CZ16" s="1468"/>
      <c r="DA16" s="1468"/>
      <c r="DB16" s="1500">
        <f t="shared" si="67"/>
        <v>0</v>
      </c>
      <c r="DC16" s="1468"/>
      <c r="DD16" s="1468"/>
      <c r="DE16" s="1468"/>
      <c r="DF16" s="1500">
        <f t="shared" si="68"/>
        <v>0</v>
      </c>
      <c r="DG16" s="1470" t="e">
        <f t="shared" si="69"/>
        <v>#DIV/0!</v>
      </c>
      <c r="DH16" s="1467">
        <f t="shared" si="34"/>
        <v>0</v>
      </c>
      <c r="DI16" s="1468">
        <f t="shared" si="34"/>
        <v>0</v>
      </c>
      <c r="DJ16" s="1468">
        <f t="shared" si="34"/>
        <v>0</v>
      </c>
      <c r="DK16" s="1481">
        <f t="shared" si="9"/>
        <v>0</v>
      </c>
      <c r="DL16" s="1468">
        <f t="shared" si="9"/>
        <v>0</v>
      </c>
      <c r="DM16" s="1468">
        <f t="shared" si="9"/>
        <v>0</v>
      </c>
      <c r="DN16" s="1468">
        <f t="shared" si="9"/>
        <v>0</v>
      </c>
      <c r="DO16" s="1481">
        <f t="shared" si="35"/>
        <v>0</v>
      </c>
      <c r="DP16" s="1470">
        <f t="shared" si="36"/>
        <v>1</v>
      </c>
      <c r="DQ16" s="1477"/>
    </row>
    <row r="17" spans="1:121">
      <c r="A17" s="1497">
        <v>0.37</v>
      </c>
      <c r="B17" s="1498" t="s">
        <v>1041</v>
      </c>
      <c r="C17" s="1499" t="s">
        <v>1042</v>
      </c>
      <c r="D17" s="1467"/>
      <c r="E17" s="1468"/>
      <c r="F17" s="1468"/>
      <c r="G17" s="1500">
        <f t="shared" si="10"/>
        <v>0</v>
      </c>
      <c r="H17" s="1468"/>
      <c r="I17" s="1468"/>
      <c r="J17" s="1468"/>
      <c r="K17" s="1500">
        <f t="shared" si="11"/>
        <v>0</v>
      </c>
      <c r="L17" s="1470">
        <f t="shared" si="12"/>
        <v>1</v>
      </c>
      <c r="M17" s="1471"/>
      <c r="N17" s="1468"/>
      <c r="O17" s="1468"/>
      <c r="P17" s="1500">
        <f t="shared" si="37"/>
        <v>0</v>
      </c>
      <c r="Q17" s="1468"/>
      <c r="R17" s="1468"/>
      <c r="S17" s="1468"/>
      <c r="T17" s="1500">
        <f t="shared" si="38"/>
        <v>0</v>
      </c>
      <c r="U17" s="1470" t="e">
        <f t="shared" si="39"/>
        <v>#DIV/0!</v>
      </c>
      <c r="V17" s="1471"/>
      <c r="W17" s="1468"/>
      <c r="X17" s="1468"/>
      <c r="Y17" s="1500">
        <f t="shared" si="40"/>
        <v>0</v>
      </c>
      <c r="Z17" s="1468"/>
      <c r="AA17" s="1468"/>
      <c r="AB17" s="1468"/>
      <c r="AC17" s="1500">
        <f t="shared" si="41"/>
        <v>0</v>
      </c>
      <c r="AD17" s="1470" t="e">
        <f t="shared" si="42"/>
        <v>#DIV/0!</v>
      </c>
      <c r="AE17" s="1467"/>
      <c r="AF17" s="1468"/>
      <c r="AG17" s="1468"/>
      <c r="AH17" s="1500">
        <f t="shared" si="43"/>
        <v>0</v>
      </c>
      <c r="AI17" s="1468"/>
      <c r="AJ17" s="1468"/>
      <c r="AK17" s="1468"/>
      <c r="AL17" s="1500">
        <f t="shared" si="44"/>
        <v>0</v>
      </c>
      <c r="AM17" s="1470" t="e">
        <f t="shared" si="45"/>
        <v>#DIV/0!</v>
      </c>
      <c r="AN17" s="1467"/>
      <c r="AO17" s="1468"/>
      <c r="AP17" s="1468"/>
      <c r="AQ17" s="1500">
        <f t="shared" si="46"/>
        <v>0</v>
      </c>
      <c r="AR17" s="1468"/>
      <c r="AS17" s="1468"/>
      <c r="AT17" s="1468"/>
      <c r="AU17" s="1500">
        <f t="shared" si="47"/>
        <v>0</v>
      </c>
      <c r="AV17" s="1470" t="e">
        <f t="shared" si="48"/>
        <v>#DIV/0!</v>
      </c>
      <c r="AW17" s="1467"/>
      <c r="AX17" s="1468"/>
      <c r="AY17" s="1468"/>
      <c r="AZ17" s="1500">
        <f t="shared" si="49"/>
        <v>0</v>
      </c>
      <c r="BA17" s="1468"/>
      <c r="BB17" s="1468"/>
      <c r="BC17" s="1468"/>
      <c r="BD17" s="1500">
        <f t="shared" si="50"/>
        <v>0</v>
      </c>
      <c r="BE17" s="1470" t="e">
        <f t="shared" si="51"/>
        <v>#DIV/0!</v>
      </c>
      <c r="BF17" s="1471"/>
      <c r="BG17" s="1468"/>
      <c r="BH17" s="1468"/>
      <c r="BI17" s="1500">
        <f t="shared" si="52"/>
        <v>0</v>
      </c>
      <c r="BJ17" s="1468"/>
      <c r="BK17" s="1468"/>
      <c r="BL17" s="1468"/>
      <c r="BM17" s="1500">
        <f t="shared" si="53"/>
        <v>0</v>
      </c>
      <c r="BN17" s="1470" t="e">
        <f t="shared" si="54"/>
        <v>#DIV/0!</v>
      </c>
      <c r="BO17" s="1471"/>
      <c r="BP17" s="1468"/>
      <c r="BQ17" s="1468"/>
      <c r="BR17" s="1500">
        <f t="shared" si="55"/>
        <v>0</v>
      </c>
      <c r="BS17" s="1468"/>
      <c r="BT17" s="1468"/>
      <c r="BU17" s="1468"/>
      <c r="BV17" s="1500">
        <f t="shared" si="56"/>
        <v>0</v>
      </c>
      <c r="BW17" s="1470" t="e">
        <f t="shared" si="57"/>
        <v>#DIV/0!</v>
      </c>
      <c r="BX17" s="1467"/>
      <c r="BY17" s="1468"/>
      <c r="BZ17" s="1468"/>
      <c r="CA17" s="1500">
        <f t="shared" si="58"/>
        <v>0</v>
      </c>
      <c r="CB17" s="1468"/>
      <c r="CC17" s="1468"/>
      <c r="CD17" s="1468"/>
      <c r="CE17" s="1500">
        <f t="shared" si="59"/>
        <v>0</v>
      </c>
      <c r="CF17" s="1470" t="e">
        <f t="shared" si="60"/>
        <v>#DIV/0!</v>
      </c>
      <c r="CG17" s="1467"/>
      <c r="CH17" s="1468"/>
      <c r="CI17" s="1468"/>
      <c r="CJ17" s="1500">
        <f t="shared" si="61"/>
        <v>0</v>
      </c>
      <c r="CK17" s="1468"/>
      <c r="CL17" s="1468"/>
      <c r="CM17" s="1468"/>
      <c r="CN17" s="1500">
        <f t="shared" si="62"/>
        <v>0</v>
      </c>
      <c r="CO17" s="1470" t="e">
        <f t="shared" si="63"/>
        <v>#DIV/0!</v>
      </c>
      <c r="CP17" s="1467"/>
      <c r="CQ17" s="1468"/>
      <c r="CR17" s="1468"/>
      <c r="CS17" s="1500">
        <f t="shared" si="64"/>
        <v>0</v>
      </c>
      <c r="CT17" s="1468"/>
      <c r="CU17" s="1468"/>
      <c r="CV17" s="1468"/>
      <c r="CW17" s="1500">
        <f t="shared" si="65"/>
        <v>0</v>
      </c>
      <c r="CX17" s="1470" t="e">
        <f t="shared" si="66"/>
        <v>#DIV/0!</v>
      </c>
      <c r="CY17" s="1467"/>
      <c r="CZ17" s="1468"/>
      <c r="DA17" s="1468"/>
      <c r="DB17" s="1500">
        <f t="shared" si="67"/>
        <v>0</v>
      </c>
      <c r="DC17" s="1468"/>
      <c r="DD17" s="1468"/>
      <c r="DE17" s="1468"/>
      <c r="DF17" s="1500">
        <f t="shared" si="68"/>
        <v>0</v>
      </c>
      <c r="DG17" s="1470" t="e">
        <f t="shared" si="69"/>
        <v>#DIV/0!</v>
      </c>
      <c r="DH17" s="1467">
        <f t="shared" si="34"/>
        <v>0</v>
      </c>
      <c r="DI17" s="1468">
        <f t="shared" si="34"/>
        <v>0</v>
      </c>
      <c r="DJ17" s="1468">
        <f t="shared" si="34"/>
        <v>0</v>
      </c>
      <c r="DK17" s="1481">
        <f t="shared" si="9"/>
        <v>0</v>
      </c>
      <c r="DL17" s="1468">
        <f t="shared" si="9"/>
        <v>0</v>
      </c>
      <c r="DM17" s="1468">
        <f t="shared" si="9"/>
        <v>0</v>
      </c>
      <c r="DN17" s="1468">
        <f t="shared" si="9"/>
        <v>0</v>
      </c>
      <c r="DO17" s="1481">
        <f t="shared" si="35"/>
        <v>0</v>
      </c>
      <c r="DP17" s="1470">
        <f t="shared" si="36"/>
        <v>1</v>
      </c>
      <c r="DQ17" s="1477"/>
    </row>
    <row r="18" spans="1:121" s="1448" customFormat="1">
      <c r="A18" s="1505">
        <v>0.63</v>
      </c>
      <c r="B18" s="1506" t="s">
        <v>1041</v>
      </c>
      <c r="C18" s="1507" t="s">
        <v>1043</v>
      </c>
      <c r="D18" s="1467"/>
      <c r="E18" s="1468"/>
      <c r="F18" s="1468"/>
      <c r="G18" s="1500">
        <f t="shared" si="10"/>
        <v>0</v>
      </c>
      <c r="H18" s="1468"/>
      <c r="I18" s="1468"/>
      <c r="J18" s="1468"/>
      <c r="K18" s="1500">
        <f t="shared" si="11"/>
        <v>0</v>
      </c>
      <c r="L18" s="1470">
        <f t="shared" si="12"/>
        <v>1</v>
      </c>
      <c r="M18" s="1471"/>
      <c r="N18" s="1468"/>
      <c r="O18" s="1468"/>
      <c r="P18" s="1500">
        <f t="shared" si="37"/>
        <v>0</v>
      </c>
      <c r="Q18" s="1468"/>
      <c r="R18" s="1468"/>
      <c r="S18" s="1468"/>
      <c r="T18" s="1500">
        <f t="shared" si="38"/>
        <v>0</v>
      </c>
      <c r="U18" s="1470" t="e">
        <f t="shared" si="39"/>
        <v>#DIV/0!</v>
      </c>
      <c r="V18" s="1471"/>
      <c r="W18" s="1468"/>
      <c r="X18" s="1468"/>
      <c r="Y18" s="1500">
        <f t="shared" si="40"/>
        <v>0</v>
      </c>
      <c r="Z18" s="1468"/>
      <c r="AA18" s="1468"/>
      <c r="AB18" s="1468"/>
      <c r="AC18" s="1500">
        <f t="shared" si="41"/>
        <v>0</v>
      </c>
      <c r="AD18" s="1470" t="e">
        <f t="shared" si="42"/>
        <v>#DIV/0!</v>
      </c>
      <c r="AE18" s="1467"/>
      <c r="AF18" s="1468"/>
      <c r="AG18" s="1468"/>
      <c r="AH18" s="1500">
        <f t="shared" si="43"/>
        <v>0</v>
      </c>
      <c r="AI18" s="1468"/>
      <c r="AJ18" s="1468"/>
      <c r="AK18" s="1468"/>
      <c r="AL18" s="1500">
        <f t="shared" si="44"/>
        <v>0</v>
      </c>
      <c r="AM18" s="1470" t="e">
        <f t="shared" si="45"/>
        <v>#DIV/0!</v>
      </c>
      <c r="AN18" s="1467"/>
      <c r="AO18" s="1468"/>
      <c r="AP18" s="1468"/>
      <c r="AQ18" s="1500">
        <f t="shared" si="46"/>
        <v>0</v>
      </c>
      <c r="AR18" s="1468"/>
      <c r="AS18" s="1468"/>
      <c r="AT18" s="1468"/>
      <c r="AU18" s="1500">
        <f t="shared" si="47"/>
        <v>0</v>
      </c>
      <c r="AV18" s="1470" t="e">
        <f t="shared" si="48"/>
        <v>#DIV/0!</v>
      </c>
      <c r="AW18" s="1467"/>
      <c r="AX18" s="1468"/>
      <c r="AY18" s="1468"/>
      <c r="AZ18" s="1500">
        <f t="shared" si="49"/>
        <v>0</v>
      </c>
      <c r="BA18" s="1468"/>
      <c r="BB18" s="1468"/>
      <c r="BC18" s="1468"/>
      <c r="BD18" s="1500">
        <f t="shared" si="50"/>
        <v>0</v>
      </c>
      <c r="BE18" s="1470" t="e">
        <f t="shared" si="51"/>
        <v>#DIV/0!</v>
      </c>
      <c r="BF18" s="1471"/>
      <c r="BG18" s="1468"/>
      <c r="BH18" s="1468"/>
      <c r="BI18" s="1500">
        <f t="shared" si="52"/>
        <v>0</v>
      </c>
      <c r="BJ18" s="1468"/>
      <c r="BK18" s="1468"/>
      <c r="BL18" s="1468"/>
      <c r="BM18" s="1500">
        <f t="shared" si="53"/>
        <v>0</v>
      </c>
      <c r="BN18" s="1470" t="e">
        <f t="shared" si="54"/>
        <v>#DIV/0!</v>
      </c>
      <c r="BO18" s="1467"/>
      <c r="BP18" s="1468"/>
      <c r="BQ18" s="1468"/>
      <c r="BR18" s="1500">
        <f t="shared" si="55"/>
        <v>0</v>
      </c>
      <c r="BS18" s="1468"/>
      <c r="BT18" s="1468"/>
      <c r="BU18" s="1468"/>
      <c r="BV18" s="1500">
        <f t="shared" si="56"/>
        <v>0</v>
      </c>
      <c r="BW18" s="1470" t="e">
        <f t="shared" si="57"/>
        <v>#DIV/0!</v>
      </c>
      <c r="BX18" s="1467"/>
      <c r="BY18" s="1468"/>
      <c r="BZ18" s="1468"/>
      <c r="CA18" s="1500">
        <f t="shared" si="58"/>
        <v>0</v>
      </c>
      <c r="CB18" s="1468"/>
      <c r="CC18" s="1468"/>
      <c r="CD18" s="1468"/>
      <c r="CE18" s="1500">
        <f t="shared" si="59"/>
        <v>0</v>
      </c>
      <c r="CF18" s="1470" t="e">
        <f t="shared" si="60"/>
        <v>#DIV/0!</v>
      </c>
      <c r="CG18" s="1467"/>
      <c r="CH18" s="1468"/>
      <c r="CI18" s="1468"/>
      <c r="CJ18" s="1500">
        <f t="shared" si="61"/>
        <v>0</v>
      </c>
      <c r="CK18" s="1468"/>
      <c r="CL18" s="1468"/>
      <c r="CM18" s="1468"/>
      <c r="CN18" s="1500">
        <f t="shared" si="62"/>
        <v>0</v>
      </c>
      <c r="CO18" s="1470" t="e">
        <f t="shared" si="63"/>
        <v>#DIV/0!</v>
      </c>
      <c r="CP18" s="1467"/>
      <c r="CQ18" s="1468"/>
      <c r="CR18" s="1468"/>
      <c r="CS18" s="1500">
        <f t="shared" si="64"/>
        <v>0</v>
      </c>
      <c r="CT18" s="1468"/>
      <c r="CU18" s="1468"/>
      <c r="CV18" s="1468"/>
      <c r="CW18" s="1500">
        <f t="shared" si="65"/>
        <v>0</v>
      </c>
      <c r="CX18" s="1470" t="e">
        <f t="shared" si="66"/>
        <v>#DIV/0!</v>
      </c>
      <c r="CY18" s="1467"/>
      <c r="CZ18" s="1468"/>
      <c r="DA18" s="1468"/>
      <c r="DB18" s="1500">
        <f t="shared" si="67"/>
        <v>0</v>
      </c>
      <c r="DC18" s="1468"/>
      <c r="DD18" s="1468"/>
      <c r="DE18" s="1468"/>
      <c r="DF18" s="1500">
        <f t="shared" si="68"/>
        <v>0</v>
      </c>
      <c r="DG18" s="1470" t="e">
        <f t="shared" si="69"/>
        <v>#DIV/0!</v>
      </c>
      <c r="DH18" s="1467">
        <f t="shared" si="34"/>
        <v>0</v>
      </c>
      <c r="DI18" s="1468">
        <f t="shared" si="34"/>
        <v>0</v>
      </c>
      <c r="DJ18" s="1468">
        <f t="shared" si="34"/>
        <v>0</v>
      </c>
      <c r="DK18" s="1468">
        <f t="shared" si="9"/>
        <v>0</v>
      </c>
      <c r="DL18" s="1468">
        <f t="shared" si="9"/>
        <v>0</v>
      </c>
      <c r="DM18" s="1468">
        <f t="shared" si="9"/>
        <v>0</v>
      </c>
      <c r="DN18" s="1468">
        <f t="shared" si="9"/>
        <v>0</v>
      </c>
      <c r="DO18" s="1468">
        <f t="shared" si="35"/>
        <v>0</v>
      </c>
      <c r="DP18" s="1470">
        <f t="shared" si="36"/>
        <v>1</v>
      </c>
      <c r="DQ18" s="1477"/>
    </row>
    <row r="19" spans="1:121" s="1448" customFormat="1">
      <c r="A19" s="1501">
        <v>1</v>
      </c>
      <c r="B19" s="1502" t="s">
        <v>1044</v>
      </c>
      <c r="C19" s="1503" t="s">
        <v>1045</v>
      </c>
      <c r="D19" s="1467"/>
      <c r="E19" s="1468"/>
      <c r="F19" s="1468"/>
      <c r="G19" s="1500">
        <f t="shared" si="10"/>
        <v>0</v>
      </c>
      <c r="H19" s="1468"/>
      <c r="I19" s="1468"/>
      <c r="J19" s="1468"/>
      <c r="K19" s="1500">
        <f t="shared" si="11"/>
        <v>0</v>
      </c>
      <c r="L19" s="1470">
        <f t="shared" si="12"/>
        <v>1</v>
      </c>
      <c r="M19" s="1471"/>
      <c r="N19" s="1468"/>
      <c r="O19" s="1468"/>
      <c r="P19" s="1500">
        <f t="shared" si="37"/>
        <v>0</v>
      </c>
      <c r="Q19" s="1468"/>
      <c r="R19" s="1468"/>
      <c r="S19" s="1468"/>
      <c r="T19" s="1500">
        <f t="shared" si="38"/>
        <v>0</v>
      </c>
      <c r="U19" s="1470" t="e">
        <f t="shared" si="39"/>
        <v>#DIV/0!</v>
      </c>
      <c r="V19" s="1471"/>
      <c r="W19" s="1468"/>
      <c r="X19" s="1468"/>
      <c r="Y19" s="1500">
        <f t="shared" si="40"/>
        <v>0</v>
      </c>
      <c r="Z19" s="1468"/>
      <c r="AA19" s="1481"/>
      <c r="AB19" s="1468"/>
      <c r="AC19" s="1500">
        <f t="shared" si="41"/>
        <v>0</v>
      </c>
      <c r="AD19" s="1470" t="e">
        <f t="shared" si="42"/>
        <v>#DIV/0!</v>
      </c>
      <c r="AE19" s="1467"/>
      <c r="AF19" s="1468"/>
      <c r="AG19" s="1468"/>
      <c r="AH19" s="1500">
        <f t="shared" si="43"/>
        <v>0</v>
      </c>
      <c r="AI19" s="1468"/>
      <c r="AJ19" s="1468"/>
      <c r="AK19" s="1468"/>
      <c r="AL19" s="1500">
        <f t="shared" si="44"/>
        <v>0</v>
      </c>
      <c r="AM19" s="1470" t="e">
        <f t="shared" si="45"/>
        <v>#DIV/0!</v>
      </c>
      <c r="AN19" s="1467"/>
      <c r="AO19" s="1468"/>
      <c r="AP19" s="1468"/>
      <c r="AQ19" s="1500">
        <f t="shared" si="46"/>
        <v>0</v>
      </c>
      <c r="AR19" s="1468"/>
      <c r="AS19" s="1468"/>
      <c r="AT19" s="1468"/>
      <c r="AU19" s="1500">
        <f t="shared" si="47"/>
        <v>0</v>
      </c>
      <c r="AV19" s="1470" t="e">
        <f t="shared" si="48"/>
        <v>#DIV/0!</v>
      </c>
      <c r="AW19" s="1467"/>
      <c r="AX19" s="1468"/>
      <c r="AY19" s="1468"/>
      <c r="AZ19" s="1500">
        <f t="shared" si="49"/>
        <v>0</v>
      </c>
      <c r="BA19" s="1468"/>
      <c r="BB19" s="1468"/>
      <c r="BC19" s="1468"/>
      <c r="BD19" s="1500">
        <f t="shared" si="50"/>
        <v>0</v>
      </c>
      <c r="BE19" s="1470" t="e">
        <f t="shared" si="51"/>
        <v>#DIV/0!</v>
      </c>
      <c r="BF19" s="1467"/>
      <c r="BG19" s="1468"/>
      <c r="BH19" s="1468"/>
      <c r="BI19" s="1500">
        <f t="shared" si="52"/>
        <v>0</v>
      </c>
      <c r="BJ19" s="1468"/>
      <c r="BK19" s="1468"/>
      <c r="BL19" s="1468"/>
      <c r="BM19" s="1500">
        <f t="shared" si="53"/>
        <v>0</v>
      </c>
      <c r="BN19" s="1470" t="e">
        <f t="shared" si="54"/>
        <v>#DIV/0!</v>
      </c>
      <c r="BO19" s="1467"/>
      <c r="BP19" s="1468"/>
      <c r="BQ19" s="1468"/>
      <c r="BR19" s="1500">
        <f t="shared" si="55"/>
        <v>0</v>
      </c>
      <c r="BS19" s="1468"/>
      <c r="BT19" s="1468"/>
      <c r="BU19" s="1468"/>
      <c r="BV19" s="1500">
        <f t="shared" si="56"/>
        <v>0</v>
      </c>
      <c r="BW19" s="1470" t="e">
        <f t="shared" si="57"/>
        <v>#DIV/0!</v>
      </c>
      <c r="BX19" s="1467"/>
      <c r="BY19" s="1468"/>
      <c r="BZ19" s="1468"/>
      <c r="CA19" s="1500">
        <f t="shared" si="58"/>
        <v>0</v>
      </c>
      <c r="CB19" s="1468"/>
      <c r="CC19" s="1468"/>
      <c r="CD19" s="1468"/>
      <c r="CE19" s="1500">
        <f t="shared" si="59"/>
        <v>0</v>
      </c>
      <c r="CF19" s="1470" t="e">
        <f t="shared" si="60"/>
        <v>#DIV/0!</v>
      </c>
      <c r="CG19" s="1467"/>
      <c r="CH19" s="1468"/>
      <c r="CI19" s="1468"/>
      <c r="CJ19" s="1500">
        <f t="shared" si="61"/>
        <v>0</v>
      </c>
      <c r="CK19" s="1468"/>
      <c r="CL19" s="1468"/>
      <c r="CM19" s="1468"/>
      <c r="CN19" s="1500">
        <f t="shared" si="62"/>
        <v>0</v>
      </c>
      <c r="CO19" s="1470" t="e">
        <f t="shared" si="63"/>
        <v>#DIV/0!</v>
      </c>
      <c r="CP19" s="1467"/>
      <c r="CQ19" s="1468"/>
      <c r="CR19" s="1468"/>
      <c r="CS19" s="1500">
        <f t="shared" si="64"/>
        <v>0</v>
      </c>
      <c r="CT19" s="1468"/>
      <c r="CU19" s="1468"/>
      <c r="CV19" s="1468"/>
      <c r="CW19" s="1500">
        <f t="shared" si="65"/>
        <v>0</v>
      </c>
      <c r="CX19" s="1470" t="e">
        <f t="shared" si="66"/>
        <v>#DIV/0!</v>
      </c>
      <c r="CY19" s="1467"/>
      <c r="CZ19" s="1468"/>
      <c r="DA19" s="1468"/>
      <c r="DB19" s="1500">
        <f t="shared" si="67"/>
        <v>0</v>
      </c>
      <c r="DC19" s="1468"/>
      <c r="DD19" s="1468"/>
      <c r="DE19" s="1468"/>
      <c r="DF19" s="1500">
        <f t="shared" si="68"/>
        <v>0</v>
      </c>
      <c r="DG19" s="1470" t="e">
        <f t="shared" si="69"/>
        <v>#DIV/0!</v>
      </c>
      <c r="DH19" s="1467">
        <f t="shared" si="34"/>
        <v>0</v>
      </c>
      <c r="DI19" s="1468">
        <f t="shared" si="34"/>
        <v>0</v>
      </c>
      <c r="DJ19" s="1468">
        <f t="shared" si="34"/>
        <v>0</v>
      </c>
      <c r="DK19" s="1468">
        <f t="shared" si="9"/>
        <v>0</v>
      </c>
      <c r="DL19" s="1468">
        <f t="shared" si="9"/>
        <v>0</v>
      </c>
      <c r="DM19" s="1468">
        <f t="shared" si="9"/>
        <v>0</v>
      </c>
      <c r="DN19" s="1468">
        <f t="shared" si="9"/>
        <v>0</v>
      </c>
      <c r="DO19" s="1468">
        <f t="shared" si="35"/>
        <v>0</v>
      </c>
      <c r="DP19" s="1470">
        <f t="shared" si="36"/>
        <v>1</v>
      </c>
      <c r="DQ19" s="1477"/>
    </row>
    <row r="20" spans="1:121" s="1510" customFormat="1">
      <c r="A20" s="1497">
        <v>0.39</v>
      </c>
      <c r="B20" s="1508" t="s">
        <v>1046</v>
      </c>
      <c r="C20" s="1509" t="s">
        <v>301</v>
      </c>
      <c r="D20" s="1471"/>
      <c r="E20" s="1481"/>
      <c r="F20" s="1481"/>
      <c r="G20" s="1500">
        <f t="shared" si="10"/>
        <v>0</v>
      </c>
      <c r="H20" s="1481"/>
      <c r="I20" s="1481"/>
      <c r="J20" s="1481"/>
      <c r="K20" s="1500">
        <f t="shared" si="11"/>
        <v>0</v>
      </c>
      <c r="L20" s="1470">
        <f t="shared" si="12"/>
        <v>1</v>
      </c>
      <c r="M20" s="1471"/>
      <c r="N20" s="1481"/>
      <c r="O20" s="1481"/>
      <c r="P20" s="1500">
        <f t="shared" si="37"/>
        <v>0</v>
      </c>
      <c r="Q20" s="1481"/>
      <c r="R20" s="1481"/>
      <c r="S20" s="1481"/>
      <c r="T20" s="1500">
        <f t="shared" si="38"/>
        <v>0</v>
      </c>
      <c r="U20" s="1470" t="e">
        <f t="shared" si="39"/>
        <v>#DIV/0!</v>
      </c>
      <c r="V20" s="1471"/>
      <c r="W20" s="1481"/>
      <c r="X20" s="1481"/>
      <c r="Y20" s="1500">
        <f t="shared" si="40"/>
        <v>0</v>
      </c>
      <c r="Z20" s="1481"/>
      <c r="AA20" s="1481"/>
      <c r="AB20" s="1481"/>
      <c r="AC20" s="1500">
        <f t="shared" si="41"/>
        <v>0</v>
      </c>
      <c r="AD20" s="1470" t="e">
        <f t="shared" si="42"/>
        <v>#DIV/0!</v>
      </c>
      <c r="AE20" s="1471"/>
      <c r="AF20" s="1481"/>
      <c r="AG20" s="1481"/>
      <c r="AH20" s="1500">
        <f t="shared" si="43"/>
        <v>0</v>
      </c>
      <c r="AI20" s="1481"/>
      <c r="AJ20" s="1481"/>
      <c r="AK20" s="1481"/>
      <c r="AL20" s="1500">
        <f t="shared" si="44"/>
        <v>0</v>
      </c>
      <c r="AM20" s="1470" t="e">
        <f t="shared" si="45"/>
        <v>#DIV/0!</v>
      </c>
      <c r="AN20" s="1471"/>
      <c r="AO20" s="1481"/>
      <c r="AP20" s="1481"/>
      <c r="AQ20" s="1500">
        <f t="shared" si="46"/>
        <v>0</v>
      </c>
      <c r="AR20" s="1481"/>
      <c r="AS20" s="1481"/>
      <c r="AT20" s="1481"/>
      <c r="AU20" s="1500">
        <f t="shared" si="47"/>
        <v>0</v>
      </c>
      <c r="AV20" s="1470" t="e">
        <f t="shared" si="48"/>
        <v>#DIV/0!</v>
      </c>
      <c r="AW20" s="1471"/>
      <c r="AX20" s="1481"/>
      <c r="AY20" s="1481"/>
      <c r="AZ20" s="1500">
        <f t="shared" si="49"/>
        <v>0</v>
      </c>
      <c r="BA20" s="1481"/>
      <c r="BB20" s="1481"/>
      <c r="BC20" s="1481"/>
      <c r="BD20" s="1500">
        <f t="shared" si="50"/>
        <v>0</v>
      </c>
      <c r="BE20" s="1470" t="e">
        <f t="shared" si="51"/>
        <v>#DIV/0!</v>
      </c>
      <c r="BF20" s="1471"/>
      <c r="BG20" s="1481"/>
      <c r="BH20" s="1481"/>
      <c r="BI20" s="1500">
        <f t="shared" si="52"/>
        <v>0</v>
      </c>
      <c r="BJ20" s="1481"/>
      <c r="BK20" s="1481"/>
      <c r="BL20" s="1481"/>
      <c r="BM20" s="1500">
        <f t="shared" si="53"/>
        <v>0</v>
      </c>
      <c r="BN20" s="1470" t="e">
        <f t="shared" si="54"/>
        <v>#DIV/0!</v>
      </c>
      <c r="BO20" s="1471"/>
      <c r="BP20" s="1481"/>
      <c r="BQ20" s="1481"/>
      <c r="BR20" s="1500">
        <f t="shared" si="55"/>
        <v>0</v>
      </c>
      <c r="BS20" s="1481"/>
      <c r="BT20" s="1481"/>
      <c r="BU20" s="1481"/>
      <c r="BV20" s="1500">
        <f t="shared" si="56"/>
        <v>0</v>
      </c>
      <c r="BW20" s="1470" t="e">
        <f t="shared" si="57"/>
        <v>#DIV/0!</v>
      </c>
      <c r="BX20" s="1471"/>
      <c r="BY20" s="1481"/>
      <c r="BZ20" s="1481"/>
      <c r="CA20" s="1500">
        <f t="shared" si="58"/>
        <v>0</v>
      </c>
      <c r="CB20" s="1481"/>
      <c r="CC20" s="1481"/>
      <c r="CD20" s="1481"/>
      <c r="CE20" s="1500">
        <f t="shared" si="59"/>
        <v>0</v>
      </c>
      <c r="CF20" s="1470" t="e">
        <f t="shared" si="60"/>
        <v>#DIV/0!</v>
      </c>
      <c r="CG20" s="1471"/>
      <c r="CH20" s="1481"/>
      <c r="CI20" s="1481"/>
      <c r="CJ20" s="1500">
        <f t="shared" si="61"/>
        <v>0</v>
      </c>
      <c r="CK20" s="1481"/>
      <c r="CL20" s="1481"/>
      <c r="CM20" s="1481"/>
      <c r="CN20" s="1500">
        <f t="shared" si="62"/>
        <v>0</v>
      </c>
      <c r="CO20" s="1470" t="e">
        <f t="shared" si="63"/>
        <v>#DIV/0!</v>
      </c>
      <c r="CP20" s="1471"/>
      <c r="CQ20" s="1481"/>
      <c r="CR20" s="1481"/>
      <c r="CS20" s="1500">
        <f t="shared" si="64"/>
        <v>0</v>
      </c>
      <c r="CT20" s="1481"/>
      <c r="CU20" s="1481"/>
      <c r="CV20" s="1481"/>
      <c r="CW20" s="1500">
        <f t="shared" si="65"/>
        <v>0</v>
      </c>
      <c r="CX20" s="1470" t="e">
        <f t="shared" si="66"/>
        <v>#DIV/0!</v>
      </c>
      <c r="CY20" s="1471"/>
      <c r="CZ20" s="1481"/>
      <c r="DA20" s="1481"/>
      <c r="DB20" s="1500">
        <f t="shared" si="67"/>
        <v>0</v>
      </c>
      <c r="DC20" s="1481"/>
      <c r="DD20" s="1481"/>
      <c r="DE20" s="1481"/>
      <c r="DF20" s="1500">
        <f t="shared" si="68"/>
        <v>0</v>
      </c>
      <c r="DG20" s="1470" t="e">
        <f t="shared" si="69"/>
        <v>#DIV/0!</v>
      </c>
      <c r="DH20" s="1471">
        <f t="shared" si="34"/>
        <v>0</v>
      </c>
      <c r="DI20" s="1481">
        <f t="shared" si="34"/>
        <v>0</v>
      </c>
      <c r="DJ20" s="1481">
        <f t="shared" si="34"/>
        <v>0</v>
      </c>
      <c r="DK20" s="1481">
        <f t="shared" si="9"/>
        <v>0</v>
      </c>
      <c r="DL20" s="1481">
        <f t="shared" si="9"/>
        <v>0</v>
      </c>
      <c r="DM20" s="1481">
        <f t="shared" si="9"/>
        <v>0</v>
      </c>
      <c r="DN20" s="1481">
        <f t="shared" si="9"/>
        <v>0</v>
      </c>
      <c r="DO20" s="1481">
        <f t="shared" si="35"/>
        <v>0</v>
      </c>
      <c r="DP20" s="1470">
        <f t="shared" si="36"/>
        <v>1</v>
      </c>
      <c r="DQ20" s="1477"/>
    </row>
    <row r="21" spans="1:121" s="1510" customFormat="1">
      <c r="A21" s="1505">
        <v>0.09</v>
      </c>
      <c r="B21" s="1511" t="s">
        <v>1046</v>
      </c>
      <c r="C21" s="1512" t="s">
        <v>304</v>
      </c>
      <c r="D21" s="1471"/>
      <c r="E21" s="1481"/>
      <c r="F21" s="1481"/>
      <c r="G21" s="1500">
        <f t="shared" si="10"/>
        <v>0</v>
      </c>
      <c r="H21" s="1481"/>
      <c r="I21" s="1481"/>
      <c r="J21" s="1481"/>
      <c r="K21" s="1500">
        <f t="shared" si="11"/>
        <v>0</v>
      </c>
      <c r="L21" s="1470">
        <f t="shared" si="12"/>
        <v>1</v>
      </c>
      <c r="M21" s="1471"/>
      <c r="N21" s="1481"/>
      <c r="O21" s="1481"/>
      <c r="P21" s="1500">
        <f t="shared" si="37"/>
        <v>0</v>
      </c>
      <c r="Q21" s="1481"/>
      <c r="R21" s="1481"/>
      <c r="S21" s="1481"/>
      <c r="T21" s="1500">
        <f t="shared" si="38"/>
        <v>0</v>
      </c>
      <c r="U21" s="1470" t="e">
        <f t="shared" si="39"/>
        <v>#DIV/0!</v>
      </c>
      <c r="V21" s="1471"/>
      <c r="W21" s="1481"/>
      <c r="X21" s="1481"/>
      <c r="Y21" s="1500">
        <f t="shared" si="40"/>
        <v>0</v>
      </c>
      <c r="Z21" s="1481"/>
      <c r="AA21" s="1481"/>
      <c r="AB21" s="1481"/>
      <c r="AC21" s="1500">
        <f t="shared" si="41"/>
        <v>0</v>
      </c>
      <c r="AD21" s="1470" t="e">
        <f t="shared" si="42"/>
        <v>#DIV/0!</v>
      </c>
      <c r="AE21" s="1471"/>
      <c r="AF21" s="1481"/>
      <c r="AG21" s="1481"/>
      <c r="AH21" s="1500">
        <f t="shared" si="43"/>
        <v>0</v>
      </c>
      <c r="AI21" s="1481"/>
      <c r="AJ21" s="1481"/>
      <c r="AK21" s="1481"/>
      <c r="AL21" s="1500">
        <f t="shared" si="44"/>
        <v>0</v>
      </c>
      <c r="AM21" s="1470" t="e">
        <f t="shared" si="45"/>
        <v>#DIV/0!</v>
      </c>
      <c r="AN21" s="1471"/>
      <c r="AO21" s="1481"/>
      <c r="AP21" s="1481"/>
      <c r="AQ21" s="1500">
        <f t="shared" si="46"/>
        <v>0</v>
      </c>
      <c r="AR21" s="1481"/>
      <c r="AS21" s="1481"/>
      <c r="AT21" s="1481"/>
      <c r="AU21" s="1500">
        <f t="shared" si="47"/>
        <v>0</v>
      </c>
      <c r="AV21" s="1470" t="e">
        <f t="shared" si="48"/>
        <v>#DIV/0!</v>
      </c>
      <c r="AW21" s="1471"/>
      <c r="AX21" s="1481"/>
      <c r="AY21" s="1481"/>
      <c r="AZ21" s="1500">
        <f t="shared" si="49"/>
        <v>0</v>
      </c>
      <c r="BA21" s="1481"/>
      <c r="BB21" s="1481"/>
      <c r="BC21" s="1481"/>
      <c r="BD21" s="1500">
        <f t="shared" si="50"/>
        <v>0</v>
      </c>
      <c r="BE21" s="1470" t="e">
        <f t="shared" si="51"/>
        <v>#DIV/0!</v>
      </c>
      <c r="BF21" s="1471"/>
      <c r="BG21" s="1481"/>
      <c r="BH21" s="1481"/>
      <c r="BI21" s="1500">
        <f t="shared" si="52"/>
        <v>0</v>
      </c>
      <c r="BJ21" s="1481"/>
      <c r="BK21" s="1481"/>
      <c r="BL21" s="1481"/>
      <c r="BM21" s="1500">
        <f t="shared" si="53"/>
        <v>0</v>
      </c>
      <c r="BN21" s="1470" t="e">
        <f t="shared" si="54"/>
        <v>#DIV/0!</v>
      </c>
      <c r="BO21" s="1471"/>
      <c r="BP21" s="1481"/>
      <c r="BQ21" s="1481"/>
      <c r="BR21" s="1500">
        <f t="shared" si="55"/>
        <v>0</v>
      </c>
      <c r="BS21" s="1481"/>
      <c r="BT21" s="1481"/>
      <c r="BU21" s="1481"/>
      <c r="BV21" s="1500">
        <f t="shared" si="56"/>
        <v>0</v>
      </c>
      <c r="BW21" s="1470" t="e">
        <f t="shared" si="57"/>
        <v>#DIV/0!</v>
      </c>
      <c r="BX21" s="1471"/>
      <c r="BY21" s="1481"/>
      <c r="BZ21" s="1481"/>
      <c r="CA21" s="1500">
        <f t="shared" si="58"/>
        <v>0</v>
      </c>
      <c r="CB21" s="1481"/>
      <c r="CC21" s="1481"/>
      <c r="CD21" s="1481"/>
      <c r="CE21" s="1500">
        <f t="shared" si="59"/>
        <v>0</v>
      </c>
      <c r="CF21" s="1470" t="e">
        <f t="shared" si="60"/>
        <v>#DIV/0!</v>
      </c>
      <c r="CG21" s="1471"/>
      <c r="CH21" s="1481"/>
      <c r="CI21" s="1481"/>
      <c r="CJ21" s="1500">
        <f t="shared" si="61"/>
        <v>0</v>
      </c>
      <c r="CK21" s="1481"/>
      <c r="CL21" s="1481"/>
      <c r="CM21" s="1481"/>
      <c r="CN21" s="1500">
        <f t="shared" si="62"/>
        <v>0</v>
      </c>
      <c r="CO21" s="1470" t="e">
        <f t="shared" si="63"/>
        <v>#DIV/0!</v>
      </c>
      <c r="CP21" s="1471"/>
      <c r="CQ21" s="1481"/>
      <c r="CR21" s="1481"/>
      <c r="CS21" s="1500">
        <f t="shared" si="64"/>
        <v>0</v>
      </c>
      <c r="CT21" s="1481"/>
      <c r="CU21" s="1481"/>
      <c r="CV21" s="1481"/>
      <c r="CW21" s="1500">
        <f t="shared" si="65"/>
        <v>0</v>
      </c>
      <c r="CX21" s="1470" t="e">
        <f t="shared" si="66"/>
        <v>#DIV/0!</v>
      </c>
      <c r="CY21" s="1471"/>
      <c r="CZ21" s="1481"/>
      <c r="DA21" s="1481"/>
      <c r="DB21" s="1500">
        <f t="shared" si="67"/>
        <v>0</v>
      </c>
      <c r="DC21" s="1481"/>
      <c r="DD21" s="1481"/>
      <c r="DE21" s="1481"/>
      <c r="DF21" s="1500">
        <f t="shared" si="68"/>
        <v>0</v>
      </c>
      <c r="DG21" s="1470" t="e">
        <f t="shared" si="69"/>
        <v>#DIV/0!</v>
      </c>
      <c r="DH21" s="1471">
        <f t="shared" si="34"/>
        <v>0</v>
      </c>
      <c r="DI21" s="1481">
        <f t="shared" si="34"/>
        <v>0</v>
      </c>
      <c r="DJ21" s="1481">
        <f t="shared" si="34"/>
        <v>0</v>
      </c>
      <c r="DK21" s="1481">
        <f t="shared" si="9"/>
        <v>0</v>
      </c>
      <c r="DL21" s="1481">
        <f t="shared" si="9"/>
        <v>0</v>
      </c>
      <c r="DM21" s="1481">
        <f t="shared" si="9"/>
        <v>0</v>
      </c>
      <c r="DN21" s="1481">
        <f t="shared" si="9"/>
        <v>0</v>
      </c>
      <c r="DO21" s="1481">
        <f t="shared" si="35"/>
        <v>0</v>
      </c>
      <c r="DP21" s="1470">
        <f t="shared" si="36"/>
        <v>1</v>
      </c>
      <c r="DQ21" s="1477"/>
    </row>
    <row r="22" spans="1:121" s="1510" customFormat="1">
      <c r="A22" s="1505">
        <v>0.18</v>
      </c>
      <c r="B22" s="1511" t="s">
        <v>1046</v>
      </c>
      <c r="C22" s="1512" t="s">
        <v>306</v>
      </c>
      <c r="D22" s="1471"/>
      <c r="E22" s="1481"/>
      <c r="F22" s="1481"/>
      <c r="G22" s="1500">
        <f t="shared" si="10"/>
        <v>0</v>
      </c>
      <c r="H22" s="1481"/>
      <c r="I22" s="1481"/>
      <c r="J22" s="1481"/>
      <c r="K22" s="1500">
        <f t="shared" si="11"/>
        <v>0</v>
      </c>
      <c r="L22" s="1470">
        <f>(D$3-G22-K22)/(D$3-G22)</f>
        <v>1</v>
      </c>
      <c r="M22" s="1471"/>
      <c r="N22" s="1481"/>
      <c r="O22" s="1481"/>
      <c r="P22" s="1500">
        <f t="shared" si="37"/>
        <v>0</v>
      </c>
      <c r="Q22" s="1481"/>
      <c r="R22" s="1481"/>
      <c r="S22" s="1481"/>
      <c r="T22" s="1500">
        <f t="shared" si="38"/>
        <v>0</v>
      </c>
      <c r="U22" s="1470" t="e">
        <f t="shared" si="39"/>
        <v>#DIV/0!</v>
      </c>
      <c r="V22" s="1471"/>
      <c r="W22" s="1481"/>
      <c r="X22" s="1481"/>
      <c r="Y22" s="1500">
        <f t="shared" si="40"/>
        <v>0</v>
      </c>
      <c r="Z22" s="1481"/>
      <c r="AA22" s="1481"/>
      <c r="AB22" s="1481"/>
      <c r="AC22" s="1500">
        <f t="shared" si="41"/>
        <v>0</v>
      </c>
      <c r="AD22" s="1470" t="e">
        <f t="shared" si="42"/>
        <v>#DIV/0!</v>
      </c>
      <c r="AE22" s="1471"/>
      <c r="AF22" s="1481"/>
      <c r="AG22" s="1481"/>
      <c r="AH22" s="1500">
        <f t="shared" si="43"/>
        <v>0</v>
      </c>
      <c r="AI22" s="1481"/>
      <c r="AJ22" s="1481"/>
      <c r="AK22" s="1481"/>
      <c r="AL22" s="1500">
        <f t="shared" si="44"/>
        <v>0</v>
      </c>
      <c r="AM22" s="1470" t="e">
        <f t="shared" si="45"/>
        <v>#DIV/0!</v>
      </c>
      <c r="AN22" s="1471"/>
      <c r="AO22" s="1481"/>
      <c r="AP22" s="1481"/>
      <c r="AQ22" s="1500">
        <f t="shared" si="46"/>
        <v>0</v>
      </c>
      <c r="AR22" s="1481"/>
      <c r="AS22" s="1481"/>
      <c r="AT22" s="1481"/>
      <c r="AU22" s="1500">
        <f t="shared" si="47"/>
        <v>0</v>
      </c>
      <c r="AV22" s="1470" t="e">
        <f t="shared" si="48"/>
        <v>#DIV/0!</v>
      </c>
      <c r="AW22" s="1471"/>
      <c r="AX22" s="1481"/>
      <c r="AY22" s="1481"/>
      <c r="AZ22" s="1500">
        <f t="shared" si="49"/>
        <v>0</v>
      </c>
      <c r="BA22" s="1481"/>
      <c r="BB22" s="1481"/>
      <c r="BC22" s="1481"/>
      <c r="BD22" s="1500">
        <f t="shared" si="50"/>
        <v>0</v>
      </c>
      <c r="BE22" s="1470" t="e">
        <f t="shared" si="51"/>
        <v>#DIV/0!</v>
      </c>
      <c r="BF22" s="1471"/>
      <c r="BG22" s="1481"/>
      <c r="BH22" s="1481"/>
      <c r="BI22" s="1500">
        <f t="shared" si="52"/>
        <v>0</v>
      </c>
      <c r="BJ22" s="1481"/>
      <c r="BK22" s="1481"/>
      <c r="BL22" s="1481"/>
      <c r="BM22" s="1500">
        <f t="shared" si="53"/>
        <v>0</v>
      </c>
      <c r="BN22" s="1470" t="e">
        <f t="shared" si="54"/>
        <v>#DIV/0!</v>
      </c>
      <c r="BO22" s="1471"/>
      <c r="BP22" s="1481"/>
      <c r="BQ22" s="1481"/>
      <c r="BR22" s="1500">
        <f t="shared" si="55"/>
        <v>0</v>
      </c>
      <c r="BS22" s="1481"/>
      <c r="BT22" s="1481"/>
      <c r="BU22" s="1481"/>
      <c r="BV22" s="1500">
        <f t="shared" si="56"/>
        <v>0</v>
      </c>
      <c r="BW22" s="1470" t="e">
        <f t="shared" si="57"/>
        <v>#DIV/0!</v>
      </c>
      <c r="BX22" s="1471"/>
      <c r="BY22" s="1481"/>
      <c r="BZ22" s="1481"/>
      <c r="CA22" s="1500">
        <f t="shared" si="58"/>
        <v>0</v>
      </c>
      <c r="CB22" s="1481"/>
      <c r="CC22" s="1481"/>
      <c r="CD22" s="1481"/>
      <c r="CE22" s="1500">
        <f t="shared" si="59"/>
        <v>0</v>
      </c>
      <c r="CF22" s="1470" t="e">
        <f t="shared" si="60"/>
        <v>#DIV/0!</v>
      </c>
      <c r="CG22" s="1471"/>
      <c r="CH22" s="1481"/>
      <c r="CI22" s="1481"/>
      <c r="CJ22" s="1500">
        <f t="shared" si="61"/>
        <v>0</v>
      </c>
      <c r="CK22" s="1481"/>
      <c r="CL22" s="1481"/>
      <c r="CM22" s="1481"/>
      <c r="CN22" s="1500">
        <f t="shared" si="62"/>
        <v>0</v>
      </c>
      <c r="CO22" s="1470" t="e">
        <f t="shared" si="63"/>
        <v>#DIV/0!</v>
      </c>
      <c r="CP22" s="1471"/>
      <c r="CQ22" s="1481"/>
      <c r="CR22" s="1481"/>
      <c r="CS22" s="1500">
        <f t="shared" si="64"/>
        <v>0</v>
      </c>
      <c r="CT22" s="1481"/>
      <c r="CU22" s="1481"/>
      <c r="CV22" s="1481"/>
      <c r="CW22" s="1500">
        <f t="shared" si="65"/>
        <v>0</v>
      </c>
      <c r="CX22" s="1470" t="e">
        <f t="shared" si="66"/>
        <v>#DIV/0!</v>
      </c>
      <c r="CY22" s="1471"/>
      <c r="CZ22" s="1481"/>
      <c r="DA22" s="1481"/>
      <c r="DB22" s="1500">
        <f t="shared" si="67"/>
        <v>0</v>
      </c>
      <c r="DC22" s="1481"/>
      <c r="DD22" s="1481"/>
      <c r="DE22" s="1481"/>
      <c r="DF22" s="1500">
        <f t="shared" si="68"/>
        <v>0</v>
      </c>
      <c r="DG22" s="1470" t="e">
        <f t="shared" si="69"/>
        <v>#DIV/0!</v>
      </c>
      <c r="DH22" s="1471">
        <f t="shared" si="34"/>
        <v>0</v>
      </c>
      <c r="DI22" s="1481">
        <f t="shared" si="34"/>
        <v>0</v>
      </c>
      <c r="DJ22" s="1481">
        <f t="shared" si="34"/>
        <v>0</v>
      </c>
      <c r="DK22" s="1481">
        <f t="shared" si="9"/>
        <v>0</v>
      </c>
      <c r="DL22" s="1481">
        <f t="shared" si="9"/>
        <v>0</v>
      </c>
      <c r="DM22" s="1481">
        <f t="shared" si="9"/>
        <v>0</v>
      </c>
      <c r="DN22" s="1481">
        <f t="shared" si="9"/>
        <v>0</v>
      </c>
      <c r="DO22" s="1481">
        <f t="shared" si="35"/>
        <v>0</v>
      </c>
      <c r="DP22" s="1470">
        <f t="shared" si="36"/>
        <v>1</v>
      </c>
      <c r="DQ22" s="1477"/>
    </row>
    <row r="23" spans="1:121" s="1510" customFormat="1">
      <c r="A23" s="1505">
        <v>0.18</v>
      </c>
      <c r="B23" s="1511" t="s">
        <v>1046</v>
      </c>
      <c r="C23" s="1512" t="s">
        <v>308</v>
      </c>
      <c r="D23" s="1471"/>
      <c r="E23" s="1481"/>
      <c r="F23" s="1481"/>
      <c r="G23" s="1500">
        <f t="shared" si="10"/>
        <v>0</v>
      </c>
      <c r="H23" s="1481"/>
      <c r="I23" s="1481"/>
      <c r="J23" s="1481"/>
      <c r="K23" s="1500">
        <f t="shared" si="11"/>
        <v>0</v>
      </c>
      <c r="L23" s="1470">
        <f t="shared" si="12"/>
        <v>1</v>
      </c>
      <c r="M23" s="1471"/>
      <c r="N23" s="1481"/>
      <c r="O23" s="1481"/>
      <c r="P23" s="1500">
        <f t="shared" si="37"/>
        <v>0</v>
      </c>
      <c r="Q23" s="1481"/>
      <c r="R23" s="1481"/>
      <c r="S23" s="1481"/>
      <c r="T23" s="1500">
        <f t="shared" si="38"/>
        <v>0</v>
      </c>
      <c r="U23" s="1470" t="e">
        <f t="shared" si="39"/>
        <v>#DIV/0!</v>
      </c>
      <c r="V23" s="1471"/>
      <c r="W23" s="1481"/>
      <c r="X23" s="1481"/>
      <c r="Y23" s="1500">
        <f t="shared" si="40"/>
        <v>0</v>
      </c>
      <c r="Z23" s="1481"/>
      <c r="AA23" s="1481"/>
      <c r="AB23" s="1481"/>
      <c r="AC23" s="1500">
        <f t="shared" si="41"/>
        <v>0</v>
      </c>
      <c r="AD23" s="1470" t="e">
        <f t="shared" si="42"/>
        <v>#DIV/0!</v>
      </c>
      <c r="AE23" s="1471"/>
      <c r="AF23" s="1481"/>
      <c r="AG23" s="1481"/>
      <c r="AH23" s="1500">
        <f t="shared" si="43"/>
        <v>0</v>
      </c>
      <c r="AI23" s="1481"/>
      <c r="AJ23" s="1481"/>
      <c r="AK23" s="1481"/>
      <c r="AL23" s="1500">
        <f t="shared" si="44"/>
        <v>0</v>
      </c>
      <c r="AM23" s="1470" t="e">
        <f t="shared" si="45"/>
        <v>#DIV/0!</v>
      </c>
      <c r="AN23" s="1471"/>
      <c r="AO23" s="1481"/>
      <c r="AP23" s="1481"/>
      <c r="AQ23" s="1500">
        <f t="shared" si="46"/>
        <v>0</v>
      </c>
      <c r="AR23" s="1481"/>
      <c r="AS23" s="1481"/>
      <c r="AT23" s="1481"/>
      <c r="AU23" s="1500">
        <f t="shared" si="47"/>
        <v>0</v>
      </c>
      <c r="AV23" s="1470" t="e">
        <f t="shared" si="48"/>
        <v>#DIV/0!</v>
      </c>
      <c r="AW23" s="1471"/>
      <c r="AX23" s="1481"/>
      <c r="AY23" s="1481"/>
      <c r="AZ23" s="1500">
        <f t="shared" si="49"/>
        <v>0</v>
      </c>
      <c r="BA23" s="1481"/>
      <c r="BB23" s="1481"/>
      <c r="BC23" s="1481"/>
      <c r="BD23" s="1500">
        <f t="shared" si="50"/>
        <v>0</v>
      </c>
      <c r="BE23" s="1470" t="e">
        <f t="shared" si="51"/>
        <v>#DIV/0!</v>
      </c>
      <c r="BF23" s="1471"/>
      <c r="BG23" s="1481"/>
      <c r="BH23" s="1481"/>
      <c r="BI23" s="1500">
        <f t="shared" si="52"/>
        <v>0</v>
      </c>
      <c r="BJ23" s="1481"/>
      <c r="BK23" s="1481"/>
      <c r="BL23" s="1481"/>
      <c r="BM23" s="1500">
        <f t="shared" si="53"/>
        <v>0</v>
      </c>
      <c r="BN23" s="1470" t="e">
        <f t="shared" si="54"/>
        <v>#DIV/0!</v>
      </c>
      <c r="BO23" s="1471"/>
      <c r="BP23" s="1481"/>
      <c r="BQ23" s="1481"/>
      <c r="BR23" s="1500">
        <f t="shared" si="55"/>
        <v>0</v>
      </c>
      <c r="BS23" s="1481"/>
      <c r="BT23" s="1481"/>
      <c r="BU23" s="1481"/>
      <c r="BV23" s="1500">
        <f t="shared" si="56"/>
        <v>0</v>
      </c>
      <c r="BW23" s="1470" t="e">
        <f t="shared" si="57"/>
        <v>#DIV/0!</v>
      </c>
      <c r="BX23" s="1471"/>
      <c r="BY23" s="1481"/>
      <c r="BZ23" s="1481"/>
      <c r="CA23" s="1500">
        <f t="shared" si="58"/>
        <v>0</v>
      </c>
      <c r="CB23" s="1481"/>
      <c r="CC23" s="1481"/>
      <c r="CD23" s="1481"/>
      <c r="CE23" s="1500">
        <f t="shared" si="59"/>
        <v>0</v>
      </c>
      <c r="CF23" s="1470" t="e">
        <f t="shared" si="60"/>
        <v>#DIV/0!</v>
      </c>
      <c r="CG23" s="1471"/>
      <c r="CH23" s="1481"/>
      <c r="CI23" s="1481"/>
      <c r="CJ23" s="1500">
        <f t="shared" si="61"/>
        <v>0</v>
      </c>
      <c r="CK23" s="1481"/>
      <c r="CL23" s="1481"/>
      <c r="CM23" s="1481"/>
      <c r="CN23" s="1500">
        <f t="shared" si="62"/>
        <v>0</v>
      </c>
      <c r="CO23" s="1470" t="e">
        <f t="shared" si="63"/>
        <v>#DIV/0!</v>
      </c>
      <c r="CP23" s="1471"/>
      <c r="CQ23" s="1481"/>
      <c r="CR23" s="1481"/>
      <c r="CS23" s="1500">
        <f t="shared" si="64"/>
        <v>0</v>
      </c>
      <c r="CT23" s="1481"/>
      <c r="CU23" s="1481"/>
      <c r="CV23" s="1481"/>
      <c r="CW23" s="1500">
        <f t="shared" si="65"/>
        <v>0</v>
      </c>
      <c r="CX23" s="1470" t="e">
        <f t="shared" si="66"/>
        <v>#DIV/0!</v>
      </c>
      <c r="CY23" s="1471"/>
      <c r="CZ23" s="1481"/>
      <c r="DA23" s="1481"/>
      <c r="DB23" s="1500">
        <f t="shared" si="67"/>
        <v>0</v>
      </c>
      <c r="DC23" s="1481"/>
      <c r="DD23" s="1481"/>
      <c r="DE23" s="1481"/>
      <c r="DF23" s="1500">
        <f t="shared" si="68"/>
        <v>0</v>
      </c>
      <c r="DG23" s="1470" t="e">
        <f t="shared" si="69"/>
        <v>#DIV/0!</v>
      </c>
      <c r="DH23" s="1471">
        <f t="shared" si="34"/>
        <v>0</v>
      </c>
      <c r="DI23" s="1481">
        <f t="shared" si="34"/>
        <v>0</v>
      </c>
      <c r="DJ23" s="1481">
        <f t="shared" si="34"/>
        <v>0</v>
      </c>
      <c r="DK23" s="1481">
        <f t="shared" si="9"/>
        <v>0</v>
      </c>
      <c r="DL23" s="1481">
        <f t="shared" si="9"/>
        <v>0</v>
      </c>
      <c r="DM23" s="1481">
        <f t="shared" si="9"/>
        <v>0</v>
      </c>
      <c r="DN23" s="1481">
        <f t="shared" si="9"/>
        <v>0</v>
      </c>
      <c r="DO23" s="1481">
        <f t="shared" si="35"/>
        <v>0</v>
      </c>
      <c r="DP23" s="1470">
        <f t="shared" si="36"/>
        <v>1</v>
      </c>
      <c r="DQ23" s="1477"/>
    </row>
    <row r="24" spans="1:121" s="1510" customFormat="1">
      <c r="A24" s="1501">
        <v>0.16</v>
      </c>
      <c r="B24" s="1513" t="s">
        <v>1046</v>
      </c>
      <c r="C24" s="1514" t="s">
        <v>310</v>
      </c>
      <c r="D24" s="1471"/>
      <c r="E24" s="1481"/>
      <c r="F24" s="1481"/>
      <c r="G24" s="1500">
        <f t="shared" si="10"/>
        <v>0</v>
      </c>
      <c r="H24" s="1481"/>
      <c r="I24" s="1481"/>
      <c r="J24" s="1481"/>
      <c r="K24" s="1500">
        <f t="shared" si="11"/>
        <v>0</v>
      </c>
      <c r="L24" s="1470">
        <f t="shared" si="12"/>
        <v>1</v>
      </c>
      <c r="M24" s="1471"/>
      <c r="N24" s="1481"/>
      <c r="O24" s="1481"/>
      <c r="P24" s="1500">
        <f t="shared" si="37"/>
        <v>0</v>
      </c>
      <c r="Q24" s="1481"/>
      <c r="R24" s="1481"/>
      <c r="S24" s="1481"/>
      <c r="T24" s="1500">
        <f t="shared" si="38"/>
        <v>0</v>
      </c>
      <c r="U24" s="1470" t="e">
        <f t="shared" si="39"/>
        <v>#DIV/0!</v>
      </c>
      <c r="V24" s="1471"/>
      <c r="W24" s="1481"/>
      <c r="X24" s="1481"/>
      <c r="Y24" s="1500">
        <f t="shared" si="40"/>
        <v>0</v>
      </c>
      <c r="Z24" s="1481"/>
      <c r="AA24" s="1481"/>
      <c r="AB24" s="1481"/>
      <c r="AC24" s="1500">
        <f t="shared" si="41"/>
        <v>0</v>
      </c>
      <c r="AD24" s="1470" t="e">
        <f t="shared" si="42"/>
        <v>#DIV/0!</v>
      </c>
      <c r="AE24" s="1471"/>
      <c r="AF24" s="1481"/>
      <c r="AG24" s="1481"/>
      <c r="AH24" s="1500">
        <f t="shared" si="43"/>
        <v>0</v>
      </c>
      <c r="AI24" s="1481"/>
      <c r="AJ24" s="1481"/>
      <c r="AK24" s="1481"/>
      <c r="AL24" s="1500">
        <f t="shared" si="44"/>
        <v>0</v>
      </c>
      <c r="AM24" s="1470" t="e">
        <f t="shared" si="45"/>
        <v>#DIV/0!</v>
      </c>
      <c r="AN24" s="1471"/>
      <c r="AO24" s="1481"/>
      <c r="AP24" s="1481"/>
      <c r="AQ24" s="1500">
        <f t="shared" si="46"/>
        <v>0</v>
      </c>
      <c r="AR24" s="1481"/>
      <c r="AS24" s="1481"/>
      <c r="AT24" s="1481"/>
      <c r="AU24" s="1500">
        <f t="shared" si="47"/>
        <v>0</v>
      </c>
      <c r="AV24" s="1470" t="e">
        <f t="shared" si="48"/>
        <v>#DIV/0!</v>
      </c>
      <c r="AW24" s="1471"/>
      <c r="AX24" s="1481"/>
      <c r="AY24" s="1481"/>
      <c r="AZ24" s="1500">
        <f t="shared" si="49"/>
        <v>0</v>
      </c>
      <c r="BA24" s="1481"/>
      <c r="BB24" s="1481"/>
      <c r="BC24" s="1481"/>
      <c r="BD24" s="1500">
        <f t="shared" si="50"/>
        <v>0</v>
      </c>
      <c r="BE24" s="1470" t="e">
        <f t="shared" si="51"/>
        <v>#DIV/0!</v>
      </c>
      <c r="BF24" s="1471"/>
      <c r="BG24" s="1481"/>
      <c r="BH24" s="1481"/>
      <c r="BI24" s="1500">
        <f t="shared" si="52"/>
        <v>0</v>
      </c>
      <c r="BJ24" s="1481"/>
      <c r="BK24" s="1481"/>
      <c r="BL24" s="1481"/>
      <c r="BM24" s="1500">
        <f t="shared" si="53"/>
        <v>0</v>
      </c>
      <c r="BN24" s="1470" t="e">
        <f t="shared" si="54"/>
        <v>#DIV/0!</v>
      </c>
      <c r="BO24" s="1471"/>
      <c r="BP24" s="1481"/>
      <c r="BQ24" s="1481"/>
      <c r="BR24" s="1500">
        <f t="shared" si="55"/>
        <v>0</v>
      </c>
      <c r="BS24" s="1481"/>
      <c r="BT24" s="1481"/>
      <c r="BU24" s="1481"/>
      <c r="BV24" s="1500">
        <f t="shared" si="56"/>
        <v>0</v>
      </c>
      <c r="BW24" s="1470" t="e">
        <f t="shared" si="57"/>
        <v>#DIV/0!</v>
      </c>
      <c r="BX24" s="1471"/>
      <c r="BY24" s="1481"/>
      <c r="BZ24" s="1481"/>
      <c r="CA24" s="1500">
        <f t="shared" si="58"/>
        <v>0</v>
      </c>
      <c r="CB24" s="1481"/>
      <c r="CC24" s="1481"/>
      <c r="CD24" s="1481"/>
      <c r="CE24" s="1500">
        <f t="shared" si="59"/>
        <v>0</v>
      </c>
      <c r="CF24" s="1470" t="e">
        <f t="shared" si="60"/>
        <v>#DIV/0!</v>
      </c>
      <c r="CG24" s="1471"/>
      <c r="CH24" s="1481"/>
      <c r="CI24" s="1481"/>
      <c r="CJ24" s="1500">
        <f t="shared" si="61"/>
        <v>0</v>
      </c>
      <c r="CK24" s="1481"/>
      <c r="CL24" s="1481"/>
      <c r="CM24" s="1481"/>
      <c r="CN24" s="1500">
        <f t="shared" si="62"/>
        <v>0</v>
      </c>
      <c r="CO24" s="1470" t="e">
        <f t="shared" si="63"/>
        <v>#DIV/0!</v>
      </c>
      <c r="CP24" s="1471"/>
      <c r="CQ24" s="1481"/>
      <c r="CR24" s="1481"/>
      <c r="CS24" s="1500">
        <f t="shared" si="64"/>
        <v>0</v>
      </c>
      <c r="CT24" s="1481"/>
      <c r="CU24" s="1481"/>
      <c r="CV24" s="1481"/>
      <c r="CW24" s="1500">
        <f t="shared" si="65"/>
        <v>0</v>
      </c>
      <c r="CX24" s="1470" t="e">
        <f>(CP$3-CS24-CW24)/(CP$3-CS24)</f>
        <v>#DIV/0!</v>
      </c>
      <c r="CY24" s="1471"/>
      <c r="CZ24" s="1481"/>
      <c r="DA24" s="1481"/>
      <c r="DB24" s="1500">
        <f t="shared" si="67"/>
        <v>0</v>
      </c>
      <c r="DC24" s="1481"/>
      <c r="DD24" s="1481"/>
      <c r="DE24" s="1481"/>
      <c r="DF24" s="1500">
        <f t="shared" si="68"/>
        <v>0</v>
      </c>
      <c r="DG24" s="1470" t="e">
        <f t="shared" si="69"/>
        <v>#DIV/0!</v>
      </c>
      <c r="DH24" s="1471">
        <f t="shared" si="34"/>
        <v>0</v>
      </c>
      <c r="DI24" s="1481">
        <f t="shared" si="34"/>
        <v>0</v>
      </c>
      <c r="DJ24" s="1481">
        <f t="shared" si="34"/>
        <v>0</v>
      </c>
      <c r="DK24" s="1481">
        <f t="shared" si="9"/>
        <v>0</v>
      </c>
      <c r="DL24" s="1481">
        <f t="shared" si="9"/>
        <v>0</v>
      </c>
      <c r="DM24" s="1481">
        <f t="shared" si="9"/>
        <v>0</v>
      </c>
      <c r="DN24" s="1481">
        <f t="shared" si="9"/>
        <v>0</v>
      </c>
      <c r="DO24" s="1481">
        <f t="shared" si="35"/>
        <v>0</v>
      </c>
      <c r="DP24" s="1470">
        <f t="shared" si="36"/>
        <v>1</v>
      </c>
      <c r="DQ24" s="1477"/>
    </row>
    <row r="25" spans="1:121" s="1510" customFormat="1">
      <c r="A25" s="1497">
        <v>0.34</v>
      </c>
      <c r="B25" s="1508" t="s">
        <v>1047</v>
      </c>
      <c r="C25" s="1509" t="s">
        <v>313</v>
      </c>
      <c r="D25" s="1471"/>
      <c r="E25" s="1481"/>
      <c r="F25" s="1481"/>
      <c r="G25" s="1500">
        <f t="shared" si="10"/>
        <v>0</v>
      </c>
      <c r="H25" s="1481"/>
      <c r="I25" s="1481"/>
      <c r="J25" s="1481"/>
      <c r="K25" s="1500">
        <f t="shared" si="11"/>
        <v>0</v>
      </c>
      <c r="L25" s="1470">
        <f>(D$3-G25-K25)/(D$3-G25)</f>
        <v>1</v>
      </c>
      <c r="M25" s="1471"/>
      <c r="N25" s="1481"/>
      <c r="O25" s="1481"/>
      <c r="P25" s="1500">
        <f t="shared" si="37"/>
        <v>0</v>
      </c>
      <c r="Q25" s="1481"/>
      <c r="R25" s="1481"/>
      <c r="S25" s="1481"/>
      <c r="T25" s="1500">
        <f t="shared" si="38"/>
        <v>0</v>
      </c>
      <c r="U25" s="1470" t="e">
        <f t="shared" si="39"/>
        <v>#DIV/0!</v>
      </c>
      <c r="V25" s="1471"/>
      <c r="W25" s="1481"/>
      <c r="X25" s="1481"/>
      <c r="Y25" s="1500">
        <f t="shared" si="40"/>
        <v>0</v>
      </c>
      <c r="Z25" s="1481"/>
      <c r="AA25" s="1481"/>
      <c r="AB25" s="1481"/>
      <c r="AC25" s="1500">
        <f t="shared" si="41"/>
        <v>0</v>
      </c>
      <c r="AD25" s="1470" t="e">
        <f t="shared" si="42"/>
        <v>#DIV/0!</v>
      </c>
      <c r="AE25" s="1471"/>
      <c r="AF25" s="1481"/>
      <c r="AG25" s="1481"/>
      <c r="AH25" s="1500">
        <f t="shared" si="43"/>
        <v>0</v>
      </c>
      <c r="AI25" s="1481"/>
      <c r="AJ25" s="1481"/>
      <c r="AK25" s="1481"/>
      <c r="AL25" s="1500">
        <f t="shared" si="44"/>
        <v>0</v>
      </c>
      <c r="AM25" s="1470" t="e">
        <f t="shared" si="45"/>
        <v>#DIV/0!</v>
      </c>
      <c r="AN25" s="1471"/>
      <c r="AO25" s="1481"/>
      <c r="AP25" s="1481"/>
      <c r="AQ25" s="1500">
        <f t="shared" si="46"/>
        <v>0</v>
      </c>
      <c r="AR25" s="1481"/>
      <c r="AS25" s="1481"/>
      <c r="AT25" s="1481"/>
      <c r="AU25" s="1500">
        <f t="shared" si="47"/>
        <v>0</v>
      </c>
      <c r="AV25" s="1470" t="e">
        <f t="shared" si="48"/>
        <v>#DIV/0!</v>
      </c>
      <c r="AW25" s="1471"/>
      <c r="AX25" s="1481"/>
      <c r="AY25" s="1481"/>
      <c r="AZ25" s="1500">
        <f t="shared" si="49"/>
        <v>0</v>
      </c>
      <c r="BA25" s="1481"/>
      <c r="BB25" s="1481"/>
      <c r="BC25" s="1481"/>
      <c r="BD25" s="1500">
        <f t="shared" si="50"/>
        <v>0</v>
      </c>
      <c r="BE25" s="1470" t="e">
        <f t="shared" si="51"/>
        <v>#DIV/0!</v>
      </c>
      <c r="BF25" s="1471"/>
      <c r="BG25" s="1481"/>
      <c r="BH25" s="1481"/>
      <c r="BI25" s="1500">
        <f t="shared" si="52"/>
        <v>0</v>
      </c>
      <c r="BJ25" s="1481"/>
      <c r="BK25" s="1481"/>
      <c r="BL25" s="1481"/>
      <c r="BM25" s="1500">
        <f t="shared" si="53"/>
        <v>0</v>
      </c>
      <c r="BN25" s="1470" t="e">
        <f t="shared" si="54"/>
        <v>#DIV/0!</v>
      </c>
      <c r="BO25" s="1471"/>
      <c r="BP25" s="1481"/>
      <c r="BQ25" s="1481"/>
      <c r="BR25" s="1500">
        <f t="shared" si="55"/>
        <v>0</v>
      </c>
      <c r="BS25" s="1481"/>
      <c r="BT25" s="1481"/>
      <c r="BU25" s="1481"/>
      <c r="BV25" s="1500">
        <f t="shared" si="56"/>
        <v>0</v>
      </c>
      <c r="BW25" s="1470" t="e">
        <f t="shared" si="57"/>
        <v>#DIV/0!</v>
      </c>
      <c r="BX25" s="1471"/>
      <c r="BY25" s="1481"/>
      <c r="BZ25" s="1481"/>
      <c r="CA25" s="1500">
        <f t="shared" si="58"/>
        <v>0</v>
      </c>
      <c r="CB25" s="1481"/>
      <c r="CC25" s="1481"/>
      <c r="CD25" s="1481"/>
      <c r="CE25" s="1500">
        <f t="shared" si="59"/>
        <v>0</v>
      </c>
      <c r="CF25" s="1470" t="e">
        <f t="shared" si="60"/>
        <v>#DIV/0!</v>
      </c>
      <c r="CG25" s="1471"/>
      <c r="CH25" s="1481"/>
      <c r="CI25" s="1481"/>
      <c r="CJ25" s="1500">
        <f t="shared" si="61"/>
        <v>0</v>
      </c>
      <c r="CK25" s="1481"/>
      <c r="CL25" s="1481"/>
      <c r="CM25" s="1481"/>
      <c r="CN25" s="1500">
        <f t="shared" si="62"/>
        <v>0</v>
      </c>
      <c r="CO25" s="1470" t="e">
        <f t="shared" si="63"/>
        <v>#DIV/0!</v>
      </c>
      <c r="CP25" s="1471"/>
      <c r="CQ25" s="1481"/>
      <c r="CR25" s="1481"/>
      <c r="CS25" s="1500">
        <f t="shared" si="64"/>
        <v>0</v>
      </c>
      <c r="CT25" s="1481"/>
      <c r="CU25" s="1481"/>
      <c r="CV25" s="1481"/>
      <c r="CW25" s="1500">
        <f t="shared" si="65"/>
        <v>0</v>
      </c>
      <c r="CX25" s="1470" t="e">
        <f t="shared" si="66"/>
        <v>#DIV/0!</v>
      </c>
      <c r="CY25" s="1471"/>
      <c r="CZ25" s="1481"/>
      <c r="DA25" s="1481"/>
      <c r="DB25" s="1500">
        <f t="shared" si="67"/>
        <v>0</v>
      </c>
      <c r="DC25" s="1481"/>
      <c r="DD25" s="1481"/>
      <c r="DE25" s="1481"/>
      <c r="DF25" s="1500">
        <f t="shared" si="68"/>
        <v>0</v>
      </c>
      <c r="DG25" s="1470" t="e">
        <f t="shared" si="69"/>
        <v>#DIV/0!</v>
      </c>
      <c r="DH25" s="1471">
        <f>SUM(D25,M25,V25,AE25,AN25,AW25,BF25,BO25,BX25,CG25,CP25,CY25)</f>
        <v>0</v>
      </c>
      <c r="DI25" s="1481">
        <f t="shared" ref="DI25:DN40" si="70">SUM(E25,N25,W25,AF25,AO25,AX25,BG25,BP25,BY25,CH25,CQ25,CZ25)</f>
        <v>0</v>
      </c>
      <c r="DJ25" s="1481">
        <f t="shared" si="70"/>
        <v>0</v>
      </c>
      <c r="DK25" s="1481">
        <f>SUM(G25,P25,Y25,AH25,AQ25,AZ25,BI25,BR25,CA25,CJ25,CS25,DB25)</f>
        <v>0</v>
      </c>
      <c r="DL25" s="1481">
        <f t="shared" si="70"/>
        <v>0</v>
      </c>
      <c r="DM25" s="1481">
        <f t="shared" si="70"/>
        <v>0</v>
      </c>
      <c r="DN25" s="1481">
        <f t="shared" si="70"/>
        <v>0</v>
      </c>
      <c r="DO25" s="1481">
        <f t="shared" si="35"/>
        <v>0</v>
      </c>
      <c r="DP25" s="1470">
        <f t="shared" si="36"/>
        <v>1</v>
      </c>
      <c r="DQ25" s="1477"/>
    </row>
    <row r="26" spans="1:121" s="1510" customFormat="1">
      <c r="A26" s="1505">
        <v>0.34</v>
      </c>
      <c r="B26" s="1511" t="s">
        <v>1047</v>
      </c>
      <c r="C26" s="1512" t="s">
        <v>315</v>
      </c>
      <c r="D26" s="1471"/>
      <c r="E26" s="1481"/>
      <c r="F26" s="1481"/>
      <c r="G26" s="1500">
        <f t="shared" si="10"/>
        <v>0</v>
      </c>
      <c r="H26" s="1481"/>
      <c r="I26" s="1481"/>
      <c r="J26" s="1481"/>
      <c r="K26" s="1500">
        <f t="shared" si="11"/>
        <v>0</v>
      </c>
      <c r="L26" s="1470">
        <f t="shared" si="12"/>
        <v>1</v>
      </c>
      <c r="M26" s="1471"/>
      <c r="N26" s="1481"/>
      <c r="O26" s="1481"/>
      <c r="P26" s="1500">
        <f t="shared" si="37"/>
        <v>0</v>
      </c>
      <c r="Q26" s="1481"/>
      <c r="R26" s="1481"/>
      <c r="S26" s="1481"/>
      <c r="T26" s="1500">
        <f t="shared" si="38"/>
        <v>0</v>
      </c>
      <c r="U26" s="1470" t="e">
        <f t="shared" si="39"/>
        <v>#DIV/0!</v>
      </c>
      <c r="V26" s="1471"/>
      <c r="W26" s="1481"/>
      <c r="X26" s="1481"/>
      <c r="Y26" s="1500">
        <f t="shared" si="40"/>
        <v>0</v>
      </c>
      <c r="Z26" s="1481"/>
      <c r="AA26" s="1481"/>
      <c r="AB26" s="1481"/>
      <c r="AC26" s="1500">
        <f t="shared" si="41"/>
        <v>0</v>
      </c>
      <c r="AD26" s="1470" t="e">
        <f t="shared" si="42"/>
        <v>#DIV/0!</v>
      </c>
      <c r="AE26" s="1471"/>
      <c r="AF26" s="1481"/>
      <c r="AG26" s="1481"/>
      <c r="AH26" s="1500">
        <f t="shared" si="43"/>
        <v>0</v>
      </c>
      <c r="AI26" s="1481"/>
      <c r="AJ26" s="1481"/>
      <c r="AK26" s="1481"/>
      <c r="AL26" s="1500">
        <f t="shared" si="44"/>
        <v>0</v>
      </c>
      <c r="AM26" s="1470" t="e">
        <f t="shared" si="45"/>
        <v>#DIV/0!</v>
      </c>
      <c r="AN26" s="1471"/>
      <c r="AO26" s="1481"/>
      <c r="AP26" s="1481"/>
      <c r="AQ26" s="1500">
        <f t="shared" si="46"/>
        <v>0</v>
      </c>
      <c r="AR26" s="1481"/>
      <c r="AS26" s="1481"/>
      <c r="AT26" s="1481"/>
      <c r="AU26" s="1500">
        <f t="shared" si="47"/>
        <v>0</v>
      </c>
      <c r="AV26" s="1470" t="e">
        <f t="shared" si="48"/>
        <v>#DIV/0!</v>
      </c>
      <c r="AW26" s="1471"/>
      <c r="AX26" s="1481"/>
      <c r="AY26" s="1481"/>
      <c r="AZ26" s="1500">
        <f t="shared" si="49"/>
        <v>0</v>
      </c>
      <c r="BA26" s="1481"/>
      <c r="BB26" s="1481"/>
      <c r="BC26" s="1481"/>
      <c r="BD26" s="1500">
        <f t="shared" si="50"/>
        <v>0</v>
      </c>
      <c r="BE26" s="1470" t="e">
        <f t="shared" si="51"/>
        <v>#DIV/0!</v>
      </c>
      <c r="BF26" s="1471"/>
      <c r="BG26" s="1481"/>
      <c r="BH26" s="1481"/>
      <c r="BI26" s="1500">
        <f t="shared" si="52"/>
        <v>0</v>
      </c>
      <c r="BJ26" s="1481"/>
      <c r="BK26" s="1481"/>
      <c r="BL26" s="1481"/>
      <c r="BM26" s="1500">
        <f t="shared" si="53"/>
        <v>0</v>
      </c>
      <c r="BN26" s="1470" t="e">
        <f t="shared" si="54"/>
        <v>#DIV/0!</v>
      </c>
      <c r="BO26" s="1471"/>
      <c r="BP26" s="1481"/>
      <c r="BQ26" s="1481"/>
      <c r="BR26" s="1500">
        <f t="shared" si="55"/>
        <v>0</v>
      </c>
      <c r="BS26" s="1481"/>
      <c r="BT26" s="1481"/>
      <c r="BU26" s="1481"/>
      <c r="BV26" s="1500">
        <f t="shared" si="56"/>
        <v>0</v>
      </c>
      <c r="BW26" s="1470" t="e">
        <f t="shared" si="57"/>
        <v>#DIV/0!</v>
      </c>
      <c r="BX26" s="1471"/>
      <c r="BY26" s="1481"/>
      <c r="BZ26" s="1481"/>
      <c r="CA26" s="1500">
        <f t="shared" si="58"/>
        <v>0</v>
      </c>
      <c r="CB26" s="1481"/>
      <c r="CC26" s="1481"/>
      <c r="CD26" s="1481"/>
      <c r="CE26" s="1500">
        <f t="shared" si="59"/>
        <v>0</v>
      </c>
      <c r="CF26" s="1470" t="e">
        <f t="shared" si="60"/>
        <v>#DIV/0!</v>
      </c>
      <c r="CG26" s="1471"/>
      <c r="CH26" s="1481"/>
      <c r="CI26" s="1481"/>
      <c r="CJ26" s="1500">
        <f t="shared" si="61"/>
        <v>0</v>
      </c>
      <c r="CK26" s="1481"/>
      <c r="CL26" s="1481"/>
      <c r="CM26" s="1481"/>
      <c r="CN26" s="1500">
        <f t="shared" si="62"/>
        <v>0</v>
      </c>
      <c r="CO26" s="1470" t="e">
        <f t="shared" si="63"/>
        <v>#DIV/0!</v>
      </c>
      <c r="CP26" s="1471"/>
      <c r="CQ26" s="1481"/>
      <c r="CR26" s="1481"/>
      <c r="CS26" s="1500">
        <f t="shared" si="64"/>
        <v>0</v>
      </c>
      <c r="CT26" s="1481"/>
      <c r="CU26" s="1481"/>
      <c r="CV26" s="1481"/>
      <c r="CW26" s="1500">
        <f t="shared" si="65"/>
        <v>0</v>
      </c>
      <c r="CX26" s="1470" t="e">
        <f t="shared" si="66"/>
        <v>#DIV/0!</v>
      </c>
      <c r="CY26" s="1471"/>
      <c r="CZ26" s="1481"/>
      <c r="DA26" s="1481"/>
      <c r="DB26" s="1500">
        <f t="shared" si="67"/>
        <v>0</v>
      </c>
      <c r="DC26" s="1481"/>
      <c r="DD26" s="1481"/>
      <c r="DE26" s="1481"/>
      <c r="DF26" s="1500">
        <f t="shared" si="68"/>
        <v>0</v>
      </c>
      <c r="DG26" s="1470" t="e">
        <f t="shared" si="69"/>
        <v>#DIV/0!</v>
      </c>
      <c r="DH26" s="1471">
        <f t="shared" ref="DH26:DH35" si="71">SUM(D26,M26,V26,AE26,AN26,AW26,BF26,BO26,BX26,CG26,CP26,CY26)</f>
        <v>0</v>
      </c>
      <c r="DI26" s="1481">
        <f t="shared" si="70"/>
        <v>0</v>
      </c>
      <c r="DJ26" s="1481">
        <f t="shared" si="70"/>
        <v>0</v>
      </c>
      <c r="DK26" s="1481">
        <f t="shared" si="70"/>
        <v>0</v>
      </c>
      <c r="DL26" s="1481">
        <f t="shared" si="70"/>
        <v>0</v>
      </c>
      <c r="DM26" s="1481">
        <f t="shared" si="70"/>
        <v>0</v>
      </c>
      <c r="DN26" s="1481">
        <f t="shared" si="70"/>
        <v>0</v>
      </c>
      <c r="DO26" s="1481">
        <f t="shared" si="35"/>
        <v>0</v>
      </c>
      <c r="DP26" s="1470">
        <f t="shared" si="36"/>
        <v>1</v>
      </c>
      <c r="DQ26" s="1477"/>
    </row>
    <row r="27" spans="1:121" s="1510" customFormat="1">
      <c r="A27" s="1501">
        <v>0.32</v>
      </c>
      <c r="B27" s="1513" t="s">
        <v>1047</v>
      </c>
      <c r="C27" s="1514" t="s">
        <v>317</v>
      </c>
      <c r="D27" s="1471"/>
      <c r="E27" s="1481"/>
      <c r="F27" s="1481"/>
      <c r="G27" s="1500">
        <f t="shared" si="10"/>
        <v>0</v>
      </c>
      <c r="H27" s="1481"/>
      <c r="I27" s="1481"/>
      <c r="J27" s="1481"/>
      <c r="K27" s="1500">
        <f t="shared" si="11"/>
        <v>0</v>
      </c>
      <c r="L27" s="1470">
        <f t="shared" si="12"/>
        <v>1</v>
      </c>
      <c r="M27" s="1471"/>
      <c r="N27" s="1481"/>
      <c r="O27" s="1481"/>
      <c r="P27" s="1500">
        <f t="shared" si="37"/>
        <v>0</v>
      </c>
      <c r="Q27" s="1481"/>
      <c r="R27" s="1481"/>
      <c r="S27" s="1481"/>
      <c r="T27" s="1500">
        <f t="shared" si="38"/>
        <v>0</v>
      </c>
      <c r="U27" s="1470" t="e">
        <f t="shared" si="39"/>
        <v>#DIV/0!</v>
      </c>
      <c r="V27" s="1471"/>
      <c r="W27" s="1481"/>
      <c r="X27" s="1481"/>
      <c r="Y27" s="1500">
        <f t="shared" si="40"/>
        <v>0</v>
      </c>
      <c r="Z27" s="1481"/>
      <c r="AA27" s="1481"/>
      <c r="AB27" s="1481"/>
      <c r="AC27" s="1500">
        <f t="shared" si="41"/>
        <v>0</v>
      </c>
      <c r="AD27" s="1470" t="e">
        <f t="shared" si="42"/>
        <v>#DIV/0!</v>
      </c>
      <c r="AE27" s="1471"/>
      <c r="AF27" s="1481"/>
      <c r="AG27" s="1481"/>
      <c r="AH27" s="1500">
        <f t="shared" si="43"/>
        <v>0</v>
      </c>
      <c r="AI27" s="1481"/>
      <c r="AJ27" s="1481"/>
      <c r="AK27" s="1481"/>
      <c r="AL27" s="1500">
        <f t="shared" si="44"/>
        <v>0</v>
      </c>
      <c r="AM27" s="1470" t="e">
        <f t="shared" si="45"/>
        <v>#DIV/0!</v>
      </c>
      <c r="AN27" s="1471"/>
      <c r="AO27" s="1481"/>
      <c r="AP27" s="1481"/>
      <c r="AQ27" s="1500">
        <f t="shared" si="46"/>
        <v>0</v>
      </c>
      <c r="AR27" s="1481"/>
      <c r="AS27" s="1481"/>
      <c r="AT27" s="1481"/>
      <c r="AU27" s="1500">
        <f t="shared" si="47"/>
        <v>0</v>
      </c>
      <c r="AV27" s="1470" t="e">
        <f t="shared" si="48"/>
        <v>#DIV/0!</v>
      </c>
      <c r="AW27" s="1471"/>
      <c r="AX27" s="1481"/>
      <c r="AY27" s="1481"/>
      <c r="AZ27" s="1500">
        <f t="shared" si="49"/>
        <v>0</v>
      </c>
      <c r="BA27" s="1481"/>
      <c r="BB27" s="1481"/>
      <c r="BC27" s="1481"/>
      <c r="BD27" s="1500">
        <f t="shared" si="50"/>
        <v>0</v>
      </c>
      <c r="BE27" s="1470" t="e">
        <f t="shared" si="51"/>
        <v>#DIV/0!</v>
      </c>
      <c r="BF27" s="1471"/>
      <c r="BG27" s="1481"/>
      <c r="BH27" s="1481"/>
      <c r="BI27" s="1500">
        <f t="shared" si="52"/>
        <v>0</v>
      </c>
      <c r="BJ27" s="1481"/>
      <c r="BK27" s="1481"/>
      <c r="BL27" s="1481"/>
      <c r="BM27" s="1500">
        <f t="shared" si="53"/>
        <v>0</v>
      </c>
      <c r="BN27" s="1470" t="e">
        <f t="shared" si="54"/>
        <v>#DIV/0!</v>
      </c>
      <c r="BO27" s="1471"/>
      <c r="BP27" s="1481"/>
      <c r="BQ27" s="1481"/>
      <c r="BR27" s="1500">
        <f t="shared" si="55"/>
        <v>0</v>
      </c>
      <c r="BS27" s="1481"/>
      <c r="BT27" s="1481"/>
      <c r="BU27" s="1481"/>
      <c r="BV27" s="1500">
        <f t="shared" si="56"/>
        <v>0</v>
      </c>
      <c r="BW27" s="1470" t="e">
        <f t="shared" si="57"/>
        <v>#DIV/0!</v>
      </c>
      <c r="BX27" s="1471"/>
      <c r="BY27" s="1481"/>
      <c r="BZ27" s="1481"/>
      <c r="CA27" s="1500">
        <f t="shared" si="58"/>
        <v>0</v>
      </c>
      <c r="CB27" s="1481"/>
      <c r="CC27" s="1481"/>
      <c r="CD27" s="1481"/>
      <c r="CE27" s="1500">
        <f t="shared" si="59"/>
        <v>0</v>
      </c>
      <c r="CF27" s="1470" t="e">
        <f t="shared" si="60"/>
        <v>#DIV/0!</v>
      </c>
      <c r="CG27" s="1471"/>
      <c r="CH27" s="1481"/>
      <c r="CI27" s="1481"/>
      <c r="CJ27" s="1500">
        <f t="shared" si="61"/>
        <v>0</v>
      </c>
      <c r="CK27" s="1481"/>
      <c r="CL27" s="1481"/>
      <c r="CM27" s="1481"/>
      <c r="CN27" s="1500">
        <f t="shared" si="62"/>
        <v>0</v>
      </c>
      <c r="CO27" s="1470" t="e">
        <f t="shared" si="63"/>
        <v>#DIV/0!</v>
      </c>
      <c r="CP27" s="1471"/>
      <c r="CQ27" s="1481"/>
      <c r="CR27" s="1481"/>
      <c r="CS27" s="1500">
        <f t="shared" si="64"/>
        <v>0</v>
      </c>
      <c r="CT27" s="1481"/>
      <c r="CU27" s="1481"/>
      <c r="CV27" s="1481"/>
      <c r="CW27" s="1500">
        <f t="shared" si="65"/>
        <v>0</v>
      </c>
      <c r="CX27" s="1470" t="e">
        <f t="shared" si="66"/>
        <v>#DIV/0!</v>
      </c>
      <c r="CY27" s="1471"/>
      <c r="CZ27" s="1481"/>
      <c r="DA27" s="1481"/>
      <c r="DB27" s="1500">
        <f t="shared" si="67"/>
        <v>0</v>
      </c>
      <c r="DC27" s="1481"/>
      <c r="DD27" s="1481"/>
      <c r="DE27" s="1481"/>
      <c r="DF27" s="1500">
        <f t="shared" si="68"/>
        <v>0</v>
      </c>
      <c r="DG27" s="1470" t="e">
        <f t="shared" si="69"/>
        <v>#DIV/0!</v>
      </c>
      <c r="DH27" s="1471">
        <f t="shared" si="71"/>
        <v>0</v>
      </c>
      <c r="DI27" s="1481">
        <f t="shared" si="70"/>
        <v>0</v>
      </c>
      <c r="DJ27" s="1481">
        <f t="shared" si="70"/>
        <v>0</v>
      </c>
      <c r="DK27" s="1481">
        <f t="shared" si="70"/>
        <v>0</v>
      </c>
      <c r="DL27" s="1481">
        <f t="shared" si="70"/>
        <v>0</v>
      </c>
      <c r="DM27" s="1481">
        <f t="shared" si="70"/>
        <v>0</v>
      </c>
      <c r="DN27" s="1481">
        <f t="shared" si="70"/>
        <v>0</v>
      </c>
      <c r="DO27" s="1481">
        <f t="shared" si="35"/>
        <v>0</v>
      </c>
      <c r="DP27" s="1470">
        <f t="shared" si="36"/>
        <v>1</v>
      </c>
      <c r="DQ27" s="1477"/>
    </row>
    <row r="28" spans="1:121" s="1510" customFormat="1">
      <c r="A28" s="1515">
        <v>1</v>
      </c>
      <c r="B28" s="1516" t="s">
        <v>322</v>
      </c>
      <c r="C28" s="1517"/>
      <c r="D28" s="1471"/>
      <c r="E28" s="1481"/>
      <c r="F28" s="1481"/>
      <c r="G28" s="1518">
        <f t="shared" si="10"/>
        <v>0</v>
      </c>
      <c r="H28" s="1481"/>
      <c r="I28" s="1481"/>
      <c r="J28" s="1481"/>
      <c r="K28" s="1518">
        <f t="shared" si="11"/>
        <v>0</v>
      </c>
      <c r="L28" s="1470">
        <f t="shared" si="12"/>
        <v>1</v>
      </c>
      <c r="M28" s="1471"/>
      <c r="N28" s="1481"/>
      <c r="O28" s="1481"/>
      <c r="P28" s="1518">
        <f t="shared" si="37"/>
        <v>0</v>
      </c>
      <c r="Q28" s="1481"/>
      <c r="R28" s="1481"/>
      <c r="S28" s="1481"/>
      <c r="T28" s="1518">
        <f t="shared" si="38"/>
        <v>0</v>
      </c>
      <c r="U28" s="1470" t="e">
        <f t="shared" si="39"/>
        <v>#DIV/0!</v>
      </c>
      <c r="V28" s="1471"/>
      <c r="W28" s="1481"/>
      <c r="X28" s="1481"/>
      <c r="Y28" s="1518">
        <f t="shared" si="40"/>
        <v>0</v>
      </c>
      <c r="Z28" s="1481"/>
      <c r="AA28" s="1481"/>
      <c r="AB28" s="1481"/>
      <c r="AC28" s="1518">
        <f t="shared" si="41"/>
        <v>0</v>
      </c>
      <c r="AD28" s="1470" t="e">
        <f>(V$3-Y28-AC28)/(V$3-Y28)</f>
        <v>#DIV/0!</v>
      </c>
      <c r="AE28" s="1471"/>
      <c r="AF28" s="1481"/>
      <c r="AG28" s="1481"/>
      <c r="AH28" s="1518">
        <f t="shared" si="43"/>
        <v>0</v>
      </c>
      <c r="AI28" s="1481"/>
      <c r="AJ28" s="1481"/>
      <c r="AK28" s="1481"/>
      <c r="AL28" s="1518">
        <f t="shared" si="44"/>
        <v>0</v>
      </c>
      <c r="AM28" s="1470" t="e">
        <f>(AE$3-AH28-AL28)/(AE$3-AH28)</f>
        <v>#DIV/0!</v>
      </c>
      <c r="AN28" s="1471"/>
      <c r="AO28" s="1481"/>
      <c r="AP28" s="1481"/>
      <c r="AQ28" s="1518">
        <f t="shared" si="46"/>
        <v>0</v>
      </c>
      <c r="AR28" s="1481"/>
      <c r="AS28" s="1481"/>
      <c r="AT28" s="1481"/>
      <c r="AU28" s="1518">
        <f t="shared" si="47"/>
        <v>0</v>
      </c>
      <c r="AV28" s="1470" t="e">
        <f t="shared" si="48"/>
        <v>#DIV/0!</v>
      </c>
      <c r="AW28" s="1471"/>
      <c r="AX28" s="1481"/>
      <c r="AY28" s="1481"/>
      <c r="AZ28" s="1518">
        <f t="shared" si="49"/>
        <v>0</v>
      </c>
      <c r="BA28" s="1481"/>
      <c r="BB28" s="1481"/>
      <c r="BC28" s="1481"/>
      <c r="BD28" s="1518">
        <f t="shared" si="50"/>
        <v>0</v>
      </c>
      <c r="BE28" s="1470" t="e">
        <f t="shared" si="51"/>
        <v>#DIV/0!</v>
      </c>
      <c r="BF28" s="1471"/>
      <c r="BG28" s="1481"/>
      <c r="BH28" s="1481"/>
      <c r="BI28" s="1518">
        <f t="shared" si="52"/>
        <v>0</v>
      </c>
      <c r="BJ28" s="1481"/>
      <c r="BK28" s="1481"/>
      <c r="BL28" s="1481"/>
      <c r="BM28" s="1518">
        <f t="shared" si="53"/>
        <v>0</v>
      </c>
      <c r="BN28" s="1470" t="e">
        <f t="shared" si="54"/>
        <v>#DIV/0!</v>
      </c>
      <c r="BO28" s="1471"/>
      <c r="BP28" s="1481"/>
      <c r="BQ28" s="1481"/>
      <c r="BR28" s="1518">
        <f t="shared" si="55"/>
        <v>0</v>
      </c>
      <c r="BS28" s="1481"/>
      <c r="BT28" s="1481"/>
      <c r="BU28" s="1481"/>
      <c r="BV28" s="1518">
        <f t="shared" si="56"/>
        <v>0</v>
      </c>
      <c r="BW28" s="1470" t="e">
        <f t="shared" si="57"/>
        <v>#DIV/0!</v>
      </c>
      <c r="BX28" s="1471"/>
      <c r="BY28" s="1481"/>
      <c r="BZ28" s="1481"/>
      <c r="CA28" s="1518">
        <f t="shared" si="58"/>
        <v>0</v>
      </c>
      <c r="CB28" s="1481"/>
      <c r="CC28" s="1481"/>
      <c r="CD28" s="1481"/>
      <c r="CE28" s="1518">
        <f t="shared" si="59"/>
        <v>0</v>
      </c>
      <c r="CF28" s="1470" t="e">
        <f t="shared" si="60"/>
        <v>#DIV/0!</v>
      </c>
      <c r="CG28" s="1471"/>
      <c r="CH28" s="1481"/>
      <c r="CI28" s="1481"/>
      <c r="CJ28" s="1518">
        <f t="shared" si="61"/>
        <v>0</v>
      </c>
      <c r="CK28" s="1481"/>
      <c r="CL28" s="1481"/>
      <c r="CM28" s="1481"/>
      <c r="CN28" s="1518">
        <f t="shared" si="62"/>
        <v>0</v>
      </c>
      <c r="CO28" s="1470" t="e">
        <f t="shared" si="63"/>
        <v>#DIV/0!</v>
      </c>
      <c r="CP28" s="1471"/>
      <c r="CQ28" s="1481"/>
      <c r="CR28" s="1481"/>
      <c r="CS28" s="1518">
        <f t="shared" si="64"/>
        <v>0</v>
      </c>
      <c r="CT28" s="1481"/>
      <c r="CU28" s="1481"/>
      <c r="CV28" s="1481"/>
      <c r="CW28" s="1518">
        <f t="shared" si="65"/>
        <v>0</v>
      </c>
      <c r="CX28" s="1470" t="e">
        <f t="shared" si="66"/>
        <v>#DIV/0!</v>
      </c>
      <c r="CY28" s="1471"/>
      <c r="CZ28" s="1481"/>
      <c r="DA28" s="1481"/>
      <c r="DB28" s="1518">
        <f t="shared" si="67"/>
        <v>0</v>
      </c>
      <c r="DC28" s="1481"/>
      <c r="DD28" s="1481"/>
      <c r="DE28" s="1481"/>
      <c r="DF28" s="1518">
        <f t="shared" si="68"/>
        <v>0</v>
      </c>
      <c r="DG28" s="1470" t="e">
        <f t="shared" si="69"/>
        <v>#DIV/0!</v>
      </c>
      <c r="DH28" s="1471">
        <f t="shared" si="71"/>
        <v>0</v>
      </c>
      <c r="DI28" s="1481">
        <f t="shared" si="70"/>
        <v>0</v>
      </c>
      <c r="DJ28" s="1481">
        <f t="shared" si="70"/>
        <v>0</v>
      </c>
      <c r="DK28" s="1481">
        <f t="shared" si="70"/>
        <v>0</v>
      </c>
      <c r="DL28" s="1481">
        <f t="shared" si="70"/>
        <v>0</v>
      </c>
      <c r="DM28" s="1481">
        <f t="shared" si="70"/>
        <v>0</v>
      </c>
      <c r="DN28" s="1481">
        <f t="shared" si="70"/>
        <v>0</v>
      </c>
      <c r="DO28" s="1481">
        <f t="shared" si="35"/>
        <v>0</v>
      </c>
      <c r="DP28" s="1470">
        <f t="shared" si="36"/>
        <v>1</v>
      </c>
      <c r="DQ28" s="1477"/>
    </row>
    <row r="29" spans="1:121" s="1510" customFormat="1">
      <c r="A29" s="1519">
        <v>1</v>
      </c>
      <c r="B29" s="1520" t="s">
        <v>324</v>
      </c>
      <c r="C29" s="1521"/>
      <c r="D29" s="1471"/>
      <c r="E29" s="1481"/>
      <c r="F29" s="1481"/>
      <c r="G29" s="1518">
        <f t="shared" si="10"/>
        <v>0</v>
      </c>
      <c r="H29" s="1481"/>
      <c r="I29" s="1481"/>
      <c r="J29" s="1481"/>
      <c r="K29" s="1518">
        <f t="shared" si="11"/>
        <v>0</v>
      </c>
      <c r="L29" s="1470">
        <f t="shared" si="12"/>
        <v>1</v>
      </c>
      <c r="M29" s="1471"/>
      <c r="N29" s="1481"/>
      <c r="O29" s="1481"/>
      <c r="P29" s="1518">
        <f t="shared" si="37"/>
        <v>0</v>
      </c>
      <c r="Q29" s="1481"/>
      <c r="R29" s="1481"/>
      <c r="S29" s="1481"/>
      <c r="T29" s="1518">
        <f t="shared" si="38"/>
        <v>0</v>
      </c>
      <c r="U29" s="1470" t="e">
        <f t="shared" si="39"/>
        <v>#DIV/0!</v>
      </c>
      <c r="V29" s="1471"/>
      <c r="W29" s="1481"/>
      <c r="X29" s="1481"/>
      <c r="Y29" s="1518">
        <f t="shared" si="40"/>
        <v>0</v>
      </c>
      <c r="Z29" s="1481"/>
      <c r="AA29" s="1481"/>
      <c r="AB29" s="1481"/>
      <c r="AC29" s="1518">
        <f t="shared" si="41"/>
        <v>0</v>
      </c>
      <c r="AD29" s="1470" t="e">
        <f t="shared" si="42"/>
        <v>#DIV/0!</v>
      </c>
      <c r="AE29" s="1471"/>
      <c r="AF29" s="1481"/>
      <c r="AG29" s="1481"/>
      <c r="AH29" s="1518">
        <f t="shared" si="43"/>
        <v>0</v>
      </c>
      <c r="AI29" s="1481"/>
      <c r="AJ29" s="1481"/>
      <c r="AK29" s="1481"/>
      <c r="AL29" s="1518">
        <f t="shared" si="44"/>
        <v>0</v>
      </c>
      <c r="AM29" s="1470" t="e">
        <f t="shared" si="45"/>
        <v>#DIV/0!</v>
      </c>
      <c r="AN29" s="1471"/>
      <c r="AO29" s="1481"/>
      <c r="AP29" s="1481"/>
      <c r="AQ29" s="1518">
        <f t="shared" si="46"/>
        <v>0</v>
      </c>
      <c r="AR29" s="1481"/>
      <c r="AS29" s="1481"/>
      <c r="AT29" s="1481"/>
      <c r="AU29" s="1518">
        <f t="shared" si="47"/>
        <v>0</v>
      </c>
      <c r="AV29" s="1470" t="e">
        <f t="shared" si="48"/>
        <v>#DIV/0!</v>
      </c>
      <c r="AW29" s="1471"/>
      <c r="AX29" s="1481"/>
      <c r="AY29" s="1481"/>
      <c r="AZ29" s="1518">
        <f t="shared" si="49"/>
        <v>0</v>
      </c>
      <c r="BA29" s="1481"/>
      <c r="BB29" s="1481"/>
      <c r="BC29" s="1481"/>
      <c r="BD29" s="1518">
        <f t="shared" si="50"/>
        <v>0</v>
      </c>
      <c r="BE29" s="1470" t="e">
        <f t="shared" si="51"/>
        <v>#DIV/0!</v>
      </c>
      <c r="BF29" s="1471"/>
      <c r="BG29" s="1481"/>
      <c r="BH29" s="1481"/>
      <c r="BI29" s="1518">
        <f t="shared" si="52"/>
        <v>0</v>
      </c>
      <c r="BJ29" s="1481"/>
      <c r="BK29" s="1481"/>
      <c r="BL29" s="1481"/>
      <c r="BM29" s="1518">
        <f t="shared" si="53"/>
        <v>0</v>
      </c>
      <c r="BN29" s="1470" t="e">
        <f t="shared" si="54"/>
        <v>#DIV/0!</v>
      </c>
      <c r="BO29" s="1471"/>
      <c r="BP29" s="1481"/>
      <c r="BQ29" s="1481"/>
      <c r="BR29" s="1518">
        <f t="shared" si="55"/>
        <v>0</v>
      </c>
      <c r="BS29" s="1481"/>
      <c r="BT29" s="1481"/>
      <c r="BU29" s="1481"/>
      <c r="BV29" s="1518">
        <f t="shared" si="56"/>
        <v>0</v>
      </c>
      <c r="BW29" s="1470" t="e">
        <f t="shared" si="57"/>
        <v>#DIV/0!</v>
      </c>
      <c r="BX29" s="1471"/>
      <c r="BY29" s="1481"/>
      <c r="BZ29" s="1481"/>
      <c r="CA29" s="1518">
        <f t="shared" si="58"/>
        <v>0</v>
      </c>
      <c r="CB29" s="1481"/>
      <c r="CC29" s="1481"/>
      <c r="CD29" s="1481"/>
      <c r="CE29" s="1518">
        <f t="shared" si="59"/>
        <v>0</v>
      </c>
      <c r="CF29" s="1470" t="e">
        <f t="shared" si="60"/>
        <v>#DIV/0!</v>
      </c>
      <c r="CG29" s="1471"/>
      <c r="CH29" s="1481"/>
      <c r="CI29" s="1481"/>
      <c r="CJ29" s="1518">
        <f t="shared" si="61"/>
        <v>0</v>
      </c>
      <c r="CK29" s="1481"/>
      <c r="CL29" s="1481"/>
      <c r="CM29" s="1481"/>
      <c r="CN29" s="1518">
        <f t="shared" si="62"/>
        <v>0</v>
      </c>
      <c r="CO29" s="1470" t="e">
        <f t="shared" si="63"/>
        <v>#DIV/0!</v>
      </c>
      <c r="CP29" s="1471"/>
      <c r="CQ29" s="1481"/>
      <c r="CR29" s="1481"/>
      <c r="CS29" s="1518">
        <f t="shared" si="64"/>
        <v>0</v>
      </c>
      <c r="CT29" s="1481"/>
      <c r="CU29" s="1481"/>
      <c r="CV29" s="1481"/>
      <c r="CW29" s="1518">
        <f t="shared" si="65"/>
        <v>0</v>
      </c>
      <c r="CX29" s="1470" t="e">
        <f t="shared" si="66"/>
        <v>#DIV/0!</v>
      </c>
      <c r="CY29" s="1471"/>
      <c r="CZ29" s="1481"/>
      <c r="DA29" s="1481"/>
      <c r="DB29" s="1518">
        <f t="shared" si="67"/>
        <v>0</v>
      </c>
      <c r="DC29" s="1481"/>
      <c r="DD29" s="1481"/>
      <c r="DE29" s="1481"/>
      <c r="DF29" s="1518">
        <f t="shared" si="68"/>
        <v>0</v>
      </c>
      <c r="DG29" s="1470" t="e">
        <f t="shared" si="69"/>
        <v>#DIV/0!</v>
      </c>
      <c r="DH29" s="1471">
        <f t="shared" si="71"/>
        <v>0</v>
      </c>
      <c r="DI29" s="1481">
        <f t="shared" si="70"/>
        <v>0</v>
      </c>
      <c r="DJ29" s="1481">
        <f t="shared" si="70"/>
        <v>0</v>
      </c>
      <c r="DK29" s="1481">
        <f t="shared" si="70"/>
        <v>0</v>
      </c>
      <c r="DL29" s="1481">
        <f t="shared" si="70"/>
        <v>0</v>
      </c>
      <c r="DM29" s="1481">
        <f t="shared" si="70"/>
        <v>0</v>
      </c>
      <c r="DN29" s="1481">
        <f t="shared" si="70"/>
        <v>0</v>
      </c>
      <c r="DO29" s="1481">
        <f t="shared" si="35"/>
        <v>0</v>
      </c>
      <c r="DP29" s="1470">
        <f t="shared" si="36"/>
        <v>1</v>
      </c>
      <c r="DQ29" s="1477"/>
    </row>
    <row r="30" spans="1:121" s="1510" customFormat="1">
      <c r="A30" s="1522">
        <v>1</v>
      </c>
      <c r="B30" s="1523" t="s">
        <v>326</v>
      </c>
      <c r="C30" s="1524"/>
      <c r="D30" s="1471"/>
      <c r="E30" s="1481"/>
      <c r="F30" s="1481"/>
      <c r="G30" s="1518">
        <f t="shared" si="10"/>
        <v>0</v>
      </c>
      <c r="H30" s="1481"/>
      <c r="I30" s="1481"/>
      <c r="J30" s="1481"/>
      <c r="K30" s="1518">
        <f t="shared" si="11"/>
        <v>0</v>
      </c>
      <c r="L30" s="1470">
        <f t="shared" si="12"/>
        <v>1</v>
      </c>
      <c r="M30" s="1471"/>
      <c r="N30" s="1481"/>
      <c r="O30" s="1481"/>
      <c r="P30" s="1518">
        <f t="shared" si="37"/>
        <v>0</v>
      </c>
      <c r="Q30" s="1481"/>
      <c r="R30" s="1481"/>
      <c r="S30" s="1481"/>
      <c r="T30" s="1518">
        <f t="shared" si="38"/>
        <v>0</v>
      </c>
      <c r="U30" s="1470" t="e">
        <f t="shared" si="39"/>
        <v>#DIV/0!</v>
      </c>
      <c r="V30" s="1471"/>
      <c r="W30" s="1481"/>
      <c r="X30" s="1481"/>
      <c r="Y30" s="1518">
        <f t="shared" si="40"/>
        <v>0</v>
      </c>
      <c r="Z30" s="1481"/>
      <c r="AA30" s="1481"/>
      <c r="AB30" s="1481"/>
      <c r="AC30" s="1518">
        <f t="shared" si="41"/>
        <v>0</v>
      </c>
      <c r="AD30" s="1470" t="e">
        <f t="shared" si="42"/>
        <v>#DIV/0!</v>
      </c>
      <c r="AE30" s="1471"/>
      <c r="AF30" s="1481"/>
      <c r="AG30" s="1481"/>
      <c r="AH30" s="1518">
        <f t="shared" si="43"/>
        <v>0</v>
      </c>
      <c r="AI30" s="1481"/>
      <c r="AJ30" s="1481"/>
      <c r="AK30" s="1481"/>
      <c r="AL30" s="1518">
        <f t="shared" si="44"/>
        <v>0</v>
      </c>
      <c r="AM30" s="1470" t="e">
        <f t="shared" si="45"/>
        <v>#DIV/0!</v>
      </c>
      <c r="AN30" s="1471"/>
      <c r="AO30" s="1481"/>
      <c r="AP30" s="1481"/>
      <c r="AQ30" s="1518">
        <f t="shared" si="46"/>
        <v>0</v>
      </c>
      <c r="AR30" s="1481"/>
      <c r="AS30" s="1481"/>
      <c r="AT30" s="1481"/>
      <c r="AU30" s="1518">
        <f t="shared" si="47"/>
        <v>0</v>
      </c>
      <c r="AV30" s="1470" t="e">
        <f t="shared" si="48"/>
        <v>#DIV/0!</v>
      </c>
      <c r="AW30" s="1471"/>
      <c r="AX30" s="1481"/>
      <c r="AY30" s="1481"/>
      <c r="AZ30" s="1518">
        <f t="shared" si="49"/>
        <v>0</v>
      </c>
      <c r="BA30" s="1481"/>
      <c r="BB30" s="1481"/>
      <c r="BC30" s="1481"/>
      <c r="BD30" s="1518">
        <f t="shared" si="50"/>
        <v>0</v>
      </c>
      <c r="BE30" s="1470" t="e">
        <f t="shared" si="51"/>
        <v>#DIV/0!</v>
      </c>
      <c r="BF30" s="1471"/>
      <c r="BG30" s="1481"/>
      <c r="BH30" s="1481"/>
      <c r="BI30" s="1518">
        <f t="shared" si="52"/>
        <v>0</v>
      </c>
      <c r="BJ30" s="1481"/>
      <c r="BK30" s="1481"/>
      <c r="BL30" s="1481"/>
      <c r="BM30" s="1518">
        <f t="shared" si="53"/>
        <v>0</v>
      </c>
      <c r="BN30" s="1470" t="e">
        <f t="shared" si="54"/>
        <v>#DIV/0!</v>
      </c>
      <c r="BO30" s="1471"/>
      <c r="BP30" s="1481"/>
      <c r="BQ30" s="1481"/>
      <c r="BR30" s="1518">
        <f t="shared" si="55"/>
        <v>0</v>
      </c>
      <c r="BS30" s="1481"/>
      <c r="BT30" s="1481"/>
      <c r="BU30" s="1481"/>
      <c r="BV30" s="1518">
        <f t="shared" si="56"/>
        <v>0</v>
      </c>
      <c r="BW30" s="1470" t="e">
        <f t="shared" si="57"/>
        <v>#DIV/0!</v>
      </c>
      <c r="BX30" s="1471"/>
      <c r="BY30" s="1481"/>
      <c r="BZ30" s="1481"/>
      <c r="CA30" s="1518">
        <f t="shared" si="58"/>
        <v>0</v>
      </c>
      <c r="CB30" s="1481"/>
      <c r="CC30" s="1481"/>
      <c r="CD30" s="1481"/>
      <c r="CE30" s="1518">
        <f t="shared" si="59"/>
        <v>0</v>
      </c>
      <c r="CF30" s="1470" t="e">
        <f t="shared" si="60"/>
        <v>#DIV/0!</v>
      </c>
      <c r="CG30" s="1471"/>
      <c r="CH30" s="1481"/>
      <c r="CI30" s="1481"/>
      <c r="CJ30" s="1518">
        <f t="shared" si="61"/>
        <v>0</v>
      </c>
      <c r="CK30" s="1481"/>
      <c r="CL30" s="1481"/>
      <c r="CM30" s="1481"/>
      <c r="CN30" s="1518">
        <f t="shared" si="62"/>
        <v>0</v>
      </c>
      <c r="CO30" s="1470" t="e">
        <f t="shared" si="63"/>
        <v>#DIV/0!</v>
      </c>
      <c r="CP30" s="1471"/>
      <c r="CQ30" s="1481"/>
      <c r="CR30" s="1481"/>
      <c r="CS30" s="1518">
        <f t="shared" si="64"/>
        <v>0</v>
      </c>
      <c r="CT30" s="1481"/>
      <c r="CU30" s="1481"/>
      <c r="CV30" s="1481"/>
      <c r="CW30" s="1518">
        <f t="shared" si="65"/>
        <v>0</v>
      </c>
      <c r="CX30" s="1470" t="e">
        <f t="shared" si="66"/>
        <v>#DIV/0!</v>
      </c>
      <c r="CY30" s="1471"/>
      <c r="CZ30" s="1481"/>
      <c r="DA30" s="1481"/>
      <c r="DB30" s="1518">
        <f t="shared" si="67"/>
        <v>0</v>
      </c>
      <c r="DC30" s="1481"/>
      <c r="DD30" s="1481"/>
      <c r="DE30" s="1481"/>
      <c r="DF30" s="1518">
        <f t="shared" si="68"/>
        <v>0</v>
      </c>
      <c r="DG30" s="1470" t="e">
        <f t="shared" si="69"/>
        <v>#DIV/0!</v>
      </c>
      <c r="DH30" s="1471">
        <f t="shared" si="71"/>
        <v>0</v>
      </c>
      <c r="DI30" s="1481">
        <f t="shared" si="70"/>
        <v>0</v>
      </c>
      <c r="DJ30" s="1481">
        <f t="shared" si="70"/>
        <v>0</v>
      </c>
      <c r="DK30" s="1481">
        <f t="shared" si="70"/>
        <v>0</v>
      </c>
      <c r="DL30" s="1481">
        <f t="shared" si="70"/>
        <v>0</v>
      </c>
      <c r="DM30" s="1481">
        <f t="shared" si="70"/>
        <v>0</v>
      </c>
      <c r="DN30" s="1481">
        <f t="shared" si="70"/>
        <v>0</v>
      </c>
      <c r="DO30" s="1481">
        <f t="shared" si="35"/>
        <v>0</v>
      </c>
      <c r="DP30" s="1470">
        <f t="shared" si="36"/>
        <v>1</v>
      </c>
      <c r="DQ30" s="1477"/>
    </row>
    <row r="31" spans="1:121" s="1510" customFormat="1">
      <c r="A31" s="1525">
        <v>1</v>
      </c>
      <c r="B31" s="1526" t="s">
        <v>328</v>
      </c>
      <c r="C31" s="1527"/>
      <c r="D31" s="1471"/>
      <c r="E31" s="1481"/>
      <c r="F31" s="1481"/>
      <c r="G31" s="1518">
        <f t="shared" si="10"/>
        <v>0</v>
      </c>
      <c r="H31" s="1481"/>
      <c r="I31" s="1481"/>
      <c r="J31" s="1481"/>
      <c r="K31" s="1518">
        <f t="shared" si="11"/>
        <v>0</v>
      </c>
      <c r="L31" s="1470">
        <f>(D$3-G31-K31)/(D$3-G31)</f>
        <v>1</v>
      </c>
      <c r="M31" s="1471"/>
      <c r="N31" s="1481"/>
      <c r="O31" s="1481"/>
      <c r="P31" s="1518">
        <f t="shared" si="37"/>
        <v>0</v>
      </c>
      <c r="Q31" s="1481"/>
      <c r="R31" s="1481"/>
      <c r="S31" s="1481"/>
      <c r="T31" s="1518">
        <f t="shared" si="38"/>
        <v>0</v>
      </c>
      <c r="U31" s="1470" t="e">
        <f t="shared" si="39"/>
        <v>#DIV/0!</v>
      </c>
      <c r="V31" s="1471"/>
      <c r="W31" s="1481"/>
      <c r="X31" s="1481"/>
      <c r="Y31" s="1518">
        <f t="shared" si="40"/>
        <v>0</v>
      </c>
      <c r="Z31" s="1481"/>
      <c r="AA31" s="1481"/>
      <c r="AB31" s="1481"/>
      <c r="AC31" s="1518">
        <f t="shared" si="41"/>
        <v>0</v>
      </c>
      <c r="AD31" s="1470" t="e">
        <f t="shared" si="42"/>
        <v>#DIV/0!</v>
      </c>
      <c r="AE31" s="1471"/>
      <c r="AF31" s="1481"/>
      <c r="AG31" s="1481"/>
      <c r="AH31" s="1518">
        <f t="shared" si="43"/>
        <v>0</v>
      </c>
      <c r="AI31" s="1481"/>
      <c r="AJ31" s="1481"/>
      <c r="AK31" s="1481"/>
      <c r="AL31" s="1518">
        <f t="shared" si="44"/>
        <v>0</v>
      </c>
      <c r="AM31" s="1470" t="e">
        <f t="shared" si="45"/>
        <v>#DIV/0!</v>
      </c>
      <c r="AN31" s="1471"/>
      <c r="AO31" s="1481"/>
      <c r="AP31" s="1481"/>
      <c r="AQ31" s="1518">
        <f t="shared" si="46"/>
        <v>0</v>
      </c>
      <c r="AR31" s="1481"/>
      <c r="AS31" s="1481"/>
      <c r="AT31" s="1481"/>
      <c r="AU31" s="1518">
        <f t="shared" si="47"/>
        <v>0</v>
      </c>
      <c r="AV31" s="1470" t="e">
        <f t="shared" si="48"/>
        <v>#DIV/0!</v>
      </c>
      <c r="AW31" s="1471"/>
      <c r="AX31" s="1481"/>
      <c r="AY31" s="1481"/>
      <c r="AZ31" s="1518">
        <f t="shared" si="49"/>
        <v>0</v>
      </c>
      <c r="BA31" s="1481"/>
      <c r="BB31" s="1481"/>
      <c r="BC31" s="1481"/>
      <c r="BD31" s="1518">
        <f t="shared" si="50"/>
        <v>0</v>
      </c>
      <c r="BE31" s="1470" t="e">
        <f t="shared" si="51"/>
        <v>#DIV/0!</v>
      </c>
      <c r="BF31" s="1471"/>
      <c r="BG31" s="1481"/>
      <c r="BH31" s="1481"/>
      <c r="BI31" s="1518">
        <f t="shared" si="52"/>
        <v>0</v>
      </c>
      <c r="BJ31" s="1481"/>
      <c r="BK31" s="1481"/>
      <c r="BL31" s="1481"/>
      <c r="BM31" s="1518">
        <f t="shared" si="53"/>
        <v>0</v>
      </c>
      <c r="BN31" s="1470" t="e">
        <f t="shared" si="54"/>
        <v>#DIV/0!</v>
      </c>
      <c r="BO31" s="1471"/>
      <c r="BP31" s="1481"/>
      <c r="BQ31" s="1481"/>
      <c r="BR31" s="1518">
        <f t="shared" si="55"/>
        <v>0</v>
      </c>
      <c r="BS31" s="1481"/>
      <c r="BT31" s="1481"/>
      <c r="BU31" s="1481"/>
      <c r="BV31" s="1518">
        <f t="shared" si="56"/>
        <v>0</v>
      </c>
      <c r="BW31" s="1470" t="e">
        <f t="shared" si="57"/>
        <v>#DIV/0!</v>
      </c>
      <c r="BX31" s="1471"/>
      <c r="BY31" s="1481"/>
      <c r="BZ31" s="1481"/>
      <c r="CA31" s="1518">
        <f t="shared" si="58"/>
        <v>0</v>
      </c>
      <c r="CB31" s="1481"/>
      <c r="CC31" s="1481"/>
      <c r="CD31" s="1481"/>
      <c r="CE31" s="1518">
        <f t="shared" si="59"/>
        <v>0</v>
      </c>
      <c r="CF31" s="1470" t="e">
        <f t="shared" si="60"/>
        <v>#DIV/0!</v>
      </c>
      <c r="CG31" s="1471"/>
      <c r="CH31" s="1481"/>
      <c r="CI31" s="1481"/>
      <c r="CJ31" s="1518">
        <f t="shared" si="61"/>
        <v>0</v>
      </c>
      <c r="CK31" s="1481"/>
      <c r="CL31" s="1481"/>
      <c r="CM31" s="1481"/>
      <c r="CN31" s="1518">
        <f t="shared" si="62"/>
        <v>0</v>
      </c>
      <c r="CO31" s="1470" t="e">
        <f t="shared" si="63"/>
        <v>#DIV/0!</v>
      </c>
      <c r="CP31" s="1471"/>
      <c r="CQ31" s="1481"/>
      <c r="CR31" s="1481"/>
      <c r="CS31" s="1518">
        <f t="shared" si="64"/>
        <v>0</v>
      </c>
      <c r="CT31" s="1481"/>
      <c r="CU31" s="1481"/>
      <c r="CV31" s="1481"/>
      <c r="CW31" s="1518">
        <f t="shared" si="65"/>
        <v>0</v>
      </c>
      <c r="CX31" s="1470" t="e">
        <f t="shared" si="66"/>
        <v>#DIV/0!</v>
      </c>
      <c r="CY31" s="1471"/>
      <c r="CZ31" s="1481"/>
      <c r="DA31" s="1481"/>
      <c r="DB31" s="1518">
        <f t="shared" si="67"/>
        <v>0</v>
      </c>
      <c r="DC31" s="1481"/>
      <c r="DD31" s="1481"/>
      <c r="DE31" s="1481"/>
      <c r="DF31" s="1518">
        <f t="shared" si="68"/>
        <v>0</v>
      </c>
      <c r="DG31" s="1470" t="e">
        <f t="shared" si="69"/>
        <v>#DIV/0!</v>
      </c>
      <c r="DH31" s="1471">
        <f t="shared" si="71"/>
        <v>0</v>
      </c>
      <c r="DI31" s="1481">
        <f t="shared" si="70"/>
        <v>0</v>
      </c>
      <c r="DJ31" s="1481">
        <f t="shared" si="70"/>
        <v>0</v>
      </c>
      <c r="DK31" s="1481">
        <f t="shared" si="70"/>
        <v>0</v>
      </c>
      <c r="DL31" s="1481">
        <f t="shared" si="70"/>
        <v>0</v>
      </c>
      <c r="DM31" s="1481">
        <f t="shared" si="70"/>
        <v>0</v>
      </c>
      <c r="DN31" s="1481">
        <f t="shared" si="70"/>
        <v>0</v>
      </c>
      <c r="DO31" s="1481">
        <f t="shared" si="35"/>
        <v>0</v>
      </c>
      <c r="DP31" s="1470">
        <f t="shared" si="36"/>
        <v>1</v>
      </c>
      <c r="DQ31" s="1477"/>
    </row>
    <row r="32" spans="1:121" s="1510" customFormat="1">
      <c r="A32" s="1525">
        <v>1</v>
      </c>
      <c r="B32" s="1526" t="s">
        <v>330</v>
      </c>
      <c r="C32" s="1527"/>
      <c r="D32" s="1471"/>
      <c r="E32" s="1481"/>
      <c r="F32" s="1481"/>
      <c r="G32" s="1518">
        <f t="shared" si="10"/>
        <v>0</v>
      </c>
      <c r="H32" s="1481"/>
      <c r="I32" s="1481"/>
      <c r="J32" s="1481"/>
      <c r="K32" s="1518">
        <f t="shared" si="11"/>
        <v>0</v>
      </c>
      <c r="L32" s="1470">
        <f t="shared" si="12"/>
        <v>1</v>
      </c>
      <c r="M32" s="1471"/>
      <c r="N32" s="1481"/>
      <c r="O32" s="1481"/>
      <c r="P32" s="1518">
        <f t="shared" si="37"/>
        <v>0</v>
      </c>
      <c r="Q32" s="1481"/>
      <c r="R32" s="1481"/>
      <c r="S32" s="1481"/>
      <c r="T32" s="1518">
        <f t="shared" si="38"/>
        <v>0</v>
      </c>
      <c r="U32" s="1470" t="e">
        <f t="shared" si="39"/>
        <v>#DIV/0!</v>
      </c>
      <c r="V32" s="1471"/>
      <c r="W32" s="1481"/>
      <c r="X32" s="1481"/>
      <c r="Y32" s="1518">
        <f t="shared" si="40"/>
        <v>0</v>
      </c>
      <c r="Z32" s="1481"/>
      <c r="AA32" s="1481"/>
      <c r="AB32" s="1481"/>
      <c r="AC32" s="1518">
        <f t="shared" si="41"/>
        <v>0</v>
      </c>
      <c r="AD32" s="1470" t="e">
        <f t="shared" si="42"/>
        <v>#DIV/0!</v>
      </c>
      <c r="AE32" s="1471"/>
      <c r="AF32" s="1481"/>
      <c r="AG32" s="1481"/>
      <c r="AH32" s="1518">
        <f t="shared" si="43"/>
        <v>0</v>
      </c>
      <c r="AI32" s="1481"/>
      <c r="AJ32" s="1481"/>
      <c r="AK32" s="1481"/>
      <c r="AL32" s="1518">
        <f t="shared" si="44"/>
        <v>0</v>
      </c>
      <c r="AM32" s="1470" t="e">
        <f t="shared" si="45"/>
        <v>#DIV/0!</v>
      </c>
      <c r="AN32" s="1471"/>
      <c r="AO32" s="1481"/>
      <c r="AP32" s="1481"/>
      <c r="AQ32" s="1518">
        <f t="shared" si="46"/>
        <v>0</v>
      </c>
      <c r="AR32" s="1481"/>
      <c r="AS32" s="1481"/>
      <c r="AT32" s="1481"/>
      <c r="AU32" s="1518">
        <f t="shared" si="47"/>
        <v>0</v>
      </c>
      <c r="AV32" s="1470" t="e">
        <f t="shared" si="48"/>
        <v>#DIV/0!</v>
      </c>
      <c r="AW32" s="1471"/>
      <c r="AX32" s="1481"/>
      <c r="AY32" s="1481"/>
      <c r="AZ32" s="1518">
        <f t="shared" si="49"/>
        <v>0</v>
      </c>
      <c r="BA32" s="1481"/>
      <c r="BB32" s="1481"/>
      <c r="BC32" s="1481"/>
      <c r="BD32" s="1518">
        <f t="shared" si="50"/>
        <v>0</v>
      </c>
      <c r="BE32" s="1470" t="e">
        <f t="shared" si="51"/>
        <v>#DIV/0!</v>
      </c>
      <c r="BF32" s="1471"/>
      <c r="BG32" s="1481"/>
      <c r="BH32" s="1481"/>
      <c r="BI32" s="1518">
        <f t="shared" si="52"/>
        <v>0</v>
      </c>
      <c r="BJ32" s="1481"/>
      <c r="BK32" s="1481"/>
      <c r="BL32" s="1481"/>
      <c r="BM32" s="1518">
        <f t="shared" si="53"/>
        <v>0</v>
      </c>
      <c r="BN32" s="1470" t="e">
        <f t="shared" si="54"/>
        <v>#DIV/0!</v>
      </c>
      <c r="BO32" s="1471"/>
      <c r="BP32" s="1481"/>
      <c r="BQ32" s="1481"/>
      <c r="BR32" s="1518">
        <f t="shared" si="55"/>
        <v>0</v>
      </c>
      <c r="BS32" s="1481"/>
      <c r="BT32" s="1481"/>
      <c r="BU32" s="1481"/>
      <c r="BV32" s="1518">
        <f t="shared" si="56"/>
        <v>0</v>
      </c>
      <c r="BW32" s="1470" t="e">
        <f t="shared" si="57"/>
        <v>#DIV/0!</v>
      </c>
      <c r="BX32" s="1471"/>
      <c r="BY32" s="1481"/>
      <c r="BZ32" s="1481"/>
      <c r="CA32" s="1518">
        <f t="shared" si="58"/>
        <v>0</v>
      </c>
      <c r="CB32" s="1481"/>
      <c r="CC32" s="1481"/>
      <c r="CD32" s="1481"/>
      <c r="CE32" s="1518">
        <f t="shared" si="59"/>
        <v>0</v>
      </c>
      <c r="CF32" s="1470" t="e">
        <f t="shared" si="60"/>
        <v>#DIV/0!</v>
      </c>
      <c r="CG32" s="1471"/>
      <c r="CH32" s="1481"/>
      <c r="CI32" s="1481"/>
      <c r="CJ32" s="1518">
        <f t="shared" si="61"/>
        <v>0</v>
      </c>
      <c r="CK32" s="1481"/>
      <c r="CL32" s="1481"/>
      <c r="CM32" s="1481"/>
      <c r="CN32" s="1518">
        <f t="shared" si="62"/>
        <v>0</v>
      </c>
      <c r="CO32" s="1470" t="e">
        <f t="shared" si="63"/>
        <v>#DIV/0!</v>
      </c>
      <c r="CP32" s="1471"/>
      <c r="CQ32" s="1481"/>
      <c r="CR32" s="1481"/>
      <c r="CS32" s="1518">
        <f t="shared" si="64"/>
        <v>0</v>
      </c>
      <c r="CT32" s="1481"/>
      <c r="CU32" s="1481"/>
      <c r="CV32" s="1481"/>
      <c r="CW32" s="1518">
        <f t="shared" si="65"/>
        <v>0</v>
      </c>
      <c r="CX32" s="1470" t="e">
        <f t="shared" si="66"/>
        <v>#DIV/0!</v>
      </c>
      <c r="CY32" s="1471"/>
      <c r="CZ32" s="1481"/>
      <c r="DA32" s="1481"/>
      <c r="DB32" s="1518">
        <f t="shared" si="67"/>
        <v>0</v>
      </c>
      <c r="DC32" s="1481"/>
      <c r="DD32" s="1481"/>
      <c r="DE32" s="1481"/>
      <c r="DF32" s="1518">
        <f t="shared" si="68"/>
        <v>0</v>
      </c>
      <c r="DG32" s="1470" t="e">
        <f t="shared" si="69"/>
        <v>#DIV/0!</v>
      </c>
      <c r="DH32" s="1471">
        <f t="shared" si="71"/>
        <v>0</v>
      </c>
      <c r="DI32" s="1481">
        <f t="shared" si="70"/>
        <v>0</v>
      </c>
      <c r="DJ32" s="1481">
        <f t="shared" si="70"/>
        <v>0</v>
      </c>
      <c r="DK32" s="1481">
        <f t="shared" si="70"/>
        <v>0</v>
      </c>
      <c r="DL32" s="1481">
        <f t="shared" si="70"/>
        <v>0</v>
      </c>
      <c r="DM32" s="1481">
        <f t="shared" si="70"/>
        <v>0</v>
      </c>
      <c r="DN32" s="1481">
        <f t="shared" si="70"/>
        <v>0</v>
      </c>
      <c r="DO32" s="1481">
        <f t="shared" si="35"/>
        <v>0</v>
      </c>
      <c r="DP32" s="1470">
        <f t="shared" si="36"/>
        <v>1</v>
      </c>
      <c r="DQ32" s="1477"/>
    </row>
    <row r="33" spans="1:121" s="1530" customFormat="1">
      <c r="A33" s="1515">
        <v>0.25</v>
      </c>
      <c r="B33" s="1528" t="s">
        <v>332</v>
      </c>
      <c r="C33" s="1529"/>
      <c r="D33" s="1471"/>
      <c r="E33" s="1481"/>
      <c r="F33" s="1481"/>
      <c r="G33" s="1518">
        <f t="shared" si="10"/>
        <v>0</v>
      </c>
      <c r="H33" s="1481"/>
      <c r="I33" s="1481"/>
      <c r="J33" s="1481"/>
      <c r="K33" s="1518">
        <f t="shared" si="11"/>
        <v>0</v>
      </c>
      <c r="L33" s="1470">
        <f t="shared" si="12"/>
        <v>1</v>
      </c>
      <c r="M33" s="1471"/>
      <c r="N33" s="1481"/>
      <c r="O33" s="1481"/>
      <c r="P33" s="1518">
        <f t="shared" si="37"/>
        <v>0</v>
      </c>
      <c r="Q33" s="1481"/>
      <c r="R33" s="1481"/>
      <c r="S33" s="1481"/>
      <c r="T33" s="1518">
        <f t="shared" si="38"/>
        <v>0</v>
      </c>
      <c r="U33" s="1470" t="e">
        <f t="shared" si="39"/>
        <v>#DIV/0!</v>
      </c>
      <c r="V33" s="1471"/>
      <c r="W33" s="1481"/>
      <c r="X33" s="1481"/>
      <c r="Y33" s="1518">
        <f t="shared" si="40"/>
        <v>0</v>
      </c>
      <c r="Z33" s="1481"/>
      <c r="AA33" s="1481"/>
      <c r="AB33" s="1481"/>
      <c r="AC33" s="1518">
        <f t="shared" si="41"/>
        <v>0</v>
      </c>
      <c r="AD33" s="1470" t="e">
        <f>(V$3-Y33-AC33)/(V$3-Y33)</f>
        <v>#DIV/0!</v>
      </c>
      <c r="AE33" s="1471"/>
      <c r="AF33" s="1481"/>
      <c r="AG33" s="1481"/>
      <c r="AH33" s="1518">
        <f t="shared" si="43"/>
        <v>0</v>
      </c>
      <c r="AI33" s="1481"/>
      <c r="AJ33" s="1481"/>
      <c r="AK33" s="1481"/>
      <c r="AL33" s="1518">
        <f t="shared" si="44"/>
        <v>0</v>
      </c>
      <c r="AM33" s="1470" t="e">
        <f t="shared" si="45"/>
        <v>#DIV/0!</v>
      </c>
      <c r="AN33" s="1471"/>
      <c r="AO33" s="1481"/>
      <c r="AP33" s="1481"/>
      <c r="AQ33" s="1518">
        <f t="shared" si="46"/>
        <v>0</v>
      </c>
      <c r="AR33" s="1481"/>
      <c r="AS33" s="1481"/>
      <c r="AT33" s="1481"/>
      <c r="AU33" s="1518">
        <f t="shared" si="47"/>
        <v>0</v>
      </c>
      <c r="AV33" s="1470" t="e">
        <f t="shared" si="48"/>
        <v>#DIV/0!</v>
      </c>
      <c r="AW33" s="1471"/>
      <c r="AX33" s="1481"/>
      <c r="AY33" s="1481"/>
      <c r="AZ33" s="1518">
        <f t="shared" si="49"/>
        <v>0</v>
      </c>
      <c r="BA33" s="1481"/>
      <c r="BB33" s="1481"/>
      <c r="BC33" s="1481"/>
      <c r="BD33" s="1518">
        <f t="shared" si="50"/>
        <v>0</v>
      </c>
      <c r="BE33" s="1470" t="e">
        <f t="shared" si="51"/>
        <v>#DIV/0!</v>
      </c>
      <c r="BF33" s="1471"/>
      <c r="BG33" s="1481"/>
      <c r="BH33" s="1481"/>
      <c r="BI33" s="1518">
        <f t="shared" si="52"/>
        <v>0</v>
      </c>
      <c r="BJ33" s="1481"/>
      <c r="BK33" s="1481"/>
      <c r="BL33" s="1481"/>
      <c r="BM33" s="1518">
        <f t="shared" si="53"/>
        <v>0</v>
      </c>
      <c r="BN33" s="1470" t="e">
        <f t="shared" si="54"/>
        <v>#DIV/0!</v>
      </c>
      <c r="BO33" s="1471"/>
      <c r="BP33" s="1481"/>
      <c r="BQ33" s="1481"/>
      <c r="BR33" s="1518">
        <f t="shared" si="55"/>
        <v>0</v>
      </c>
      <c r="BS33" s="1481"/>
      <c r="BT33" s="1481"/>
      <c r="BU33" s="1481"/>
      <c r="BV33" s="1518">
        <f t="shared" si="56"/>
        <v>0</v>
      </c>
      <c r="BW33" s="1470" t="e">
        <f t="shared" si="57"/>
        <v>#DIV/0!</v>
      </c>
      <c r="BX33" s="1471"/>
      <c r="BY33" s="1481"/>
      <c r="BZ33" s="1481"/>
      <c r="CA33" s="1518">
        <f t="shared" si="58"/>
        <v>0</v>
      </c>
      <c r="CB33" s="1481"/>
      <c r="CC33" s="1481"/>
      <c r="CD33" s="1481"/>
      <c r="CE33" s="1518">
        <f t="shared" si="59"/>
        <v>0</v>
      </c>
      <c r="CF33" s="1470" t="e">
        <f t="shared" si="60"/>
        <v>#DIV/0!</v>
      </c>
      <c r="CG33" s="1471"/>
      <c r="CH33" s="1481"/>
      <c r="CI33" s="1481"/>
      <c r="CJ33" s="1518">
        <f t="shared" si="61"/>
        <v>0</v>
      </c>
      <c r="CK33" s="1481"/>
      <c r="CL33" s="1481"/>
      <c r="CM33" s="1481"/>
      <c r="CN33" s="1518">
        <f t="shared" si="62"/>
        <v>0</v>
      </c>
      <c r="CO33" s="1470" t="e">
        <f t="shared" si="63"/>
        <v>#DIV/0!</v>
      </c>
      <c r="CP33" s="1471"/>
      <c r="CQ33" s="1481"/>
      <c r="CR33" s="1481"/>
      <c r="CS33" s="1518">
        <f t="shared" si="64"/>
        <v>0</v>
      </c>
      <c r="CT33" s="1481"/>
      <c r="CU33" s="1481"/>
      <c r="CV33" s="1481"/>
      <c r="CW33" s="1518">
        <f t="shared" si="65"/>
        <v>0</v>
      </c>
      <c r="CX33" s="1470" t="e">
        <f t="shared" si="66"/>
        <v>#DIV/0!</v>
      </c>
      <c r="CY33" s="1471"/>
      <c r="CZ33" s="1481"/>
      <c r="DA33" s="1481"/>
      <c r="DB33" s="1518">
        <f t="shared" si="67"/>
        <v>0</v>
      </c>
      <c r="DC33" s="1481"/>
      <c r="DD33" s="1481"/>
      <c r="DE33" s="1481"/>
      <c r="DF33" s="1518">
        <f t="shared" si="68"/>
        <v>0</v>
      </c>
      <c r="DG33" s="1470" t="e">
        <f t="shared" si="69"/>
        <v>#DIV/0!</v>
      </c>
      <c r="DH33" s="1471">
        <f t="shared" si="71"/>
        <v>0</v>
      </c>
      <c r="DI33" s="1481">
        <f t="shared" si="70"/>
        <v>0</v>
      </c>
      <c r="DJ33" s="1481">
        <f t="shared" si="70"/>
        <v>0</v>
      </c>
      <c r="DK33" s="1481">
        <f t="shared" si="70"/>
        <v>0</v>
      </c>
      <c r="DL33" s="1481">
        <f t="shared" si="70"/>
        <v>0</v>
      </c>
      <c r="DM33" s="1481">
        <f t="shared" si="70"/>
        <v>0</v>
      </c>
      <c r="DN33" s="1481">
        <f t="shared" si="70"/>
        <v>0</v>
      </c>
      <c r="DO33" s="1481">
        <f t="shared" si="35"/>
        <v>0</v>
      </c>
      <c r="DP33" s="1470">
        <f t="shared" si="36"/>
        <v>1</v>
      </c>
      <c r="DQ33" s="1477"/>
    </row>
    <row r="34" spans="1:121" s="1530" customFormat="1">
      <c r="A34" s="1519">
        <v>0.25</v>
      </c>
      <c r="B34" s="1531" t="s">
        <v>333</v>
      </c>
      <c r="C34" s="1532"/>
      <c r="D34" s="1471"/>
      <c r="E34" s="1481"/>
      <c r="F34" s="1481"/>
      <c r="G34" s="1518">
        <f t="shared" si="10"/>
        <v>0</v>
      </c>
      <c r="H34" s="1481"/>
      <c r="I34" s="1481"/>
      <c r="J34" s="1481"/>
      <c r="K34" s="1518">
        <f t="shared" si="11"/>
        <v>0</v>
      </c>
      <c r="L34" s="1470">
        <f t="shared" si="12"/>
        <v>1</v>
      </c>
      <c r="M34" s="1471"/>
      <c r="N34" s="1481"/>
      <c r="O34" s="1481"/>
      <c r="P34" s="1518">
        <f t="shared" si="37"/>
        <v>0</v>
      </c>
      <c r="Q34" s="1481"/>
      <c r="R34" s="1481"/>
      <c r="S34" s="1481"/>
      <c r="T34" s="1518">
        <f t="shared" si="38"/>
        <v>0</v>
      </c>
      <c r="U34" s="1470" t="e">
        <f t="shared" si="39"/>
        <v>#DIV/0!</v>
      </c>
      <c r="V34" s="1471"/>
      <c r="W34" s="1481"/>
      <c r="X34" s="1481"/>
      <c r="Y34" s="1518">
        <f t="shared" si="40"/>
        <v>0</v>
      </c>
      <c r="Z34" s="1481"/>
      <c r="AA34" s="1481"/>
      <c r="AB34" s="1481"/>
      <c r="AC34" s="1518">
        <f t="shared" si="41"/>
        <v>0</v>
      </c>
      <c r="AD34" s="1470" t="e">
        <f t="shared" si="42"/>
        <v>#DIV/0!</v>
      </c>
      <c r="AE34" s="1471"/>
      <c r="AF34" s="1481"/>
      <c r="AG34" s="1481"/>
      <c r="AH34" s="1518">
        <f t="shared" si="43"/>
        <v>0</v>
      </c>
      <c r="AI34" s="1481"/>
      <c r="AJ34" s="1481"/>
      <c r="AK34" s="1481"/>
      <c r="AL34" s="1518">
        <f t="shared" si="44"/>
        <v>0</v>
      </c>
      <c r="AM34" s="1470" t="e">
        <f t="shared" si="45"/>
        <v>#DIV/0!</v>
      </c>
      <c r="AN34" s="1471"/>
      <c r="AO34" s="1481"/>
      <c r="AP34" s="1481"/>
      <c r="AQ34" s="1518">
        <f t="shared" si="46"/>
        <v>0</v>
      </c>
      <c r="AR34" s="1481"/>
      <c r="AS34" s="1481"/>
      <c r="AT34" s="1481"/>
      <c r="AU34" s="1518">
        <f t="shared" si="47"/>
        <v>0</v>
      </c>
      <c r="AV34" s="1470" t="e">
        <f t="shared" si="48"/>
        <v>#DIV/0!</v>
      </c>
      <c r="AW34" s="1471"/>
      <c r="AX34" s="1481"/>
      <c r="AY34" s="1481"/>
      <c r="AZ34" s="1518">
        <f t="shared" si="49"/>
        <v>0</v>
      </c>
      <c r="BA34" s="1481"/>
      <c r="BB34" s="1481"/>
      <c r="BC34" s="1481"/>
      <c r="BD34" s="1518">
        <f t="shared" si="50"/>
        <v>0</v>
      </c>
      <c r="BE34" s="1470" t="e">
        <f t="shared" si="51"/>
        <v>#DIV/0!</v>
      </c>
      <c r="BF34" s="1471"/>
      <c r="BG34" s="1481"/>
      <c r="BH34" s="1481"/>
      <c r="BI34" s="1518">
        <f t="shared" si="52"/>
        <v>0</v>
      </c>
      <c r="BJ34" s="1481"/>
      <c r="BK34" s="1481"/>
      <c r="BL34" s="1481"/>
      <c r="BM34" s="1518">
        <f t="shared" si="53"/>
        <v>0</v>
      </c>
      <c r="BN34" s="1470" t="e">
        <f t="shared" si="54"/>
        <v>#DIV/0!</v>
      </c>
      <c r="BO34" s="1471"/>
      <c r="BP34" s="1481"/>
      <c r="BQ34" s="1481"/>
      <c r="BR34" s="1518">
        <f t="shared" si="55"/>
        <v>0</v>
      </c>
      <c r="BS34" s="1481"/>
      <c r="BT34" s="1481"/>
      <c r="BU34" s="1481"/>
      <c r="BV34" s="1518">
        <f t="shared" si="56"/>
        <v>0</v>
      </c>
      <c r="BW34" s="1470" t="e">
        <f t="shared" si="57"/>
        <v>#DIV/0!</v>
      </c>
      <c r="BX34" s="1471"/>
      <c r="BY34" s="1481"/>
      <c r="BZ34" s="1481"/>
      <c r="CA34" s="1518">
        <f t="shared" si="58"/>
        <v>0</v>
      </c>
      <c r="CB34" s="1481"/>
      <c r="CC34" s="1481"/>
      <c r="CD34" s="1481"/>
      <c r="CE34" s="1518">
        <f t="shared" si="59"/>
        <v>0</v>
      </c>
      <c r="CF34" s="1470" t="e">
        <f t="shared" si="60"/>
        <v>#DIV/0!</v>
      </c>
      <c r="CG34" s="1471"/>
      <c r="CH34" s="1481"/>
      <c r="CI34" s="1481"/>
      <c r="CJ34" s="1518">
        <f t="shared" si="61"/>
        <v>0</v>
      </c>
      <c r="CK34" s="1481"/>
      <c r="CL34" s="1481"/>
      <c r="CM34" s="1481"/>
      <c r="CN34" s="1518">
        <f t="shared" si="62"/>
        <v>0</v>
      </c>
      <c r="CO34" s="1470" t="e">
        <f t="shared" si="63"/>
        <v>#DIV/0!</v>
      </c>
      <c r="CP34" s="1471"/>
      <c r="CQ34" s="1481"/>
      <c r="CR34" s="1481"/>
      <c r="CS34" s="1518">
        <f t="shared" si="64"/>
        <v>0</v>
      </c>
      <c r="CT34" s="1481"/>
      <c r="CU34" s="1481"/>
      <c r="CV34" s="1481"/>
      <c r="CW34" s="1518">
        <f t="shared" si="65"/>
        <v>0</v>
      </c>
      <c r="CX34" s="1470" t="e">
        <f t="shared" si="66"/>
        <v>#DIV/0!</v>
      </c>
      <c r="CY34" s="1471"/>
      <c r="CZ34" s="1481"/>
      <c r="DA34" s="1481"/>
      <c r="DB34" s="1518">
        <f t="shared" si="67"/>
        <v>0</v>
      </c>
      <c r="DC34" s="1481"/>
      <c r="DD34" s="1481"/>
      <c r="DE34" s="1481"/>
      <c r="DF34" s="1518">
        <f t="shared" si="68"/>
        <v>0</v>
      </c>
      <c r="DG34" s="1470" t="e">
        <f t="shared" si="69"/>
        <v>#DIV/0!</v>
      </c>
      <c r="DH34" s="1471">
        <f t="shared" si="71"/>
        <v>0</v>
      </c>
      <c r="DI34" s="1481">
        <f t="shared" si="70"/>
        <v>0</v>
      </c>
      <c r="DJ34" s="1481">
        <f t="shared" si="70"/>
        <v>0</v>
      </c>
      <c r="DK34" s="1481">
        <f t="shared" si="70"/>
        <v>0</v>
      </c>
      <c r="DL34" s="1481">
        <f t="shared" si="70"/>
        <v>0</v>
      </c>
      <c r="DM34" s="1481">
        <f t="shared" si="70"/>
        <v>0</v>
      </c>
      <c r="DN34" s="1481">
        <f t="shared" si="70"/>
        <v>0</v>
      </c>
      <c r="DO34" s="1481">
        <f t="shared" si="35"/>
        <v>0</v>
      </c>
      <c r="DP34" s="1470">
        <f t="shared" si="36"/>
        <v>1</v>
      </c>
      <c r="DQ34" s="1477"/>
    </row>
    <row r="35" spans="1:121" s="1530" customFormat="1">
      <c r="A35" s="1519">
        <v>0.25</v>
      </c>
      <c r="B35" s="1531" t="s">
        <v>334</v>
      </c>
      <c r="C35" s="1532"/>
      <c r="D35" s="1471"/>
      <c r="E35" s="1481"/>
      <c r="F35" s="1481"/>
      <c r="G35" s="1518">
        <f t="shared" si="10"/>
        <v>0</v>
      </c>
      <c r="H35" s="1481"/>
      <c r="I35" s="1481"/>
      <c r="J35" s="1481"/>
      <c r="K35" s="1518">
        <f t="shared" si="11"/>
        <v>0</v>
      </c>
      <c r="L35" s="1470">
        <f t="shared" si="12"/>
        <v>1</v>
      </c>
      <c r="M35" s="1471"/>
      <c r="N35" s="1481"/>
      <c r="O35" s="1481"/>
      <c r="P35" s="1518">
        <f t="shared" si="37"/>
        <v>0</v>
      </c>
      <c r="Q35" s="1481"/>
      <c r="R35" s="1481"/>
      <c r="S35" s="1481"/>
      <c r="T35" s="1518">
        <f t="shared" si="38"/>
        <v>0</v>
      </c>
      <c r="U35" s="1470" t="e">
        <f t="shared" si="39"/>
        <v>#DIV/0!</v>
      </c>
      <c r="V35" s="1471"/>
      <c r="W35" s="1481"/>
      <c r="X35" s="1481"/>
      <c r="Y35" s="1518">
        <f t="shared" si="40"/>
        <v>0</v>
      </c>
      <c r="Z35" s="1481"/>
      <c r="AA35" s="1481"/>
      <c r="AB35" s="1481"/>
      <c r="AC35" s="1518">
        <f t="shared" si="41"/>
        <v>0</v>
      </c>
      <c r="AD35" s="1470" t="e">
        <f t="shared" si="42"/>
        <v>#DIV/0!</v>
      </c>
      <c r="AE35" s="1471"/>
      <c r="AF35" s="1481"/>
      <c r="AG35" s="1481"/>
      <c r="AH35" s="1518">
        <f t="shared" si="43"/>
        <v>0</v>
      </c>
      <c r="AI35" s="1481"/>
      <c r="AJ35" s="1481"/>
      <c r="AK35" s="1481"/>
      <c r="AL35" s="1518">
        <f t="shared" si="44"/>
        <v>0</v>
      </c>
      <c r="AM35" s="1470" t="e">
        <f t="shared" si="45"/>
        <v>#DIV/0!</v>
      </c>
      <c r="AN35" s="1471"/>
      <c r="AO35" s="1481"/>
      <c r="AP35" s="1481"/>
      <c r="AQ35" s="1518">
        <f t="shared" si="46"/>
        <v>0</v>
      </c>
      <c r="AR35" s="1481"/>
      <c r="AS35" s="1481"/>
      <c r="AT35" s="1481"/>
      <c r="AU35" s="1518">
        <f t="shared" si="47"/>
        <v>0</v>
      </c>
      <c r="AV35" s="1470" t="e">
        <f t="shared" si="48"/>
        <v>#DIV/0!</v>
      </c>
      <c r="AW35" s="1471"/>
      <c r="AX35" s="1481"/>
      <c r="AY35" s="1481"/>
      <c r="AZ35" s="1518">
        <f t="shared" si="49"/>
        <v>0</v>
      </c>
      <c r="BA35" s="1481"/>
      <c r="BB35" s="1481"/>
      <c r="BC35" s="1481"/>
      <c r="BD35" s="1518">
        <f t="shared" si="50"/>
        <v>0</v>
      </c>
      <c r="BE35" s="1470" t="e">
        <f t="shared" si="51"/>
        <v>#DIV/0!</v>
      </c>
      <c r="BF35" s="1471"/>
      <c r="BG35" s="1481"/>
      <c r="BH35" s="1481"/>
      <c r="BI35" s="1518">
        <f t="shared" si="52"/>
        <v>0</v>
      </c>
      <c r="BJ35" s="1481"/>
      <c r="BK35" s="1481"/>
      <c r="BL35" s="1481"/>
      <c r="BM35" s="1518">
        <f t="shared" si="53"/>
        <v>0</v>
      </c>
      <c r="BN35" s="1470" t="e">
        <f t="shared" si="54"/>
        <v>#DIV/0!</v>
      </c>
      <c r="BO35" s="1471"/>
      <c r="BP35" s="1481"/>
      <c r="BQ35" s="1481"/>
      <c r="BR35" s="1518">
        <f t="shared" si="55"/>
        <v>0</v>
      </c>
      <c r="BS35" s="1481"/>
      <c r="BT35" s="1481"/>
      <c r="BU35" s="1481"/>
      <c r="BV35" s="1518">
        <f t="shared" si="56"/>
        <v>0</v>
      </c>
      <c r="BW35" s="1470" t="e">
        <f t="shared" si="57"/>
        <v>#DIV/0!</v>
      </c>
      <c r="BX35" s="1471"/>
      <c r="BY35" s="1481"/>
      <c r="BZ35" s="1481"/>
      <c r="CA35" s="1518">
        <f t="shared" si="58"/>
        <v>0</v>
      </c>
      <c r="CB35" s="1481"/>
      <c r="CC35" s="1481"/>
      <c r="CD35" s="1481"/>
      <c r="CE35" s="1518">
        <f t="shared" si="59"/>
        <v>0</v>
      </c>
      <c r="CF35" s="1470" t="e">
        <f t="shared" si="60"/>
        <v>#DIV/0!</v>
      </c>
      <c r="CG35" s="1471"/>
      <c r="CH35" s="1481"/>
      <c r="CI35" s="1481"/>
      <c r="CJ35" s="1518">
        <f t="shared" si="61"/>
        <v>0</v>
      </c>
      <c r="CK35" s="1481"/>
      <c r="CL35" s="1481"/>
      <c r="CM35" s="1481"/>
      <c r="CN35" s="1518">
        <f t="shared" si="62"/>
        <v>0</v>
      </c>
      <c r="CO35" s="1470" t="e">
        <f t="shared" si="63"/>
        <v>#DIV/0!</v>
      </c>
      <c r="CP35" s="1471"/>
      <c r="CQ35" s="1481"/>
      <c r="CR35" s="1481"/>
      <c r="CS35" s="1518">
        <f t="shared" si="64"/>
        <v>0</v>
      </c>
      <c r="CT35" s="1481"/>
      <c r="CU35" s="1481"/>
      <c r="CV35" s="1481"/>
      <c r="CW35" s="1518">
        <f t="shared" si="65"/>
        <v>0</v>
      </c>
      <c r="CX35" s="1470" t="e">
        <f t="shared" si="66"/>
        <v>#DIV/0!</v>
      </c>
      <c r="CY35" s="1471"/>
      <c r="CZ35" s="1481"/>
      <c r="DA35" s="1481"/>
      <c r="DB35" s="1518">
        <f t="shared" si="67"/>
        <v>0</v>
      </c>
      <c r="DC35" s="1481"/>
      <c r="DD35" s="1481"/>
      <c r="DE35" s="1481"/>
      <c r="DF35" s="1518">
        <f t="shared" si="68"/>
        <v>0</v>
      </c>
      <c r="DG35" s="1470" t="e">
        <f t="shared" si="69"/>
        <v>#DIV/0!</v>
      </c>
      <c r="DH35" s="1471">
        <f t="shared" si="71"/>
        <v>0</v>
      </c>
      <c r="DI35" s="1481">
        <f t="shared" si="70"/>
        <v>0</v>
      </c>
      <c r="DJ35" s="1481">
        <f t="shared" si="70"/>
        <v>0</v>
      </c>
      <c r="DK35" s="1481">
        <f t="shared" si="70"/>
        <v>0</v>
      </c>
      <c r="DL35" s="1481">
        <f t="shared" si="70"/>
        <v>0</v>
      </c>
      <c r="DM35" s="1481">
        <f t="shared" si="70"/>
        <v>0</v>
      </c>
      <c r="DN35" s="1481">
        <f t="shared" si="70"/>
        <v>0</v>
      </c>
      <c r="DO35" s="1481">
        <f t="shared" si="35"/>
        <v>0</v>
      </c>
      <c r="DP35" s="1470">
        <f t="shared" si="36"/>
        <v>1</v>
      </c>
      <c r="DQ35" s="1477"/>
    </row>
    <row r="36" spans="1:121" s="1530" customFormat="1">
      <c r="A36" s="1522">
        <v>0.25</v>
      </c>
      <c r="B36" s="1533" t="s">
        <v>335</v>
      </c>
      <c r="C36" s="1534"/>
      <c r="D36" s="1471"/>
      <c r="E36" s="1481"/>
      <c r="F36" s="1481"/>
      <c r="G36" s="1518">
        <f>SUM(D36:F36)</f>
        <v>0</v>
      </c>
      <c r="H36" s="1481"/>
      <c r="I36" s="1481"/>
      <c r="J36" s="1481"/>
      <c r="K36" s="1518">
        <f t="shared" si="11"/>
        <v>0</v>
      </c>
      <c r="L36" s="1470">
        <f>(D$3-G36-K36)/(D$3-G36)</f>
        <v>1</v>
      </c>
      <c r="M36" s="1535"/>
      <c r="N36" s="1536"/>
      <c r="O36" s="1536"/>
      <c r="P36" s="1537">
        <f t="shared" si="37"/>
        <v>0</v>
      </c>
      <c r="Q36" s="1536"/>
      <c r="R36" s="1536"/>
      <c r="S36" s="1536"/>
      <c r="T36" s="1537">
        <f t="shared" si="38"/>
        <v>0</v>
      </c>
      <c r="U36" s="1538" t="e">
        <f t="shared" si="39"/>
        <v>#DIV/0!</v>
      </c>
      <c r="V36" s="1535"/>
      <c r="W36" s="1536"/>
      <c r="X36" s="1536"/>
      <c r="Y36" s="1537">
        <f t="shared" si="40"/>
        <v>0</v>
      </c>
      <c r="Z36" s="1536"/>
      <c r="AA36" s="1536"/>
      <c r="AB36" s="1536"/>
      <c r="AC36" s="1537">
        <f t="shared" si="41"/>
        <v>0</v>
      </c>
      <c r="AD36" s="1538" t="e">
        <f t="shared" si="42"/>
        <v>#DIV/0!</v>
      </c>
      <c r="AE36" s="1535"/>
      <c r="AF36" s="1536"/>
      <c r="AG36" s="1536"/>
      <c r="AH36" s="1537">
        <f t="shared" si="43"/>
        <v>0</v>
      </c>
      <c r="AI36" s="1536"/>
      <c r="AJ36" s="1536"/>
      <c r="AK36" s="1536"/>
      <c r="AL36" s="1537">
        <f t="shared" si="44"/>
        <v>0</v>
      </c>
      <c r="AM36" s="1538" t="e">
        <f t="shared" si="45"/>
        <v>#DIV/0!</v>
      </c>
      <c r="AN36" s="1535"/>
      <c r="AO36" s="1536"/>
      <c r="AP36" s="1536"/>
      <c r="AQ36" s="1537">
        <f t="shared" si="46"/>
        <v>0</v>
      </c>
      <c r="AR36" s="1536"/>
      <c r="AS36" s="1536"/>
      <c r="AT36" s="1536"/>
      <c r="AU36" s="1537">
        <f t="shared" si="47"/>
        <v>0</v>
      </c>
      <c r="AV36" s="1538" t="e">
        <f t="shared" si="48"/>
        <v>#DIV/0!</v>
      </c>
      <c r="AW36" s="1535"/>
      <c r="AX36" s="1536"/>
      <c r="AY36" s="1536"/>
      <c r="AZ36" s="1537">
        <f t="shared" si="49"/>
        <v>0</v>
      </c>
      <c r="BA36" s="1536"/>
      <c r="BB36" s="1536"/>
      <c r="BC36" s="1536"/>
      <c r="BD36" s="1537">
        <f t="shared" si="50"/>
        <v>0</v>
      </c>
      <c r="BE36" s="1538" t="e">
        <f t="shared" si="51"/>
        <v>#DIV/0!</v>
      </c>
      <c r="BF36" s="1535"/>
      <c r="BG36" s="1536"/>
      <c r="BH36" s="1536"/>
      <c r="BI36" s="1537">
        <f t="shared" si="52"/>
        <v>0</v>
      </c>
      <c r="BJ36" s="1536"/>
      <c r="BK36" s="1536"/>
      <c r="BL36" s="1536"/>
      <c r="BM36" s="1537">
        <f t="shared" si="53"/>
        <v>0</v>
      </c>
      <c r="BN36" s="1538" t="e">
        <f t="shared" si="54"/>
        <v>#DIV/0!</v>
      </c>
      <c r="BO36" s="1535"/>
      <c r="BP36" s="1536"/>
      <c r="BQ36" s="1536"/>
      <c r="BR36" s="1537">
        <f t="shared" si="55"/>
        <v>0</v>
      </c>
      <c r="BS36" s="1536"/>
      <c r="BT36" s="1536"/>
      <c r="BU36" s="1536"/>
      <c r="BV36" s="1537">
        <f t="shared" si="56"/>
        <v>0</v>
      </c>
      <c r="BW36" s="1538" t="e">
        <f t="shared" si="57"/>
        <v>#DIV/0!</v>
      </c>
      <c r="BX36" s="1535"/>
      <c r="BY36" s="1536"/>
      <c r="BZ36" s="1536"/>
      <c r="CA36" s="1537">
        <f t="shared" si="58"/>
        <v>0</v>
      </c>
      <c r="CB36" s="1536"/>
      <c r="CC36" s="1536"/>
      <c r="CD36" s="1536"/>
      <c r="CE36" s="1537">
        <f t="shared" si="59"/>
        <v>0</v>
      </c>
      <c r="CF36" s="1538" t="e">
        <f t="shared" si="60"/>
        <v>#DIV/0!</v>
      </c>
      <c r="CG36" s="1535"/>
      <c r="CH36" s="1536"/>
      <c r="CI36" s="1536"/>
      <c r="CJ36" s="1537">
        <f t="shared" si="61"/>
        <v>0</v>
      </c>
      <c r="CK36" s="1536"/>
      <c r="CL36" s="1536"/>
      <c r="CM36" s="1536"/>
      <c r="CN36" s="1537">
        <f t="shared" si="62"/>
        <v>0</v>
      </c>
      <c r="CO36" s="1538" t="e">
        <f t="shared" si="63"/>
        <v>#DIV/0!</v>
      </c>
      <c r="CP36" s="1535"/>
      <c r="CQ36" s="1536"/>
      <c r="CR36" s="1536"/>
      <c r="CS36" s="1537">
        <f t="shared" si="64"/>
        <v>0</v>
      </c>
      <c r="CT36" s="1536"/>
      <c r="CU36" s="1536"/>
      <c r="CV36" s="1536"/>
      <c r="CW36" s="1537">
        <f t="shared" si="65"/>
        <v>0</v>
      </c>
      <c r="CX36" s="1538" t="e">
        <f t="shared" si="66"/>
        <v>#DIV/0!</v>
      </c>
      <c r="CY36" s="1535"/>
      <c r="CZ36" s="1536"/>
      <c r="DA36" s="1536"/>
      <c r="DB36" s="1537">
        <f t="shared" si="67"/>
        <v>0</v>
      </c>
      <c r="DC36" s="1536"/>
      <c r="DD36" s="1536"/>
      <c r="DE36" s="1536"/>
      <c r="DF36" s="1537">
        <f t="shared" si="68"/>
        <v>0</v>
      </c>
      <c r="DG36" s="1538" t="e">
        <f t="shared" si="69"/>
        <v>#DIV/0!</v>
      </c>
      <c r="DH36" s="1535">
        <f>SUM(D36,M36,V36,AE36,AN36,AW36,BF36,BO36,BX36,CG36,CP36,CY36)</f>
        <v>0</v>
      </c>
      <c r="DI36" s="1536">
        <f t="shared" si="70"/>
        <v>0</v>
      </c>
      <c r="DJ36" s="1536">
        <f t="shared" si="70"/>
        <v>0</v>
      </c>
      <c r="DK36" s="1536">
        <f>SUM(G36,P36,Y36,AH36,AQ36,AZ36,BI36,BR36,CA36,CJ36,CS36,DB36)</f>
        <v>0</v>
      </c>
      <c r="DL36" s="1536">
        <f t="shared" si="70"/>
        <v>0</v>
      </c>
      <c r="DM36" s="1536">
        <f t="shared" si="70"/>
        <v>0</v>
      </c>
      <c r="DN36" s="1536">
        <f t="shared" si="70"/>
        <v>0</v>
      </c>
      <c r="DO36" s="1536">
        <f t="shared" si="35"/>
        <v>0</v>
      </c>
      <c r="DP36" s="1538">
        <f t="shared" si="36"/>
        <v>1</v>
      </c>
      <c r="DQ36" s="1477"/>
    </row>
    <row r="37" spans="1:121" s="1530" customFormat="1">
      <c r="A37" s="1482">
        <v>0.67</v>
      </c>
      <c r="B37" s="1483" t="s">
        <v>1048</v>
      </c>
      <c r="C37" s="1483" t="s">
        <v>109</v>
      </c>
      <c r="D37" s="1539"/>
      <c r="E37" s="1476"/>
      <c r="F37" s="1476"/>
      <c r="G37" s="1474">
        <f t="shared" ref="G37:G62" si="72">SUM(D37:F37)</f>
        <v>0</v>
      </c>
      <c r="H37" s="1476"/>
      <c r="I37" s="1476"/>
      <c r="J37" s="1476"/>
      <c r="K37" s="1474">
        <f>SUM(H37:J37)</f>
        <v>0</v>
      </c>
      <c r="L37" s="1475">
        <f t="shared" ref="L37:L61" si="73">(D$3-G37-K37)/(D$3-G37)</f>
        <v>1</v>
      </c>
      <c r="M37" s="1539"/>
      <c r="N37" s="1476"/>
      <c r="O37" s="1476"/>
      <c r="P37" s="1474">
        <f t="shared" ref="P37:P62" si="74">SUM(M37:O37)</f>
        <v>0</v>
      </c>
      <c r="Q37" s="1476"/>
      <c r="R37" s="1476"/>
      <c r="S37" s="1476"/>
      <c r="T37" s="1474">
        <f>SUM(Q37:S37)</f>
        <v>0</v>
      </c>
      <c r="U37" s="1475" t="e">
        <f>(M$3-P37-T37)/(M$3-P37)</f>
        <v>#DIV/0!</v>
      </c>
      <c r="V37" s="1539"/>
      <c r="W37" s="1476"/>
      <c r="X37" s="1476"/>
      <c r="Y37" s="1474">
        <f t="shared" ref="Y37:Y62" si="75">SUM(V37:X37)</f>
        <v>0</v>
      </c>
      <c r="Z37" s="1476"/>
      <c r="AA37" s="1476"/>
      <c r="AB37" s="1476"/>
      <c r="AC37" s="1474">
        <f>SUM(Z37:AB37)</f>
        <v>0</v>
      </c>
      <c r="AD37" s="1475" t="e">
        <f t="shared" si="42"/>
        <v>#DIV/0!</v>
      </c>
      <c r="AE37" s="1539"/>
      <c r="AF37" s="1476"/>
      <c r="AG37" s="1476"/>
      <c r="AH37" s="1474">
        <f t="shared" si="43"/>
        <v>0</v>
      </c>
      <c r="AI37" s="1476"/>
      <c r="AJ37" s="1476"/>
      <c r="AK37" s="1476"/>
      <c r="AL37" s="1474">
        <f>SUM(AI37:AK37)</f>
        <v>0</v>
      </c>
      <c r="AM37" s="1475" t="e">
        <f t="shared" si="45"/>
        <v>#DIV/0!</v>
      </c>
      <c r="AN37" s="1539"/>
      <c r="AO37" s="1476"/>
      <c r="AP37" s="1476"/>
      <c r="AQ37" s="1474">
        <f t="shared" si="46"/>
        <v>0</v>
      </c>
      <c r="AR37" s="1476"/>
      <c r="AS37" s="1476"/>
      <c r="AT37" s="1476"/>
      <c r="AU37" s="1474">
        <f>SUM(AR37:AT37)</f>
        <v>0</v>
      </c>
      <c r="AV37" s="1475" t="e">
        <f t="shared" si="48"/>
        <v>#DIV/0!</v>
      </c>
      <c r="AW37" s="1539"/>
      <c r="AX37" s="1476"/>
      <c r="AY37" s="1476"/>
      <c r="AZ37" s="1474">
        <f t="shared" si="49"/>
        <v>0</v>
      </c>
      <c r="BA37" s="1476"/>
      <c r="BB37" s="1476"/>
      <c r="BC37" s="1476"/>
      <c r="BD37" s="1474">
        <f>SUM(BA37:BC37)</f>
        <v>0</v>
      </c>
      <c r="BE37" s="1475" t="e">
        <f t="shared" si="51"/>
        <v>#DIV/0!</v>
      </c>
      <c r="BF37" s="1539"/>
      <c r="BG37" s="1476"/>
      <c r="BH37" s="1476"/>
      <c r="BI37" s="1474">
        <f t="shared" si="52"/>
        <v>0</v>
      </c>
      <c r="BJ37" s="1476"/>
      <c r="BK37" s="1476"/>
      <c r="BL37" s="1476"/>
      <c r="BM37" s="1474">
        <f>SUM(BJ37:BL37)</f>
        <v>0</v>
      </c>
      <c r="BN37" s="1475" t="e">
        <f t="shared" si="54"/>
        <v>#DIV/0!</v>
      </c>
      <c r="BO37" s="1539"/>
      <c r="BP37" s="1476"/>
      <c r="BQ37" s="1476"/>
      <c r="BR37" s="1474">
        <f t="shared" si="55"/>
        <v>0</v>
      </c>
      <c r="BS37" s="1476"/>
      <c r="BT37" s="1476"/>
      <c r="BU37" s="1476"/>
      <c r="BV37" s="1474">
        <f>SUM(BS37:BU37)</f>
        <v>0</v>
      </c>
      <c r="BW37" s="1475" t="e">
        <f t="shared" si="57"/>
        <v>#DIV/0!</v>
      </c>
      <c r="BX37" s="1539"/>
      <c r="BY37" s="1476"/>
      <c r="BZ37" s="1476"/>
      <c r="CA37" s="1474">
        <f t="shared" si="58"/>
        <v>0</v>
      </c>
      <c r="CB37" s="1476"/>
      <c r="CC37" s="1476"/>
      <c r="CD37" s="1476"/>
      <c r="CE37" s="1474">
        <f>SUM(CB37:CD37)</f>
        <v>0</v>
      </c>
      <c r="CF37" s="1475" t="e">
        <f t="shared" si="60"/>
        <v>#DIV/0!</v>
      </c>
      <c r="CG37" s="1539"/>
      <c r="CH37" s="1476"/>
      <c r="CI37" s="1476"/>
      <c r="CJ37" s="1474">
        <f t="shared" si="61"/>
        <v>0</v>
      </c>
      <c r="CK37" s="1476"/>
      <c r="CL37" s="1476"/>
      <c r="CM37" s="1476"/>
      <c r="CN37" s="1474">
        <f>SUM(CK37:CM37)</f>
        <v>0</v>
      </c>
      <c r="CO37" s="1475" t="e">
        <f t="shared" si="63"/>
        <v>#DIV/0!</v>
      </c>
      <c r="CP37" s="1539"/>
      <c r="CQ37" s="1476"/>
      <c r="CR37" s="1476"/>
      <c r="CS37" s="1474">
        <f t="shared" si="64"/>
        <v>0</v>
      </c>
      <c r="CT37" s="1476"/>
      <c r="CU37" s="1476"/>
      <c r="CV37" s="1476"/>
      <c r="CW37" s="1474">
        <f>SUM(CT37:CV37)</f>
        <v>0</v>
      </c>
      <c r="CX37" s="1475" t="e">
        <f t="shared" si="66"/>
        <v>#DIV/0!</v>
      </c>
      <c r="CY37" s="1539"/>
      <c r="CZ37" s="1476"/>
      <c r="DA37" s="1476"/>
      <c r="DB37" s="1474">
        <f t="shared" si="67"/>
        <v>0</v>
      </c>
      <c r="DC37" s="1476"/>
      <c r="DD37" s="1476"/>
      <c r="DE37" s="1476"/>
      <c r="DF37" s="1474">
        <f>SUM(DC37:DE37)</f>
        <v>0</v>
      </c>
      <c r="DG37" s="1475" t="e">
        <f t="shared" si="69"/>
        <v>#DIV/0!</v>
      </c>
      <c r="DH37" s="1539">
        <f>SUM(D37,M37,V37,AE37,AN37,AW37,BF37,BO37,BX37,CG37,CP37,CY37)</f>
        <v>0</v>
      </c>
      <c r="DI37" s="1476">
        <f t="shared" si="70"/>
        <v>0</v>
      </c>
      <c r="DJ37" s="1476">
        <f t="shared" si="70"/>
        <v>0</v>
      </c>
      <c r="DK37" s="1476">
        <f t="shared" si="70"/>
        <v>0</v>
      </c>
      <c r="DL37" s="1476">
        <f t="shared" si="70"/>
        <v>0</v>
      </c>
      <c r="DM37" s="1476">
        <f t="shared" si="70"/>
        <v>0</v>
      </c>
      <c r="DN37" s="1476">
        <f t="shared" si="70"/>
        <v>0</v>
      </c>
      <c r="DO37" s="1476">
        <f t="shared" si="35"/>
        <v>0</v>
      </c>
      <c r="DP37" s="1475">
        <f t="shared" si="36"/>
        <v>1</v>
      </c>
    </row>
    <row r="38" spans="1:121">
      <c r="A38" s="1482">
        <v>0.33</v>
      </c>
      <c r="B38" s="1483" t="s">
        <v>1048</v>
      </c>
      <c r="C38" s="1483" t="s">
        <v>1049</v>
      </c>
      <c r="D38" s="1467"/>
      <c r="E38" s="1468"/>
      <c r="F38" s="1468"/>
      <c r="G38" s="1469">
        <f t="shared" si="72"/>
        <v>0</v>
      </c>
      <c r="H38" s="1468"/>
      <c r="I38" s="1468"/>
      <c r="J38" s="1468"/>
      <c r="K38" s="1469">
        <f t="shared" si="11"/>
        <v>0</v>
      </c>
      <c r="L38" s="1470">
        <f t="shared" si="73"/>
        <v>1</v>
      </c>
      <c r="M38" s="1467"/>
      <c r="N38" s="1468"/>
      <c r="O38" s="1468"/>
      <c r="P38" s="1469">
        <f t="shared" si="74"/>
        <v>0</v>
      </c>
      <c r="Q38" s="1468"/>
      <c r="R38" s="1468"/>
      <c r="S38" s="1468"/>
      <c r="T38" s="1469">
        <f t="shared" ref="T38:T62" si="76">SUM(Q38:S38)</f>
        <v>0</v>
      </c>
      <c r="U38" s="1470" t="e">
        <f>(M$3-P38-T38)/(M$3-P38)</f>
        <v>#DIV/0!</v>
      </c>
      <c r="V38" s="1467"/>
      <c r="W38" s="1468"/>
      <c r="X38" s="1468"/>
      <c r="Y38" s="1469">
        <f t="shared" si="75"/>
        <v>0</v>
      </c>
      <c r="Z38" s="1468"/>
      <c r="AA38" s="1468"/>
      <c r="AB38" s="1468"/>
      <c r="AC38" s="1469">
        <f t="shared" ref="AC38:AC62" si="77">SUM(Z38:AB38)</f>
        <v>0</v>
      </c>
      <c r="AD38" s="1470" t="e">
        <f t="shared" si="42"/>
        <v>#DIV/0!</v>
      </c>
      <c r="AE38" s="1467"/>
      <c r="AF38" s="1468"/>
      <c r="AG38" s="1468"/>
      <c r="AH38" s="1469">
        <f t="shared" si="43"/>
        <v>0</v>
      </c>
      <c r="AI38" s="1468"/>
      <c r="AJ38" s="1468"/>
      <c r="AK38" s="1468"/>
      <c r="AL38" s="1469">
        <f t="shared" ref="AL38:AL62" si="78">SUM(AI38:AK38)</f>
        <v>0</v>
      </c>
      <c r="AM38" s="1470" t="e">
        <f t="shared" si="45"/>
        <v>#DIV/0!</v>
      </c>
      <c r="AN38" s="1467"/>
      <c r="AO38" s="1468"/>
      <c r="AP38" s="1468"/>
      <c r="AQ38" s="1469">
        <f t="shared" si="46"/>
        <v>0</v>
      </c>
      <c r="AR38" s="1468"/>
      <c r="AS38" s="1468"/>
      <c r="AT38" s="1468"/>
      <c r="AU38" s="1469">
        <f t="shared" ref="AU38:AU62" si="79">SUM(AR38:AT38)</f>
        <v>0</v>
      </c>
      <c r="AV38" s="1470" t="e">
        <f t="shared" si="48"/>
        <v>#DIV/0!</v>
      </c>
      <c r="AW38" s="1467"/>
      <c r="AX38" s="1468"/>
      <c r="AY38" s="1468"/>
      <c r="AZ38" s="1469">
        <f t="shared" si="49"/>
        <v>0</v>
      </c>
      <c r="BA38" s="1468"/>
      <c r="BB38" s="1468"/>
      <c r="BC38" s="1468"/>
      <c r="BD38" s="1469">
        <f t="shared" ref="BD38:BD62" si="80">SUM(BA38:BC38)</f>
        <v>0</v>
      </c>
      <c r="BE38" s="1470" t="e">
        <f t="shared" si="51"/>
        <v>#DIV/0!</v>
      </c>
      <c r="BF38" s="1467"/>
      <c r="BG38" s="1468"/>
      <c r="BH38" s="1468"/>
      <c r="BI38" s="1469">
        <f t="shared" si="52"/>
        <v>0</v>
      </c>
      <c r="BJ38" s="1468"/>
      <c r="BK38" s="1468"/>
      <c r="BL38" s="1468"/>
      <c r="BM38" s="1469">
        <f t="shared" ref="BM38:BM62" si="81">SUM(BJ38:BL38)</f>
        <v>0</v>
      </c>
      <c r="BN38" s="1470" t="e">
        <f t="shared" si="54"/>
        <v>#DIV/0!</v>
      </c>
      <c r="BO38" s="1467"/>
      <c r="BP38" s="1468"/>
      <c r="BQ38" s="1468"/>
      <c r="BR38" s="1469">
        <f t="shared" si="55"/>
        <v>0</v>
      </c>
      <c r="BS38" s="1468"/>
      <c r="BT38" s="1468"/>
      <c r="BU38" s="1468"/>
      <c r="BV38" s="1469">
        <f t="shared" ref="BV38:BV62" si="82">SUM(BS38:BU38)</f>
        <v>0</v>
      </c>
      <c r="BW38" s="1470" t="e">
        <f t="shared" si="57"/>
        <v>#DIV/0!</v>
      </c>
      <c r="BX38" s="1467"/>
      <c r="BY38" s="1468"/>
      <c r="BZ38" s="1468"/>
      <c r="CA38" s="1469">
        <f t="shared" si="58"/>
        <v>0</v>
      </c>
      <c r="CB38" s="1468"/>
      <c r="CC38" s="1468"/>
      <c r="CD38" s="1468"/>
      <c r="CE38" s="1469">
        <f t="shared" ref="CE38:CE62" si="83">SUM(CB38:CD38)</f>
        <v>0</v>
      </c>
      <c r="CF38" s="1470" t="e">
        <f t="shared" si="60"/>
        <v>#DIV/0!</v>
      </c>
      <c r="CG38" s="1467"/>
      <c r="CH38" s="1468"/>
      <c r="CI38" s="1468"/>
      <c r="CJ38" s="1469">
        <f t="shared" si="61"/>
        <v>0</v>
      </c>
      <c r="CK38" s="1468"/>
      <c r="CL38" s="1468"/>
      <c r="CM38" s="1468"/>
      <c r="CN38" s="1469">
        <f t="shared" ref="CN38:CN62" si="84">SUM(CK38:CM38)</f>
        <v>0</v>
      </c>
      <c r="CO38" s="1470" t="e">
        <f t="shared" si="63"/>
        <v>#DIV/0!</v>
      </c>
      <c r="CP38" s="1467"/>
      <c r="CQ38" s="1468"/>
      <c r="CR38" s="1468"/>
      <c r="CS38" s="1469">
        <f t="shared" si="64"/>
        <v>0</v>
      </c>
      <c r="CT38" s="1468"/>
      <c r="CU38" s="1468"/>
      <c r="CV38" s="1468"/>
      <c r="CW38" s="1469">
        <f t="shared" ref="CW38:CW62" si="85">SUM(CT38:CV38)</f>
        <v>0</v>
      </c>
      <c r="CX38" s="1470" t="e">
        <f t="shared" si="66"/>
        <v>#DIV/0!</v>
      </c>
      <c r="CY38" s="1467"/>
      <c r="CZ38" s="1468"/>
      <c r="DA38" s="1468"/>
      <c r="DB38" s="1469">
        <f t="shared" si="67"/>
        <v>0</v>
      </c>
      <c r="DC38" s="1468"/>
      <c r="DD38" s="1468"/>
      <c r="DE38" s="1468"/>
      <c r="DF38" s="1469">
        <f t="shared" ref="DF38:DF62" si="86">SUM(DC38:DE38)</f>
        <v>0</v>
      </c>
      <c r="DG38" s="1470" t="e">
        <f t="shared" si="69"/>
        <v>#DIV/0!</v>
      </c>
      <c r="DH38" s="1471">
        <f t="shared" ref="DH38:DN62" si="87">SUM(D38,M38,V38,AE38,AN38,AW38,BF38,BO38,BX38,CG38,CP38,CY38)</f>
        <v>0</v>
      </c>
      <c r="DI38" s="1481">
        <f t="shared" si="70"/>
        <v>0</v>
      </c>
      <c r="DJ38" s="1481">
        <f t="shared" si="70"/>
        <v>0</v>
      </c>
      <c r="DK38" s="1481">
        <f t="shared" si="70"/>
        <v>0</v>
      </c>
      <c r="DL38" s="1481">
        <f t="shared" si="70"/>
        <v>0</v>
      </c>
      <c r="DM38" s="1481">
        <f t="shared" si="70"/>
        <v>0</v>
      </c>
      <c r="DN38" s="1481">
        <f t="shared" si="70"/>
        <v>0</v>
      </c>
      <c r="DO38" s="1481">
        <f t="shared" si="35"/>
        <v>0</v>
      </c>
      <c r="DP38" s="1470">
        <f t="shared" si="36"/>
        <v>1</v>
      </c>
    </row>
    <row r="39" spans="1:121">
      <c r="A39" s="1540">
        <v>0.66</v>
      </c>
      <c r="B39" s="1541" t="s">
        <v>1050</v>
      </c>
      <c r="C39" s="1541" t="s">
        <v>1051</v>
      </c>
      <c r="D39" s="1467"/>
      <c r="E39" s="1468"/>
      <c r="F39" s="1468"/>
      <c r="G39" s="1469">
        <f t="shared" si="72"/>
        <v>0</v>
      </c>
      <c r="H39" s="1468"/>
      <c r="I39" s="1468"/>
      <c r="J39" s="1468"/>
      <c r="K39" s="1469">
        <f t="shared" si="11"/>
        <v>0</v>
      </c>
      <c r="L39" s="1470">
        <f t="shared" si="73"/>
        <v>1</v>
      </c>
      <c r="M39" s="1467"/>
      <c r="N39" s="1468"/>
      <c r="O39" s="1468"/>
      <c r="P39" s="1469">
        <f t="shared" si="74"/>
        <v>0</v>
      </c>
      <c r="Q39" s="1468"/>
      <c r="R39" s="1468"/>
      <c r="S39" s="1468"/>
      <c r="T39" s="1469">
        <f t="shared" si="76"/>
        <v>0</v>
      </c>
      <c r="U39" s="1470" t="e">
        <f t="shared" si="39"/>
        <v>#DIV/0!</v>
      </c>
      <c r="V39" s="1467"/>
      <c r="W39" s="1468"/>
      <c r="X39" s="1468"/>
      <c r="Y39" s="1469">
        <f t="shared" si="75"/>
        <v>0</v>
      </c>
      <c r="Z39" s="1468"/>
      <c r="AA39" s="1468"/>
      <c r="AB39" s="1468"/>
      <c r="AC39" s="1469">
        <f t="shared" si="77"/>
        <v>0</v>
      </c>
      <c r="AD39" s="1470" t="e">
        <f t="shared" si="42"/>
        <v>#DIV/0!</v>
      </c>
      <c r="AE39" s="1467"/>
      <c r="AF39" s="1468"/>
      <c r="AG39" s="1468"/>
      <c r="AH39" s="1469">
        <f t="shared" si="43"/>
        <v>0</v>
      </c>
      <c r="AI39" s="1468"/>
      <c r="AJ39" s="1468"/>
      <c r="AK39" s="1468"/>
      <c r="AL39" s="1469">
        <f t="shared" si="78"/>
        <v>0</v>
      </c>
      <c r="AM39" s="1470" t="e">
        <f t="shared" si="45"/>
        <v>#DIV/0!</v>
      </c>
      <c r="AN39" s="1467"/>
      <c r="AO39" s="1468"/>
      <c r="AP39" s="1468"/>
      <c r="AQ39" s="1469">
        <f t="shared" si="46"/>
        <v>0</v>
      </c>
      <c r="AR39" s="1468"/>
      <c r="AS39" s="1468"/>
      <c r="AT39" s="1468"/>
      <c r="AU39" s="1469">
        <f t="shared" si="79"/>
        <v>0</v>
      </c>
      <c r="AV39" s="1470" t="e">
        <f t="shared" si="48"/>
        <v>#DIV/0!</v>
      </c>
      <c r="AW39" s="1467"/>
      <c r="AX39" s="1468"/>
      <c r="AY39" s="1468"/>
      <c r="AZ39" s="1469">
        <f t="shared" si="49"/>
        <v>0</v>
      </c>
      <c r="BA39" s="1468"/>
      <c r="BB39" s="1468"/>
      <c r="BC39" s="1468"/>
      <c r="BD39" s="1469">
        <f t="shared" si="80"/>
        <v>0</v>
      </c>
      <c r="BE39" s="1470" t="e">
        <f t="shared" si="51"/>
        <v>#DIV/0!</v>
      </c>
      <c r="BF39" s="1467"/>
      <c r="BG39" s="1468"/>
      <c r="BH39" s="1468"/>
      <c r="BI39" s="1469">
        <f t="shared" si="52"/>
        <v>0</v>
      </c>
      <c r="BJ39" s="1468"/>
      <c r="BK39" s="1468"/>
      <c r="BL39" s="1468"/>
      <c r="BM39" s="1469">
        <f t="shared" si="81"/>
        <v>0</v>
      </c>
      <c r="BN39" s="1470" t="e">
        <f t="shared" si="54"/>
        <v>#DIV/0!</v>
      </c>
      <c r="BO39" s="1467"/>
      <c r="BP39" s="1468"/>
      <c r="BQ39" s="1468"/>
      <c r="BR39" s="1469">
        <f t="shared" si="55"/>
        <v>0</v>
      </c>
      <c r="BS39" s="1468"/>
      <c r="BT39" s="1468"/>
      <c r="BU39" s="1468"/>
      <c r="BV39" s="1469">
        <f t="shared" si="82"/>
        <v>0</v>
      </c>
      <c r="BW39" s="1470" t="e">
        <f t="shared" si="57"/>
        <v>#DIV/0!</v>
      </c>
      <c r="BX39" s="1467"/>
      <c r="BY39" s="1468"/>
      <c r="BZ39" s="1468"/>
      <c r="CA39" s="1469">
        <f t="shared" si="58"/>
        <v>0</v>
      </c>
      <c r="CB39" s="1468"/>
      <c r="CC39" s="1468"/>
      <c r="CD39" s="1468"/>
      <c r="CE39" s="1469">
        <f t="shared" si="83"/>
        <v>0</v>
      </c>
      <c r="CF39" s="1470" t="e">
        <f t="shared" si="60"/>
        <v>#DIV/0!</v>
      </c>
      <c r="CG39" s="1467"/>
      <c r="CH39" s="1468"/>
      <c r="CI39" s="1468"/>
      <c r="CJ39" s="1469">
        <f t="shared" si="61"/>
        <v>0</v>
      </c>
      <c r="CK39" s="1468"/>
      <c r="CL39" s="1468"/>
      <c r="CM39" s="1468"/>
      <c r="CN39" s="1469">
        <f t="shared" si="84"/>
        <v>0</v>
      </c>
      <c r="CO39" s="1470" t="e">
        <f t="shared" si="63"/>
        <v>#DIV/0!</v>
      </c>
      <c r="CP39" s="1467"/>
      <c r="CQ39" s="1468"/>
      <c r="CR39" s="1468"/>
      <c r="CS39" s="1469">
        <f t="shared" si="64"/>
        <v>0</v>
      </c>
      <c r="CT39" s="1468"/>
      <c r="CU39" s="1468"/>
      <c r="CV39" s="1468"/>
      <c r="CW39" s="1469">
        <f t="shared" si="85"/>
        <v>0</v>
      </c>
      <c r="CX39" s="1470" t="e">
        <f t="shared" si="66"/>
        <v>#DIV/0!</v>
      </c>
      <c r="CY39" s="1467"/>
      <c r="CZ39" s="1468"/>
      <c r="DA39" s="1468"/>
      <c r="DB39" s="1469">
        <f t="shared" si="67"/>
        <v>0</v>
      </c>
      <c r="DC39" s="1468"/>
      <c r="DD39" s="1468"/>
      <c r="DE39" s="1468"/>
      <c r="DF39" s="1469">
        <f t="shared" si="86"/>
        <v>0</v>
      </c>
      <c r="DG39" s="1470" t="e">
        <f t="shared" si="69"/>
        <v>#DIV/0!</v>
      </c>
      <c r="DH39" s="1471">
        <f t="shared" si="87"/>
        <v>0</v>
      </c>
      <c r="DI39" s="1481">
        <f t="shared" si="70"/>
        <v>0</v>
      </c>
      <c r="DJ39" s="1481">
        <f t="shared" si="70"/>
        <v>0</v>
      </c>
      <c r="DK39" s="1481">
        <f t="shared" si="70"/>
        <v>0</v>
      </c>
      <c r="DL39" s="1481">
        <f t="shared" si="70"/>
        <v>0</v>
      </c>
      <c r="DM39" s="1481">
        <f t="shared" si="70"/>
        <v>0</v>
      </c>
      <c r="DN39" s="1481">
        <f t="shared" si="70"/>
        <v>0</v>
      </c>
      <c r="DO39" s="1481">
        <f t="shared" si="35"/>
        <v>0</v>
      </c>
      <c r="DP39" s="1470">
        <f t="shared" si="36"/>
        <v>1</v>
      </c>
    </row>
    <row r="40" spans="1:121">
      <c r="A40" s="1542">
        <v>0.27</v>
      </c>
      <c r="B40" s="1543" t="s">
        <v>1050</v>
      </c>
      <c r="C40" s="1543" t="s">
        <v>1052</v>
      </c>
      <c r="D40" s="1467"/>
      <c r="E40" s="1468"/>
      <c r="F40" s="1468"/>
      <c r="G40" s="1469">
        <f t="shared" si="72"/>
        <v>0</v>
      </c>
      <c r="H40" s="1468"/>
      <c r="I40" s="1468"/>
      <c r="J40" s="1468"/>
      <c r="K40" s="1469">
        <f t="shared" si="11"/>
        <v>0</v>
      </c>
      <c r="L40" s="1470">
        <f t="shared" si="73"/>
        <v>1</v>
      </c>
      <c r="M40" s="1467"/>
      <c r="N40" s="1468"/>
      <c r="O40" s="1468"/>
      <c r="P40" s="1469">
        <f t="shared" si="74"/>
        <v>0</v>
      </c>
      <c r="Q40" s="1468"/>
      <c r="R40" s="1468"/>
      <c r="S40" s="1468"/>
      <c r="T40" s="1469">
        <f t="shared" si="76"/>
        <v>0</v>
      </c>
      <c r="U40" s="1470" t="e">
        <f t="shared" si="39"/>
        <v>#DIV/0!</v>
      </c>
      <c r="V40" s="1467"/>
      <c r="W40" s="1468"/>
      <c r="X40" s="1468"/>
      <c r="Y40" s="1469">
        <f t="shared" si="75"/>
        <v>0</v>
      </c>
      <c r="Z40" s="1468"/>
      <c r="AA40" s="1468"/>
      <c r="AB40" s="1468"/>
      <c r="AC40" s="1469">
        <f t="shared" si="77"/>
        <v>0</v>
      </c>
      <c r="AD40" s="1470" t="e">
        <f t="shared" si="42"/>
        <v>#DIV/0!</v>
      </c>
      <c r="AE40" s="1467"/>
      <c r="AF40" s="1468"/>
      <c r="AG40" s="1468"/>
      <c r="AH40" s="1469">
        <f t="shared" si="43"/>
        <v>0</v>
      </c>
      <c r="AI40" s="1468"/>
      <c r="AJ40" s="1468"/>
      <c r="AK40" s="1468"/>
      <c r="AL40" s="1469">
        <f t="shared" si="78"/>
        <v>0</v>
      </c>
      <c r="AM40" s="1470" t="e">
        <f t="shared" si="45"/>
        <v>#DIV/0!</v>
      </c>
      <c r="AN40" s="1467"/>
      <c r="AO40" s="1468"/>
      <c r="AP40" s="1468"/>
      <c r="AQ40" s="1469">
        <f t="shared" si="46"/>
        <v>0</v>
      </c>
      <c r="AR40" s="1468"/>
      <c r="AS40" s="1468"/>
      <c r="AT40" s="1468"/>
      <c r="AU40" s="1469">
        <f t="shared" si="79"/>
        <v>0</v>
      </c>
      <c r="AV40" s="1470" t="e">
        <f t="shared" si="48"/>
        <v>#DIV/0!</v>
      </c>
      <c r="AW40" s="1467"/>
      <c r="AX40" s="1468"/>
      <c r="AY40" s="1468"/>
      <c r="AZ40" s="1469">
        <f t="shared" si="49"/>
        <v>0</v>
      </c>
      <c r="BA40" s="1468"/>
      <c r="BB40" s="1468"/>
      <c r="BC40" s="1468"/>
      <c r="BD40" s="1469">
        <f t="shared" si="80"/>
        <v>0</v>
      </c>
      <c r="BE40" s="1470" t="e">
        <f t="shared" si="51"/>
        <v>#DIV/0!</v>
      </c>
      <c r="BF40" s="1467"/>
      <c r="BG40" s="1468"/>
      <c r="BH40" s="1468"/>
      <c r="BI40" s="1469">
        <f t="shared" si="52"/>
        <v>0</v>
      </c>
      <c r="BJ40" s="1468"/>
      <c r="BK40" s="1468"/>
      <c r="BL40" s="1468"/>
      <c r="BM40" s="1469">
        <f t="shared" si="81"/>
        <v>0</v>
      </c>
      <c r="BN40" s="1470" t="e">
        <f t="shared" si="54"/>
        <v>#DIV/0!</v>
      </c>
      <c r="BO40" s="1467"/>
      <c r="BP40" s="1468"/>
      <c r="BQ40" s="1468"/>
      <c r="BR40" s="1469">
        <f t="shared" si="55"/>
        <v>0</v>
      </c>
      <c r="BS40" s="1468"/>
      <c r="BT40" s="1468"/>
      <c r="BU40" s="1468"/>
      <c r="BV40" s="1469">
        <f t="shared" si="82"/>
        <v>0</v>
      </c>
      <c r="BW40" s="1470" t="e">
        <f t="shared" si="57"/>
        <v>#DIV/0!</v>
      </c>
      <c r="BX40" s="1467"/>
      <c r="BY40" s="1468"/>
      <c r="BZ40" s="1468"/>
      <c r="CA40" s="1469">
        <f t="shared" si="58"/>
        <v>0</v>
      </c>
      <c r="CB40" s="1468"/>
      <c r="CC40" s="1468"/>
      <c r="CD40" s="1468"/>
      <c r="CE40" s="1469">
        <f t="shared" si="83"/>
        <v>0</v>
      </c>
      <c r="CF40" s="1470" t="e">
        <f t="shared" si="60"/>
        <v>#DIV/0!</v>
      </c>
      <c r="CG40" s="1467"/>
      <c r="CH40" s="1468"/>
      <c r="CI40" s="1468"/>
      <c r="CJ40" s="1469">
        <f t="shared" si="61"/>
        <v>0</v>
      </c>
      <c r="CK40" s="1468"/>
      <c r="CL40" s="1468"/>
      <c r="CM40" s="1468"/>
      <c r="CN40" s="1469">
        <f t="shared" si="84"/>
        <v>0</v>
      </c>
      <c r="CO40" s="1470" t="e">
        <f t="shared" si="63"/>
        <v>#DIV/0!</v>
      </c>
      <c r="CP40" s="1467"/>
      <c r="CQ40" s="1468"/>
      <c r="CR40" s="1468"/>
      <c r="CS40" s="1469">
        <f t="shared" si="64"/>
        <v>0</v>
      </c>
      <c r="CT40" s="1468"/>
      <c r="CU40" s="1468"/>
      <c r="CV40" s="1468"/>
      <c r="CW40" s="1469">
        <f t="shared" si="85"/>
        <v>0</v>
      </c>
      <c r="CX40" s="1470" t="e">
        <f t="shared" si="66"/>
        <v>#DIV/0!</v>
      </c>
      <c r="CY40" s="1467"/>
      <c r="CZ40" s="1468"/>
      <c r="DA40" s="1468"/>
      <c r="DB40" s="1469">
        <f t="shared" si="67"/>
        <v>0</v>
      </c>
      <c r="DC40" s="1468"/>
      <c r="DD40" s="1468"/>
      <c r="DE40" s="1468"/>
      <c r="DF40" s="1469">
        <f t="shared" si="86"/>
        <v>0</v>
      </c>
      <c r="DG40" s="1470" t="e">
        <f t="shared" si="69"/>
        <v>#DIV/0!</v>
      </c>
      <c r="DH40" s="1471">
        <f t="shared" si="87"/>
        <v>0</v>
      </c>
      <c r="DI40" s="1481">
        <f t="shared" si="70"/>
        <v>0</v>
      </c>
      <c r="DJ40" s="1481">
        <f t="shared" si="70"/>
        <v>0</v>
      </c>
      <c r="DK40" s="1481">
        <f t="shared" si="70"/>
        <v>0</v>
      </c>
      <c r="DL40" s="1481">
        <f t="shared" si="70"/>
        <v>0</v>
      </c>
      <c r="DM40" s="1481">
        <f t="shared" si="70"/>
        <v>0</v>
      </c>
      <c r="DN40" s="1481">
        <f t="shared" si="70"/>
        <v>0</v>
      </c>
      <c r="DO40" s="1481">
        <f t="shared" si="35"/>
        <v>0</v>
      </c>
      <c r="DP40" s="1470">
        <f t="shared" si="36"/>
        <v>1</v>
      </c>
    </row>
    <row r="41" spans="1:121">
      <c r="A41" s="1544">
        <v>7.0000000000000007E-2</v>
      </c>
      <c r="B41" s="1545" t="s">
        <v>1050</v>
      </c>
      <c r="C41" s="1545" t="s">
        <v>1053</v>
      </c>
      <c r="D41" s="1467"/>
      <c r="E41" s="1468"/>
      <c r="F41" s="1468"/>
      <c r="G41" s="1469">
        <f t="shared" si="72"/>
        <v>0</v>
      </c>
      <c r="H41" s="1468"/>
      <c r="I41" s="1468"/>
      <c r="J41" s="1468"/>
      <c r="K41" s="1469">
        <f t="shared" si="11"/>
        <v>0</v>
      </c>
      <c r="L41" s="1470">
        <f t="shared" si="73"/>
        <v>1</v>
      </c>
      <c r="M41" s="1467"/>
      <c r="N41" s="1468"/>
      <c r="O41" s="1468"/>
      <c r="P41" s="1469">
        <f t="shared" si="74"/>
        <v>0</v>
      </c>
      <c r="Q41" s="1468"/>
      <c r="R41" s="1468"/>
      <c r="S41" s="1468"/>
      <c r="T41" s="1469">
        <f t="shared" si="76"/>
        <v>0</v>
      </c>
      <c r="U41" s="1470" t="e">
        <f t="shared" si="39"/>
        <v>#DIV/0!</v>
      </c>
      <c r="V41" s="1467"/>
      <c r="W41" s="1468"/>
      <c r="X41" s="1468"/>
      <c r="Y41" s="1469">
        <f t="shared" si="75"/>
        <v>0</v>
      </c>
      <c r="Z41" s="1468"/>
      <c r="AA41" s="1468"/>
      <c r="AB41" s="1468"/>
      <c r="AC41" s="1469">
        <f t="shared" si="77"/>
        <v>0</v>
      </c>
      <c r="AD41" s="1470" t="e">
        <f t="shared" si="42"/>
        <v>#DIV/0!</v>
      </c>
      <c r="AE41" s="1467"/>
      <c r="AF41" s="1468"/>
      <c r="AG41" s="1468"/>
      <c r="AH41" s="1469">
        <f t="shared" si="43"/>
        <v>0</v>
      </c>
      <c r="AI41" s="1468"/>
      <c r="AJ41" s="1468"/>
      <c r="AK41" s="1468"/>
      <c r="AL41" s="1469">
        <f t="shared" si="78"/>
        <v>0</v>
      </c>
      <c r="AM41" s="1470" t="e">
        <f t="shared" si="45"/>
        <v>#DIV/0!</v>
      </c>
      <c r="AN41" s="1467"/>
      <c r="AO41" s="1468"/>
      <c r="AP41" s="1468"/>
      <c r="AQ41" s="1469">
        <f t="shared" si="46"/>
        <v>0</v>
      </c>
      <c r="AR41" s="1468"/>
      <c r="AS41" s="1468"/>
      <c r="AT41" s="1468"/>
      <c r="AU41" s="1469">
        <f t="shared" si="79"/>
        <v>0</v>
      </c>
      <c r="AV41" s="1470" t="e">
        <f t="shared" si="48"/>
        <v>#DIV/0!</v>
      </c>
      <c r="AW41" s="1467"/>
      <c r="AX41" s="1468"/>
      <c r="AY41" s="1468"/>
      <c r="AZ41" s="1469">
        <f t="shared" si="49"/>
        <v>0</v>
      </c>
      <c r="BA41" s="1468"/>
      <c r="BB41" s="1468"/>
      <c r="BC41" s="1468"/>
      <c r="BD41" s="1469">
        <f t="shared" si="80"/>
        <v>0</v>
      </c>
      <c r="BE41" s="1470" t="e">
        <f t="shared" si="51"/>
        <v>#DIV/0!</v>
      </c>
      <c r="BF41" s="1467"/>
      <c r="BG41" s="1468"/>
      <c r="BH41" s="1468"/>
      <c r="BI41" s="1469">
        <f t="shared" si="52"/>
        <v>0</v>
      </c>
      <c r="BJ41" s="1468"/>
      <c r="BK41" s="1468"/>
      <c r="BL41" s="1468"/>
      <c r="BM41" s="1469">
        <f t="shared" si="81"/>
        <v>0</v>
      </c>
      <c r="BN41" s="1470" t="e">
        <f t="shared" si="54"/>
        <v>#DIV/0!</v>
      </c>
      <c r="BO41" s="1467"/>
      <c r="BP41" s="1468"/>
      <c r="BQ41" s="1468"/>
      <c r="BR41" s="1469">
        <f t="shared" si="55"/>
        <v>0</v>
      </c>
      <c r="BS41" s="1468"/>
      <c r="BT41" s="1468"/>
      <c r="BU41" s="1468"/>
      <c r="BV41" s="1469">
        <f t="shared" si="82"/>
        <v>0</v>
      </c>
      <c r="BW41" s="1470" t="e">
        <f t="shared" si="57"/>
        <v>#DIV/0!</v>
      </c>
      <c r="BX41" s="1467"/>
      <c r="BY41" s="1468"/>
      <c r="BZ41" s="1468"/>
      <c r="CA41" s="1469">
        <f t="shared" si="58"/>
        <v>0</v>
      </c>
      <c r="CB41" s="1468"/>
      <c r="CC41" s="1468"/>
      <c r="CD41" s="1468"/>
      <c r="CE41" s="1469">
        <f t="shared" si="83"/>
        <v>0</v>
      </c>
      <c r="CF41" s="1470" t="e">
        <f t="shared" si="60"/>
        <v>#DIV/0!</v>
      </c>
      <c r="CG41" s="1467"/>
      <c r="CH41" s="1468"/>
      <c r="CI41" s="1468"/>
      <c r="CJ41" s="1469">
        <f t="shared" si="61"/>
        <v>0</v>
      </c>
      <c r="CK41" s="1468"/>
      <c r="CL41" s="1468"/>
      <c r="CM41" s="1468"/>
      <c r="CN41" s="1469">
        <f t="shared" si="84"/>
        <v>0</v>
      </c>
      <c r="CO41" s="1470" t="e">
        <f t="shared" si="63"/>
        <v>#DIV/0!</v>
      </c>
      <c r="CP41" s="1467"/>
      <c r="CQ41" s="1468"/>
      <c r="CR41" s="1468"/>
      <c r="CS41" s="1469">
        <f t="shared" si="64"/>
        <v>0</v>
      </c>
      <c r="CT41" s="1468"/>
      <c r="CU41" s="1468"/>
      <c r="CV41" s="1468"/>
      <c r="CW41" s="1469">
        <f t="shared" si="85"/>
        <v>0</v>
      </c>
      <c r="CX41" s="1470" t="e">
        <f t="shared" si="66"/>
        <v>#DIV/0!</v>
      </c>
      <c r="CY41" s="1467"/>
      <c r="CZ41" s="1468"/>
      <c r="DA41" s="1468"/>
      <c r="DB41" s="1469">
        <f t="shared" si="67"/>
        <v>0</v>
      </c>
      <c r="DC41" s="1468"/>
      <c r="DD41" s="1468"/>
      <c r="DE41" s="1468"/>
      <c r="DF41" s="1469">
        <f t="shared" si="86"/>
        <v>0</v>
      </c>
      <c r="DG41" s="1470" t="e">
        <f t="shared" si="69"/>
        <v>#DIV/0!</v>
      </c>
      <c r="DH41" s="1471">
        <f t="shared" si="87"/>
        <v>0</v>
      </c>
      <c r="DI41" s="1481">
        <f t="shared" si="87"/>
        <v>0</v>
      </c>
      <c r="DJ41" s="1481">
        <f t="shared" si="87"/>
        <v>0</v>
      </c>
      <c r="DK41" s="1481">
        <f t="shared" si="87"/>
        <v>0</v>
      </c>
      <c r="DL41" s="1481">
        <f t="shared" si="87"/>
        <v>0</v>
      </c>
      <c r="DM41" s="1481">
        <f t="shared" si="87"/>
        <v>0</v>
      </c>
      <c r="DN41" s="1481">
        <f t="shared" si="87"/>
        <v>0</v>
      </c>
      <c r="DO41" s="1481">
        <f t="shared" si="35"/>
        <v>0</v>
      </c>
      <c r="DP41" s="1470">
        <f t="shared" si="36"/>
        <v>1</v>
      </c>
    </row>
    <row r="42" spans="1:121">
      <c r="A42" s="1546">
        <v>1</v>
      </c>
      <c r="B42" s="1547" t="s">
        <v>1054</v>
      </c>
      <c r="C42" s="1547" t="s">
        <v>105</v>
      </c>
      <c r="D42" s="1467"/>
      <c r="E42" s="1468"/>
      <c r="F42" s="1468"/>
      <c r="G42" s="1469">
        <f t="shared" si="72"/>
        <v>0</v>
      </c>
      <c r="H42" s="1468"/>
      <c r="I42" s="1468"/>
      <c r="J42" s="1468"/>
      <c r="K42" s="1469">
        <f t="shared" si="11"/>
        <v>0</v>
      </c>
      <c r="L42" s="1470">
        <f t="shared" si="73"/>
        <v>1</v>
      </c>
      <c r="M42" s="1467"/>
      <c r="N42" s="1468"/>
      <c r="O42" s="1468"/>
      <c r="P42" s="1469">
        <f t="shared" si="74"/>
        <v>0</v>
      </c>
      <c r="Q42" s="1468"/>
      <c r="R42" s="1468"/>
      <c r="S42" s="1468"/>
      <c r="T42" s="1469">
        <f t="shared" si="76"/>
        <v>0</v>
      </c>
      <c r="U42" s="1470" t="e">
        <f t="shared" si="39"/>
        <v>#DIV/0!</v>
      </c>
      <c r="V42" s="1467"/>
      <c r="W42" s="1468"/>
      <c r="X42" s="1468"/>
      <c r="Y42" s="1469">
        <f t="shared" si="75"/>
        <v>0</v>
      </c>
      <c r="Z42" s="1468"/>
      <c r="AA42" s="1468"/>
      <c r="AB42" s="1468"/>
      <c r="AC42" s="1469">
        <f t="shared" si="77"/>
        <v>0</v>
      </c>
      <c r="AD42" s="1470" t="e">
        <f t="shared" si="42"/>
        <v>#DIV/0!</v>
      </c>
      <c r="AE42" s="1467"/>
      <c r="AF42" s="1468"/>
      <c r="AG42" s="1468"/>
      <c r="AH42" s="1469">
        <f t="shared" si="43"/>
        <v>0</v>
      </c>
      <c r="AI42" s="1468"/>
      <c r="AJ42" s="1468"/>
      <c r="AK42" s="1468"/>
      <c r="AL42" s="1469">
        <f t="shared" si="78"/>
        <v>0</v>
      </c>
      <c r="AM42" s="1470" t="e">
        <f t="shared" si="45"/>
        <v>#DIV/0!</v>
      </c>
      <c r="AN42" s="1467"/>
      <c r="AO42" s="1468"/>
      <c r="AP42" s="1468"/>
      <c r="AQ42" s="1469">
        <f t="shared" si="46"/>
        <v>0</v>
      </c>
      <c r="AR42" s="1468"/>
      <c r="AS42" s="1468"/>
      <c r="AT42" s="1468"/>
      <c r="AU42" s="1469">
        <f t="shared" si="79"/>
        <v>0</v>
      </c>
      <c r="AV42" s="1470" t="e">
        <f t="shared" si="48"/>
        <v>#DIV/0!</v>
      </c>
      <c r="AW42" s="1467"/>
      <c r="AX42" s="1468"/>
      <c r="AY42" s="1468"/>
      <c r="AZ42" s="1469">
        <f t="shared" si="49"/>
        <v>0</v>
      </c>
      <c r="BA42" s="1468"/>
      <c r="BB42" s="1468"/>
      <c r="BC42" s="1468"/>
      <c r="BD42" s="1469">
        <f t="shared" si="80"/>
        <v>0</v>
      </c>
      <c r="BE42" s="1470" t="e">
        <f t="shared" si="51"/>
        <v>#DIV/0!</v>
      </c>
      <c r="BF42" s="1467"/>
      <c r="BG42" s="1468"/>
      <c r="BH42" s="1468"/>
      <c r="BI42" s="1469">
        <f t="shared" si="52"/>
        <v>0</v>
      </c>
      <c r="BJ42" s="1468"/>
      <c r="BK42" s="1468"/>
      <c r="BL42" s="1468"/>
      <c r="BM42" s="1469">
        <f t="shared" si="81"/>
        <v>0</v>
      </c>
      <c r="BN42" s="1470" t="e">
        <f t="shared" si="54"/>
        <v>#DIV/0!</v>
      </c>
      <c r="BO42" s="1467"/>
      <c r="BP42" s="1468"/>
      <c r="BQ42" s="1468"/>
      <c r="BR42" s="1469">
        <f t="shared" si="55"/>
        <v>0</v>
      </c>
      <c r="BS42" s="1468"/>
      <c r="BT42" s="1468"/>
      <c r="BU42" s="1468"/>
      <c r="BV42" s="1469">
        <f t="shared" si="82"/>
        <v>0</v>
      </c>
      <c r="BW42" s="1470" t="e">
        <f t="shared" si="57"/>
        <v>#DIV/0!</v>
      </c>
      <c r="BX42" s="1467"/>
      <c r="BY42" s="1468"/>
      <c r="BZ42" s="1468"/>
      <c r="CA42" s="1469">
        <f t="shared" si="58"/>
        <v>0</v>
      </c>
      <c r="CB42" s="1468"/>
      <c r="CC42" s="1468"/>
      <c r="CD42" s="1468"/>
      <c r="CE42" s="1469">
        <f t="shared" si="83"/>
        <v>0</v>
      </c>
      <c r="CF42" s="1470" t="e">
        <f t="shared" si="60"/>
        <v>#DIV/0!</v>
      </c>
      <c r="CG42" s="1467"/>
      <c r="CH42" s="1468"/>
      <c r="CI42" s="1468"/>
      <c r="CJ42" s="1469">
        <f t="shared" si="61"/>
        <v>0</v>
      </c>
      <c r="CK42" s="1468"/>
      <c r="CL42" s="1468"/>
      <c r="CM42" s="1468"/>
      <c r="CN42" s="1469">
        <f t="shared" si="84"/>
        <v>0</v>
      </c>
      <c r="CO42" s="1470" t="e">
        <f t="shared" si="63"/>
        <v>#DIV/0!</v>
      </c>
      <c r="CP42" s="1467"/>
      <c r="CQ42" s="1468"/>
      <c r="CR42" s="1468"/>
      <c r="CS42" s="1469">
        <f t="shared" si="64"/>
        <v>0</v>
      </c>
      <c r="CT42" s="1468"/>
      <c r="CU42" s="1468"/>
      <c r="CV42" s="1468"/>
      <c r="CW42" s="1469">
        <f t="shared" si="85"/>
        <v>0</v>
      </c>
      <c r="CX42" s="1470" t="e">
        <f t="shared" si="66"/>
        <v>#DIV/0!</v>
      </c>
      <c r="CY42" s="1467"/>
      <c r="CZ42" s="1468"/>
      <c r="DA42" s="1468"/>
      <c r="DB42" s="1469">
        <f t="shared" si="67"/>
        <v>0</v>
      </c>
      <c r="DC42" s="1468"/>
      <c r="DD42" s="1468"/>
      <c r="DE42" s="1468"/>
      <c r="DF42" s="1469">
        <f t="shared" si="86"/>
        <v>0</v>
      </c>
      <c r="DG42" s="1470" t="e">
        <f t="shared" si="69"/>
        <v>#DIV/0!</v>
      </c>
      <c r="DH42" s="1471">
        <f t="shared" si="87"/>
        <v>0</v>
      </c>
      <c r="DI42" s="1481">
        <f t="shared" si="87"/>
        <v>0</v>
      </c>
      <c r="DJ42" s="1481">
        <f t="shared" si="87"/>
        <v>0</v>
      </c>
      <c r="DK42" s="1481">
        <f t="shared" si="87"/>
        <v>0</v>
      </c>
      <c r="DL42" s="1481">
        <f t="shared" si="87"/>
        <v>0</v>
      </c>
      <c r="DM42" s="1481">
        <f t="shared" si="87"/>
        <v>0</v>
      </c>
      <c r="DN42" s="1481">
        <f t="shared" si="87"/>
        <v>0</v>
      </c>
      <c r="DO42" s="1481">
        <f t="shared" si="35"/>
        <v>0</v>
      </c>
      <c r="DP42" s="1470">
        <f t="shared" si="36"/>
        <v>1</v>
      </c>
    </row>
    <row r="43" spans="1:121">
      <c r="A43" s="1548">
        <v>0.74</v>
      </c>
      <c r="B43" s="1543" t="s">
        <v>1055</v>
      </c>
      <c r="C43" s="1543" t="s">
        <v>1056</v>
      </c>
      <c r="D43" s="1467"/>
      <c r="E43" s="1468"/>
      <c r="F43" s="1468"/>
      <c r="G43" s="1469">
        <f t="shared" si="72"/>
        <v>0</v>
      </c>
      <c r="H43" s="1468"/>
      <c r="I43" s="1468"/>
      <c r="J43" s="1468"/>
      <c r="K43" s="1469">
        <f t="shared" si="11"/>
        <v>0</v>
      </c>
      <c r="L43" s="1470">
        <f t="shared" si="73"/>
        <v>1</v>
      </c>
      <c r="M43" s="1467"/>
      <c r="N43" s="1468"/>
      <c r="O43" s="1468"/>
      <c r="P43" s="1469">
        <f t="shared" si="74"/>
        <v>0</v>
      </c>
      <c r="Q43" s="1468"/>
      <c r="R43" s="1468"/>
      <c r="S43" s="1468"/>
      <c r="T43" s="1469">
        <f t="shared" si="76"/>
        <v>0</v>
      </c>
      <c r="U43" s="1470" t="e">
        <f t="shared" si="39"/>
        <v>#DIV/0!</v>
      </c>
      <c r="V43" s="1467"/>
      <c r="W43" s="1468"/>
      <c r="X43" s="1468"/>
      <c r="Y43" s="1469">
        <f t="shared" si="75"/>
        <v>0</v>
      </c>
      <c r="Z43" s="1468"/>
      <c r="AA43" s="1468"/>
      <c r="AB43" s="1468"/>
      <c r="AC43" s="1469">
        <f t="shared" si="77"/>
        <v>0</v>
      </c>
      <c r="AD43" s="1470" t="e">
        <f t="shared" si="42"/>
        <v>#DIV/0!</v>
      </c>
      <c r="AE43" s="1467"/>
      <c r="AF43" s="1468"/>
      <c r="AG43" s="1468"/>
      <c r="AH43" s="1469">
        <f t="shared" si="43"/>
        <v>0</v>
      </c>
      <c r="AI43" s="1468"/>
      <c r="AJ43" s="1468"/>
      <c r="AK43" s="1468"/>
      <c r="AL43" s="1469">
        <f t="shared" si="78"/>
        <v>0</v>
      </c>
      <c r="AM43" s="1470" t="e">
        <f t="shared" si="45"/>
        <v>#DIV/0!</v>
      </c>
      <c r="AN43" s="1467"/>
      <c r="AO43" s="1468"/>
      <c r="AP43" s="1468"/>
      <c r="AQ43" s="1469">
        <f t="shared" si="46"/>
        <v>0</v>
      </c>
      <c r="AR43" s="1468"/>
      <c r="AS43" s="1468"/>
      <c r="AT43" s="1468"/>
      <c r="AU43" s="1469">
        <f t="shared" si="79"/>
        <v>0</v>
      </c>
      <c r="AV43" s="1470" t="e">
        <f t="shared" si="48"/>
        <v>#DIV/0!</v>
      </c>
      <c r="AW43" s="1467"/>
      <c r="AX43" s="1468"/>
      <c r="AY43" s="1468"/>
      <c r="AZ43" s="1469">
        <f t="shared" si="49"/>
        <v>0</v>
      </c>
      <c r="BA43" s="1468"/>
      <c r="BB43" s="1468"/>
      <c r="BC43" s="1468"/>
      <c r="BD43" s="1469">
        <f t="shared" si="80"/>
        <v>0</v>
      </c>
      <c r="BE43" s="1470" t="e">
        <f t="shared" si="51"/>
        <v>#DIV/0!</v>
      </c>
      <c r="BF43" s="1467"/>
      <c r="BG43" s="1468"/>
      <c r="BH43" s="1468"/>
      <c r="BI43" s="1469">
        <f t="shared" si="52"/>
        <v>0</v>
      </c>
      <c r="BJ43" s="1468"/>
      <c r="BK43" s="1468"/>
      <c r="BL43" s="1468"/>
      <c r="BM43" s="1469">
        <f t="shared" si="81"/>
        <v>0</v>
      </c>
      <c r="BN43" s="1470" t="e">
        <f t="shared" si="54"/>
        <v>#DIV/0!</v>
      </c>
      <c r="BO43" s="1467"/>
      <c r="BP43" s="1468"/>
      <c r="BQ43" s="1468"/>
      <c r="BR43" s="1469">
        <f t="shared" si="55"/>
        <v>0</v>
      </c>
      <c r="BS43" s="1468"/>
      <c r="BT43" s="1468"/>
      <c r="BU43" s="1468"/>
      <c r="BV43" s="1469">
        <f t="shared" si="82"/>
        <v>0</v>
      </c>
      <c r="BW43" s="1470" t="e">
        <f t="shared" si="57"/>
        <v>#DIV/0!</v>
      </c>
      <c r="BX43" s="1467"/>
      <c r="BY43" s="1468"/>
      <c r="BZ43" s="1468"/>
      <c r="CA43" s="1469">
        <f t="shared" si="58"/>
        <v>0</v>
      </c>
      <c r="CB43" s="1468"/>
      <c r="CC43" s="1468"/>
      <c r="CD43" s="1468"/>
      <c r="CE43" s="1469">
        <f t="shared" si="83"/>
        <v>0</v>
      </c>
      <c r="CF43" s="1470" t="e">
        <f t="shared" si="60"/>
        <v>#DIV/0!</v>
      </c>
      <c r="CG43" s="1467"/>
      <c r="CH43" s="1468"/>
      <c r="CI43" s="1468"/>
      <c r="CJ43" s="1469">
        <f t="shared" si="61"/>
        <v>0</v>
      </c>
      <c r="CK43" s="1468"/>
      <c r="CL43" s="1468"/>
      <c r="CM43" s="1468"/>
      <c r="CN43" s="1469">
        <f t="shared" si="84"/>
        <v>0</v>
      </c>
      <c r="CO43" s="1470" t="e">
        <f t="shared" si="63"/>
        <v>#DIV/0!</v>
      </c>
      <c r="CP43" s="1467"/>
      <c r="CQ43" s="1468"/>
      <c r="CR43" s="1468"/>
      <c r="CS43" s="1469">
        <f t="shared" si="64"/>
        <v>0</v>
      </c>
      <c r="CT43" s="1468"/>
      <c r="CU43" s="1468"/>
      <c r="CV43" s="1468"/>
      <c r="CW43" s="1469">
        <f t="shared" si="85"/>
        <v>0</v>
      </c>
      <c r="CX43" s="1470" t="e">
        <f t="shared" si="66"/>
        <v>#DIV/0!</v>
      </c>
      <c r="CY43" s="1467"/>
      <c r="CZ43" s="1468"/>
      <c r="DA43" s="1468"/>
      <c r="DB43" s="1469">
        <f t="shared" si="67"/>
        <v>0</v>
      </c>
      <c r="DC43" s="1468"/>
      <c r="DD43" s="1468"/>
      <c r="DE43" s="1468"/>
      <c r="DF43" s="1469">
        <f t="shared" si="86"/>
        <v>0</v>
      </c>
      <c r="DG43" s="1470" t="e">
        <f t="shared" si="69"/>
        <v>#DIV/0!</v>
      </c>
      <c r="DH43" s="1471">
        <f t="shared" si="87"/>
        <v>0</v>
      </c>
      <c r="DI43" s="1481">
        <f t="shared" si="87"/>
        <v>0</v>
      </c>
      <c r="DJ43" s="1481">
        <f t="shared" si="87"/>
        <v>0</v>
      </c>
      <c r="DK43" s="1481">
        <f t="shared" si="87"/>
        <v>0</v>
      </c>
      <c r="DL43" s="1481">
        <f t="shared" si="87"/>
        <v>0</v>
      </c>
      <c r="DM43" s="1481">
        <f t="shared" si="87"/>
        <v>0</v>
      </c>
      <c r="DN43" s="1481">
        <f t="shared" si="87"/>
        <v>0</v>
      </c>
      <c r="DO43" s="1481">
        <f t="shared" si="35"/>
        <v>0</v>
      </c>
      <c r="DP43" s="1470">
        <f t="shared" si="36"/>
        <v>1</v>
      </c>
    </row>
    <row r="44" spans="1:121">
      <c r="A44" s="1548">
        <v>0.13</v>
      </c>
      <c r="B44" s="1543" t="s">
        <v>1055</v>
      </c>
      <c r="C44" s="1543" t="s">
        <v>1057</v>
      </c>
      <c r="D44" s="1467"/>
      <c r="E44" s="1468"/>
      <c r="F44" s="1468"/>
      <c r="G44" s="1469">
        <f t="shared" si="72"/>
        <v>0</v>
      </c>
      <c r="H44" s="1468"/>
      <c r="I44" s="1468"/>
      <c r="J44" s="1468"/>
      <c r="K44" s="1469">
        <f t="shared" si="11"/>
        <v>0</v>
      </c>
      <c r="L44" s="1470">
        <f t="shared" si="73"/>
        <v>1</v>
      </c>
      <c r="M44" s="1467"/>
      <c r="N44" s="1468"/>
      <c r="O44" s="1468"/>
      <c r="P44" s="1469">
        <f t="shared" si="74"/>
        <v>0</v>
      </c>
      <c r="Q44" s="1468"/>
      <c r="R44" s="1468"/>
      <c r="S44" s="1468"/>
      <c r="T44" s="1469">
        <f t="shared" si="76"/>
        <v>0</v>
      </c>
      <c r="U44" s="1470" t="e">
        <f t="shared" si="39"/>
        <v>#DIV/0!</v>
      </c>
      <c r="V44" s="1467"/>
      <c r="W44" s="1468"/>
      <c r="X44" s="1468"/>
      <c r="Y44" s="1469">
        <f t="shared" si="75"/>
        <v>0</v>
      </c>
      <c r="Z44" s="1468"/>
      <c r="AA44" s="1468"/>
      <c r="AB44" s="1468"/>
      <c r="AC44" s="1469">
        <f t="shared" si="77"/>
        <v>0</v>
      </c>
      <c r="AD44" s="1470" t="e">
        <f t="shared" si="42"/>
        <v>#DIV/0!</v>
      </c>
      <c r="AE44" s="1467"/>
      <c r="AF44" s="1468"/>
      <c r="AG44" s="1468"/>
      <c r="AH44" s="1469">
        <f t="shared" si="43"/>
        <v>0</v>
      </c>
      <c r="AI44" s="1468"/>
      <c r="AJ44" s="1468"/>
      <c r="AK44" s="1468"/>
      <c r="AL44" s="1469">
        <f t="shared" si="78"/>
        <v>0</v>
      </c>
      <c r="AM44" s="1470" t="e">
        <f t="shared" si="45"/>
        <v>#DIV/0!</v>
      </c>
      <c r="AN44" s="1467"/>
      <c r="AO44" s="1468"/>
      <c r="AP44" s="1468"/>
      <c r="AQ44" s="1469">
        <f t="shared" si="46"/>
        <v>0</v>
      </c>
      <c r="AR44" s="1468"/>
      <c r="AS44" s="1468"/>
      <c r="AT44" s="1468"/>
      <c r="AU44" s="1469">
        <f t="shared" si="79"/>
        <v>0</v>
      </c>
      <c r="AV44" s="1470" t="e">
        <f t="shared" si="48"/>
        <v>#DIV/0!</v>
      </c>
      <c r="AW44" s="1467"/>
      <c r="AX44" s="1468"/>
      <c r="AY44" s="1468"/>
      <c r="AZ44" s="1469">
        <f t="shared" si="49"/>
        <v>0</v>
      </c>
      <c r="BA44" s="1468"/>
      <c r="BB44" s="1468"/>
      <c r="BC44" s="1468"/>
      <c r="BD44" s="1469">
        <f t="shared" si="80"/>
        <v>0</v>
      </c>
      <c r="BE44" s="1470" t="e">
        <f t="shared" si="51"/>
        <v>#DIV/0!</v>
      </c>
      <c r="BF44" s="1467"/>
      <c r="BG44" s="1468"/>
      <c r="BH44" s="1468"/>
      <c r="BI44" s="1469">
        <f t="shared" si="52"/>
        <v>0</v>
      </c>
      <c r="BJ44" s="1468"/>
      <c r="BK44" s="1468"/>
      <c r="BL44" s="1468"/>
      <c r="BM44" s="1469">
        <f t="shared" si="81"/>
        <v>0</v>
      </c>
      <c r="BN44" s="1470" t="e">
        <f t="shared" si="54"/>
        <v>#DIV/0!</v>
      </c>
      <c r="BO44" s="1467"/>
      <c r="BP44" s="1468"/>
      <c r="BQ44" s="1468"/>
      <c r="BR44" s="1469">
        <f t="shared" si="55"/>
        <v>0</v>
      </c>
      <c r="BS44" s="1468"/>
      <c r="BT44" s="1468"/>
      <c r="BU44" s="1468"/>
      <c r="BV44" s="1469">
        <f t="shared" si="82"/>
        <v>0</v>
      </c>
      <c r="BW44" s="1470" t="e">
        <f t="shared" si="57"/>
        <v>#DIV/0!</v>
      </c>
      <c r="BX44" s="1467"/>
      <c r="BY44" s="1468"/>
      <c r="BZ44" s="1468"/>
      <c r="CA44" s="1469">
        <f t="shared" si="58"/>
        <v>0</v>
      </c>
      <c r="CB44" s="1468"/>
      <c r="CC44" s="1468"/>
      <c r="CD44" s="1468"/>
      <c r="CE44" s="1469">
        <f t="shared" si="83"/>
        <v>0</v>
      </c>
      <c r="CF44" s="1470" t="e">
        <f t="shared" si="60"/>
        <v>#DIV/0!</v>
      </c>
      <c r="CG44" s="1467"/>
      <c r="CH44" s="1468"/>
      <c r="CI44" s="1468"/>
      <c r="CJ44" s="1469">
        <f t="shared" si="61"/>
        <v>0</v>
      </c>
      <c r="CK44" s="1468"/>
      <c r="CL44" s="1468"/>
      <c r="CM44" s="1468"/>
      <c r="CN44" s="1469">
        <f t="shared" si="84"/>
        <v>0</v>
      </c>
      <c r="CO44" s="1470" t="e">
        <f t="shared" si="63"/>
        <v>#DIV/0!</v>
      </c>
      <c r="CP44" s="1467"/>
      <c r="CQ44" s="1468"/>
      <c r="CR44" s="1468"/>
      <c r="CS44" s="1469">
        <f t="shared" si="64"/>
        <v>0</v>
      </c>
      <c r="CT44" s="1468"/>
      <c r="CU44" s="1468"/>
      <c r="CV44" s="1468"/>
      <c r="CW44" s="1469">
        <f t="shared" si="85"/>
        <v>0</v>
      </c>
      <c r="CX44" s="1470" t="e">
        <f t="shared" si="66"/>
        <v>#DIV/0!</v>
      </c>
      <c r="CY44" s="1467"/>
      <c r="CZ44" s="1468"/>
      <c r="DA44" s="1468"/>
      <c r="DB44" s="1469">
        <f t="shared" si="67"/>
        <v>0</v>
      </c>
      <c r="DC44" s="1468"/>
      <c r="DD44" s="1468"/>
      <c r="DE44" s="1468"/>
      <c r="DF44" s="1469">
        <f t="shared" si="86"/>
        <v>0</v>
      </c>
      <c r="DG44" s="1470" t="e">
        <f t="shared" si="69"/>
        <v>#DIV/0!</v>
      </c>
      <c r="DH44" s="1471">
        <f t="shared" si="87"/>
        <v>0</v>
      </c>
      <c r="DI44" s="1481">
        <f t="shared" si="87"/>
        <v>0</v>
      </c>
      <c r="DJ44" s="1481">
        <f t="shared" si="87"/>
        <v>0</v>
      </c>
      <c r="DK44" s="1481">
        <f t="shared" si="87"/>
        <v>0</v>
      </c>
      <c r="DL44" s="1481">
        <f t="shared" si="87"/>
        <v>0</v>
      </c>
      <c r="DM44" s="1481">
        <f t="shared" si="87"/>
        <v>0</v>
      </c>
      <c r="DN44" s="1481">
        <f t="shared" si="87"/>
        <v>0</v>
      </c>
      <c r="DO44" s="1481">
        <f t="shared" si="35"/>
        <v>0</v>
      </c>
      <c r="DP44" s="1470">
        <f t="shared" si="36"/>
        <v>1</v>
      </c>
    </row>
    <row r="45" spans="1:121">
      <c r="A45" s="1549">
        <v>0.13</v>
      </c>
      <c r="B45" s="1543" t="s">
        <v>1055</v>
      </c>
      <c r="C45" s="1543" t="s">
        <v>1058</v>
      </c>
      <c r="D45" s="1467"/>
      <c r="E45" s="1468"/>
      <c r="F45" s="1468"/>
      <c r="G45" s="1469">
        <f t="shared" si="72"/>
        <v>0</v>
      </c>
      <c r="H45" s="1468"/>
      <c r="I45" s="1468"/>
      <c r="J45" s="1468"/>
      <c r="K45" s="1469">
        <f t="shared" si="11"/>
        <v>0</v>
      </c>
      <c r="L45" s="1470">
        <f t="shared" si="73"/>
        <v>1</v>
      </c>
      <c r="M45" s="1467"/>
      <c r="N45" s="1468"/>
      <c r="O45" s="1468"/>
      <c r="P45" s="1469">
        <f t="shared" si="74"/>
        <v>0</v>
      </c>
      <c r="Q45" s="1468"/>
      <c r="R45" s="1468"/>
      <c r="S45" s="1468"/>
      <c r="T45" s="1469">
        <f t="shared" si="76"/>
        <v>0</v>
      </c>
      <c r="U45" s="1470" t="e">
        <f t="shared" si="39"/>
        <v>#DIV/0!</v>
      </c>
      <c r="V45" s="1467"/>
      <c r="W45" s="1468"/>
      <c r="X45" s="1468"/>
      <c r="Y45" s="1469">
        <f t="shared" si="75"/>
        <v>0</v>
      </c>
      <c r="Z45" s="1468"/>
      <c r="AA45" s="1468"/>
      <c r="AB45" s="1468"/>
      <c r="AC45" s="1469">
        <f t="shared" si="77"/>
        <v>0</v>
      </c>
      <c r="AD45" s="1470" t="e">
        <f t="shared" si="42"/>
        <v>#DIV/0!</v>
      </c>
      <c r="AE45" s="1467"/>
      <c r="AF45" s="1468"/>
      <c r="AG45" s="1468"/>
      <c r="AH45" s="1469">
        <f t="shared" si="43"/>
        <v>0</v>
      </c>
      <c r="AI45" s="1468"/>
      <c r="AJ45" s="1468"/>
      <c r="AK45" s="1468"/>
      <c r="AL45" s="1469">
        <f t="shared" si="78"/>
        <v>0</v>
      </c>
      <c r="AM45" s="1470" t="e">
        <f t="shared" si="45"/>
        <v>#DIV/0!</v>
      </c>
      <c r="AN45" s="1467"/>
      <c r="AO45" s="1468"/>
      <c r="AP45" s="1468"/>
      <c r="AQ45" s="1469">
        <f t="shared" si="46"/>
        <v>0</v>
      </c>
      <c r="AR45" s="1468"/>
      <c r="AS45" s="1468"/>
      <c r="AT45" s="1468"/>
      <c r="AU45" s="1469">
        <f t="shared" si="79"/>
        <v>0</v>
      </c>
      <c r="AV45" s="1470" t="e">
        <f t="shared" si="48"/>
        <v>#DIV/0!</v>
      </c>
      <c r="AW45" s="1467"/>
      <c r="AX45" s="1468"/>
      <c r="AY45" s="1468"/>
      <c r="AZ45" s="1469">
        <f t="shared" si="49"/>
        <v>0</v>
      </c>
      <c r="BA45" s="1468"/>
      <c r="BB45" s="1468"/>
      <c r="BC45" s="1468"/>
      <c r="BD45" s="1469">
        <f t="shared" si="80"/>
        <v>0</v>
      </c>
      <c r="BE45" s="1470" t="e">
        <f t="shared" si="51"/>
        <v>#DIV/0!</v>
      </c>
      <c r="BF45" s="1467"/>
      <c r="BG45" s="1468"/>
      <c r="BH45" s="1468"/>
      <c r="BI45" s="1469">
        <f t="shared" si="52"/>
        <v>0</v>
      </c>
      <c r="BJ45" s="1468"/>
      <c r="BK45" s="1468"/>
      <c r="BL45" s="1468"/>
      <c r="BM45" s="1469">
        <f t="shared" si="81"/>
        <v>0</v>
      </c>
      <c r="BN45" s="1470" t="e">
        <f t="shared" si="54"/>
        <v>#DIV/0!</v>
      </c>
      <c r="BO45" s="1467"/>
      <c r="BP45" s="1468"/>
      <c r="BQ45" s="1468"/>
      <c r="BR45" s="1469">
        <f t="shared" si="55"/>
        <v>0</v>
      </c>
      <c r="BS45" s="1468"/>
      <c r="BT45" s="1468"/>
      <c r="BU45" s="1468"/>
      <c r="BV45" s="1469">
        <f t="shared" si="82"/>
        <v>0</v>
      </c>
      <c r="BW45" s="1470" t="e">
        <f t="shared" si="57"/>
        <v>#DIV/0!</v>
      </c>
      <c r="BX45" s="1467"/>
      <c r="BY45" s="1468"/>
      <c r="BZ45" s="1468"/>
      <c r="CA45" s="1469">
        <f t="shared" si="58"/>
        <v>0</v>
      </c>
      <c r="CB45" s="1468"/>
      <c r="CC45" s="1468"/>
      <c r="CD45" s="1468"/>
      <c r="CE45" s="1469">
        <f t="shared" si="83"/>
        <v>0</v>
      </c>
      <c r="CF45" s="1470" t="e">
        <f t="shared" si="60"/>
        <v>#DIV/0!</v>
      </c>
      <c r="CG45" s="1467"/>
      <c r="CH45" s="1468"/>
      <c r="CI45" s="1468"/>
      <c r="CJ45" s="1469">
        <f t="shared" si="61"/>
        <v>0</v>
      </c>
      <c r="CK45" s="1468"/>
      <c r="CL45" s="1468"/>
      <c r="CM45" s="1468"/>
      <c r="CN45" s="1469">
        <f t="shared" si="84"/>
        <v>0</v>
      </c>
      <c r="CO45" s="1470" t="e">
        <f t="shared" si="63"/>
        <v>#DIV/0!</v>
      </c>
      <c r="CP45" s="1467"/>
      <c r="CQ45" s="1468"/>
      <c r="CR45" s="1468"/>
      <c r="CS45" s="1469">
        <f t="shared" si="64"/>
        <v>0</v>
      </c>
      <c r="CT45" s="1468"/>
      <c r="CU45" s="1468"/>
      <c r="CV45" s="1468"/>
      <c r="CW45" s="1469">
        <f t="shared" si="85"/>
        <v>0</v>
      </c>
      <c r="CX45" s="1470" t="e">
        <f t="shared" si="66"/>
        <v>#DIV/0!</v>
      </c>
      <c r="CY45" s="1467"/>
      <c r="CZ45" s="1468"/>
      <c r="DA45" s="1468"/>
      <c r="DB45" s="1469">
        <f t="shared" si="67"/>
        <v>0</v>
      </c>
      <c r="DC45" s="1468"/>
      <c r="DD45" s="1468"/>
      <c r="DE45" s="1468"/>
      <c r="DF45" s="1469">
        <f t="shared" si="86"/>
        <v>0</v>
      </c>
      <c r="DG45" s="1470" t="e">
        <f t="shared" si="69"/>
        <v>#DIV/0!</v>
      </c>
      <c r="DH45" s="1471">
        <f t="shared" si="87"/>
        <v>0</v>
      </c>
      <c r="DI45" s="1481">
        <f t="shared" si="87"/>
        <v>0</v>
      </c>
      <c r="DJ45" s="1481">
        <f t="shared" si="87"/>
        <v>0</v>
      </c>
      <c r="DK45" s="1481">
        <f t="shared" si="87"/>
        <v>0</v>
      </c>
      <c r="DL45" s="1481">
        <f t="shared" si="87"/>
        <v>0</v>
      </c>
      <c r="DM45" s="1481">
        <f t="shared" si="87"/>
        <v>0</v>
      </c>
      <c r="DN45" s="1481">
        <f t="shared" si="87"/>
        <v>0</v>
      </c>
      <c r="DO45" s="1481">
        <f t="shared" si="35"/>
        <v>0</v>
      </c>
      <c r="DP45" s="1470">
        <f t="shared" si="36"/>
        <v>1</v>
      </c>
    </row>
    <row r="46" spans="1:121">
      <c r="A46" s="1548">
        <v>0.67</v>
      </c>
      <c r="B46" s="1550" t="s">
        <v>1059</v>
      </c>
      <c r="C46" s="1550" t="s">
        <v>1060</v>
      </c>
      <c r="D46" s="1467"/>
      <c r="E46" s="1468"/>
      <c r="F46" s="1468"/>
      <c r="G46" s="1469">
        <f t="shared" si="72"/>
        <v>0</v>
      </c>
      <c r="H46" s="1468"/>
      <c r="I46" s="1468"/>
      <c r="J46" s="1468"/>
      <c r="K46" s="1469">
        <f t="shared" si="11"/>
        <v>0</v>
      </c>
      <c r="L46" s="1470">
        <f t="shared" si="73"/>
        <v>1</v>
      </c>
      <c r="M46" s="1467"/>
      <c r="N46" s="1468"/>
      <c r="O46" s="1468"/>
      <c r="P46" s="1469">
        <f t="shared" si="74"/>
        <v>0</v>
      </c>
      <c r="Q46" s="1468"/>
      <c r="R46" s="1468"/>
      <c r="S46" s="1468"/>
      <c r="T46" s="1469">
        <f t="shared" si="76"/>
        <v>0</v>
      </c>
      <c r="U46" s="1470" t="e">
        <f t="shared" si="39"/>
        <v>#DIV/0!</v>
      </c>
      <c r="V46" s="1467"/>
      <c r="W46" s="1468"/>
      <c r="X46" s="1468"/>
      <c r="Y46" s="1469">
        <f t="shared" si="75"/>
        <v>0</v>
      </c>
      <c r="Z46" s="1468"/>
      <c r="AA46" s="1468"/>
      <c r="AB46" s="1468"/>
      <c r="AC46" s="1469">
        <f t="shared" si="77"/>
        <v>0</v>
      </c>
      <c r="AD46" s="1470" t="e">
        <f t="shared" si="42"/>
        <v>#DIV/0!</v>
      </c>
      <c r="AE46" s="1467"/>
      <c r="AF46" s="1468"/>
      <c r="AG46" s="1468"/>
      <c r="AH46" s="1469">
        <f t="shared" si="43"/>
        <v>0</v>
      </c>
      <c r="AI46" s="1468"/>
      <c r="AJ46" s="1468"/>
      <c r="AK46" s="1468"/>
      <c r="AL46" s="1469">
        <f t="shared" si="78"/>
        <v>0</v>
      </c>
      <c r="AM46" s="1470" t="e">
        <f t="shared" si="45"/>
        <v>#DIV/0!</v>
      </c>
      <c r="AN46" s="1467"/>
      <c r="AO46" s="1468"/>
      <c r="AP46" s="1468"/>
      <c r="AQ46" s="1469">
        <f t="shared" si="46"/>
        <v>0</v>
      </c>
      <c r="AR46" s="1468"/>
      <c r="AS46" s="1468"/>
      <c r="AT46" s="1468"/>
      <c r="AU46" s="1469">
        <f t="shared" si="79"/>
        <v>0</v>
      </c>
      <c r="AV46" s="1470" t="e">
        <f t="shared" si="48"/>
        <v>#DIV/0!</v>
      </c>
      <c r="AW46" s="1467"/>
      <c r="AX46" s="1468"/>
      <c r="AY46" s="1468"/>
      <c r="AZ46" s="1469">
        <f t="shared" si="49"/>
        <v>0</v>
      </c>
      <c r="BA46" s="1468"/>
      <c r="BB46" s="1468"/>
      <c r="BC46" s="1468"/>
      <c r="BD46" s="1469">
        <f t="shared" si="80"/>
        <v>0</v>
      </c>
      <c r="BE46" s="1470" t="e">
        <f t="shared" si="51"/>
        <v>#DIV/0!</v>
      </c>
      <c r="BF46" s="1467"/>
      <c r="BG46" s="1468"/>
      <c r="BH46" s="1468"/>
      <c r="BI46" s="1469">
        <f t="shared" si="52"/>
        <v>0</v>
      </c>
      <c r="BJ46" s="1468"/>
      <c r="BK46" s="1468"/>
      <c r="BL46" s="1468"/>
      <c r="BM46" s="1469">
        <f t="shared" si="81"/>
        <v>0</v>
      </c>
      <c r="BN46" s="1470" t="e">
        <f t="shared" si="54"/>
        <v>#DIV/0!</v>
      </c>
      <c r="BO46" s="1467"/>
      <c r="BP46" s="1468"/>
      <c r="BQ46" s="1468"/>
      <c r="BR46" s="1469">
        <f t="shared" si="55"/>
        <v>0</v>
      </c>
      <c r="BS46" s="1468"/>
      <c r="BT46" s="1468"/>
      <c r="BU46" s="1468"/>
      <c r="BV46" s="1469">
        <f t="shared" si="82"/>
        <v>0</v>
      </c>
      <c r="BW46" s="1470" t="e">
        <f t="shared" si="57"/>
        <v>#DIV/0!</v>
      </c>
      <c r="BX46" s="1467"/>
      <c r="BY46" s="1468"/>
      <c r="BZ46" s="1468"/>
      <c r="CA46" s="1469">
        <f t="shared" si="58"/>
        <v>0</v>
      </c>
      <c r="CB46" s="1468"/>
      <c r="CC46" s="1468"/>
      <c r="CD46" s="1468"/>
      <c r="CE46" s="1469">
        <f t="shared" si="83"/>
        <v>0</v>
      </c>
      <c r="CF46" s="1470" t="e">
        <f t="shared" si="60"/>
        <v>#DIV/0!</v>
      </c>
      <c r="CG46" s="1467"/>
      <c r="CH46" s="1468"/>
      <c r="CI46" s="1468"/>
      <c r="CJ46" s="1469">
        <f t="shared" si="61"/>
        <v>0</v>
      </c>
      <c r="CK46" s="1468"/>
      <c r="CL46" s="1468"/>
      <c r="CM46" s="1468"/>
      <c r="CN46" s="1469">
        <f t="shared" si="84"/>
        <v>0</v>
      </c>
      <c r="CO46" s="1470" t="e">
        <f t="shared" si="63"/>
        <v>#DIV/0!</v>
      </c>
      <c r="CP46" s="1467"/>
      <c r="CQ46" s="1468"/>
      <c r="CR46" s="1468"/>
      <c r="CS46" s="1469">
        <f t="shared" si="64"/>
        <v>0</v>
      </c>
      <c r="CT46" s="1468"/>
      <c r="CU46" s="1468"/>
      <c r="CV46" s="1468"/>
      <c r="CW46" s="1469">
        <f t="shared" si="85"/>
        <v>0</v>
      </c>
      <c r="CX46" s="1470" t="e">
        <f t="shared" si="66"/>
        <v>#DIV/0!</v>
      </c>
      <c r="CY46" s="1467"/>
      <c r="CZ46" s="1468"/>
      <c r="DA46" s="1468"/>
      <c r="DB46" s="1469">
        <f t="shared" si="67"/>
        <v>0</v>
      </c>
      <c r="DC46" s="1468"/>
      <c r="DD46" s="1468"/>
      <c r="DE46" s="1468"/>
      <c r="DF46" s="1469">
        <f t="shared" si="86"/>
        <v>0</v>
      </c>
      <c r="DG46" s="1470" t="e">
        <f t="shared" si="69"/>
        <v>#DIV/0!</v>
      </c>
      <c r="DH46" s="1471">
        <f t="shared" si="87"/>
        <v>0</v>
      </c>
      <c r="DI46" s="1481">
        <f t="shared" si="87"/>
        <v>0</v>
      </c>
      <c r="DJ46" s="1481">
        <f t="shared" si="87"/>
        <v>0</v>
      </c>
      <c r="DK46" s="1481">
        <f t="shared" si="87"/>
        <v>0</v>
      </c>
      <c r="DL46" s="1481">
        <f t="shared" si="87"/>
        <v>0</v>
      </c>
      <c r="DM46" s="1481">
        <f t="shared" si="87"/>
        <v>0</v>
      </c>
      <c r="DN46" s="1481">
        <f t="shared" si="87"/>
        <v>0</v>
      </c>
      <c r="DO46" s="1481">
        <f t="shared" si="35"/>
        <v>0</v>
      </c>
      <c r="DP46" s="1470">
        <f t="shared" si="36"/>
        <v>1</v>
      </c>
    </row>
    <row r="47" spans="1:121">
      <c r="A47" s="1548">
        <v>0.22</v>
      </c>
      <c r="B47" s="1551" t="s">
        <v>1059</v>
      </c>
      <c r="C47" s="1551" t="s">
        <v>1061</v>
      </c>
      <c r="D47" s="1467"/>
      <c r="E47" s="1468"/>
      <c r="F47" s="1468"/>
      <c r="G47" s="1469">
        <f t="shared" si="72"/>
        <v>0</v>
      </c>
      <c r="H47" s="1468"/>
      <c r="I47" s="1468"/>
      <c r="J47" s="1468"/>
      <c r="K47" s="1469">
        <f t="shared" si="11"/>
        <v>0</v>
      </c>
      <c r="L47" s="1470">
        <f t="shared" si="73"/>
        <v>1</v>
      </c>
      <c r="M47" s="1467"/>
      <c r="N47" s="1468"/>
      <c r="O47" s="1468"/>
      <c r="P47" s="1469">
        <f t="shared" si="74"/>
        <v>0</v>
      </c>
      <c r="Q47" s="1468"/>
      <c r="R47" s="1468"/>
      <c r="S47" s="1468"/>
      <c r="T47" s="1469">
        <f t="shared" si="76"/>
        <v>0</v>
      </c>
      <c r="U47" s="1470" t="e">
        <f t="shared" si="39"/>
        <v>#DIV/0!</v>
      </c>
      <c r="V47" s="1467"/>
      <c r="W47" s="1468"/>
      <c r="X47" s="1468"/>
      <c r="Y47" s="1469">
        <f t="shared" si="75"/>
        <v>0</v>
      </c>
      <c r="Z47" s="1468"/>
      <c r="AA47" s="1468"/>
      <c r="AB47" s="1468"/>
      <c r="AC47" s="1469">
        <f t="shared" si="77"/>
        <v>0</v>
      </c>
      <c r="AD47" s="1470" t="e">
        <f t="shared" si="42"/>
        <v>#DIV/0!</v>
      </c>
      <c r="AE47" s="1467"/>
      <c r="AF47" s="1468"/>
      <c r="AG47" s="1468"/>
      <c r="AH47" s="1469">
        <f t="shared" si="43"/>
        <v>0</v>
      </c>
      <c r="AI47" s="1468"/>
      <c r="AJ47" s="1468"/>
      <c r="AK47" s="1468"/>
      <c r="AL47" s="1469">
        <f t="shared" si="78"/>
        <v>0</v>
      </c>
      <c r="AM47" s="1470" t="e">
        <f t="shared" si="45"/>
        <v>#DIV/0!</v>
      </c>
      <c r="AN47" s="1467"/>
      <c r="AO47" s="1468"/>
      <c r="AP47" s="1468"/>
      <c r="AQ47" s="1469">
        <f t="shared" si="46"/>
        <v>0</v>
      </c>
      <c r="AR47" s="1468"/>
      <c r="AS47" s="1468"/>
      <c r="AT47" s="1468"/>
      <c r="AU47" s="1469">
        <f t="shared" si="79"/>
        <v>0</v>
      </c>
      <c r="AV47" s="1470" t="e">
        <f t="shared" si="48"/>
        <v>#DIV/0!</v>
      </c>
      <c r="AW47" s="1467"/>
      <c r="AX47" s="1468"/>
      <c r="AY47" s="1468"/>
      <c r="AZ47" s="1469">
        <f t="shared" si="49"/>
        <v>0</v>
      </c>
      <c r="BA47" s="1468"/>
      <c r="BB47" s="1468"/>
      <c r="BC47" s="1468"/>
      <c r="BD47" s="1469">
        <f t="shared" si="80"/>
        <v>0</v>
      </c>
      <c r="BE47" s="1470" t="e">
        <f t="shared" si="51"/>
        <v>#DIV/0!</v>
      </c>
      <c r="BF47" s="1467"/>
      <c r="BG47" s="1468"/>
      <c r="BH47" s="1468"/>
      <c r="BI47" s="1469">
        <f t="shared" si="52"/>
        <v>0</v>
      </c>
      <c r="BJ47" s="1468"/>
      <c r="BK47" s="1468"/>
      <c r="BL47" s="1468"/>
      <c r="BM47" s="1469">
        <f t="shared" si="81"/>
        <v>0</v>
      </c>
      <c r="BN47" s="1470" t="e">
        <f t="shared" si="54"/>
        <v>#DIV/0!</v>
      </c>
      <c r="BO47" s="1467"/>
      <c r="BP47" s="1468"/>
      <c r="BQ47" s="1468"/>
      <c r="BR47" s="1469">
        <f t="shared" si="55"/>
        <v>0</v>
      </c>
      <c r="BS47" s="1468"/>
      <c r="BT47" s="1468"/>
      <c r="BU47" s="1468"/>
      <c r="BV47" s="1469">
        <f t="shared" si="82"/>
        <v>0</v>
      </c>
      <c r="BW47" s="1470" t="e">
        <f t="shared" si="57"/>
        <v>#DIV/0!</v>
      </c>
      <c r="BX47" s="1467"/>
      <c r="BY47" s="1468"/>
      <c r="BZ47" s="1468"/>
      <c r="CA47" s="1469">
        <f t="shared" si="58"/>
        <v>0</v>
      </c>
      <c r="CB47" s="1468"/>
      <c r="CC47" s="1468"/>
      <c r="CD47" s="1468"/>
      <c r="CE47" s="1469">
        <f t="shared" si="83"/>
        <v>0</v>
      </c>
      <c r="CF47" s="1470" t="e">
        <f t="shared" si="60"/>
        <v>#DIV/0!</v>
      </c>
      <c r="CG47" s="1467"/>
      <c r="CH47" s="1468"/>
      <c r="CI47" s="1468"/>
      <c r="CJ47" s="1469">
        <f t="shared" si="61"/>
        <v>0</v>
      </c>
      <c r="CK47" s="1468"/>
      <c r="CL47" s="1468"/>
      <c r="CM47" s="1468"/>
      <c r="CN47" s="1469">
        <f t="shared" si="84"/>
        <v>0</v>
      </c>
      <c r="CO47" s="1470" t="e">
        <f t="shared" si="63"/>
        <v>#DIV/0!</v>
      </c>
      <c r="CP47" s="1467"/>
      <c r="CQ47" s="1468"/>
      <c r="CR47" s="1468"/>
      <c r="CS47" s="1469">
        <f t="shared" si="64"/>
        <v>0</v>
      </c>
      <c r="CT47" s="1468"/>
      <c r="CU47" s="1468"/>
      <c r="CV47" s="1468"/>
      <c r="CW47" s="1469">
        <f t="shared" si="85"/>
        <v>0</v>
      </c>
      <c r="CX47" s="1470" t="e">
        <f t="shared" si="66"/>
        <v>#DIV/0!</v>
      </c>
      <c r="CY47" s="1467"/>
      <c r="CZ47" s="1468"/>
      <c r="DA47" s="1468"/>
      <c r="DB47" s="1469">
        <f t="shared" si="67"/>
        <v>0</v>
      </c>
      <c r="DC47" s="1468"/>
      <c r="DD47" s="1468"/>
      <c r="DE47" s="1468"/>
      <c r="DF47" s="1469">
        <f t="shared" si="86"/>
        <v>0</v>
      </c>
      <c r="DG47" s="1470" t="e">
        <f t="shared" si="69"/>
        <v>#DIV/0!</v>
      </c>
      <c r="DH47" s="1471">
        <f t="shared" si="87"/>
        <v>0</v>
      </c>
      <c r="DI47" s="1481">
        <f t="shared" si="87"/>
        <v>0</v>
      </c>
      <c r="DJ47" s="1481">
        <f t="shared" si="87"/>
        <v>0</v>
      </c>
      <c r="DK47" s="1481">
        <f t="shared" si="87"/>
        <v>0</v>
      </c>
      <c r="DL47" s="1481">
        <f t="shared" si="87"/>
        <v>0</v>
      </c>
      <c r="DM47" s="1481">
        <f t="shared" si="87"/>
        <v>0</v>
      </c>
      <c r="DN47" s="1481">
        <f t="shared" si="87"/>
        <v>0</v>
      </c>
      <c r="DO47" s="1481">
        <f t="shared" si="35"/>
        <v>0</v>
      </c>
      <c r="DP47" s="1470">
        <f t="shared" si="36"/>
        <v>1</v>
      </c>
    </row>
    <row r="48" spans="1:121">
      <c r="A48" s="1549">
        <v>0.11</v>
      </c>
      <c r="B48" s="1552" t="s">
        <v>1059</v>
      </c>
      <c r="C48" s="1552" t="s">
        <v>1062</v>
      </c>
      <c r="D48" s="1467"/>
      <c r="E48" s="1468"/>
      <c r="F48" s="1468"/>
      <c r="G48" s="1469">
        <f t="shared" si="72"/>
        <v>0</v>
      </c>
      <c r="H48" s="1468"/>
      <c r="I48" s="1468"/>
      <c r="J48" s="1468"/>
      <c r="K48" s="1469">
        <f t="shared" si="11"/>
        <v>0</v>
      </c>
      <c r="L48" s="1470">
        <f t="shared" si="73"/>
        <v>1</v>
      </c>
      <c r="M48" s="1467"/>
      <c r="N48" s="1468"/>
      <c r="O48" s="1468"/>
      <c r="P48" s="1469">
        <f t="shared" si="74"/>
        <v>0</v>
      </c>
      <c r="Q48" s="1468"/>
      <c r="R48" s="1468"/>
      <c r="S48" s="1468"/>
      <c r="T48" s="1469">
        <f t="shared" si="76"/>
        <v>0</v>
      </c>
      <c r="U48" s="1470" t="e">
        <f t="shared" si="39"/>
        <v>#DIV/0!</v>
      </c>
      <c r="V48" s="1467"/>
      <c r="W48" s="1468"/>
      <c r="X48" s="1468"/>
      <c r="Y48" s="1469">
        <f t="shared" si="75"/>
        <v>0</v>
      </c>
      <c r="Z48" s="1468"/>
      <c r="AA48" s="1468"/>
      <c r="AB48" s="1468"/>
      <c r="AC48" s="1469">
        <f t="shared" si="77"/>
        <v>0</v>
      </c>
      <c r="AD48" s="1470" t="e">
        <f t="shared" si="42"/>
        <v>#DIV/0!</v>
      </c>
      <c r="AE48" s="1467"/>
      <c r="AF48" s="1468"/>
      <c r="AG48" s="1468"/>
      <c r="AH48" s="1469">
        <f t="shared" si="43"/>
        <v>0</v>
      </c>
      <c r="AI48" s="1468"/>
      <c r="AJ48" s="1468"/>
      <c r="AK48" s="1468"/>
      <c r="AL48" s="1469">
        <f t="shared" si="78"/>
        <v>0</v>
      </c>
      <c r="AM48" s="1470" t="e">
        <f t="shared" si="45"/>
        <v>#DIV/0!</v>
      </c>
      <c r="AN48" s="1467"/>
      <c r="AO48" s="1468"/>
      <c r="AP48" s="1468"/>
      <c r="AQ48" s="1469">
        <f t="shared" si="46"/>
        <v>0</v>
      </c>
      <c r="AR48" s="1468"/>
      <c r="AS48" s="1468"/>
      <c r="AT48" s="1468"/>
      <c r="AU48" s="1469">
        <f t="shared" si="79"/>
        <v>0</v>
      </c>
      <c r="AV48" s="1470" t="e">
        <f t="shared" si="48"/>
        <v>#DIV/0!</v>
      </c>
      <c r="AW48" s="1467"/>
      <c r="AX48" s="1468"/>
      <c r="AY48" s="1468"/>
      <c r="AZ48" s="1469">
        <f t="shared" si="49"/>
        <v>0</v>
      </c>
      <c r="BA48" s="1468"/>
      <c r="BB48" s="1468"/>
      <c r="BC48" s="1468"/>
      <c r="BD48" s="1469">
        <f t="shared" si="80"/>
        <v>0</v>
      </c>
      <c r="BE48" s="1470" t="e">
        <f t="shared" si="51"/>
        <v>#DIV/0!</v>
      </c>
      <c r="BF48" s="1467"/>
      <c r="BG48" s="1468"/>
      <c r="BH48" s="1468"/>
      <c r="BI48" s="1469">
        <f t="shared" si="52"/>
        <v>0</v>
      </c>
      <c r="BJ48" s="1468"/>
      <c r="BK48" s="1468"/>
      <c r="BL48" s="1468"/>
      <c r="BM48" s="1469">
        <f t="shared" si="81"/>
        <v>0</v>
      </c>
      <c r="BN48" s="1470" t="e">
        <f t="shared" si="54"/>
        <v>#DIV/0!</v>
      </c>
      <c r="BO48" s="1467"/>
      <c r="BP48" s="1468"/>
      <c r="BQ48" s="1468"/>
      <c r="BR48" s="1469">
        <f t="shared" si="55"/>
        <v>0</v>
      </c>
      <c r="BS48" s="1468"/>
      <c r="BT48" s="1468"/>
      <c r="BU48" s="1468"/>
      <c r="BV48" s="1469">
        <f t="shared" si="82"/>
        <v>0</v>
      </c>
      <c r="BW48" s="1470" t="e">
        <f t="shared" si="57"/>
        <v>#DIV/0!</v>
      </c>
      <c r="BX48" s="1467"/>
      <c r="BY48" s="1468"/>
      <c r="BZ48" s="1468"/>
      <c r="CA48" s="1469">
        <f t="shared" si="58"/>
        <v>0</v>
      </c>
      <c r="CB48" s="1468"/>
      <c r="CC48" s="1468"/>
      <c r="CD48" s="1468"/>
      <c r="CE48" s="1469">
        <f t="shared" si="83"/>
        <v>0</v>
      </c>
      <c r="CF48" s="1470" t="e">
        <f t="shared" si="60"/>
        <v>#DIV/0!</v>
      </c>
      <c r="CG48" s="1467"/>
      <c r="CH48" s="1468"/>
      <c r="CI48" s="1468"/>
      <c r="CJ48" s="1469">
        <f t="shared" si="61"/>
        <v>0</v>
      </c>
      <c r="CK48" s="1468"/>
      <c r="CL48" s="1468"/>
      <c r="CM48" s="1468"/>
      <c r="CN48" s="1469">
        <f t="shared" si="84"/>
        <v>0</v>
      </c>
      <c r="CO48" s="1470" t="e">
        <f t="shared" si="63"/>
        <v>#DIV/0!</v>
      </c>
      <c r="CP48" s="1467"/>
      <c r="CQ48" s="1468"/>
      <c r="CR48" s="1468"/>
      <c r="CS48" s="1469">
        <f t="shared" si="64"/>
        <v>0</v>
      </c>
      <c r="CT48" s="1468"/>
      <c r="CU48" s="1468"/>
      <c r="CV48" s="1468"/>
      <c r="CW48" s="1469">
        <f t="shared" si="85"/>
        <v>0</v>
      </c>
      <c r="CX48" s="1470" t="e">
        <f t="shared" si="66"/>
        <v>#DIV/0!</v>
      </c>
      <c r="CY48" s="1467"/>
      <c r="CZ48" s="1468"/>
      <c r="DA48" s="1468"/>
      <c r="DB48" s="1469">
        <f t="shared" si="67"/>
        <v>0</v>
      </c>
      <c r="DC48" s="1468"/>
      <c r="DD48" s="1468"/>
      <c r="DE48" s="1468"/>
      <c r="DF48" s="1469">
        <f t="shared" si="86"/>
        <v>0</v>
      </c>
      <c r="DG48" s="1470" t="e">
        <f t="shared" si="69"/>
        <v>#DIV/0!</v>
      </c>
      <c r="DH48" s="1471">
        <f t="shared" si="87"/>
        <v>0</v>
      </c>
      <c r="DI48" s="1481">
        <f t="shared" si="87"/>
        <v>0</v>
      </c>
      <c r="DJ48" s="1481">
        <f t="shared" si="87"/>
        <v>0</v>
      </c>
      <c r="DK48" s="1481">
        <f t="shared" si="87"/>
        <v>0</v>
      </c>
      <c r="DL48" s="1481">
        <f t="shared" si="87"/>
        <v>0</v>
      </c>
      <c r="DM48" s="1481">
        <f t="shared" si="87"/>
        <v>0</v>
      </c>
      <c r="DN48" s="1481">
        <f t="shared" si="87"/>
        <v>0</v>
      </c>
      <c r="DO48" s="1481">
        <f t="shared" si="35"/>
        <v>0</v>
      </c>
      <c r="DP48" s="1470">
        <f t="shared" si="36"/>
        <v>1</v>
      </c>
    </row>
    <row r="49" spans="1:120">
      <c r="A49" s="1546">
        <v>1</v>
      </c>
      <c r="B49" s="1553" t="s">
        <v>1063</v>
      </c>
      <c r="C49" s="1553" t="s">
        <v>132</v>
      </c>
      <c r="D49" s="1467"/>
      <c r="E49" s="1468"/>
      <c r="F49" s="1468"/>
      <c r="G49" s="1469">
        <f t="shared" si="72"/>
        <v>0</v>
      </c>
      <c r="H49" s="1468"/>
      <c r="I49" s="1468"/>
      <c r="J49" s="1468"/>
      <c r="K49" s="1469">
        <f t="shared" si="11"/>
        <v>0</v>
      </c>
      <c r="L49" s="1470">
        <f t="shared" si="73"/>
        <v>1</v>
      </c>
      <c r="M49" s="1467"/>
      <c r="N49" s="1468"/>
      <c r="O49" s="1468"/>
      <c r="P49" s="1469">
        <f t="shared" si="74"/>
        <v>0</v>
      </c>
      <c r="Q49" s="1468"/>
      <c r="R49" s="1468"/>
      <c r="S49" s="1468"/>
      <c r="T49" s="1469">
        <f t="shared" si="76"/>
        <v>0</v>
      </c>
      <c r="U49" s="1470" t="e">
        <f t="shared" si="39"/>
        <v>#DIV/0!</v>
      </c>
      <c r="V49" s="1467"/>
      <c r="W49" s="1468"/>
      <c r="X49" s="1468"/>
      <c r="Y49" s="1469">
        <f t="shared" si="75"/>
        <v>0</v>
      </c>
      <c r="Z49" s="1468"/>
      <c r="AA49" s="1468"/>
      <c r="AB49" s="1468"/>
      <c r="AC49" s="1469">
        <f t="shared" si="77"/>
        <v>0</v>
      </c>
      <c r="AD49" s="1470" t="e">
        <f t="shared" si="42"/>
        <v>#DIV/0!</v>
      </c>
      <c r="AE49" s="1467"/>
      <c r="AF49" s="1468"/>
      <c r="AG49" s="1468"/>
      <c r="AH49" s="1469">
        <f t="shared" si="43"/>
        <v>0</v>
      </c>
      <c r="AI49" s="1468"/>
      <c r="AJ49" s="1468"/>
      <c r="AK49" s="1468"/>
      <c r="AL49" s="1469">
        <f t="shared" si="78"/>
        <v>0</v>
      </c>
      <c r="AM49" s="1470" t="e">
        <f t="shared" si="45"/>
        <v>#DIV/0!</v>
      </c>
      <c r="AN49" s="1467"/>
      <c r="AO49" s="1468"/>
      <c r="AP49" s="1468"/>
      <c r="AQ49" s="1469">
        <f t="shared" si="46"/>
        <v>0</v>
      </c>
      <c r="AR49" s="1468"/>
      <c r="AS49" s="1468"/>
      <c r="AT49" s="1468"/>
      <c r="AU49" s="1469">
        <f t="shared" si="79"/>
        <v>0</v>
      </c>
      <c r="AV49" s="1470" t="e">
        <f t="shared" si="48"/>
        <v>#DIV/0!</v>
      </c>
      <c r="AW49" s="1467"/>
      <c r="AX49" s="1468"/>
      <c r="AY49" s="1468"/>
      <c r="AZ49" s="1469">
        <f t="shared" si="49"/>
        <v>0</v>
      </c>
      <c r="BA49" s="1468"/>
      <c r="BB49" s="1468"/>
      <c r="BC49" s="1468"/>
      <c r="BD49" s="1469">
        <f t="shared" si="80"/>
        <v>0</v>
      </c>
      <c r="BE49" s="1470" t="e">
        <f t="shared" si="51"/>
        <v>#DIV/0!</v>
      </c>
      <c r="BF49" s="1467"/>
      <c r="BG49" s="1468"/>
      <c r="BH49" s="1468"/>
      <c r="BI49" s="1469">
        <f t="shared" si="52"/>
        <v>0</v>
      </c>
      <c r="BJ49" s="1468"/>
      <c r="BK49" s="1468"/>
      <c r="BL49" s="1468"/>
      <c r="BM49" s="1469">
        <f t="shared" si="81"/>
        <v>0</v>
      </c>
      <c r="BN49" s="1470" t="e">
        <f t="shared" si="54"/>
        <v>#DIV/0!</v>
      </c>
      <c r="BO49" s="1467"/>
      <c r="BP49" s="1468"/>
      <c r="BQ49" s="1468"/>
      <c r="BR49" s="1469">
        <f t="shared" si="55"/>
        <v>0</v>
      </c>
      <c r="BS49" s="1468"/>
      <c r="BT49" s="1468"/>
      <c r="BU49" s="1468"/>
      <c r="BV49" s="1469">
        <f t="shared" si="82"/>
        <v>0</v>
      </c>
      <c r="BW49" s="1470" t="e">
        <f t="shared" si="57"/>
        <v>#DIV/0!</v>
      </c>
      <c r="BX49" s="1467"/>
      <c r="BY49" s="1468"/>
      <c r="BZ49" s="1468"/>
      <c r="CA49" s="1469">
        <f t="shared" si="58"/>
        <v>0</v>
      </c>
      <c r="CB49" s="1468"/>
      <c r="CC49" s="1468"/>
      <c r="CD49" s="1468"/>
      <c r="CE49" s="1469">
        <f t="shared" si="83"/>
        <v>0</v>
      </c>
      <c r="CF49" s="1470" t="e">
        <f t="shared" si="60"/>
        <v>#DIV/0!</v>
      </c>
      <c r="CG49" s="1467"/>
      <c r="CH49" s="1468"/>
      <c r="CI49" s="1468"/>
      <c r="CJ49" s="1469">
        <f t="shared" si="61"/>
        <v>0</v>
      </c>
      <c r="CK49" s="1468"/>
      <c r="CL49" s="1468"/>
      <c r="CM49" s="1468"/>
      <c r="CN49" s="1469">
        <f t="shared" si="84"/>
        <v>0</v>
      </c>
      <c r="CO49" s="1470" t="e">
        <f t="shared" si="63"/>
        <v>#DIV/0!</v>
      </c>
      <c r="CP49" s="1467"/>
      <c r="CQ49" s="1468"/>
      <c r="CR49" s="1468"/>
      <c r="CS49" s="1469">
        <f t="shared" si="64"/>
        <v>0</v>
      </c>
      <c r="CT49" s="1468"/>
      <c r="CU49" s="1468"/>
      <c r="CV49" s="1468"/>
      <c r="CW49" s="1469">
        <f t="shared" si="85"/>
        <v>0</v>
      </c>
      <c r="CX49" s="1470" t="e">
        <f t="shared" si="66"/>
        <v>#DIV/0!</v>
      </c>
      <c r="CY49" s="1467"/>
      <c r="CZ49" s="1468"/>
      <c r="DA49" s="1468"/>
      <c r="DB49" s="1469">
        <f t="shared" si="67"/>
        <v>0</v>
      </c>
      <c r="DC49" s="1468"/>
      <c r="DD49" s="1468"/>
      <c r="DE49" s="1468"/>
      <c r="DF49" s="1469">
        <f t="shared" si="86"/>
        <v>0</v>
      </c>
      <c r="DG49" s="1470" t="e">
        <f t="shared" si="69"/>
        <v>#DIV/0!</v>
      </c>
      <c r="DH49" s="1471">
        <f t="shared" si="87"/>
        <v>0</v>
      </c>
      <c r="DI49" s="1481">
        <f t="shared" si="87"/>
        <v>0</v>
      </c>
      <c r="DJ49" s="1481">
        <f t="shared" si="87"/>
        <v>0</v>
      </c>
      <c r="DK49" s="1481">
        <f t="shared" si="87"/>
        <v>0</v>
      </c>
      <c r="DL49" s="1481">
        <f t="shared" si="87"/>
        <v>0</v>
      </c>
      <c r="DM49" s="1481">
        <f t="shared" si="87"/>
        <v>0</v>
      </c>
      <c r="DN49" s="1481">
        <f t="shared" si="87"/>
        <v>0</v>
      </c>
      <c r="DO49" s="1481">
        <f t="shared" si="35"/>
        <v>0</v>
      </c>
      <c r="DP49" s="1470">
        <f t="shared" si="36"/>
        <v>1</v>
      </c>
    </row>
    <row r="50" spans="1:120">
      <c r="A50" s="1554">
        <v>0.4</v>
      </c>
      <c r="B50" s="1555" t="s">
        <v>1003</v>
      </c>
      <c r="C50" s="1555" t="s">
        <v>506</v>
      </c>
      <c r="D50" s="1467"/>
      <c r="E50" s="1468"/>
      <c r="F50" s="1468"/>
      <c r="G50" s="1500">
        <f t="shared" si="72"/>
        <v>0</v>
      </c>
      <c r="H50" s="1468"/>
      <c r="I50" s="1468">
        <v>10.283333333325572</v>
      </c>
      <c r="J50" s="1468"/>
      <c r="K50" s="1500">
        <f t="shared" si="11"/>
        <v>10.283333333325572</v>
      </c>
      <c r="L50" s="1470">
        <f t="shared" si="73"/>
        <v>0.9861783154121968</v>
      </c>
      <c r="M50" s="1467"/>
      <c r="N50" s="1468"/>
      <c r="O50" s="1468"/>
      <c r="P50" s="1500">
        <f t="shared" si="74"/>
        <v>0</v>
      </c>
      <c r="Q50" s="1468"/>
      <c r="R50" s="1468"/>
      <c r="S50" s="1468"/>
      <c r="T50" s="1500">
        <f t="shared" si="76"/>
        <v>0</v>
      </c>
      <c r="U50" s="1470" t="e">
        <f t="shared" si="39"/>
        <v>#DIV/0!</v>
      </c>
      <c r="V50" s="1467"/>
      <c r="W50" s="1468"/>
      <c r="X50" s="1468"/>
      <c r="Y50" s="1500">
        <f t="shared" si="75"/>
        <v>0</v>
      </c>
      <c r="Z50" s="1468"/>
      <c r="AA50" s="1468"/>
      <c r="AB50" s="1468"/>
      <c r="AC50" s="1500">
        <f t="shared" si="77"/>
        <v>0</v>
      </c>
      <c r="AD50" s="1470" t="e">
        <f t="shared" si="42"/>
        <v>#DIV/0!</v>
      </c>
      <c r="AE50" s="1467"/>
      <c r="AF50" s="1468"/>
      <c r="AG50" s="1468"/>
      <c r="AH50" s="1500">
        <f t="shared" si="43"/>
        <v>0</v>
      </c>
      <c r="AI50" s="1468"/>
      <c r="AJ50" s="1468"/>
      <c r="AK50" s="1468"/>
      <c r="AL50" s="1500">
        <f t="shared" si="78"/>
        <v>0</v>
      </c>
      <c r="AM50" s="1470" t="e">
        <f t="shared" si="45"/>
        <v>#DIV/0!</v>
      </c>
      <c r="AN50" s="1467"/>
      <c r="AO50" s="1468"/>
      <c r="AP50" s="1468"/>
      <c r="AQ50" s="1500">
        <f t="shared" si="46"/>
        <v>0</v>
      </c>
      <c r="AR50" s="1468"/>
      <c r="AS50" s="1468"/>
      <c r="AT50" s="1468"/>
      <c r="AU50" s="1500">
        <f t="shared" si="79"/>
        <v>0</v>
      </c>
      <c r="AV50" s="1470" t="e">
        <f t="shared" si="48"/>
        <v>#DIV/0!</v>
      </c>
      <c r="AW50" s="1467"/>
      <c r="AX50" s="1468"/>
      <c r="AY50" s="1468"/>
      <c r="AZ50" s="1500">
        <f t="shared" si="49"/>
        <v>0</v>
      </c>
      <c r="BA50" s="1468"/>
      <c r="BB50" s="1468"/>
      <c r="BC50" s="1468"/>
      <c r="BD50" s="1500">
        <f t="shared" si="80"/>
        <v>0</v>
      </c>
      <c r="BE50" s="1470" t="e">
        <f t="shared" si="51"/>
        <v>#DIV/0!</v>
      </c>
      <c r="BF50" s="1467"/>
      <c r="BG50" s="1468"/>
      <c r="BH50" s="1468"/>
      <c r="BI50" s="1500">
        <f t="shared" si="52"/>
        <v>0</v>
      </c>
      <c r="BJ50" s="1468"/>
      <c r="BK50" s="1468"/>
      <c r="BL50" s="1468"/>
      <c r="BM50" s="1500">
        <f t="shared" si="81"/>
        <v>0</v>
      </c>
      <c r="BN50" s="1470" t="e">
        <f t="shared" si="54"/>
        <v>#DIV/0!</v>
      </c>
      <c r="BO50" s="1467"/>
      <c r="BP50" s="1468"/>
      <c r="BQ50" s="1468"/>
      <c r="BR50" s="1500">
        <f t="shared" si="55"/>
        <v>0</v>
      </c>
      <c r="BS50" s="1468"/>
      <c r="BT50" s="1468"/>
      <c r="BU50" s="1468"/>
      <c r="BV50" s="1500">
        <f t="shared" si="82"/>
        <v>0</v>
      </c>
      <c r="BW50" s="1470" t="e">
        <f t="shared" si="57"/>
        <v>#DIV/0!</v>
      </c>
      <c r="BX50" s="1467"/>
      <c r="BY50" s="1468"/>
      <c r="BZ50" s="1468"/>
      <c r="CA50" s="1500">
        <f t="shared" si="58"/>
        <v>0</v>
      </c>
      <c r="CB50" s="1468"/>
      <c r="CC50" s="1468"/>
      <c r="CD50" s="1468"/>
      <c r="CE50" s="1500">
        <f t="shared" si="83"/>
        <v>0</v>
      </c>
      <c r="CF50" s="1470" t="e">
        <f t="shared" si="60"/>
        <v>#DIV/0!</v>
      </c>
      <c r="CG50" s="1467"/>
      <c r="CH50" s="1468"/>
      <c r="CI50" s="1468"/>
      <c r="CJ50" s="1500">
        <f t="shared" si="61"/>
        <v>0</v>
      </c>
      <c r="CK50" s="1468"/>
      <c r="CL50" s="1468"/>
      <c r="CM50" s="1468"/>
      <c r="CN50" s="1500">
        <f t="shared" si="84"/>
        <v>0</v>
      </c>
      <c r="CO50" s="1470" t="e">
        <f t="shared" si="63"/>
        <v>#DIV/0!</v>
      </c>
      <c r="CP50" s="1467"/>
      <c r="CQ50" s="1468"/>
      <c r="CR50" s="1468"/>
      <c r="CS50" s="1500">
        <f t="shared" si="64"/>
        <v>0</v>
      </c>
      <c r="CT50" s="1468"/>
      <c r="CU50" s="1468"/>
      <c r="CV50" s="1468"/>
      <c r="CW50" s="1500">
        <f t="shared" si="85"/>
        <v>0</v>
      </c>
      <c r="CX50" s="1470" t="e">
        <f t="shared" si="66"/>
        <v>#DIV/0!</v>
      </c>
      <c r="CY50" s="1467"/>
      <c r="CZ50" s="1468"/>
      <c r="DA50" s="1468"/>
      <c r="DB50" s="1500">
        <f t="shared" si="67"/>
        <v>0</v>
      </c>
      <c r="DC50" s="1468"/>
      <c r="DD50" s="1468"/>
      <c r="DE50" s="1468"/>
      <c r="DF50" s="1500">
        <f t="shared" si="86"/>
        <v>0</v>
      </c>
      <c r="DG50" s="1470" t="e">
        <f t="shared" si="69"/>
        <v>#DIV/0!</v>
      </c>
      <c r="DH50" s="1471">
        <f t="shared" si="87"/>
        <v>0</v>
      </c>
      <c r="DI50" s="1481">
        <f t="shared" si="87"/>
        <v>0</v>
      </c>
      <c r="DJ50" s="1481">
        <f t="shared" si="87"/>
        <v>0</v>
      </c>
      <c r="DK50" s="1481">
        <f t="shared" si="87"/>
        <v>0</v>
      </c>
      <c r="DL50" s="1481">
        <f t="shared" si="87"/>
        <v>0</v>
      </c>
      <c r="DM50" s="1481">
        <f t="shared" si="87"/>
        <v>10.283333333325572</v>
      </c>
      <c r="DN50" s="1481">
        <f t="shared" si="87"/>
        <v>0</v>
      </c>
      <c r="DO50" s="1481">
        <f t="shared" si="35"/>
        <v>10.283333333325572</v>
      </c>
      <c r="DP50" s="1470">
        <f t="shared" si="36"/>
        <v>0.9861783154121968</v>
      </c>
    </row>
    <row r="51" spans="1:120">
      <c r="A51" s="1556">
        <v>0.55000000000000004</v>
      </c>
      <c r="B51" s="1557" t="s">
        <v>1003</v>
      </c>
      <c r="C51" s="1557" t="s">
        <v>507</v>
      </c>
      <c r="D51" s="1467"/>
      <c r="E51" s="1468"/>
      <c r="F51" s="1468"/>
      <c r="G51" s="1500">
        <f t="shared" si="72"/>
        <v>0</v>
      </c>
      <c r="H51" s="1468"/>
      <c r="I51" s="1468">
        <v>12.28333333338378</v>
      </c>
      <c r="J51" s="1468"/>
      <c r="K51" s="1500">
        <f t="shared" si="11"/>
        <v>12.28333333338378</v>
      </c>
      <c r="L51" s="1470">
        <f t="shared" si="73"/>
        <v>0.98349014336910778</v>
      </c>
      <c r="M51" s="1467"/>
      <c r="N51" s="1468"/>
      <c r="O51" s="1468"/>
      <c r="P51" s="1500">
        <f t="shared" si="74"/>
        <v>0</v>
      </c>
      <c r="Q51" s="1468"/>
      <c r="R51" s="1468"/>
      <c r="S51" s="1468"/>
      <c r="T51" s="1500">
        <f t="shared" si="76"/>
        <v>0</v>
      </c>
      <c r="U51" s="1470" t="e">
        <f t="shared" si="39"/>
        <v>#DIV/0!</v>
      </c>
      <c r="V51" s="1467"/>
      <c r="W51" s="1468"/>
      <c r="X51" s="1468"/>
      <c r="Y51" s="1500">
        <f t="shared" si="75"/>
        <v>0</v>
      </c>
      <c r="Z51" s="1468"/>
      <c r="AA51" s="1468"/>
      <c r="AB51" s="1468"/>
      <c r="AC51" s="1500">
        <f t="shared" si="77"/>
        <v>0</v>
      </c>
      <c r="AD51" s="1470" t="e">
        <f t="shared" si="42"/>
        <v>#DIV/0!</v>
      </c>
      <c r="AE51" s="1467"/>
      <c r="AF51" s="1468"/>
      <c r="AG51" s="1468"/>
      <c r="AH51" s="1500">
        <f t="shared" si="43"/>
        <v>0</v>
      </c>
      <c r="AI51" s="1468"/>
      <c r="AJ51" s="1468"/>
      <c r="AK51" s="1468"/>
      <c r="AL51" s="1500">
        <f t="shared" si="78"/>
        <v>0</v>
      </c>
      <c r="AM51" s="1470" t="e">
        <f t="shared" si="45"/>
        <v>#DIV/0!</v>
      </c>
      <c r="AN51" s="1467"/>
      <c r="AO51" s="1468"/>
      <c r="AP51" s="1468"/>
      <c r="AQ51" s="1500">
        <f t="shared" si="46"/>
        <v>0</v>
      </c>
      <c r="AR51" s="1468"/>
      <c r="AS51" s="1468"/>
      <c r="AT51" s="1468"/>
      <c r="AU51" s="1500">
        <f t="shared" si="79"/>
        <v>0</v>
      </c>
      <c r="AV51" s="1470" t="e">
        <f t="shared" si="48"/>
        <v>#DIV/0!</v>
      </c>
      <c r="AW51" s="1467"/>
      <c r="AX51" s="1468"/>
      <c r="AY51" s="1468"/>
      <c r="AZ51" s="1500">
        <f t="shared" si="49"/>
        <v>0</v>
      </c>
      <c r="BA51" s="1468"/>
      <c r="BB51" s="1468"/>
      <c r="BC51" s="1468"/>
      <c r="BD51" s="1500">
        <f t="shared" si="80"/>
        <v>0</v>
      </c>
      <c r="BE51" s="1470" t="e">
        <f t="shared" si="51"/>
        <v>#DIV/0!</v>
      </c>
      <c r="BF51" s="1467"/>
      <c r="BG51" s="1468"/>
      <c r="BH51" s="1468"/>
      <c r="BI51" s="1500">
        <f t="shared" si="52"/>
        <v>0</v>
      </c>
      <c r="BJ51" s="1468"/>
      <c r="BK51" s="1468"/>
      <c r="BL51" s="1468"/>
      <c r="BM51" s="1500">
        <f t="shared" si="81"/>
        <v>0</v>
      </c>
      <c r="BN51" s="1470" t="e">
        <f t="shared" si="54"/>
        <v>#DIV/0!</v>
      </c>
      <c r="BO51" s="1467"/>
      <c r="BP51" s="1468"/>
      <c r="BQ51" s="1468"/>
      <c r="BR51" s="1500">
        <f t="shared" si="55"/>
        <v>0</v>
      </c>
      <c r="BS51" s="1468"/>
      <c r="BT51" s="1468"/>
      <c r="BU51" s="1468"/>
      <c r="BV51" s="1500">
        <f t="shared" si="82"/>
        <v>0</v>
      </c>
      <c r="BW51" s="1470" t="e">
        <f t="shared" si="57"/>
        <v>#DIV/0!</v>
      </c>
      <c r="BX51" s="1467"/>
      <c r="BY51" s="1468"/>
      <c r="BZ51" s="1468"/>
      <c r="CA51" s="1500">
        <f t="shared" si="58"/>
        <v>0</v>
      </c>
      <c r="CB51" s="1468"/>
      <c r="CC51" s="1468"/>
      <c r="CD51" s="1468"/>
      <c r="CE51" s="1500">
        <f t="shared" si="83"/>
        <v>0</v>
      </c>
      <c r="CF51" s="1470" t="e">
        <f t="shared" si="60"/>
        <v>#DIV/0!</v>
      </c>
      <c r="CG51" s="1467"/>
      <c r="CH51" s="1468"/>
      <c r="CI51" s="1468"/>
      <c r="CJ51" s="1500">
        <f t="shared" si="61"/>
        <v>0</v>
      </c>
      <c r="CK51" s="1468"/>
      <c r="CL51" s="1468"/>
      <c r="CM51" s="1468"/>
      <c r="CN51" s="1500">
        <f t="shared" si="84"/>
        <v>0</v>
      </c>
      <c r="CO51" s="1470" t="e">
        <f t="shared" si="63"/>
        <v>#DIV/0!</v>
      </c>
      <c r="CP51" s="1467"/>
      <c r="CQ51" s="1468"/>
      <c r="CR51" s="1468"/>
      <c r="CS51" s="1500">
        <f t="shared" si="64"/>
        <v>0</v>
      </c>
      <c r="CT51" s="1468"/>
      <c r="CU51" s="1468"/>
      <c r="CV51" s="1468"/>
      <c r="CW51" s="1500">
        <f t="shared" si="85"/>
        <v>0</v>
      </c>
      <c r="CX51" s="1470" t="e">
        <f t="shared" si="66"/>
        <v>#DIV/0!</v>
      </c>
      <c r="CY51" s="1467"/>
      <c r="CZ51" s="1468"/>
      <c r="DA51" s="1468"/>
      <c r="DB51" s="1500">
        <f t="shared" si="67"/>
        <v>0</v>
      </c>
      <c r="DC51" s="1468"/>
      <c r="DD51" s="1468"/>
      <c r="DE51" s="1468"/>
      <c r="DF51" s="1500">
        <f t="shared" si="86"/>
        <v>0</v>
      </c>
      <c r="DG51" s="1470" t="e">
        <f t="shared" si="69"/>
        <v>#DIV/0!</v>
      </c>
      <c r="DH51" s="1471">
        <f t="shared" si="87"/>
        <v>0</v>
      </c>
      <c r="DI51" s="1481">
        <f t="shared" si="87"/>
        <v>0</v>
      </c>
      <c r="DJ51" s="1481">
        <f t="shared" si="87"/>
        <v>0</v>
      </c>
      <c r="DK51" s="1481">
        <f t="shared" si="87"/>
        <v>0</v>
      </c>
      <c r="DL51" s="1481">
        <f t="shared" si="87"/>
        <v>0</v>
      </c>
      <c r="DM51" s="1481">
        <f t="shared" si="87"/>
        <v>12.28333333338378</v>
      </c>
      <c r="DN51" s="1481">
        <f t="shared" si="87"/>
        <v>0</v>
      </c>
      <c r="DO51" s="1481">
        <f t="shared" si="35"/>
        <v>12.28333333338378</v>
      </c>
      <c r="DP51" s="1470">
        <f t="shared" si="36"/>
        <v>0.98349014336910778</v>
      </c>
    </row>
    <row r="52" spans="1:120">
      <c r="A52" s="1558">
        <v>0.05</v>
      </c>
      <c r="B52" s="1559" t="s">
        <v>1003</v>
      </c>
      <c r="C52" s="1559" t="s">
        <v>508</v>
      </c>
      <c r="D52" s="1467"/>
      <c r="E52" s="1468"/>
      <c r="F52" s="1468"/>
      <c r="G52" s="1500">
        <f t="shared" si="72"/>
        <v>0</v>
      </c>
      <c r="H52" s="1468"/>
      <c r="I52" s="1468"/>
      <c r="J52" s="1468"/>
      <c r="K52" s="1500">
        <f t="shared" si="11"/>
        <v>0</v>
      </c>
      <c r="L52" s="1470">
        <f t="shared" si="73"/>
        <v>1</v>
      </c>
      <c r="M52" s="1467"/>
      <c r="N52" s="1468"/>
      <c r="O52" s="1468"/>
      <c r="P52" s="1500">
        <f t="shared" si="74"/>
        <v>0</v>
      </c>
      <c r="Q52" s="1468"/>
      <c r="R52" s="1468"/>
      <c r="S52" s="1468"/>
      <c r="T52" s="1500">
        <f t="shared" si="76"/>
        <v>0</v>
      </c>
      <c r="U52" s="1470" t="e">
        <f t="shared" si="39"/>
        <v>#DIV/0!</v>
      </c>
      <c r="V52" s="1467"/>
      <c r="W52" s="1468"/>
      <c r="X52" s="1468"/>
      <c r="Y52" s="1500">
        <f t="shared" si="75"/>
        <v>0</v>
      </c>
      <c r="Z52" s="1468"/>
      <c r="AA52" s="1468"/>
      <c r="AB52" s="1468"/>
      <c r="AC52" s="1500">
        <f t="shared" si="77"/>
        <v>0</v>
      </c>
      <c r="AD52" s="1470" t="e">
        <f t="shared" si="42"/>
        <v>#DIV/0!</v>
      </c>
      <c r="AE52" s="1467"/>
      <c r="AF52" s="1468"/>
      <c r="AG52" s="1468"/>
      <c r="AH52" s="1500">
        <f t="shared" si="43"/>
        <v>0</v>
      </c>
      <c r="AI52" s="1468"/>
      <c r="AJ52" s="1468"/>
      <c r="AK52" s="1468"/>
      <c r="AL52" s="1500">
        <f t="shared" si="78"/>
        <v>0</v>
      </c>
      <c r="AM52" s="1470" t="e">
        <f t="shared" si="45"/>
        <v>#DIV/0!</v>
      </c>
      <c r="AN52" s="1467"/>
      <c r="AO52" s="1468"/>
      <c r="AP52" s="1468"/>
      <c r="AQ52" s="1500">
        <f t="shared" si="46"/>
        <v>0</v>
      </c>
      <c r="AR52" s="1468"/>
      <c r="AS52" s="1468"/>
      <c r="AT52" s="1468"/>
      <c r="AU52" s="1500">
        <f t="shared" si="79"/>
        <v>0</v>
      </c>
      <c r="AV52" s="1470" t="e">
        <f t="shared" si="48"/>
        <v>#DIV/0!</v>
      </c>
      <c r="AW52" s="1467"/>
      <c r="AX52" s="1468"/>
      <c r="AY52" s="1468"/>
      <c r="AZ52" s="1500">
        <f t="shared" si="49"/>
        <v>0</v>
      </c>
      <c r="BA52" s="1468"/>
      <c r="BB52" s="1468"/>
      <c r="BC52" s="1468"/>
      <c r="BD52" s="1500">
        <f t="shared" si="80"/>
        <v>0</v>
      </c>
      <c r="BE52" s="1470" t="e">
        <f t="shared" si="51"/>
        <v>#DIV/0!</v>
      </c>
      <c r="BF52" s="1467"/>
      <c r="BG52" s="1468"/>
      <c r="BH52" s="1468"/>
      <c r="BI52" s="1500">
        <f t="shared" si="52"/>
        <v>0</v>
      </c>
      <c r="BJ52" s="1468"/>
      <c r="BK52" s="1468"/>
      <c r="BL52" s="1468"/>
      <c r="BM52" s="1500">
        <f t="shared" si="81"/>
        <v>0</v>
      </c>
      <c r="BN52" s="1470" t="e">
        <f t="shared" si="54"/>
        <v>#DIV/0!</v>
      </c>
      <c r="BO52" s="1467"/>
      <c r="BP52" s="1468"/>
      <c r="BQ52" s="1468"/>
      <c r="BR52" s="1500">
        <f t="shared" si="55"/>
        <v>0</v>
      </c>
      <c r="BS52" s="1468"/>
      <c r="BT52" s="1468"/>
      <c r="BU52" s="1468"/>
      <c r="BV52" s="1500">
        <f t="shared" si="82"/>
        <v>0</v>
      </c>
      <c r="BW52" s="1470" t="e">
        <f t="shared" si="57"/>
        <v>#DIV/0!</v>
      </c>
      <c r="BX52" s="1467"/>
      <c r="BY52" s="1468"/>
      <c r="BZ52" s="1468"/>
      <c r="CA52" s="1500">
        <f t="shared" si="58"/>
        <v>0</v>
      </c>
      <c r="CB52" s="1468"/>
      <c r="CC52" s="1468"/>
      <c r="CD52" s="1468"/>
      <c r="CE52" s="1500">
        <f t="shared" si="83"/>
        <v>0</v>
      </c>
      <c r="CF52" s="1470" t="e">
        <f t="shared" si="60"/>
        <v>#DIV/0!</v>
      </c>
      <c r="CG52" s="1467"/>
      <c r="CH52" s="1468"/>
      <c r="CI52" s="1468"/>
      <c r="CJ52" s="1500">
        <f t="shared" si="61"/>
        <v>0</v>
      </c>
      <c r="CK52" s="1468"/>
      <c r="CL52" s="1468"/>
      <c r="CM52" s="1468"/>
      <c r="CN52" s="1500">
        <f t="shared" si="84"/>
        <v>0</v>
      </c>
      <c r="CO52" s="1470" t="e">
        <f t="shared" si="63"/>
        <v>#DIV/0!</v>
      </c>
      <c r="CP52" s="1467"/>
      <c r="CQ52" s="1468"/>
      <c r="CR52" s="1468"/>
      <c r="CS52" s="1500">
        <f t="shared" si="64"/>
        <v>0</v>
      </c>
      <c r="CT52" s="1468"/>
      <c r="CU52" s="1468"/>
      <c r="CV52" s="1468"/>
      <c r="CW52" s="1500">
        <f t="shared" si="85"/>
        <v>0</v>
      </c>
      <c r="CX52" s="1470" t="e">
        <f t="shared" si="66"/>
        <v>#DIV/0!</v>
      </c>
      <c r="CY52" s="1467"/>
      <c r="CZ52" s="1468"/>
      <c r="DA52" s="1468"/>
      <c r="DB52" s="1500">
        <f t="shared" si="67"/>
        <v>0</v>
      </c>
      <c r="DC52" s="1468"/>
      <c r="DD52" s="1468"/>
      <c r="DE52" s="1468"/>
      <c r="DF52" s="1500">
        <f t="shared" si="86"/>
        <v>0</v>
      </c>
      <c r="DG52" s="1470" t="e">
        <f t="shared" si="69"/>
        <v>#DIV/0!</v>
      </c>
      <c r="DH52" s="1471">
        <f t="shared" si="87"/>
        <v>0</v>
      </c>
      <c r="DI52" s="1481">
        <f t="shared" si="87"/>
        <v>0</v>
      </c>
      <c r="DJ52" s="1481">
        <f t="shared" si="87"/>
        <v>0</v>
      </c>
      <c r="DK52" s="1481">
        <f t="shared" si="87"/>
        <v>0</v>
      </c>
      <c r="DL52" s="1481">
        <f t="shared" si="87"/>
        <v>0</v>
      </c>
      <c r="DM52" s="1481">
        <f t="shared" si="87"/>
        <v>0</v>
      </c>
      <c r="DN52" s="1481">
        <f t="shared" si="87"/>
        <v>0</v>
      </c>
      <c r="DO52" s="1481">
        <f t="shared" si="35"/>
        <v>0</v>
      </c>
      <c r="DP52" s="1470">
        <f t="shared" si="36"/>
        <v>1</v>
      </c>
    </row>
    <row r="53" spans="1:120">
      <c r="A53" s="1556">
        <v>0.38</v>
      </c>
      <c r="B53" s="1557" t="s">
        <v>1004</v>
      </c>
      <c r="C53" s="1557" t="s">
        <v>496</v>
      </c>
      <c r="D53" s="1467"/>
      <c r="E53" s="1468"/>
      <c r="F53" s="1468"/>
      <c r="G53" s="1500">
        <f t="shared" si="72"/>
        <v>0</v>
      </c>
      <c r="H53" s="1468"/>
      <c r="I53" s="1468"/>
      <c r="J53" s="1468"/>
      <c r="K53" s="1500">
        <f t="shared" si="11"/>
        <v>0</v>
      </c>
      <c r="L53" s="1470">
        <f t="shared" si="73"/>
        <v>1</v>
      </c>
      <c r="M53" s="1467"/>
      <c r="N53" s="1468"/>
      <c r="O53" s="1468"/>
      <c r="P53" s="1500">
        <f t="shared" si="74"/>
        <v>0</v>
      </c>
      <c r="Q53" s="1468"/>
      <c r="R53" s="1468"/>
      <c r="S53" s="1468"/>
      <c r="T53" s="1500">
        <f t="shared" si="76"/>
        <v>0</v>
      </c>
      <c r="U53" s="1470" t="e">
        <f t="shared" si="39"/>
        <v>#DIV/0!</v>
      </c>
      <c r="V53" s="1467"/>
      <c r="W53" s="1468"/>
      <c r="X53" s="1468"/>
      <c r="Y53" s="1500">
        <f t="shared" si="75"/>
        <v>0</v>
      </c>
      <c r="Z53" s="1468"/>
      <c r="AA53" s="1468"/>
      <c r="AB53" s="1468"/>
      <c r="AC53" s="1500">
        <f t="shared" si="77"/>
        <v>0</v>
      </c>
      <c r="AD53" s="1470" t="e">
        <f t="shared" si="42"/>
        <v>#DIV/0!</v>
      </c>
      <c r="AE53" s="1467"/>
      <c r="AF53" s="1468"/>
      <c r="AG53" s="1468"/>
      <c r="AH53" s="1500">
        <f t="shared" si="43"/>
        <v>0</v>
      </c>
      <c r="AI53" s="1468"/>
      <c r="AJ53" s="1468"/>
      <c r="AK53" s="1468"/>
      <c r="AL53" s="1500">
        <f t="shared" si="78"/>
        <v>0</v>
      </c>
      <c r="AM53" s="1470" t="e">
        <f t="shared" si="45"/>
        <v>#DIV/0!</v>
      </c>
      <c r="AN53" s="1467"/>
      <c r="AO53" s="1468"/>
      <c r="AP53" s="1468"/>
      <c r="AQ53" s="1500">
        <f t="shared" si="46"/>
        <v>0</v>
      </c>
      <c r="AR53" s="1468"/>
      <c r="AS53" s="1468"/>
      <c r="AT53" s="1468"/>
      <c r="AU53" s="1500">
        <f t="shared" si="79"/>
        <v>0</v>
      </c>
      <c r="AV53" s="1470" t="e">
        <f t="shared" si="48"/>
        <v>#DIV/0!</v>
      </c>
      <c r="AW53" s="1467"/>
      <c r="AX53" s="1468"/>
      <c r="AY53" s="1468"/>
      <c r="AZ53" s="1500">
        <f t="shared" si="49"/>
        <v>0</v>
      </c>
      <c r="BA53" s="1468"/>
      <c r="BB53" s="1468"/>
      <c r="BC53" s="1468"/>
      <c r="BD53" s="1500">
        <f t="shared" si="80"/>
        <v>0</v>
      </c>
      <c r="BE53" s="1470" t="e">
        <f t="shared" si="51"/>
        <v>#DIV/0!</v>
      </c>
      <c r="BF53" s="1467"/>
      <c r="BG53" s="1468"/>
      <c r="BH53" s="1468"/>
      <c r="BI53" s="1500">
        <f t="shared" si="52"/>
        <v>0</v>
      </c>
      <c r="BJ53" s="1468"/>
      <c r="BK53" s="1468"/>
      <c r="BL53" s="1468"/>
      <c r="BM53" s="1500">
        <f t="shared" si="81"/>
        <v>0</v>
      </c>
      <c r="BN53" s="1470" t="e">
        <f t="shared" si="54"/>
        <v>#DIV/0!</v>
      </c>
      <c r="BO53" s="1467"/>
      <c r="BP53" s="1468"/>
      <c r="BQ53" s="1468"/>
      <c r="BR53" s="1500">
        <f t="shared" si="55"/>
        <v>0</v>
      </c>
      <c r="BS53" s="1468"/>
      <c r="BT53" s="1468"/>
      <c r="BU53" s="1468"/>
      <c r="BV53" s="1500">
        <f t="shared" si="82"/>
        <v>0</v>
      </c>
      <c r="BW53" s="1470" t="e">
        <f t="shared" si="57"/>
        <v>#DIV/0!</v>
      </c>
      <c r="BX53" s="1467"/>
      <c r="BY53" s="1468"/>
      <c r="BZ53" s="1468"/>
      <c r="CA53" s="1500">
        <f t="shared" si="58"/>
        <v>0</v>
      </c>
      <c r="CB53" s="1468"/>
      <c r="CC53" s="1468"/>
      <c r="CD53" s="1468"/>
      <c r="CE53" s="1500">
        <f t="shared" si="83"/>
        <v>0</v>
      </c>
      <c r="CF53" s="1470" t="e">
        <f t="shared" si="60"/>
        <v>#DIV/0!</v>
      </c>
      <c r="CG53" s="1467"/>
      <c r="CH53" s="1468"/>
      <c r="CI53" s="1468"/>
      <c r="CJ53" s="1500">
        <f t="shared" si="61"/>
        <v>0</v>
      </c>
      <c r="CK53" s="1468"/>
      <c r="CL53" s="1468"/>
      <c r="CM53" s="1468"/>
      <c r="CN53" s="1500">
        <f t="shared" si="84"/>
        <v>0</v>
      </c>
      <c r="CO53" s="1470" t="e">
        <f t="shared" si="63"/>
        <v>#DIV/0!</v>
      </c>
      <c r="CP53" s="1467"/>
      <c r="CQ53" s="1468"/>
      <c r="CR53" s="1468"/>
      <c r="CS53" s="1500">
        <f t="shared" si="64"/>
        <v>0</v>
      </c>
      <c r="CT53" s="1468"/>
      <c r="CU53" s="1468"/>
      <c r="CV53" s="1468"/>
      <c r="CW53" s="1500">
        <f t="shared" si="85"/>
        <v>0</v>
      </c>
      <c r="CX53" s="1470" t="e">
        <f t="shared" si="66"/>
        <v>#DIV/0!</v>
      </c>
      <c r="CY53" s="1467"/>
      <c r="CZ53" s="1468"/>
      <c r="DA53" s="1468"/>
      <c r="DB53" s="1500">
        <f t="shared" si="67"/>
        <v>0</v>
      </c>
      <c r="DC53" s="1468"/>
      <c r="DD53" s="1468"/>
      <c r="DE53" s="1468"/>
      <c r="DF53" s="1500">
        <f t="shared" si="86"/>
        <v>0</v>
      </c>
      <c r="DG53" s="1470" t="e">
        <f t="shared" si="69"/>
        <v>#DIV/0!</v>
      </c>
      <c r="DH53" s="1471">
        <f t="shared" si="87"/>
        <v>0</v>
      </c>
      <c r="DI53" s="1481">
        <f t="shared" si="87"/>
        <v>0</v>
      </c>
      <c r="DJ53" s="1481">
        <f t="shared" si="87"/>
        <v>0</v>
      </c>
      <c r="DK53" s="1481">
        <f t="shared" si="87"/>
        <v>0</v>
      </c>
      <c r="DL53" s="1481">
        <f t="shared" si="87"/>
        <v>0</v>
      </c>
      <c r="DM53" s="1481">
        <f t="shared" si="87"/>
        <v>0</v>
      </c>
      <c r="DN53" s="1481">
        <f t="shared" si="87"/>
        <v>0</v>
      </c>
      <c r="DO53" s="1481">
        <f t="shared" si="35"/>
        <v>0</v>
      </c>
      <c r="DP53" s="1470">
        <f t="shared" si="36"/>
        <v>1</v>
      </c>
    </row>
    <row r="54" spans="1:120">
      <c r="A54" s="1558">
        <v>0.62</v>
      </c>
      <c r="B54" s="1559" t="s">
        <v>1004</v>
      </c>
      <c r="C54" s="1559" t="s">
        <v>498</v>
      </c>
      <c r="D54" s="1467"/>
      <c r="E54" s="1468"/>
      <c r="F54" s="1468"/>
      <c r="G54" s="1500">
        <f t="shared" si="72"/>
        <v>0</v>
      </c>
      <c r="H54" s="1468"/>
      <c r="I54" s="1468"/>
      <c r="J54" s="1468"/>
      <c r="K54" s="1500">
        <f t="shared" si="11"/>
        <v>0</v>
      </c>
      <c r="L54" s="1470">
        <f t="shared" si="73"/>
        <v>1</v>
      </c>
      <c r="M54" s="1467"/>
      <c r="N54" s="1468"/>
      <c r="O54" s="1468"/>
      <c r="P54" s="1500">
        <f t="shared" si="74"/>
        <v>0</v>
      </c>
      <c r="Q54" s="1468"/>
      <c r="R54" s="1468"/>
      <c r="S54" s="1468"/>
      <c r="T54" s="1500">
        <f t="shared" si="76"/>
        <v>0</v>
      </c>
      <c r="U54" s="1470" t="e">
        <f t="shared" si="39"/>
        <v>#DIV/0!</v>
      </c>
      <c r="V54" s="1467"/>
      <c r="W54" s="1468"/>
      <c r="X54" s="1468"/>
      <c r="Y54" s="1500">
        <f t="shared" si="75"/>
        <v>0</v>
      </c>
      <c r="Z54" s="1468"/>
      <c r="AA54" s="1468"/>
      <c r="AB54" s="1468"/>
      <c r="AC54" s="1500">
        <f t="shared" si="77"/>
        <v>0</v>
      </c>
      <c r="AD54" s="1470" t="e">
        <f t="shared" si="42"/>
        <v>#DIV/0!</v>
      </c>
      <c r="AE54" s="1467"/>
      <c r="AF54" s="1468"/>
      <c r="AG54" s="1468"/>
      <c r="AH54" s="1500">
        <f t="shared" si="43"/>
        <v>0</v>
      </c>
      <c r="AI54" s="1468"/>
      <c r="AJ54" s="1468"/>
      <c r="AK54" s="1468"/>
      <c r="AL54" s="1500">
        <f t="shared" si="78"/>
        <v>0</v>
      </c>
      <c r="AM54" s="1470" t="e">
        <f t="shared" si="45"/>
        <v>#DIV/0!</v>
      </c>
      <c r="AN54" s="1467"/>
      <c r="AO54" s="1468"/>
      <c r="AP54" s="1468"/>
      <c r="AQ54" s="1500">
        <f t="shared" si="46"/>
        <v>0</v>
      </c>
      <c r="AR54" s="1468"/>
      <c r="AS54" s="1468"/>
      <c r="AT54" s="1468"/>
      <c r="AU54" s="1500">
        <f t="shared" si="79"/>
        <v>0</v>
      </c>
      <c r="AV54" s="1470" t="e">
        <f t="shared" si="48"/>
        <v>#DIV/0!</v>
      </c>
      <c r="AW54" s="1467"/>
      <c r="AX54" s="1468"/>
      <c r="AY54" s="1468"/>
      <c r="AZ54" s="1500">
        <f t="shared" si="49"/>
        <v>0</v>
      </c>
      <c r="BA54" s="1468"/>
      <c r="BB54" s="1468"/>
      <c r="BC54" s="1468"/>
      <c r="BD54" s="1500">
        <f t="shared" si="80"/>
        <v>0</v>
      </c>
      <c r="BE54" s="1470" t="e">
        <f t="shared" si="51"/>
        <v>#DIV/0!</v>
      </c>
      <c r="BF54" s="1467"/>
      <c r="BG54" s="1468"/>
      <c r="BH54" s="1468"/>
      <c r="BI54" s="1500">
        <f t="shared" si="52"/>
        <v>0</v>
      </c>
      <c r="BJ54" s="1468"/>
      <c r="BK54" s="1468"/>
      <c r="BL54" s="1468"/>
      <c r="BM54" s="1500">
        <f t="shared" si="81"/>
        <v>0</v>
      </c>
      <c r="BN54" s="1470" t="e">
        <f t="shared" si="54"/>
        <v>#DIV/0!</v>
      </c>
      <c r="BO54" s="1467"/>
      <c r="BP54" s="1468"/>
      <c r="BQ54" s="1468"/>
      <c r="BR54" s="1500">
        <f t="shared" si="55"/>
        <v>0</v>
      </c>
      <c r="BS54" s="1468"/>
      <c r="BT54" s="1468"/>
      <c r="BU54" s="1468"/>
      <c r="BV54" s="1500">
        <f t="shared" si="82"/>
        <v>0</v>
      </c>
      <c r="BW54" s="1470" t="e">
        <f t="shared" si="57"/>
        <v>#DIV/0!</v>
      </c>
      <c r="BX54" s="1467"/>
      <c r="BY54" s="1468"/>
      <c r="BZ54" s="1468"/>
      <c r="CA54" s="1500">
        <f t="shared" si="58"/>
        <v>0</v>
      </c>
      <c r="CB54" s="1468"/>
      <c r="CC54" s="1468"/>
      <c r="CD54" s="1468"/>
      <c r="CE54" s="1500">
        <f t="shared" si="83"/>
        <v>0</v>
      </c>
      <c r="CF54" s="1470" t="e">
        <f t="shared" si="60"/>
        <v>#DIV/0!</v>
      </c>
      <c r="CG54" s="1467"/>
      <c r="CH54" s="1468"/>
      <c r="CI54" s="1468"/>
      <c r="CJ54" s="1500">
        <f t="shared" si="61"/>
        <v>0</v>
      </c>
      <c r="CK54" s="1468"/>
      <c r="CL54" s="1468"/>
      <c r="CM54" s="1468"/>
      <c r="CN54" s="1500">
        <f t="shared" si="84"/>
        <v>0</v>
      </c>
      <c r="CO54" s="1470" t="e">
        <f t="shared" si="63"/>
        <v>#DIV/0!</v>
      </c>
      <c r="CP54" s="1467"/>
      <c r="CQ54" s="1468"/>
      <c r="CR54" s="1468"/>
      <c r="CS54" s="1500">
        <f t="shared" si="64"/>
        <v>0</v>
      </c>
      <c r="CT54" s="1468"/>
      <c r="CU54" s="1468"/>
      <c r="CV54" s="1468"/>
      <c r="CW54" s="1500">
        <f t="shared" si="85"/>
        <v>0</v>
      </c>
      <c r="CX54" s="1470" t="e">
        <f t="shared" si="66"/>
        <v>#DIV/0!</v>
      </c>
      <c r="CY54" s="1467"/>
      <c r="CZ54" s="1468"/>
      <c r="DA54" s="1468"/>
      <c r="DB54" s="1500">
        <f t="shared" si="67"/>
        <v>0</v>
      </c>
      <c r="DC54" s="1468"/>
      <c r="DD54" s="1468"/>
      <c r="DE54" s="1468"/>
      <c r="DF54" s="1500">
        <f t="shared" si="86"/>
        <v>0</v>
      </c>
      <c r="DG54" s="1470" t="e">
        <f t="shared" si="69"/>
        <v>#DIV/0!</v>
      </c>
      <c r="DH54" s="1471">
        <f t="shared" si="87"/>
        <v>0</v>
      </c>
      <c r="DI54" s="1481">
        <f t="shared" si="87"/>
        <v>0</v>
      </c>
      <c r="DJ54" s="1481">
        <f t="shared" si="87"/>
        <v>0</v>
      </c>
      <c r="DK54" s="1481">
        <f t="shared" si="87"/>
        <v>0</v>
      </c>
      <c r="DL54" s="1481">
        <f t="shared" si="87"/>
        <v>0</v>
      </c>
      <c r="DM54" s="1481">
        <f t="shared" si="87"/>
        <v>0</v>
      </c>
      <c r="DN54" s="1481">
        <f t="shared" si="87"/>
        <v>0</v>
      </c>
      <c r="DO54" s="1481">
        <f t="shared" si="35"/>
        <v>0</v>
      </c>
      <c r="DP54" s="1470">
        <f t="shared" si="36"/>
        <v>1</v>
      </c>
    </row>
    <row r="55" spans="1:120">
      <c r="A55" s="1560">
        <v>0.98</v>
      </c>
      <c r="B55" s="1561" t="s">
        <v>1007</v>
      </c>
      <c r="C55" s="1561" t="s">
        <v>1064</v>
      </c>
      <c r="D55" s="1467"/>
      <c r="E55" s="1468"/>
      <c r="F55" s="1468"/>
      <c r="G55" s="1518">
        <f t="shared" si="72"/>
        <v>0</v>
      </c>
      <c r="H55" s="1468"/>
      <c r="I55" s="1468"/>
      <c r="J55" s="1468"/>
      <c r="K55" s="1518">
        <f t="shared" si="11"/>
        <v>0</v>
      </c>
      <c r="L55" s="1470">
        <f t="shared" si="73"/>
        <v>1</v>
      </c>
      <c r="M55" s="1467"/>
      <c r="N55" s="1468"/>
      <c r="O55" s="1468"/>
      <c r="P55" s="1518">
        <f t="shared" si="74"/>
        <v>0</v>
      </c>
      <c r="Q55" s="1468"/>
      <c r="R55" s="1468"/>
      <c r="S55" s="1468"/>
      <c r="T55" s="1518">
        <f t="shared" si="76"/>
        <v>0</v>
      </c>
      <c r="U55" s="1470" t="e">
        <f t="shared" si="39"/>
        <v>#DIV/0!</v>
      </c>
      <c r="V55" s="1467"/>
      <c r="W55" s="1468"/>
      <c r="X55" s="1468"/>
      <c r="Y55" s="1518">
        <f t="shared" si="75"/>
        <v>0</v>
      </c>
      <c r="Z55" s="1468"/>
      <c r="AA55" s="1468"/>
      <c r="AB55" s="1468"/>
      <c r="AC55" s="1518">
        <f t="shared" si="77"/>
        <v>0</v>
      </c>
      <c r="AD55" s="1470" t="e">
        <f t="shared" si="42"/>
        <v>#DIV/0!</v>
      </c>
      <c r="AE55" s="1467"/>
      <c r="AF55" s="1468"/>
      <c r="AG55" s="1468"/>
      <c r="AH55" s="1518">
        <f t="shared" si="43"/>
        <v>0</v>
      </c>
      <c r="AI55" s="1468"/>
      <c r="AJ55" s="1468"/>
      <c r="AK55" s="1468"/>
      <c r="AL55" s="1518">
        <f t="shared" si="78"/>
        <v>0</v>
      </c>
      <c r="AM55" s="1470" t="e">
        <f t="shared" si="45"/>
        <v>#DIV/0!</v>
      </c>
      <c r="AN55" s="1467"/>
      <c r="AO55" s="1468"/>
      <c r="AP55" s="1468"/>
      <c r="AQ55" s="1518">
        <f t="shared" si="46"/>
        <v>0</v>
      </c>
      <c r="AR55" s="1468"/>
      <c r="AS55" s="1468"/>
      <c r="AT55" s="1468"/>
      <c r="AU55" s="1518">
        <f t="shared" si="79"/>
        <v>0</v>
      </c>
      <c r="AV55" s="1470" t="e">
        <f t="shared" si="48"/>
        <v>#DIV/0!</v>
      </c>
      <c r="AW55" s="1467"/>
      <c r="AX55" s="1468"/>
      <c r="AY55" s="1468"/>
      <c r="AZ55" s="1518">
        <f t="shared" si="49"/>
        <v>0</v>
      </c>
      <c r="BA55" s="1468"/>
      <c r="BB55" s="1468"/>
      <c r="BC55" s="1468"/>
      <c r="BD55" s="1518">
        <f t="shared" si="80"/>
        <v>0</v>
      </c>
      <c r="BE55" s="1470" t="e">
        <f t="shared" si="51"/>
        <v>#DIV/0!</v>
      </c>
      <c r="BF55" s="1467"/>
      <c r="BG55" s="1468"/>
      <c r="BH55" s="1468"/>
      <c r="BI55" s="1518">
        <f t="shared" si="52"/>
        <v>0</v>
      </c>
      <c r="BJ55" s="1468"/>
      <c r="BK55" s="1468"/>
      <c r="BL55" s="1468"/>
      <c r="BM55" s="1518">
        <f t="shared" si="81"/>
        <v>0</v>
      </c>
      <c r="BN55" s="1470" t="e">
        <f t="shared" si="54"/>
        <v>#DIV/0!</v>
      </c>
      <c r="BO55" s="1467"/>
      <c r="BP55" s="1468"/>
      <c r="BQ55" s="1468"/>
      <c r="BR55" s="1518">
        <f t="shared" si="55"/>
        <v>0</v>
      </c>
      <c r="BS55" s="1468"/>
      <c r="BT55" s="1468"/>
      <c r="BU55" s="1468"/>
      <c r="BV55" s="1518">
        <f t="shared" si="82"/>
        <v>0</v>
      </c>
      <c r="BW55" s="1470" t="e">
        <f t="shared" si="57"/>
        <v>#DIV/0!</v>
      </c>
      <c r="BX55" s="1467"/>
      <c r="BY55" s="1468"/>
      <c r="BZ55" s="1468"/>
      <c r="CA55" s="1518">
        <f t="shared" si="58"/>
        <v>0</v>
      </c>
      <c r="CB55" s="1468"/>
      <c r="CC55" s="1468"/>
      <c r="CD55" s="1468"/>
      <c r="CE55" s="1518">
        <f t="shared" si="83"/>
        <v>0</v>
      </c>
      <c r="CF55" s="1470" t="e">
        <f t="shared" si="60"/>
        <v>#DIV/0!</v>
      </c>
      <c r="CG55" s="1467"/>
      <c r="CH55" s="1468"/>
      <c r="CI55" s="1468"/>
      <c r="CJ55" s="1518">
        <f t="shared" si="61"/>
        <v>0</v>
      </c>
      <c r="CK55" s="1468"/>
      <c r="CL55" s="1468"/>
      <c r="CM55" s="1468"/>
      <c r="CN55" s="1518">
        <f t="shared" si="84"/>
        <v>0</v>
      </c>
      <c r="CO55" s="1470" t="e">
        <f t="shared" si="63"/>
        <v>#DIV/0!</v>
      </c>
      <c r="CP55" s="1467"/>
      <c r="CQ55" s="1468"/>
      <c r="CR55" s="1468"/>
      <c r="CS55" s="1518">
        <f t="shared" si="64"/>
        <v>0</v>
      </c>
      <c r="CT55" s="1468"/>
      <c r="CU55" s="1468"/>
      <c r="CV55" s="1468"/>
      <c r="CW55" s="1518">
        <f t="shared" si="85"/>
        <v>0</v>
      </c>
      <c r="CX55" s="1470" t="e">
        <f t="shared" si="66"/>
        <v>#DIV/0!</v>
      </c>
      <c r="CY55" s="1467"/>
      <c r="CZ55" s="1468"/>
      <c r="DA55" s="1468"/>
      <c r="DB55" s="1518">
        <f t="shared" si="67"/>
        <v>0</v>
      </c>
      <c r="DC55" s="1468"/>
      <c r="DD55" s="1468"/>
      <c r="DE55" s="1468"/>
      <c r="DF55" s="1518">
        <f t="shared" si="86"/>
        <v>0</v>
      </c>
      <c r="DG55" s="1470" t="e">
        <f t="shared" si="69"/>
        <v>#DIV/0!</v>
      </c>
      <c r="DH55" s="1471">
        <f t="shared" si="87"/>
        <v>0</v>
      </c>
      <c r="DI55" s="1481">
        <f t="shared" si="87"/>
        <v>0</v>
      </c>
      <c r="DJ55" s="1481">
        <f t="shared" si="87"/>
        <v>0</v>
      </c>
      <c r="DK55" s="1481">
        <f t="shared" si="87"/>
        <v>0</v>
      </c>
      <c r="DL55" s="1481">
        <f t="shared" si="87"/>
        <v>0</v>
      </c>
      <c r="DM55" s="1481">
        <f t="shared" si="87"/>
        <v>0</v>
      </c>
      <c r="DN55" s="1481">
        <f t="shared" si="87"/>
        <v>0</v>
      </c>
      <c r="DO55" s="1481">
        <f t="shared" si="35"/>
        <v>0</v>
      </c>
      <c r="DP55" s="1470">
        <f t="shared" si="36"/>
        <v>1</v>
      </c>
    </row>
    <row r="56" spans="1:120">
      <c r="A56" s="1562">
        <v>0.02</v>
      </c>
      <c r="B56" s="1563" t="s">
        <v>1007</v>
      </c>
      <c r="C56" s="1563" t="s">
        <v>1065</v>
      </c>
      <c r="D56" s="1467"/>
      <c r="E56" s="1468"/>
      <c r="F56" s="1468"/>
      <c r="G56" s="1518">
        <f t="shared" si="72"/>
        <v>0</v>
      </c>
      <c r="H56" s="1468"/>
      <c r="I56" s="1468"/>
      <c r="J56" s="1468"/>
      <c r="K56" s="1518">
        <f t="shared" si="11"/>
        <v>0</v>
      </c>
      <c r="L56" s="1470">
        <f t="shared" si="73"/>
        <v>1</v>
      </c>
      <c r="M56" s="1467"/>
      <c r="N56" s="1468"/>
      <c r="O56" s="1468"/>
      <c r="P56" s="1518">
        <f t="shared" si="74"/>
        <v>0</v>
      </c>
      <c r="Q56" s="1468"/>
      <c r="R56" s="1468"/>
      <c r="S56" s="1468"/>
      <c r="T56" s="1518">
        <f t="shared" si="76"/>
        <v>0</v>
      </c>
      <c r="U56" s="1470" t="e">
        <f t="shared" si="39"/>
        <v>#DIV/0!</v>
      </c>
      <c r="V56" s="1467"/>
      <c r="W56" s="1468"/>
      <c r="X56" s="1468"/>
      <c r="Y56" s="1518">
        <f t="shared" si="75"/>
        <v>0</v>
      </c>
      <c r="Z56" s="1468"/>
      <c r="AA56" s="1468"/>
      <c r="AB56" s="1468"/>
      <c r="AC56" s="1518">
        <f t="shared" si="77"/>
        <v>0</v>
      </c>
      <c r="AD56" s="1470" t="e">
        <f t="shared" si="42"/>
        <v>#DIV/0!</v>
      </c>
      <c r="AE56" s="1467"/>
      <c r="AF56" s="1468"/>
      <c r="AG56" s="1468"/>
      <c r="AH56" s="1518">
        <f t="shared" si="43"/>
        <v>0</v>
      </c>
      <c r="AI56" s="1468"/>
      <c r="AJ56" s="1468"/>
      <c r="AK56" s="1468"/>
      <c r="AL56" s="1518">
        <f t="shared" si="78"/>
        <v>0</v>
      </c>
      <c r="AM56" s="1470" t="e">
        <f t="shared" si="45"/>
        <v>#DIV/0!</v>
      </c>
      <c r="AN56" s="1467"/>
      <c r="AO56" s="1468"/>
      <c r="AP56" s="1468"/>
      <c r="AQ56" s="1518">
        <f t="shared" si="46"/>
        <v>0</v>
      </c>
      <c r="AR56" s="1468"/>
      <c r="AS56" s="1468"/>
      <c r="AT56" s="1468"/>
      <c r="AU56" s="1518">
        <f t="shared" si="79"/>
        <v>0</v>
      </c>
      <c r="AV56" s="1470" t="e">
        <f t="shared" si="48"/>
        <v>#DIV/0!</v>
      </c>
      <c r="AW56" s="1467"/>
      <c r="AX56" s="1468"/>
      <c r="AY56" s="1468"/>
      <c r="AZ56" s="1518">
        <f t="shared" si="49"/>
        <v>0</v>
      </c>
      <c r="BA56" s="1468"/>
      <c r="BB56" s="1468"/>
      <c r="BC56" s="1468"/>
      <c r="BD56" s="1518">
        <f t="shared" si="80"/>
        <v>0</v>
      </c>
      <c r="BE56" s="1470" t="e">
        <f t="shared" si="51"/>
        <v>#DIV/0!</v>
      </c>
      <c r="BF56" s="1467"/>
      <c r="BG56" s="1468"/>
      <c r="BH56" s="1468"/>
      <c r="BI56" s="1518">
        <f t="shared" si="52"/>
        <v>0</v>
      </c>
      <c r="BJ56" s="1468"/>
      <c r="BK56" s="1468"/>
      <c r="BL56" s="1468"/>
      <c r="BM56" s="1518">
        <f t="shared" si="81"/>
        <v>0</v>
      </c>
      <c r="BN56" s="1470" t="e">
        <f t="shared" si="54"/>
        <v>#DIV/0!</v>
      </c>
      <c r="BO56" s="1467"/>
      <c r="BP56" s="1468"/>
      <c r="BQ56" s="1468"/>
      <c r="BR56" s="1518">
        <f t="shared" si="55"/>
        <v>0</v>
      </c>
      <c r="BS56" s="1468"/>
      <c r="BT56" s="1468"/>
      <c r="BU56" s="1468"/>
      <c r="BV56" s="1518">
        <f t="shared" si="82"/>
        <v>0</v>
      </c>
      <c r="BW56" s="1470" t="e">
        <f t="shared" si="57"/>
        <v>#DIV/0!</v>
      </c>
      <c r="BX56" s="1467"/>
      <c r="BY56" s="1468"/>
      <c r="BZ56" s="1468"/>
      <c r="CA56" s="1518">
        <f t="shared" si="58"/>
        <v>0</v>
      </c>
      <c r="CB56" s="1468"/>
      <c r="CC56" s="1468"/>
      <c r="CD56" s="1468"/>
      <c r="CE56" s="1518">
        <f t="shared" si="83"/>
        <v>0</v>
      </c>
      <c r="CF56" s="1470" t="e">
        <f t="shared" si="60"/>
        <v>#DIV/0!</v>
      </c>
      <c r="CG56" s="1467"/>
      <c r="CH56" s="1468"/>
      <c r="CI56" s="1468"/>
      <c r="CJ56" s="1518">
        <f t="shared" si="61"/>
        <v>0</v>
      </c>
      <c r="CK56" s="1468"/>
      <c r="CL56" s="1468"/>
      <c r="CM56" s="1468"/>
      <c r="CN56" s="1518">
        <f t="shared" si="84"/>
        <v>0</v>
      </c>
      <c r="CO56" s="1470" t="e">
        <f t="shared" si="63"/>
        <v>#DIV/0!</v>
      </c>
      <c r="CP56" s="1467"/>
      <c r="CQ56" s="1468"/>
      <c r="CR56" s="1468"/>
      <c r="CS56" s="1518">
        <f t="shared" si="64"/>
        <v>0</v>
      </c>
      <c r="CT56" s="1468"/>
      <c r="CU56" s="1468"/>
      <c r="CV56" s="1468"/>
      <c r="CW56" s="1518">
        <f t="shared" si="85"/>
        <v>0</v>
      </c>
      <c r="CX56" s="1470" t="e">
        <f t="shared" si="66"/>
        <v>#DIV/0!</v>
      </c>
      <c r="CY56" s="1467"/>
      <c r="CZ56" s="1468"/>
      <c r="DA56" s="1468"/>
      <c r="DB56" s="1518">
        <f t="shared" si="67"/>
        <v>0</v>
      </c>
      <c r="DC56" s="1468"/>
      <c r="DD56" s="1468"/>
      <c r="DE56" s="1468"/>
      <c r="DF56" s="1518">
        <f t="shared" si="86"/>
        <v>0</v>
      </c>
      <c r="DG56" s="1470" t="e">
        <f t="shared" si="69"/>
        <v>#DIV/0!</v>
      </c>
      <c r="DH56" s="1471">
        <f t="shared" si="87"/>
        <v>0</v>
      </c>
      <c r="DI56" s="1481">
        <f t="shared" si="87"/>
        <v>0</v>
      </c>
      <c r="DJ56" s="1481">
        <f t="shared" si="87"/>
        <v>0</v>
      </c>
      <c r="DK56" s="1481">
        <f t="shared" si="87"/>
        <v>0</v>
      </c>
      <c r="DL56" s="1481">
        <f t="shared" si="87"/>
        <v>0</v>
      </c>
      <c r="DM56" s="1481">
        <f t="shared" si="87"/>
        <v>0</v>
      </c>
      <c r="DN56" s="1481">
        <f t="shared" si="87"/>
        <v>0</v>
      </c>
      <c r="DO56" s="1481">
        <f t="shared" si="35"/>
        <v>0</v>
      </c>
      <c r="DP56" s="1470">
        <f t="shared" si="36"/>
        <v>1</v>
      </c>
    </row>
    <row r="57" spans="1:120">
      <c r="A57" s="1560">
        <v>0.67</v>
      </c>
      <c r="B57" s="1561" t="s">
        <v>1008</v>
      </c>
      <c r="C57" s="1561" t="s">
        <v>1066</v>
      </c>
      <c r="D57" s="1467"/>
      <c r="E57" s="1468"/>
      <c r="F57" s="1468"/>
      <c r="G57" s="1518">
        <f t="shared" si="72"/>
        <v>0</v>
      </c>
      <c r="H57" s="1468"/>
      <c r="I57" s="1468"/>
      <c r="J57" s="1468"/>
      <c r="K57" s="1518">
        <f t="shared" si="11"/>
        <v>0</v>
      </c>
      <c r="L57" s="1470">
        <f t="shared" si="73"/>
        <v>1</v>
      </c>
      <c r="M57" s="1467"/>
      <c r="N57" s="1468"/>
      <c r="O57" s="1468"/>
      <c r="P57" s="1518">
        <f t="shared" si="74"/>
        <v>0</v>
      </c>
      <c r="Q57" s="1468"/>
      <c r="R57" s="1468"/>
      <c r="S57" s="1468"/>
      <c r="T57" s="1518">
        <f t="shared" si="76"/>
        <v>0</v>
      </c>
      <c r="U57" s="1470" t="e">
        <f t="shared" si="39"/>
        <v>#DIV/0!</v>
      </c>
      <c r="V57" s="1467"/>
      <c r="W57" s="1468"/>
      <c r="X57" s="1468"/>
      <c r="Y57" s="1518">
        <f t="shared" si="75"/>
        <v>0</v>
      </c>
      <c r="Z57" s="1468"/>
      <c r="AA57" s="1468"/>
      <c r="AB57" s="1468"/>
      <c r="AC57" s="1518">
        <f t="shared" si="77"/>
        <v>0</v>
      </c>
      <c r="AD57" s="1470" t="e">
        <f t="shared" si="42"/>
        <v>#DIV/0!</v>
      </c>
      <c r="AE57" s="1467"/>
      <c r="AF57" s="1468"/>
      <c r="AG57" s="1468"/>
      <c r="AH57" s="1518">
        <f t="shared" si="43"/>
        <v>0</v>
      </c>
      <c r="AI57" s="1468"/>
      <c r="AJ57" s="1468"/>
      <c r="AK57" s="1468"/>
      <c r="AL57" s="1518">
        <f t="shared" si="78"/>
        <v>0</v>
      </c>
      <c r="AM57" s="1470" t="e">
        <f t="shared" si="45"/>
        <v>#DIV/0!</v>
      </c>
      <c r="AN57" s="1467"/>
      <c r="AO57" s="1468"/>
      <c r="AP57" s="1468"/>
      <c r="AQ57" s="1518">
        <f t="shared" si="46"/>
        <v>0</v>
      </c>
      <c r="AR57" s="1468"/>
      <c r="AS57" s="1468"/>
      <c r="AT57" s="1468"/>
      <c r="AU57" s="1518">
        <f t="shared" si="79"/>
        <v>0</v>
      </c>
      <c r="AV57" s="1470" t="e">
        <f t="shared" si="48"/>
        <v>#DIV/0!</v>
      </c>
      <c r="AW57" s="1467"/>
      <c r="AX57" s="1468"/>
      <c r="AY57" s="1468"/>
      <c r="AZ57" s="1518">
        <f t="shared" si="49"/>
        <v>0</v>
      </c>
      <c r="BA57" s="1468"/>
      <c r="BB57" s="1468"/>
      <c r="BC57" s="1468"/>
      <c r="BD57" s="1518">
        <f t="shared" si="80"/>
        <v>0</v>
      </c>
      <c r="BE57" s="1470" t="e">
        <f t="shared" si="51"/>
        <v>#DIV/0!</v>
      </c>
      <c r="BF57" s="1467"/>
      <c r="BG57" s="1468"/>
      <c r="BH57" s="1468"/>
      <c r="BI57" s="1518">
        <f t="shared" si="52"/>
        <v>0</v>
      </c>
      <c r="BJ57" s="1468"/>
      <c r="BK57" s="1468"/>
      <c r="BL57" s="1468"/>
      <c r="BM57" s="1518">
        <f t="shared" si="81"/>
        <v>0</v>
      </c>
      <c r="BN57" s="1470" t="e">
        <f t="shared" si="54"/>
        <v>#DIV/0!</v>
      </c>
      <c r="BO57" s="1467"/>
      <c r="BP57" s="1468"/>
      <c r="BQ57" s="1468"/>
      <c r="BR57" s="1518">
        <f t="shared" si="55"/>
        <v>0</v>
      </c>
      <c r="BS57" s="1468"/>
      <c r="BT57" s="1468"/>
      <c r="BU57" s="1468"/>
      <c r="BV57" s="1518">
        <f t="shared" si="82"/>
        <v>0</v>
      </c>
      <c r="BW57" s="1470" t="e">
        <f t="shared" si="57"/>
        <v>#DIV/0!</v>
      </c>
      <c r="BX57" s="1467"/>
      <c r="BY57" s="1468"/>
      <c r="BZ57" s="1468"/>
      <c r="CA57" s="1518">
        <f t="shared" si="58"/>
        <v>0</v>
      </c>
      <c r="CB57" s="1468"/>
      <c r="CC57" s="1468"/>
      <c r="CD57" s="1468"/>
      <c r="CE57" s="1518">
        <f t="shared" si="83"/>
        <v>0</v>
      </c>
      <c r="CF57" s="1470" t="e">
        <f t="shared" si="60"/>
        <v>#DIV/0!</v>
      </c>
      <c r="CG57" s="1467"/>
      <c r="CH57" s="1468"/>
      <c r="CI57" s="1468"/>
      <c r="CJ57" s="1518">
        <f t="shared" si="61"/>
        <v>0</v>
      </c>
      <c r="CK57" s="1468"/>
      <c r="CL57" s="1468"/>
      <c r="CM57" s="1468"/>
      <c r="CN57" s="1518">
        <f t="shared" si="84"/>
        <v>0</v>
      </c>
      <c r="CO57" s="1470" t="e">
        <f t="shared" si="63"/>
        <v>#DIV/0!</v>
      </c>
      <c r="CP57" s="1467"/>
      <c r="CQ57" s="1468"/>
      <c r="CR57" s="1468"/>
      <c r="CS57" s="1518">
        <f t="shared" si="64"/>
        <v>0</v>
      </c>
      <c r="CT57" s="1468"/>
      <c r="CU57" s="1468"/>
      <c r="CV57" s="1468"/>
      <c r="CW57" s="1518">
        <f t="shared" si="85"/>
        <v>0</v>
      </c>
      <c r="CX57" s="1470" t="e">
        <f t="shared" si="66"/>
        <v>#DIV/0!</v>
      </c>
      <c r="CY57" s="1467"/>
      <c r="CZ57" s="1468"/>
      <c r="DA57" s="1468"/>
      <c r="DB57" s="1518">
        <f t="shared" si="67"/>
        <v>0</v>
      </c>
      <c r="DC57" s="1468"/>
      <c r="DD57" s="1468"/>
      <c r="DE57" s="1468"/>
      <c r="DF57" s="1518">
        <f t="shared" si="86"/>
        <v>0</v>
      </c>
      <c r="DG57" s="1470" t="e">
        <f t="shared" si="69"/>
        <v>#DIV/0!</v>
      </c>
      <c r="DH57" s="1471">
        <f t="shared" si="87"/>
        <v>0</v>
      </c>
      <c r="DI57" s="1481">
        <f t="shared" si="87"/>
        <v>0</v>
      </c>
      <c r="DJ57" s="1481">
        <f t="shared" si="87"/>
        <v>0</v>
      </c>
      <c r="DK57" s="1481">
        <f t="shared" si="87"/>
        <v>0</v>
      </c>
      <c r="DL57" s="1481">
        <f t="shared" si="87"/>
        <v>0</v>
      </c>
      <c r="DM57" s="1481">
        <f t="shared" si="87"/>
        <v>0</v>
      </c>
      <c r="DN57" s="1481">
        <f t="shared" si="87"/>
        <v>0</v>
      </c>
      <c r="DO57" s="1481">
        <f t="shared" si="35"/>
        <v>0</v>
      </c>
      <c r="DP57" s="1470">
        <f t="shared" si="36"/>
        <v>1</v>
      </c>
    </row>
    <row r="58" spans="1:120">
      <c r="A58" s="1562">
        <v>0.33</v>
      </c>
      <c r="B58" s="1563" t="s">
        <v>1008</v>
      </c>
      <c r="C58" s="1563" t="s">
        <v>1067</v>
      </c>
      <c r="D58" s="1467"/>
      <c r="E58" s="1468"/>
      <c r="F58" s="1468"/>
      <c r="G58" s="1518">
        <f t="shared" si="72"/>
        <v>0</v>
      </c>
      <c r="H58" s="1468"/>
      <c r="I58" s="1468"/>
      <c r="J58" s="1468"/>
      <c r="K58" s="1518">
        <f t="shared" si="11"/>
        <v>0</v>
      </c>
      <c r="L58" s="1470">
        <f t="shared" si="73"/>
        <v>1</v>
      </c>
      <c r="M58" s="1467"/>
      <c r="N58" s="1468"/>
      <c r="O58" s="1468"/>
      <c r="P58" s="1518">
        <f t="shared" si="74"/>
        <v>0</v>
      </c>
      <c r="Q58" s="1468"/>
      <c r="R58" s="1468"/>
      <c r="S58" s="1468"/>
      <c r="T58" s="1518">
        <f t="shared" si="76"/>
        <v>0</v>
      </c>
      <c r="U58" s="1470" t="e">
        <f t="shared" si="39"/>
        <v>#DIV/0!</v>
      </c>
      <c r="V58" s="1467"/>
      <c r="W58" s="1468"/>
      <c r="X58" s="1468"/>
      <c r="Y58" s="1518">
        <f t="shared" si="75"/>
        <v>0</v>
      </c>
      <c r="Z58" s="1468"/>
      <c r="AA58" s="1468"/>
      <c r="AB58" s="1468"/>
      <c r="AC58" s="1518">
        <f t="shared" si="77"/>
        <v>0</v>
      </c>
      <c r="AD58" s="1470" t="e">
        <f t="shared" si="42"/>
        <v>#DIV/0!</v>
      </c>
      <c r="AE58" s="1467"/>
      <c r="AF58" s="1468"/>
      <c r="AG58" s="1468"/>
      <c r="AH58" s="1518">
        <f t="shared" si="43"/>
        <v>0</v>
      </c>
      <c r="AI58" s="1468"/>
      <c r="AJ58" s="1468"/>
      <c r="AK58" s="1468"/>
      <c r="AL58" s="1518">
        <f t="shared" si="78"/>
        <v>0</v>
      </c>
      <c r="AM58" s="1470" t="e">
        <f t="shared" si="45"/>
        <v>#DIV/0!</v>
      </c>
      <c r="AN58" s="1467"/>
      <c r="AO58" s="1468"/>
      <c r="AP58" s="1468"/>
      <c r="AQ58" s="1518">
        <f t="shared" si="46"/>
        <v>0</v>
      </c>
      <c r="AR58" s="1468"/>
      <c r="AS58" s="1468"/>
      <c r="AT58" s="1468"/>
      <c r="AU58" s="1518">
        <f t="shared" si="79"/>
        <v>0</v>
      </c>
      <c r="AV58" s="1470" t="e">
        <f t="shared" si="48"/>
        <v>#DIV/0!</v>
      </c>
      <c r="AW58" s="1467"/>
      <c r="AX58" s="1468"/>
      <c r="AY58" s="1468"/>
      <c r="AZ58" s="1518">
        <f t="shared" si="49"/>
        <v>0</v>
      </c>
      <c r="BA58" s="1468"/>
      <c r="BB58" s="1468"/>
      <c r="BC58" s="1468"/>
      <c r="BD58" s="1518">
        <f t="shared" si="80"/>
        <v>0</v>
      </c>
      <c r="BE58" s="1470" t="e">
        <f t="shared" si="51"/>
        <v>#DIV/0!</v>
      </c>
      <c r="BF58" s="1467"/>
      <c r="BG58" s="1468"/>
      <c r="BH58" s="1468"/>
      <c r="BI58" s="1518">
        <f t="shared" si="52"/>
        <v>0</v>
      </c>
      <c r="BJ58" s="1468"/>
      <c r="BK58" s="1468"/>
      <c r="BL58" s="1468"/>
      <c r="BM58" s="1518">
        <f t="shared" si="81"/>
        <v>0</v>
      </c>
      <c r="BN58" s="1470" t="e">
        <f t="shared" si="54"/>
        <v>#DIV/0!</v>
      </c>
      <c r="BO58" s="1467"/>
      <c r="BP58" s="1468"/>
      <c r="BQ58" s="1468"/>
      <c r="BR58" s="1518">
        <f t="shared" si="55"/>
        <v>0</v>
      </c>
      <c r="BS58" s="1468"/>
      <c r="BT58" s="1468"/>
      <c r="BU58" s="1468"/>
      <c r="BV58" s="1518">
        <f t="shared" si="82"/>
        <v>0</v>
      </c>
      <c r="BW58" s="1470" t="e">
        <f t="shared" si="57"/>
        <v>#DIV/0!</v>
      </c>
      <c r="BX58" s="1467"/>
      <c r="BY58" s="1468"/>
      <c r="BZ58" s="1468"/>
      <c r="CA58" s="1518">
        <f t="shared" si="58"/>
        <v>0</v>
      </c>
      <c r="CB58" s="1468"/>
      <c r="CC58" s="1468"/>
      <c r="CD58" s="1468"/>
      <c r="CE58" s="1518">
        <f t="shared" si="83"/>
        <v>0</v>
      </c>
      <c r="CF58" s="1470" t="e">
        <f t="shared" si="60"/>
        <v>#DIV/0!</v>
      </c>
      <c r="CG58" s="1467"/>
      <c r="CH58" s="1468"/>
      <c r="CI58" s="1468"/>
      <c r="CJ58" s="1518">
        <f t="shared" si="61"/>
        <v>0</v>
      </c>
      <c r="CK58" s="1468"/>
      <c r="CL58" s="1468"/>
      <c r="CM58" s="1468"/>
      <c r="CN58" s="1518">
        <f t="shared" si="84"/>
        <v>0</v>
      </c>
      <c r="CO58" s="1470" t="e">
        <f t="shared" si="63"/>
        <v>#DIV/0!</v>
      </c>
      <c r="CP58" s="1467"/>
      <c r="CQ58" s="1468"/>
      <c r="CR58" s="1468"/>
      <c r="CS58" s="1518">
        <f t="shared" si="64"/>
        <v>0</v>
      </c>
      <c r="CT58" s="1468"/>
      <c r="CU58" s="1468"/>
      <c r="CV58" s="1468"/>
      <c r="CW58" s="1518">
        <f t="shared" si="85"/>
        <v>0</v>
      </c>
      <c r="CX58" s="1470" t="e">
        <f t="shared" si="66"/>
        <v>#DIV/0!</v>
      </c>
      <c r="CY58" s="1467"/>
      <c r="CZ58" s="1468"/>
      <c r="DA58" s="1468"/>
      <c r="DB58" s="1518">
        <f t="shared" si="67"/>
        <v>0</v>
      </c>
      <c r="DC58" s="1468"/>
      <c r="DD58" s="1468"/>
      <c r="DE58" s="1468"/>
      <c r="DF58" s="1518">
        <f t="shared" si="86"/>
        <v>0</v>
      </c>
      <c r="DG58" s="1470" t="e">
        <f t="shared" si="69"/>
        <v>#DIV/0!</v>
      </c>
      <c r="DH58" s="1471">
        <f t="shared" si="87"/>
        <v>0</v>
      </c>
      <c r="DI58" s="1481">
        <f t="shared" si="87"/>
        <v>0</v>
      </c>
      <c r="DJ58" s="1481">
        <f t="shared" si="87"/>
        <v>0</v>
      </c>
      <c r="DK58" s="1481">
        <f t="shared" si="87"/>
        <v>0</v>
      </c>
      <c r="DL58" s="1481">
        <f t="shared" si="87"/>
        <v>0</v>
      </c>
      <c r="DM58" s="1481">
        <f t="shared" si="87"/>
        <v>0</v>
      </c>
      <c r="DN58" s="1481">
        <f t="shared" si="87"/>
        <v>0</v>
      </c>
      <c r="DO58" s="1481">
        <f t="shared" si="35"/>
        <v>0</v>
      </c>
      <c r="DP58" s="1470">
        <f t="shared" si="36"/>
        <v>1</v>
      </c>
    </row>
    <row r="59" spans="1:120">
      <c r="A59" s="1560">
        <v>0.8</v>
      </c>
      <c r="B59" s="1561" t="s">
        <v>1010</v>
      </c>
      <c r="C59" s="1561" t="s">
        <v>1068</v>
      </c>
      <c r="D59" s="1467"/>
      <c r="E59" s="1468"/>
      <c r="F59" s="1468"/>
      <c r="G59" s="1518">
        <f t="shared" si="72"/>
        <v>0</v>
      </c>
      <c r="H59" s="1468"/>
      <c r="I59" s="1468"/>
      <c r="J59" s="1468"/>
      <c r="K59" s="1518">
        <f t="shared" si="11"/>
        <v>0</v>
      </c>
      <c r="L59" s="1470">
        <f t="shared" si="73"/>
        <v>1</v>
      </c>
      <c r="M59" s="1467"/>
      <c r="N59" s="1468"/>
      <c r="O59" s="1468"/>
      <c r="P59" s="1518">
        <f t="shared" si="74"/>
        <v>0</v>
      </c>
      <c r="Q59" s="1468"/>
      <c r="R59" s="1468"/>
      <c r="S59" s="1468"/>
      <c r="T59" s="1518">
        <f t="shared" si="76"/>
        <v>0</v>
      </c>
      <c r="U59" s="1470" t="e">
        <f t="shared" si="39"/>
        <v>#DIV/0!</v>
      </c>
      <c r="V59" s="1467"/>
      <c r="W59" s="1468"/>
      <c r="X59" s="1468"/>
      <c r="Y59" s="1518">
        <f t="shared" si="75"/>
        <v>0</v>
      </c>
      <c r="Z59" s="1468"/>
      <c r="AA59" s="1468"/>
      <c r="AB59" s="1468"/>
      <c r="AC59" s="1518">
        <f t="shared" si="77"/>
        <v>0</v>
      </c>
      <c r="AD59" s="1470" t="e">
        <f t="shared" si="42"/>
        <v>#DIV/0!</v>
      </c>
      <c r="AE59" s="1467"/>
      <c r="AF59" s="1468"/>
      <c r="AG59" s="1468"/>
      <c r="AH59" s="1518">
        <f t="shared" si="43"/>
        <v>0</v>
      </c>
      <c r="AI59" s="1468"/>
      <c r="AJ59" s="1468"/>
      <c r="AK59" s="1468"/>
      <c r="AL59" s="1518">
        <f t="shared" si="78"/>
        <v>0</v>
      </c>
      <c r="AM59" s="1470" t="e">
        <f t="shared" si="45"/>
        <v>#DIV/0!</v>
      </c>
      <c r="AN59" s="1467"/>
      <c r="AO59" s="1468"/>
      <c r="AP59" s="1468"/>
      <c r="AQ59" s="1518">
        <f t="shared" si="46"/>
        <v>0</v>
      </c>
      <c r="AR59" s="1468"/>
      <c r="AS59" s="1468"/>
      <c r="AT59" s="1468"/>
      <c r="AU59" s="1518">
        <f t="shared" si="79"/>
        <v>0</v>
      </c>
      <c r="AV59" s="1470" t="e">
        <f t="shared" si="48"/>
        <v>#DIV/0!</v>
      </c>
      <c r="AW59" s="1467"/>
      <c r="AX59" s="1468"/>
      <c r="AY59" s="1468"/>
      <c r="AZ59" s="1518">
        <f t="shared" si="49"/>
        <v>0</v>
      </c>
      <c r="BA59" s="1468"/>
      <c r="BB59" s="1468"/>
      <c r="BC59" s="1468"/>
      <c r="BD59" s="1518">
        <f t="shared" si="80"/>
        <v>0</v>
      </c>
      <c r="BE59" s="1470" t="e">
        <f t="shared" si="51"/>
        <v>#DIV/0!</v>
      </c>
      <c r="BF59" s="1467"/>
      <c r="BG59" s="1468"/>
      <c r="BH59" s="1468"/>
      <c r="BI59" s="1518">
        <f t="shared" si="52"/>
        <v>0</v>
      </c>
      <c r="BJ59" s="1468"/>
      <c r="BK59" s="1468"/>
      <c r="BL59" s="1468"/>
      <c r="BM59" s="1518">
        <f t="shared" si="81"/>
        <v>0</v>
      </c>
      <c r="BN59" s="1470" t="e">
        <f t="shared" si="54"/>
        <v>#DIV/0!</v>
      </c>
      <c r="BO59" s="1467"/>
      <c r="BP59" s="1468"/>
      <c r="BQ59" s="1468"/>
      <c r="BR59" s="1518">
        <f t="shared" si="55"/>
        <v>0</v>
      </c>
      <c r="BS59" s="1468"/>
      <c r="BT59" s="1468"/>
      <c r="BU59" s="1468"/>
      <c r="BV59" s="1518">
        <f t="shared" si="82"/>
        <v>0</v>
      </c>
      <c r="BW59" s="1470" t="e">
        <f t="shared" si="57"/>
        <v>#DIV/0!</v>
      </c>
      <c r="BX59" s="1467"/>
      <c r="BY59" s="1468"/>
      <c r="BZ59" s="1468"/>
      <c r="CA59" s="1518">
        <f t="shared" si="58"/>
        <v>0</v>
      </c>
      <c r="CB59" s="1468"/>
      <c r="CC59" s="1468"/>
      <c r="CD59" s="1468"/>
      <c r="CE59" s="1518">
        <f t="shared" si="83"/>
        <v>0</v>
      </c>
      <c r="CF59" s="1470" t="e">
        <f t="shared" si="60"/>
        <v>#DIV/0!</v>
      </c>
      <c r="CG59" s="1467"/>
      <c r="CH59" s="1468"/>
      <c r="CI59" s="1468"/>
      <c r="CJ59" s="1518">
        <f t="shared" si="61"/>
        <v>0</v>
      </c>
      <c r="CK59" s="1468"/>
      <c r="CL59" s="1468"/>
      <c r="CM59" s="1468"/>
      <c r="CN59" s="1518">
        <f t="shared" si="84"/>
        <v>0</v>
      </c>
      <c r="CO59" s="1470" t="e">
        <f t="shared" si="63"/>
        <v>#DIV/0!</v>
      </c>
      <c r="CP59" s="1467"/>
      <c r="CQ59" s="1468"/>
      <c r="CR59" s="1468"/>
      <c r="CS59" s="1518">
        <f t="shared" si="64"/>
        <v>0</v>
      </c>
      <c r="CT59" s="1468"/>
      <c r="CU59" s="1468"/>
      <c r="CV59" s="1468"/>
      <c r="CW59" s="1518">
        <f t="shared" si="85"/>
        <v>0</v>
      </c>
      <c r="CX59" s="1470" t="e">
        <f t="shared" si="66"/>
        <v>#DIV/0!</v>
      </c>
      <c r="CY59" s="1467"/>
      <c r="CZ59" s="1468"/>
      <c r="DA59" s="1468"/>
      <c r="DB59" s="1518">
        <f t="shared" si="67"/>
        <v>0</v>
      </c>
      <c r="DC59" s="1468"/>
      <c r="DD59" s="1468"/>
      <c r="DE59" s="1468"/>
      <c r="DF59" s="1518">
        <f t="shared" si="86"/>
        <v>0</v>
      </c>
      <c r="DG59" s="1470" t="e">
        <f t="shared" si="69"/>
        <v>#DIV/0!</v>
      </c>
      <c r="DH59" s="1471">
        <f t="shared" si="87"/>
        <v>0</v>
      </c>
      <c r="DI59" s="1481">
        <f t="shared" si="87"/>
        <v>0</v>
      </c>
      <c r="DJ59" s="1481">
        <f t="shared" si="87"/>
        <v>0</v>
      </c>
      <c r="DK59" s="1481">
        <f t="shared" si="87"/>
        <v>0</v>
      </c>
      <c r="DL59" s="1481">
        <f t="shared" si="87"/>
        <v>0</v>
      </c>
      <c r="DM59" s="1481">
        <f t="shared" si="87"/>
        <v>0</v>
      </c>
      <c r="DN59" s="1481">
        <f t="shared" si="87"/>
        <v>0</v>
      </c>
      <c r="DO59" s="1481">
        <f t="shared" si="35"/>
        <v>0</v>
      </c>
      <c r="DP59" s="1470">
        <f t="shared" si="36"/>
        <v>1</v>
      </c>
    </row>
    <row r="60" spans="1:120">
      <c r="A60" s="1562">
        <v>0.2</v>
      </c>
      <c r="B60" s="1563" t="s">
        <v>1010</v>
      </c>
      <c r="C60" s="1563" t="s">
        <v>1069</v>
      </c>
      <c r="D60" s="1467"/>
      <c r="E60" s="1468"/>
      <c r="F60" s="1468"/>
      <c r="G60" s="1518">
        <f t="shared" si="72"/>
        <v>0</v>
      </c>
      <c r="H60" s="1468"/>
      <c r="I60" s="1468"/>
      <c r="J60" s="1468"/>
      <c r="K60" s="1518">
        <f t="shared" si="11"/>
        <v>0</v>
      </c>
      <c r="L60" s="1470">
        <f t="shared" si="73"/>
        <v>1</v>
      </c>
      <c r="M60" s="1467"/>
      <c r="N60" s="1468"/>
      <c r="O60" s="1468"/>
      <c r="P60" s="1518">
        <f t="shared" si="74"/>
        <v>0</v>
      </c>
      <c r="Q60" s="1468"/>
      <c r="R60" s="1468"/>
      <c r="S60" s="1468"/>
      <c r="T60" s="1518">
        <f t="shared" si="76"/>
        <v>0</v>
      </c>
      <c r="U60" s="1470" t="e">
        <f t="shared" si="39"/>
        <v>#DIV/0!</v>
      </c>
      <c r="V60" s="1467"/>
      <c r="W60" s="1468"/>
      <c r="X60" s="1468"/>
      <c r="Y60" s="1518">
        <f t="shared" si="75"/>
        <v>0</v>
      </c>
      <c r="Z60" s="1468"/>
      <c r="AA60" s="1468"/>
      <c r="AB60" s="1468"/>
      <c r="AC60" s="1518">
        <f t="shared" si="77"/>
        <v>0</v>
      </c>
      <c r="AD60" s="1470" t="e">
        <f t="shared" si="42"/>
        <v>#DIV/0!</v>
      </c>
      <c r="AE60" s="1467"/>
      <c r="AF60" s="1468"/>
      <c r="AG60" s="1468"/>
      <c r="AH60" s="1518">
        <f t="shared" si="43"/>
        <v>0</v>
      </c>
      <c r="AI60" s="1468"/>
      <c r="AJ60" s="1468"/>
      <c r="AK60" s="1468"/>
      <c r="AL60" s="1518">
        <f t="shared" si="78"/>
        <v>0</v>
      </c>
      <c r="AM60" s="1470" t="e">
        <f t="shared" si="45"/>
        <v>#DIV/0!</v>
      </c>
      <c r="AN60" s="1467"/>
      <c r="AO60" s="1468"/>
      <c r="AP60" s="1468"/>
      <c r="AQ60" s="1518">
        <f t="shared" si="46"/>
        <v>0</v>
      </c>
      <c r="AR60" s="1468"/>
      <c r="AS60" s="1468"/>
      <c r="AT60" s="1468"/>
      <c r="AU60" s="1518">
        <f t="shared" si="79"/>
        <v>0</v>
      </c>
      <c r="AV60" s="1470" t="e">
        <f t="shared" si="48"/>
        <v>#DIV/0!</v>
      </c>
      <c r="AW60" s="1467"/>
      <c r="AX60" s="1468"/>
      <c r="AY60" s="1468"/>
      <c r="AZ60" s="1518">
        <f t="shared" si="49"/>
        <v>0</v>
      </c>
      <c r="BA60" s="1468"/>
      <c r="BB60" s="1468"/>
      <c r="BC60" s="1468"/>
      <c r="BD60" s="1518">
        <f t="shared" si="80"/>
        <v>0</v>
      </c>
      <c r="BE60" s="1470" t="e">
        <f t="shared" si="51"/>
        <v>#DIV/0!</v>
      </c>
      <c r="BF60" s="1467"/>
      <c r="BG60" s="1468"/>
      <c r="BH60" s="1468"/>
      <c r="BI60" s="1518">
        <f t="shared" si="52"/>
        <v>0</v>
      </c>
      <c r="BJ60" s="1468"/>
      <c r="BK60" s="1468"/>
      <c r="BL60" s="1468"/>
      <c r="BM60" s="1518">
        <f t="shared" si="81"/>
        <v>0</v>
      </c>
      <c r="BN60" s="1470" t="e">
        <f t="shared" si="54"/>
        <v>#DIV/0!</v>
      </c>
      <c r="BO60" s="1467"/>
      <c r="BP60" s="1468"/>
      <c r="BQ60" s="1468"/>
      <c r="BR60" s="1518">
        <f t="shared" si="55"/>
        <v>0</v>
      </c>
      <c r="BS60" s="1468"/>
      <c r="BT60" s="1468"/>
      <c r="BU60" s="1468"/>
      <c r="BV60" s="1518">
        <f t="shared" si="82"/>
        <v>0</v>
      </c>
      <c r="BW60" s="1470" t="e">
        <f t="shared" si="57"/>
        <v>#DIV/0!</v>
      </c>
      <c r="BX60" s="1467"/>
      <c r="BY60" s="1468"/>
      <c r="BZ60" s="1468"/>
      <c r="CA60" s="1518">
        <f t="shared" si="58"/>
        <v>0</v>
      </c>
      <c r="CB60" s="1468"/>
      <c r="CC60" s="1468"/>
      <c r="CD60" s="1468"/>
      <c r="CE60" s="1518">
        <f t="shared" si="83"/>
        <v>0</v>
      </c>
      <c r="CF60" s="1470" t="e">
        <f t="shared" si="60"/>
        <v>#DIV/0!</v>
      </c>
      <c r="CG60" s="1467"/>
      <c r="CH60" s="1468"/>
      <c r="CI60" s="1468"/>
      <c r="CJ60" s="1518">
        <f t="shared" si="61"/>
        <v>0</v>
      </c>
      <c r="CK60" s="1468"/>
      <c r="CL60" s="1468"/>
      <c r="CM60" s="1468"/>
      <c r="CN60" s="1518">
        <f t="shared" si="84"/>
        <v>0</v>
      </c>
      <c r="CO60" s="1470" t="e">
        <f t="shared" si="63"/>
        <v>#DIV/0!</v>
      </c>
      <c r="CP60" s="1467"/>
      <c r="CQ60" s="1468"/>
      <c r="CR60" s="1468"/>
      <c r="CS60" s="1518">
        <f t="shared" si="64"/>
        <v>0</v>
      </c>
      <c r="CT60" s="1468"/>
      <c r="CU60" s="1468"/>
      <c r="CV60" s="1468"/>
      <c r="CW60" s="1518">
        <f t="shared" si="85"/>
        <v>0</v>
      </c>
      <c r="CX60" s="1470" t="e">
        <f t="shared" si="66"/>
        <v>#DIV/0!</v>
      </c>
      <c r="CY60" s="1467"/>
      <c r="CZ60" s="1468"/>
      <c r="DA60" s="1468"/>
      <c r="DB60" s="1518">
        <f t="shared" si="67"/>
        <v>0</v>
      </c>
      <c r="DC60" s="1468"/>
      <c r="DD60" s="1468"/>
      <c r="DE60" s="1468"/>
      <c r="DF60" s="1518">
        <f t="shared" si="86"/>
        <v>0</v>
      </c>
      <c r="DG60" s="1470" t="e">
        <f t="shared" si="69"/>
        <v>#DIV/0!</v>
      </c>
      <c r="DH60" s="1471">
        <f t="shared" si="87"/>
        <v>0</v>
      </c>
      <c r="DI60" s="1481">
        <f t="shared" si="87"/>
        <v>0</v>
      </c>
      <c r="DJ60" s="1481">
        <f t="shared" si="87"/>
        <v>0</v>
      </c>
      <c r="DK60" s="1481">
        <f t="shared" si="87"/>
        <v>0</v>
      </c>
      <c r="DL60" s="1481">
        <f t="shared" si="87"/>
        <v>0</v>
      </c>
      <c r="DM60" s="1481">
        <f t="shared" si="87"/>
        <v>0</v>
      </c>
      <c r="DN60" s="1481">
        <f t="shared" si="87"/>
        <v>0</v>
      </c>
      <c r="DO60" s="1481">
        <f t="shared" si="35"/>
        <v>0</v>
      </c>
      <c r="DP60" s="1470">
        <f t="shared" si="36"/>
        <v>1</v>
      </c>
    </row>
    <row r="61" spans="1:120">
      <c r="A61" s="1564">
        <v>0.56000000000000005</v>
      </c>
      <c r="B61" s="1565" t="s">
        <v>1011</v>
      </c>
      <c r="C61" s="1565" t="s">
        <v>1070</v>
      </c>
      <c r="D61" s="1467"/>
      <c r="E61" s="1468"/>
      <c r="F61" s="1468"/>
      <c r="G61" s="1518">
        <f t="shared" si="72"/>
        <v>0</v>
      </c>
      <c r="H61" s="1468"/>
      <c r="I61" s="1468"/>
      <c r="J61" s="1468"/>
      <c r="K61" s="1518">
        <f t="shared" si="11"/>
        <v>0</v>
      </c>
      <c r="L61" s="1470">
        <f t="shared" si="73"/>
        <v>1</v>
      </c>
      <c r="M61" s="1467"/>
      <c r="N61" s="1468"/>
      <c r="O61" s="1468"/>
      <c r="P61" s="1518">
        <f t="shared" si="74"/>
        <v>0</v>
      </c>
      <c r="Q61" s="1468"/>
      <c r="R61" s="1468"/>
      <c r="S61" s="1468"/>
      <c r="T61" s="1518">
        <f t="shared" si="76"/>
        <v>0</v>
      </c>
      <c r="U61" s="1470" t="e">
        <f t="shared" si="39"/>
        <v>#DIV/0!</v>
      </c>
      <c r="V61" s="1467"/>
      <c r="W61" s="1468"/>
      <c r="X61" s="1468"/>
      <c r="Y61" s="1518">
        <f t="shared" si="75"/>
        <v>0</v>
      </c>
      <c r="Z61" s="1468"/>
      <c r="AA61" s="1468"/>
      <c r="AB61" s="1468"/>
      <c r="AC61" s="1518">
        <f t="shared" si="77"/>
        <v>0</v>
      </c>
      <c r="AD61" s="1470" t="e">
        <f t="shared" si="42"/>
        <v>#DIV/0!</v>
      </c>
      <c r="AE61" s="1467"/>
      <c r="AF61" s="1468"/>
      <c r="AG61" s="1468"/>
      <c r="AH61" s="1518">
        <f t="shared" si="43"/>
        <v>0</v>
      </c>
      <c r="AI61" s="1468"/>
      <c r="AJ61" s="1468"/>
      <c r="AK61" s="1468"/>
      <c r="AL61" s="1518">
        <f t="shared" si="78"/>
        <v>0</v>
      </c>
      <c r="AM61" s="1470" t="e">
        <f t="shared" si="45"/>
        <v>#DIV/0!</v>
      </c>
      <c r="AN61" s="1467"/>
      <c r="AO61" s="1468"/>
      <c r="AP61" s="1468"/>
      <c r="AQ61" s="1518">
        <f t="shared" si="46"/>
        <v>0</v>
      </c>
      <c r="AR61" s="1468"/>
      <c r="AS61" s="1468"/>
      <c r="AT61" s="1468"/>
      <c r="AU61" s="1518">
        <f t="shared" si="79"/>
        <v>0</v>
      </c>
      <c r="AV61" s="1470" t="e">
        <f t="shared" si="48"/>
        <v>#DIV/0!</v>
      </c>
      <c r="AW61" s="1467"/>
      <c r="AX61" s="1468"/>
      <c r="AY61" s="1468"/>
      <c r="AZ61" s="1518">
        <f t="shared" si="49"/>
        <v>0</v>
      </c>
      <c r="BA61" s="1468"/>
      <c r="BB61" s="1468"/>
      <c r="BC61" s="1468"/>
      <c r="BD61" s="1518">
        <f t="shared" si="80"/>
        <v>0</v>
      </c>
      <c r="BE61" s="1470" t="e">
        <f t="shared" si="51"/>
        <v>#DIV/0!</v>
      </c>
      <c r="BF61" s="1467"/>
      <c r="BG61" s="1468"/>
      <c r="BH61" s="1468"/>
      <c r="BI61" s="1518">
        <f t="shared" si="52"/>
        <v>0</v>
      </c>
      <c r="BJ61" s="1468"/>
      <c r="BK61" s="1468"/>
      <c r="BL61" s="1468"/>
      <c r="BM61" s="1518">
        <f t="shared" si="81"/>
        <v>0</v>
      </c>
      <c r="BN61" s="1470" t="e">
        <f t="shared" si="54"/>
        <v>#DIV/0!</v>
      </c>
      <c r="BO61" s="1467"/>
      <c r="BP61" s="1468"/>
      <c r="BQ61" s="1468"/>
      <c r="BR61" s="1518">
        <f t="shared" si="55"/>
        <v>0</v>
      </c>
      <c r="BS61" s="1468"/>
      <c r="BT61" s="1468"/>
      <c r="BU61" s="1468"/>
      <c r="BV61" s="1518">
        <f t="shared" si="82"/>
        <v>0</v>
      </c>
      <c r="BW61" s="1470" t="e">
        <f t="shared" si="57"/>
        <v>#DIV/0!</v>
      </c>
      <c r="BX61" s="1467"/>
      <c r="BY61" s="1468"/>
      <c r="BZ61" s="1468"/>
      <c r="CA61" s="1518">
        <f t="shared" si="58"/>
        <v>0</v>
      </c>
      <c r="CB61" s="1468"/>
      <c r="CC61" s="1468"/>
      <c r="CD61" s="1468"/>
      <c r="CE61" s="1518">
        <f t="shared" si="83"/>
        <v>0</v>
      </c>
      <c r="CF61" s="1470" t="e">
        <f t="shared" si="60"/>
        <v>#DIV/0!</v>
      </c>
      <c r="CG61" s="1467"/>
      <c r="CH61" s="1468"/>
      <c r="CI61" s="1468"/>
      <c r="CJ61" s="1518">
        <f t="shared" si="61"/>
        <v>0</v>
      </c>
      <c r="CK61" s="1468"/>
      <c r="CL61" s="1468"/>
      <c r="CM61" s="1468"/>
      <c r="CN61" s="1518">
        <f t="shared" si="84"/>
        <v>0</v>
      </c>
      <c r="CO61" s="1470" t="e">
        <f t="shared" si="63"/>
        <v>#DIV/0!</v>
      </c>
      <c r="CP61" s="1467"/>
      <c r="CQ61" s="1468"/>
      <c r="CR61" s="1468"/>
      <c r="CS61" s="1518">
        <f t="shared" si="64"/>
        <v>0</v>
      </c>
      <c r="CT61" s="1468"/>
      <c r="CU61" s="1468"/>
      <c r="CV61" s="1468"/>
      <c r="CW61" s="1518">
        <f t="shared" si="85"/>
        <v>0</v>
      </c>
      <c r="CX61" s="1470" t="e">
        <f t="shared" si="66"/>
        <v>#DIV/0!</v>
      </c>
      <c r="CY61" s="1467"/>
      <c r="CZ61" s="1468"/>
      <c r="DA61" s="1468"/>
      <c r="DB61" s="1518">
        <f t="shared" si="67"/>
        <v>0</v>
      </c>
      <c r="DC61" s="1468"/>
      <c r="DD61" s="1468"/>
      <c r="DE61" s="1468"/>
      <c r="DF61" s="1518">
        <f t="shared" si="86"/>
        <v>0</v>
      </c>
      <c r="DG61" s="1470" t="e">
        <f t="shared" si="69"/>
        <v>#DIV/0!</v>
      </c>
      <c r="DH61" s="1471">
        <f t="shared" si="87"/>
        <v>0</v>
      </c>
      <c r="DI61" s="1481">
        <f t="shared" si="87"/>
        <v>0</v>
      </c>
      <c r="DJ61" s="1481">
        <f t="shared" si="87"/>
        <v>0</v>
      </c>
      <c r="DK61" s="1481">
        <f t="shared" si="87"/>
        <v>0</v>
      </c>
      <c r="DL61" s="1481">
        <f t="shared" si="87"/>
        <v>0</v>
      </c>
      <c r="DM61" s="1481">
        <f t="shared" si="87"/>
        <v>0</v>
      </c>
      <c r="DN61" s="1481">
        <f t="shared" si="87"/>
        <v>0</v>
      </c>
      <c r="DO61" s="1481">
        <f t="shared" si="35"/>
        <v>0</v>
      </c>
      <c r="DP61" s="1470">
        <f t="shared" si="36"/>
        <v>1</v>
      </c>
    </row>
    <row r="62" spans="1:120">
      <c r="A62" s="1562">
        <v>0.44</v>
      </c>
      <c r="B62" s="1563" t="s">
        <v>1011</v>
      </c>
      <c r="C62" s="1563" t="s">
        <v>1071</v>
      </c>
      <c r="D62" s="1566"/>
      <c r="E62" s="1567"/>
      <c r="F62" s="1567"/>
      <c r="G62" s="1537">
        <f t="shared" si="72"/>
        <v>0</v>
      </c>
      <c r="H62" s="1567"/>
      <c r="I62" s="1567"/>
      <c r="J62" s="1567"/>
      <c r="K62" s="1537">
        <f t="shared" si="11"/>
        <v>0</v>
      </c>
      <c r="L62" s="1538">
        <f>(D$3-G62-K62)/(D$3-G62)</f>
        <v>1</v>
      </c>
      <c r="M62" s="1566"/>
      <c r="N62" s="1567"/>
      <c r="O62" s="1567"/>
      <c r="P62" s="1537">
        <f t="shared" si="74"/>
        <v>0</v>
      </c>
      <c r="Q62" s="1567"/>
      <c r="R62" s="1567"/>
      <c r="S62" s="1567"/>
      <c r="T62" s="1537">
        <f t="shared" si="76"/>
        <v>0</v>
      </c>
      <c r="U62" s="1538" t="e">
        <f>(M$3-P62-T62)/(M$3-P62)</f>
        <v>#DIV/0!</v>
      </c>
      <c r="V62" s="1566"/>
      <c r="W62" s="1567"/>
      <c r="X62" s="1567"/>
      <c r="Y62" s="1537">
        <f t="shared" si="75"/>
        <v>0</v>
      </c>
      <c r="Z62" s="1567"/>
      <c r="AA62" s="1567"/>
      <c r="AB62" s="1567"/>
      <c r="AC62" s="1537">
        <f t="shared" si="77"/>
        <v>0</v>
      </c>
      <c r="AD62" s="1538" t="e">
        <f>(V$3-Y62-AC62)/(V$3-Y62)</f>
        <v>#DIV/0!</v>
      </c>
      <c r="AE62" s="1566"/>
      <c r="AF62" s="1567"/>
      <c r="AG62" s="1567"/>
      <c r="AH62" s="1537">
        <f t="shared" si="43"/>
        <v>0</v>
      </c>
      <c r="AI62" s="1567"/>
      <c r="AJ62" s="1567"/>
      <c r="AK62" s="1567"/>
      <c r="AL62" s="1537">
        <f t="shared" si="78"/>
        <v>0</v>
      </c>
      <c r="AM62" s="1538" t="e">
        <f>(AE$3-AH62-AL62)/(AE$3-AH62)</f>
        <v>#DIV/0!</v>
      </c>
      <c r="AN62" s="1566"/>
      <c r="AO62" s="1567"/>
      <c r="AP62" s="1567"/>
      <c r="AQ62" s="1537">
        <f t="shared" si="46"/>
        <v>0</v>
      </c>
      <c r="AR62" s="1567"/>
      <c r="AS62" s="1567"/>
      <c r="AT62" s="1567"/>
      <c r="AU62" s="1537">
        <f t="shared" si="79"/>
        <v>0</v>
      </c>
      <c r="AV62" s="1538" t="e">
        <f>(AN$3-AQ62-AU62)/(AN$3-AQ62)</f>
        <v>#DIV/0!</v>
      </c>
      <c r="AW62" s="1566"/>
      <c r="AX62" s="1567"/>
      <c r="AY62" s="1567"/>
      <c r="AZ62" s="1537">
        <f t="shared" si="49"/>
        <v>0</v>
      </c>
      <c r="BA62" s="1567"/>
      <c r="BB62" s="1567"/>
      <c r="BC62" s="1567"/>
      <c r="BD62" s="1537">
        <f t="shared" si="80"/>
        <v>0</v>
      </c>
      <c r="BE62" s="1538" t="e">
        <f>(AW$3-AZ62-BD62)/(AW$3-AZ62)</f>
        <v>#DIV/0!</v>
      </c>
      <c r="BF62" s="1566"/>
      <c r="BG62" s="1567"/>
      <c r="BH62" s="1567"/>
      <c r="BI62" s="1537">
        <f t="shared" si="52"/>
        <v>0</v>
      </c>
      <c r="BJ62" s="1567"/>
      <c r="BK62" s="1567"/>
      <c r="BL62" s="1567"/>
      <c r="BM62" s="1537">
        <f t="shared" si="81"/>
        <v>0</v>
      </c>
      <c r="BN62" s="1538" t="e">
        <f>(BF$3-BI62-BM62)/(BF$3-BI62)</f>
        <v>#DIV/0!</v>
      </c>
      <c r="BO62" s="1566"/>
      <c r="BP62" s="1567"/>
      <c r="BQ62" s="1567"/>
      <c r="BR62" s="1537">
        <f t="shared" si="55"/>
        <v>0</v>
      </c>
      <c r="BS62" s="1567"/>
      <c r="BT62" s="1567"/>
      <c r="BU62" s="1567"/>
      <c r="BV62" s="1537">
        <f t="shared" si="82"/>
        <v>0</v>
      </c>
      <c r="BW62" s="1538" t="e">
        <f>(BO$3-BR62-BV62)/(BO$3-BR62)</f>
        <v>#DIV/0!</v>
      </c>
      <c r="BX62" s="1566"/>
      <c r="BY62" s="1567"/>
      <c r="BZ62" s="1567"/>
      <c r="CA62" s="1537">
        <f t="shared" si="58"/>
        <v>0</v>
      </c>
      <c r="CB62" s="1567"/>
      <c r="CC62" s="1567"/>
      <c r="CD62" s="1567"/>
      <c r="CE62" s="1537">
        <f t="shared" si="83"/>
        <v>0</v>
      </c>
      <c r="CF62" s="1538" t="e">
        <f>(BX$3-CA62-CE62)/(BX$3-CA62)</f>
        <v>#DIV/0!</v>
      </c>
      <c r="CG62" s="1566"/>
      <c r="CH62" s="1567"/>
      <c r="CI62" s="1567"/>
      <c r="CJ62" s="1537">
        <f t="shared" si="61"/>
        <v>0</v>
      </c>
      <c r="CK62" s="1567"/>
      <c r="CL62" s="1567"/>
      <c r="CM62" s="1567"/>
      <c r="CN62" s="1537">
        <f t="shared" si="84"/>
        <v>0</v>
      </c>
      <c r="CO62" s="1538" t="e">
        <f>(CG$3-CJ62-CN62)/(CG$3-CJ62)</f>
        <v>#DIV/0!</v>
      </c>
      <c r="CP62" s="1566"/>
      <c r="CQ62" s="1567"/>
      <c r="CR62" s="1567"/>
      <c r="CS62" s="1537">
        <f t="shared" si="64"/>
        <v>0</v>
      </c>
      <c r="CT62" s="1567"/>
      <c r="CU62" s="1567"/>
      <c r="CV62" s="1567"/>
      <c r="CW62" s="1537">
        <f t="shared" si="85"/>
        <v>0</v>
      </c>
      <c r="CX62" s="1538" t="e">
        <f>(CP$3-CS62-CW62)/(CP$3-CS62)</f>
        <v>#DIV/0!</v>
      </c>
      <c r="CY62" s="1566"/>
      <c r="CZ62" s="1567"/>
      <c r="DA62" s="1567"/>
      <c r="DB62" s="1537">
        <f t="shared" si="67"/>
        <v>0</v>
      </c>
      <c r="DC62" s="1567"/>
      <c r="DD62" s="1567"/>
      <c r="DE62" s="1567"/>
      <c r="DF62" s="1537">
        <f t="shared" si="86"/>
        <v>0</v>
      </c>
      <c r="DG62" s="1538" t="e">
        <f>(CY$3-DB62-DF62)/(CY$3-DB62)</f>
        <v>#DIV/0!</v>
      </c>
      <c r="DH62" s="1535">
        <f t="shared" si="87"/>
        <v>0</v>
      </c>
      <c r="DI62" s="1536">
        <f t="shared" si="87"/>
        <v>0</v>
      </c>
      <c r="DJ62" s="1536">
        <f t="shared" si="87"/>
        <v>0</v>
      </c>
      <c r="DK62" s="1536">
        <f t="shared" si="87"/>
        <v>0</v>
      </c>
      <c r="DL62" s="1536">
        <f t="shared" si="87"/>
        <v>0</v>
      </c>
      <c r="DM62" s="1536">
        <f t="shared" si="87"/>
        <v>0</v>
      </c>
      <c r="DN62" s="1536">
        <f t="shared" si="87"/>
        <v>0</v>
      </c>
      <c r="DO62" s="1536">
        <f t="shared" si="35"/>
        <v>0</v>
      </c>
      <c r="DP62" s="1538">
        <f t="shared" si="36"/>
        <v>1</v>
      </c>
    </row>
    <row r="63" spans="1:120">
      <c r="A63" s="1451"/>
      <c r="C63" s="1451"/>
      <c r="K63" s="1451"/>
      <c r="L63" s="1451"/>
      <c r="U63" s="1530"/>
      <c r="V63" s="1530"/>
      <c r="W63" s="1530"/>
      <c r="X63" s="1530"/>
      <c r="Y63" s="1530"/>
      <c r="Z63" s="1530"/>
      <c r="AA63" s="1530"/>
      <c r="AB63" s="1530"/>
      <c r="AC63" s="1530"/>
      <c r="AD63" s="1530"/>
      <c r="AE63" s="1530"/>
      <c r="AF63" s="1530"/>
      <c r="AG63" s="1530"/>
      <c r="AH63" s="1530"/>
      <c r="AI63" s="1530"/>
      <c r="AJ63" s="1530"/>
      <c r="AK63" s="1530"/>
      <c r="AL63" s="1530"/>
      <c r="AM63" s="1530"/>
      <c r="AN63" s="1530"/>
      <c r="AO63" s="1530"/>
      <c r="AP63" s="1530"/>
      <c r="AQ63" s="1530"/>
      <c r="AR63" s="1530"/>
      <c r="AS63" s="1530"/>
      <c r="AT63" s="1530"/>
      <c r="AU63" s="1530"/>
      <c r="AV63" s="1530"/>
      <c r="AW63" s="1530"/>
      <c r="AX63" s="1530"/>
      <c r="AY63" s="1530"/>
      <c r="AZ63" s="1530"/>
      <c r="BA63" s="1530"/>
      <c r="BB63" s="1530"/>
      <c r="BC63" s="1530"/>
      <c r="BD63" s="1530"/>
      <c r="BE63" s="1530"/>
      <c r="BF63" s="1530"/>
      <c r="BG63" s="1530"/>
      <c r="BH63" s="1530"/>
      <c r="BI63" s="1530"/>
      <c r="BJ63" s="1530"/>
      <c r="BK63" s="1530"/>
      <c r="BL63" s="1530"/>
      <c r="BM63" s="1530"/>
      <c r="BN63" s="1530"/>
      <c r="BW63" s="1569"/>
      <c r="BX63" s="1530"/>
      <c r="BY63" s="1530"/>
      <c r="BZ63" s="1530"/>
      <c r="CA63" s="1530"/>
      <c r="CB63" s="1530"/>
      <c r="CC63" s="1530"/>
      <c r="CD63" s="1530"/>
      <c r="CE63" s="1530"/>
      <c r="CF63" s="1530"/>
      <c r="CG63" s="1530"/>
      <c r="CH63" s="1530"/>
      <c r="CI63" s="1530"/>
      <c r="CJ63" s="1530"/>
      <c r="CK63" s="1530"/>
      <c r="CL63" s="1530"/>
      <c r="CM63" s="1530"/>
      <c r="CN63" s="1570"/>
      <c r="CO63" s="1530"/>
      <c r="CP63" s="1530"/>
      <c r="CQ63" s="1530"/>
      <c r="CR63" s="1530"/>
      <c r="CS63" s="1530"/>
      <c r="CT63" s="1530"/>
      <c r="CU63" s="1530"/>
      <c r="CV63" s="1530"/>
      <c r="CW63" s="1530"/>
      <c r="CX63" s="1530"/>
      <c r="CY63" s="1530"/>
      <c r="CZ63" s="1530"/>
      <c r="DA63" s="1530"/>
      <c r="DB63" s="1530"/>
      <c r="DC63" s="1530"/>
      <c r="DD63" s="1530"/>
      <c r="DE63" s="1530"/>
      <c r="DF63" s="1530"/>
      <c r="DG63" s="1530"/>
      <c r="DH63" s="1530"/>
      <c r="DI63" s="1530"/>
      <c r="DJ63" s="1530"/>
      <c r="DK63" s="1530"/>
      <c r="DL63" s="1530"/>
      <c r="DM63" s="1530"/>
      <c r="DN63" s="1571"/>
      <c r="DO63" s="1530"/>
      <c r="DP63" s="1530"/>
    </row>
    <row r="64" spans="1:120">
      <c r="A64" s="1451"/>
      <c r="C64" s="1451"/>
      <c r="K64" s="1451"/>
      <c r="L64" s="1451"/>
      <c r="U64" s="1530"/>
      <c r="V64" s="1530"/>
      <c r="W64" s="1530"/>
      <c r="X64" s="1530"/>
      <c r="Y64" s="1530"/>
      <c r="Z64" s="1530"/>
      <c r="AA64" s="1530"/>
      <c r="AB64" s="1530"/>
      <c r="AC64" s="1530"/>
      <c r="AD64" s="1530"/>
      <c r="AE64" s="1530"/>
      <c r="AF64" s="1530"/>
      <c r="AG64" s="1530"/>
      <c r="AH64" s="1530"/>
      <c r="AI64" s="1530"/>
      <c r="AJ64" s="1530"/>
      <c r="AK64" s="1530"/>
      <c r="AL64" s="1530"/>
      <c r="AM64" s="1530"/>
      <c r="AN64" s="1530"/>
      <c r="AO64" s="1530"/>
      <c r="AP64" s="1530"/>
      <c r="AQ64" s="1530"/>
      <c r="AR64" s="1530"/>
      <c r="AS64" s="1530"/>
      <c r="AT64" s="1530"/>
      <c r="AU64" s="1530"/>
      <c r="AV64" s="1530"/>
      <c r="AW64" s="1530"/>
      <c r="AX64" s="1530"/>
      <c r="AY64" s="1530"/>
      <c r="AZ64" s="1530"/>
      <c r="BA64" s="1530"/>
      <c r="BB64" s="1530"/>
      <c r="BC64" s="1530"/>
      <c r="BD64" s="1530"/>
      <c r="BE64" s="1530"/>
      <c r="BF64" s="1530"/>
      <c r="BG64" s="1530"/>
      <c r="BH64" s="1530"/>
      <c r="BI64" s="1530"/>
      <c r="BJ64" s="1530"/>
      <c r="BK64" s="1530"/>
      <c r="BL64" s="1530"/>
      <c r="BM64" s="1530"/>
      <c r="BN64" s="1530"/>
      <c r="BW64" s="1569"/>
      <c r="BX64" s="1530"/>
      <c r="BY64" s="1530"/>
      <c r="BZ64" s="1530"/>
      <c r="CA64" s="1530"/>
      <c r="CB64" s="1530"/>
      <c r="CC64" s="1530"/>
      <c r="CD64" s="1530"/>
      <c r="CE64" s="1530"/>
      <c r="CF64" s="1530"/>
      <c r="CG64" s="1530"/>
      <c r="CH64" s="1530"/>
      <c r="CI64" s="1530"/>
      <c r="CJ64" s="1530"/>
      <c r="CK64" s="1530"/>
      <c r="CL64" s="1530"/>
      <c r="CM64" s="1530"/>
      <c r="CN64" s="1570"/>
      <c r="CO64" s="1530"/>
      <c r="CP64" s="1530"/>
      <c r="CQ64" s="1530"/>
      <c r="CR64" s="1530"/>
      <c r="CS64" s="1530"/>
      <c r="CT64" s="1530"/>
      <c r="CU64" s="1530"/>
      <c r="CV64" s="1530"/>
      <c r="CW64" s="1530"/>
      <c r="CX64" s="1530"/>
      <c r="CY64" s="1530"/>
      <c r="CZ64" s="1530"/>
      <c r="DA64" s="1530"/>
      <c r="DB64" s="1530"/>
      <c r="DC64" s="1530"/>
      <c r="DD64" s="1530"/>
      <c r="DE64" s="1530"/>
      <c r="DF64" s="1530"/>
      <c r="DG64" s="1530"/>
      <c r="DH64" s="1530"/>
      <c r="DI64" s="1530"/>
      <c r="DJ64" s="1530"/>
      <c r="DK64" s="1530"/>
      <c r="DL64" s="1530"/>
      <c r="DM64" s="1530"/>
      <c r="DN64" s="1571"/>
      <c r="DO64" s="1530"/>
      <c r="DP64" s="1530"/>
    </row>
    <row r="65" spans="1:120">
      <c r="A65" s="1451"/>
      <c r="C65" s="1451"/>
      <c r="K65" s="1451"/>
      <c r="L65" s="1451"/>
      <c r="U65" s="1530"/>
      <c r="V65" s="1530"/>
      <c r="W65" s="1530"/>
      <c r="X65" s="1530"/>
      <c r="Y65" s="1530"/>
      <c r="Z65" s="1530"/>
      <c r="AA65" s="1530"/>
      <c r="AB65" s="1530"/>
      <c r="AC65" s="1530"/>
      <c r="AD65" s="1530"/>
      <c r="AE65" s="1530"/>
      <c r="AF65" s="1530"/>
      <c r="AG65" s="1530"/>
      <c r="AH65" s="1530"/>
      <c r="AI65" s="1530"/>
      <c r="AJ65" s="1530"/>
      <c r="AK65" s="1530"/>
      <c r="AL65" s="1530"/>
      <c r="AM65" s="1530"/>
      <c r="AN65" s="1530"/>
      <c r="AO65" s="1530"/>
      <c r="AP65" s="1530"/>
      <c r="AQ65" s="1530"/>
      <c r="AR65" s="1530"/>
      <c r="AS65" s="1530"/>
      <c r="AT65" s="1530"/>
      <c r="AU65" s="1530"/>
      <c r="AV65" s="1530"/>
      <c r="AW65" s="1530"/>
      <c r="AX65" s="1530"/>
      <c r="AY65" s="1530"/>
      <c r="AZ65" s="1530"/>
      <c r="BA65" s="1530"/>
      <c r="BB65" s="1530"/>
      <c r="BC65" s="1530"/>
      <c r="BD65" s="1530"/>
      <c r="BE65" s="1530"/>
      <c r="BF65" s="1530"/>
      <c r="BG65" s="1530"/>
      <c r="BH65" s="1530"/>
      <c r="BI65" s="1530"/>
      <c r="BJ65" s="1530"/>
      <c r="BK65" s="1530"/>
      <c r="BL65" s="1530"/>
      <c r="BM65" s="1530"/>
      <c r="BN65" s="1530"/>
      <c r="BW65" s="1569"/>
      <c r="BX65" s="1530"/>
      <c r="BY65" s="1530"/>
      <c r="BZ65" s="1530"/>
      <c r="CA65" s="1530"/>
      <c r="CB65" s="1530"/>
      <c r="CC65" s="1530"/>
      <c r="CD65" s="1530"/>
      <c r="CE65" s="1530"/>
      <c r="CF65" s="1530"/>
      <c r="CG65" s="1530"/>
      <c r="CH65" s="1530"/>
      <c r="CI65" s="1530"/>
      <c r="CJ65" s="1530"/>
      <c r="CK65" s="1530"/>
      <c r="CL65" s="1530"/>
      <c r="CM65" s="1530"/>
      <c r="CN65" s="1570"/>
      <c r="CO65" s="1530"/>
      <c r="CP65" s="1530"/>
      <c r="CQ65" s="1530"/>
      <c r="CR65" s="1530"/>
      <c r="CS65" s="1530"/>
      <c r="CT65" s="1530"/>
      <c r="CU65" s="1530"/>
      <c r="CV65" s="1530"/>
      <c r="CW65" s="1530"/>
      <c r="CX65" s="1530"/>
      <c r="CY65" s="1530"/>
      <c r="CZ65" s="1530"/>
      <c r="DA65" s="1530"/>
      <c r="DB65" s="1530"/>
      <c r="DC65" s="1530"/>
      <c r="DD65" s="1530"/>
      <c r="DE65" s="1530"/>
      <c r="DF65" s="1530"/>
      <c r="DG65" s="1530"/>
      <c r="DH65" s="1530"/>
      <c r="DI65" s="1530"/>
      <c r="DJ65" s="1530"/>
      <c r="DK65" s="1530"/>
      <c r="DL65" s="1530"/>
      <c r="DM65" s="1530"/>
      <c r="DN65" s="1571"/>
      <c r="DO65" s="1530"/>
      <c r="DP65" s="1530"/>
    </row>
    <row r="66" spans="1:120">
      <c r="A66" s="1451"/>
      <c r="C66" s="1451"/>
      <c r="K66" s="1451"/>
      <c r="L66" s="1451"/>
      <c r="U66" s="1530"/>
      <c r="V66" s="1530"/>
      <c r="W66" s="1530"/>
      <c r="X66" s="1530"/>
      <c r="Y66" s="1530"/>
      <c r="Z66" s="1530"/>
      <c r="AA66" s="1530"/>
      <c r="AB66" s="1530"/>
      <c r="AC66" s="1530"/>
      <c r="AD66" s="1530"/>
      <c r="AE66" s="1530"/>
      <c r="AF66" s="1530"/>
      <c r="AG66" s="1530"/>
      <c r="AH66" s="1530"/>
      <c r="AI66" s="1530"/>
      <c r="AJ66" s="1530"/>
      <c r="AK66" s="1530"/>
      <c r="AL66" s="1530"/>
      <c r="AM66" s="1530"/>
      <c r="AN66" s="1530"/>
      <c r="AO66" s="1530"/>
      <c r="AP66" s="1530"/>
      <c r="AQ66" s="1530"/>
      <c r="AR66" s="1530"/>
      <c r="AS66" s="1530"/>
      <c r="AT66" s="1530"/>
      <c r="AU66" s="1530"/>
      <c r="AV66" s="1530"/>
      <c r="AW66" s="1530"/>
      <c r="AX66" s="1530"/>
      <c r="AY66" s="1530"/>
      <c r="AZ66" s="1530"/>
      <c r="BA66" s="1530"/>
      <c r="BB66" s="1530"/>
      <c r="BC66" s="1530"/>
      <c r="BD66" s="1530"/>
      <c r="BE66" s="1530"/>
      <c r="BF66" s="1530"/>
      <c r="BG66" s="1530"/>
      <c r="BH66" s="1530"/>
      <c r="BI66" s="1530"/>
      <c r="BJ66" s="1530"/>
      <c r="BK66" s="1530"/>
      <c r="BL66" s="1530"/>
      <c r="BM66" s="1530"/>
      <c r="BN66" s="1530"/>
      <c r="BW66" s="1569"/>
      <c r="BX66" s="1530"/>
      <c r="BY66" s="1530"/>
      <c r="BZ66" s="1530"/>
      <c r="CA66" s="1530"/>
      <c r="CB66" s="1530"/>
      <c r="CC66" s="1530"/>
      <c r="CD66" s="1530"/>
      <c r="CE66" s="1530"/>
      <c r="CF66" s="1530"/>
      <c r="CG66" s="1530"/>
      <c r="CH66" s="1530"/>
      <c r="CI66" s="1530"/>
      <c r="CJ66" s="1530"/>
      <c r="CK66" s="1530"/>
      <c r="CL66" s="1530"/>
      <c r="CM66" s="1530"/>
      <c r="CN66" s="1570"/>
      <c r="CO66" s="1530"/>
      <c r="CP66" s="1530"/>
      <c r="CQ66" s="1530"/>
      <c r="CR66" s="1530"/>
      <c r="CS66" s="1530"/>
      <c r="CT66" s="1530"/>
      <c r="CU66" s="1530"/>
      <c r="CV66" s="1530"/>
      <c r="CW66" s="1530"/>
      <c r="CX66" s="1530"/>
      <c r="CY66" s="1530"/>
      <c r="CZ66" s="1530"/>
      <c r="DA66" s="1530"/>
      <c r="DB66" s="1530"/>
      <c r="DC66" s="1530"/>
      <c r="DD66" s="1530"/>
      <c r="DE66" s="1530"/>
      <c r="DF66" s="1530"/>
      <c r="DG66" s="1530"/>
      <c r="DH66" s="1530"/>
      <c r="DI66" s="1530"/>
      <c r="DJ66" s="1530"/>
      <c r="DK66" s="1530"/>
      <c r="DL66" s="1530"/>
      <c r="DM66" s="1530"/>
      <c r="DN66" s="1571"/>
      <c r="DO66" s="1530"/>
      <c r="DP66" s="1530"/>
    </row>
    <row r="67" spans="1:120">
      <c r="A67" s="1451"/>
      <c r="C67" s="1451"/>
      <c r="K67" s="1451"/>
      <c r="L67" s="1451"/>
      <c r="U67" s="1530"/>
      <c r="V67" s="1530"/>
      <c r="W67" s="1530"/>
      <c r="X67" s="1530"/>
      <c r="Y67" s="1530"/>
      <c r="Z67" s="1530"/>
      <c r="AA67" s="1530"/>
      <c r="AB67" s="1530"/>
      <c r="AC67" s="1530"/>
      <c r="AD67" s="1530"/>
      <c r="AE67" s="1530"/>
      <c r="AF67" s="1530"/>
      <c r="AG67" s="1530"/>
      <c r="AH67" s="1530"/>
      <c r="AI67" s="1530"/>
      <c r="AJ67" s="1530"/>
      <c r="AK67" s="1530"/>
      <c r="AL67" s="1530"/>
      <c r="AM67" s="1530"/>
      <c r="AN67" s="1530"/>
      <c r="AO67" s="1530"/>
      <c r="AP67" s="1530"/>
      <c r="AQ67" s="1530"/>
      <c r="AR67" s="1530"/>
      <c r="AS67" s="1530"/>
      <c r="AT67" s="1530"/>
      <c r="AU67" s="1530"/>
      <c r="AV67" s="1530"/>
      <c r="AW67" s="1530"/>
      <c r="AX67" s="1530"/>
      <c r="AY67" s="1530"/>
      <c r="AZ67" s="1530"/>
      <c r="BA67" s="1530"/>
      <c r="BB67" s="1530"/>
      <c r="BC67" s="1530"/>
      <c r="BD67" s="1530"/>
      <c r="BE67" s="1530"/>
      <c r="BF67" s="1530"/>
      <c r="BG67" s="1530"/>
      <c r="BH67" s="1530"/>
      <c r="BI67" s="1530"/>
      <c r="BJ67" s="1530"/>
      <c r="BK67" s="1530"/>
      <c r="BL67" s="1530"/>
      <c r="BM67" s="1530"/>
      <c r="BN67" s="1530"/>
      <c r="BW67" s="1569"/>
      <c r="BX67" s="1530"/>
      <c r="BY67" s="1530"/>
      <c r="BZ67" s="1530"/>
      <c r="CA67" s="1530"/>
      <c r="CB67" s="1530"/>
      <c r="CC67" s="1530"/>
      <c r="CD67" s="1530"/>
      <c r="CE67" s="1530"/>
      <c r="CF67" s="1530"/>
      <c r="CG67" s="1530"/>
      <c r="CH67" s="1530"/>
      <c r="CI67" s="1530"/>
      <c r="CJ67" s="1530"/>
      <c r="CK67" s="1530"/>
      <c r="CL67" s="1530"/>
      <c r="CM67" s="1530"/>
      <c r="CN67" s="1570"/>
      <c r="CO67" s="1530"/>
      <c r="CP67" s="1530"/>
      <c r="CQ67" s="1530"/>
      <c r="CR67" s="1530"/>
      <c r="CS67" s="1530"/>
      <c r="CT67" s="1530"/>
      <c r="CU67" s="1530"/>
      <c r="CV67" s="1530"/>
      <c r="CW67" s="1530"/>
      <c r="CX67" s="1530"/>
      <c r="CY67" s="1530"/>
      <c r="CZ67" s="1530"/>
      <c r="DA67" s="1530"/>
      <c r="DB67" s="1530"/>
      <c r="DC67" s="1530"/>
      <c r="DD67" s="1530"/>
      <c r="DE67" s="1530"/>
      <c r="DF67" s="1530"/>
      <c r="DG67" s="1530"/>
      <c r="DH67" s="1530"/>
      <c r="DI67" s="1530"/>
      <c r="DJ67" s="1530"/>
      <c r="DK67" s="1530"/>
      <c r="DL67" s="1530"/>
      <c r="DM67" s="1530"/>
      <c r="DN67" s="1571"/>
      <c r="DO67" s="1530"/>
      <c r="DP67" s="1530"/>
    </row>
    <row r="68" spans="1:120">
      <c r="A68" s="1451"/>
      <c r="C68" s="1451"/>
      <c r="K68" s="1451"/>
      <c r="L68" s="1451"/>
      <c r="U68" s="1530"/>
      <c r="V68" s="1530"/>
      <c r="W68" s="1530"/>
      <c r="X68" s="1530"/>
      <c r="Y68" s="1530"/>
      <c r="Z68" s="1530"/>
      <c r="AA68" s="1530"/>
      <c r="AB68" s="1530"/>
      <c r="AC68" s="1530"/>
      <c r="AD68" s="1530"/>
      <c r="AE68" s="1530"/>
      <c r="AF68" s="1530"/>
      <c r="AG68" s="1530"/>
      <c r="AH68" s="1530"/>
      <c r="AI68" s="1530"/>
      <c r="AJ68" s="1530"/>
      <c r="AK68" s="1530"/>
      <c r="AL68" s="1530"/>
      <c r="AM68" s="1530"/>
      <c r="AN68" s="1530"/>
      <c r="AO68" s="1530"/>
      <c r="AP68" s="1530"/>
      <c r="AQ68" s="1530"/>
      <c r="AR68" s="1530"/>
      <c r="AS68" s="1530"/>
      <c r="AT68" s="1530"/>
      <c r="AU68" s="1530"/>
      <c r="AV68" s="1530"/>
      <c r="AW68" s="1530"/>
      <c r="AX68" s="1530"/>
      <c r="AY68" s="1530"/>
      <c r="AZ68" s="1530"/>
      <c r="BA68" s="1530"/>
      <c r="BB68" s="1530"/>
      <c r="BC68" s="1530"/>
      <c r="BD68" s="1530"/>
      <c r="BE68" s="1530"/>
      <c r="BF68" s="1530"/>
      <c r="BG68" s="1530"/>
      <c r="BH68" s="1530"/>
      <c r="BI68" s="1530"/>
      <c r="BJ68" s="1530"/>
      <c r="BK68" s="1530"/>
      <c r="BL68" s="1530"/>
      <c r="BM68" s="1530"/>
      <c r="BN68" s="1530"/>
      <c r="BW68" s="1569"/>
      <c r="BX68" s="1530"/>
      <c r="BY68" s="1530"/>
      <c r="BZ68" s="1530"/>
      <c r="CA68" s="1530"/>
      <c r="CB68" s="1530"/>
      <c r="CC68" s="1530"/>
      <c r="CD68" s="1530"/>
      <c r="CE68" s="1530"/>
      <c r="CF68" s="1530"/>
      <c r="CG68" s="1530"/>
      <c r="CH68" s="1530"/>
      <c r="CI68" s="1530"/>
      <c r="CJ68" s="1530"/>
      <c r="CK68" s="1530"/>
      <c r="CL68" s="1530"/>
      <c r="CM68" s="1530"/>
      <c r="CN68" s="1570"/>
      <c r="CO68" s="1530"/>
      <c r="CP68" s="1530"/>
      <c r="CQ68" s="1530"/>
      <c r="CR68" s="1530"/>
      <c r="CS68" s="1530"/>
      <c r="CT68" s="1530"/>
      <c r="CU68" s="1530"/>
      <c r="CV68" s="1530"/>
      <c r="CW68" s="1530"/>
      <c r="CX68" s="1530"/>
      <c r="CY68" s="1530"/>
      <c r="CZ68" s="1530"/>
      <c r="DA68" s="1530"/>
      <c r="DB68" s="1530"/>
      <c r="DC68" s="1530"/>
      <c r="DD68" s="1530"/>
      <c r="DE68" s="1530"/>
      <c r="DF68" s="1530"/>
      <c r="DG68" s="1530"/>
      <c r="DH68" s="1530"/>
      <c r="DI68" s="1530"/>
      <c r="DJ68" s="1530"/>
      <c r="DK68" s="1530"/>
      <c r="DL68" s="1530"/>
      <c r="DM68" s="1530"/>
      <c r="DN68" s="1571"/>
      <c r="DO68" s="1530"/>
      <c r="DP68" s="1530"/>
    </row>
    <row r="69" spans="1:120">
      <c r="A69" s="1451"/>
      <c r="C69" s="1451"/>
      <c r="K69" s="1451"/>
      <c r="L69" s="1451"/>
      <c r="U69" s="1530"/>
      <c r="V69" s="1530"/>
      <c r="W69" s="1530"/>
      <c r="X69" s="1530"/>
      <c r="Y69" s="1530"/>
      <c r="Z69" s="1530"/>
      <c r="AA69" s="1530"/>
      <c r="AB69" s="1530"/>
      <c r="AC69" s="1530"/>
      <c r="AD69" s="1530"/>
      <c r="AE69" s="1530"/>
      <c r="AF69" s="1530"/>
      <c r="AG69" s="1530"/>
      <c r="AH69" s="1530"/>
      <c r="AI69" s="1530"/>
      <c r="AJ69" s="1530"/>
      <c r="AK69" s="1530"/>
      <c r="AL69" s="1530"/>
      <c r="AM69" s="1530"/>
      <c r="AN69" s="1530"/>
      <c r="AO69" s="1530"/>
      <c r="AP69" s="1530"/>
      <c r="AQ69" s="1530"/>
      <c r="AR69" s="1530"/>
      <c r="AS69" s="1530"/>
      <c r="AT69" s="1530"/>
      <c r="AU69" s="1530"/>
      <c r="AV69" s="1530"/>
      <c r="AW69" s="1530"/>
      <c r="AX69" s="1530"/>
      <c r="AY69" s="1530"/>
      <c r="AZ69" s="1530"/>
      <c r="BA69" s="1530"/>
      <c r="BB69" s="1530"/>
      <c r="BC69" s="1530"/>
      <c r="BD69" s="1530"/>
      <c r="BE69" s="1530"/>
      <c r="BF69" s="1530"/>
      <c r="BG69" s="1530"/>
      <c r="BH69" s="1530"/>
      <c r="BI69" s="1530"/>
      <c r="BJ69" s="1530"/>
      <c r="BK69" s="1530"/>
      <c r="BL69" s="1530"/>
      <c r="BM69" s="1530"/>
      <c r="BN69" s="1530"/>
      <c r="BW69" s="1569"/>
      <c r="BX69" s="1530"/>
      <c r="BY69" s="1530"/>
      <c r="BZ69" s="1530"/>
      <c r="CA69" s="1530"/>
      <c r="CB69" s="1530"/>
      <c r="CC69" s="1530"/>
      <c r="CD69" s="1530"/>
      <c r="CE69" s="1530"/>
      <c r="CF69" s="1530"/>
      <c r="CG69" s="1530"/>
      <c r="CH69" s="1530"/>
      <c r="CI69" s="1530"/>
      <c r="CJ69" s="1530"/>
      <c r="CK69" s="1530"/>
      <c r="CL69" s="1530"/>
      <c r="CM69" s="1530"/>
      <c r="CN69" s="1570"/>
      <c r="CO69" s="1530"/>
      <c r="CP69" s="1530"/>
      <c r="CQ69" s="1530"/>
      <c r="CR69" s="1530"/>
      <c r="CS69" s="1530"/>
      <c r="CT69" s="1530"/>
      <c r="CU69" s="1530"/>
      <c r="CV69" s="1530"/>
      <c r="CW69" s="1530"/>
      <c r="CX69" s="1530"/>
      <c r="CY69" s="1530"/>
      <c r="CZ69" s="1530"/>
      <c r="DA69" s="1530"/>
      <c r="DB69" s="1530"/>
      <c r="DC69" s="1530"/>
      <c r="DD69" s="1530"/>
      <c r="DE69" s="1530"/>
      <c r="DF69" s="1530"/>
      <c r="DG69" s="1530"/>
      <c r="DH69" s="1530"/>
      <c r="DI69" s="1530"/>
      <c r="DJ69" s="1530"/>
      <c r="DK69" s="1530"/>
      <c r="DL69" s="1530"/>
      <c r="DM69" s="1530"/>
      <c r="DN69" s="1571"/>
      <c r="DO69" s="1530"/>
      <c r="DP69" s="1530"/>
    </row>
    <row r="70" spans="1:120">
      <c r="A70" s="1451"/>
      <c r="C70" s="1451"/>
      <c r="K70" s="1451"/>
      <c r="L70" s="1451"/>
      <c r="U70" s="1530"/>
      <c r="V70" s="1530"/>
      <c r="W70" s="1530"/>
      <c r="X70" s="1530"/>
      <c r="Y70" s="1530"/>
      <c r="Z70" s="1530"/>
      <c r="AA70" s="1530"/>
      <c r="AB70" s="1530"/>
      <c r="AC70" s="1530"/>
      <c r="AD70" s="1530"/>
      <c r="AE70" s="1530"/>
      <c r="AF70" s="1530"/>
      <c r="AG70" s="1530"/>
      <c r="AH70" s="1530"/>
      <c r="AI70" s="1530"/>
      <c r="AJ70" s="1530"/>
      <c r="AK70" s="1530"/>
      <c r="AL70" s="1530"/>
      <c r="AM70" s="1530"/>
      <c r="AN70" s="1530"/>
      <c r="AO70" s="1530"/>
      <c r="AP70" s="1530"/>
      <c r="AQ70" s="1530"/>
      <c r="AR70" s="1530"/>
      <c r="AS70" s="1530"/>
      <c r="AT70" s="1530"/>
      <c r="AU70" s="1530"/>
      <c r="AV70" s="1530"/>
      <c r="AW70" s="1530"/>
      <c r="AX70" s="1530"/>
      <c r="AY70" s="1530"/>
      <c r="AZ70" s="1530"/>
      <c r="BA70" s="1530"/>
      <c r="BB70" s="1530"/>
      <c r="BC70" s="1530"/>
      <c r="BD70" s="1530"/>
      <c r="BE70" s="1530"/>
      <c r="BF70" s="1530"/>
      <c r="BG70" s="1530"/>
      <c r="BH70" s="1530"/>
      <c r="BI70" s="1530"/>
      <c r="BJ70" s="1530"/>
      <c r="BK70" s="1530"/>
      <c r="BL70" s="1530"/>
      <c r="BM70" s="1530"/>
      <c r="BN70" s="1530"/>
      <c r="BW70" s="1569"/>
      <c r="BX70" s="1530"/>
      <c r="BY70" s="1530"/>
      <c r="BZ70" s="1530"/>
      <c r="CA70" s="1530"/>
      <c r="CB70" s="1530"/>
      <c r="CC70" s="1530"/>
      <c r="CD70" s="1530"/>
      <c r="CE70" s="1530"/>
      <c r="CF70" s="1530"/>
      <c r="CG70" s="1530"/>
      <c r="CH70" s="1530"/>
      <c r="CI70" s="1530"/>
      <c r="CJ70" s="1530"/>
      <c r="CK70" s="1530"/>
      <c r="CL70" s="1530"/>
      <c r="CM70" s="1530"/>
      <c r="CN70" s="1570"/>
      <c r="CO70" s="1530"/>
      <c r="CP70" s="1530"/>
      <c r="CQ70" s="1530"/>
      <c r="CR70" s="1530"/>
      <c r="CS70" s="1530"/>
      <c r="CT70" s="1530"/>
      <c r="CU70" s="1530"/>
      <c r="CV70" s="1530"/>
      <c r="CW70" s="1530"/>
      <c r="CX70" s="1530"/>
      <c r="CY70" s="1530"/>
      <c r="CZ70" s="1530"/>
      <c r="DA70" s="1530"/>
      <c r="DB70" s="1530"/>
      <c r="DC70" s="1530"/>
      <c r="DD70" s="1530"/>
      <c r="DE70" s="1530"/>
      <c r="DF70" s="1530"/>
      <c r="DG70" s="1530"/>
      <c r="DH70" s="1530"/>
      <c r="DI70" s="1530"/>
      <c r="DJ70" s="1530"/>
      <c r="DK70" s="1530"/>
      <c r="DL70" s="1530"/>
      <c r="DM70" s="1530"/>
      <c r="DN70" s="1571"/>
      <c r="DO70" s="1530"/>
      <c r="DP70" s="1530"/>
    </row>
    <row r="71" spans="1:120">
      <c r="A71" s="1451"/>
      <c r="C71" s="1451"/>
      <c r="K71" s="1451"/>
      <c r="L71" s="1451"/>
      <c r="U71" s="1530"/>
      <c r="V71" s="1530"/>
      <c r="W71" s="1530"/>
      <c r="X71" s="1530"/>
      <c r="Y71" s="1530"/>
      <c r="Z71" s="1530"/>
      <c r="AA71" s="1530"/>
      <c r="AB71" s="1530"/>
      <c r="AC71" s="1530"/>
      <c r="AD71" s="1530"/>
      <c r="AE71" s="1530"/>
      <c r="AF71" s="1530"/>
      <c r="AG71" s="1530"/>
      <c r="AH71" s="1530"/>
      <c r="AI71" s="1530"/>
      <c r="AJ71" s="1530"/>
      <c r="AK71" s="1530"/>
      <c r="AL71" s="1530"/>
      <c r="AM71" s="1530"/>
      <c r="AN71" s="1530"/>
      <c r="AO71" s="1530"/>
      <c r="AP71" s="1530"/>
      <c r="AQ71" s="1530"/>
      <c r="AR71" s="1530"/>
      <c r="AS71" s="1530"/>
      <c r="AT71" s="1530"/>
      <c r="AU71" s="1530"/>
      <c r="AV71" s="1530"/>
      <c r="AW71" s="1530"/>
      <c r="AX71" s="1530"/>
      <c r="AY71" s="1530"/>
      <c r="AZ71" s="1530"/>
      <c r="BA71" s="1530"/>
      <c r="BB71" s="1530"/>
      <c r="BC71" s="1530"/>
      <c r="BD71" s="1530"/>
      <c r="BE71" s="1530"/>
      <c r="BF71" s="1530"/>
      <c r="BG71" s="1530"/>
      <c r="BH71" s="1530"/>
      <c r="BI71" s="1530"/>
      <c r="BJ71" s="1530"/>
      <c r="BK71" s="1530"/>
      <c r="BL71" s="1530"/>
      <c r="BM71" s="1530"/>
      <c r="BN71" s="1530"/>
      <c r="BW71" s="1569"/>
      <c r="BX71" s="1530"/>
      <c r="BY71" s="1530"/>
      <c r="BZ71" s="1530"/>
      <c r="CA71" s="1530"/>
      <c r="CB71" s="1530"/>
      <c r="CC71" s="1530"/>
      <c r="CD71" s="1530"/>
      <c r="CE71" s="1530"/>
      <c r="CF71" s="1530"/>
      <c r="CG71" s="1530"/>
      <c r="CH71" s="1530"/>
      <c r="CI71" s="1530"/>
      <c r="CJ71" s="1530"/>
      <c r="CK71" s="1530"/>
      <c r="CL71" s="1530"/>
      <c r="CM71" s="1530"/>
      <c r="CN71" s="1570"/>
      <c r="CO71" s="1530"/>
      <c r="CP71" s="1530"/>
      <c r="CQ71" s="1530"/>
      <c r="CR71" s="1530"/>
      <c r="CS71" s="1530"/>
      <c r="CT71" s="1530"/>
      <c r="CU71" s="1530"/>
      <c r="CV71" s="1530"/>
      <c r="CW71" s="1530"/>
      <c r="CX71" s="1530"/>
      <c r="CY71" s="1530"/>
      <c r="CZ71" s="1530"/>
      <c r="DA71" s="1530"/>
      <c r="DB71" s="1530"/>
      <c r="DC71" s="1530"/>
      <c r="DD71" s="1530"/>
      <c r="DE71" s="1530"/>
      <c r="DF71" s="1530"/>
      <c r="DG71" s="1530"/>
      <c r="DH71" s="1530"/>
      <c r="DI71" s="1530"/>
      <c r="DJ71" s="1530"/>
      <c r="DK71" s="1530"/>
      <c r="DL71" s="1530"/>
      <c r="DM71" s="1530"/>
      <c r="DN71" s="1571"/>
      <c r="DO71" s="1530"/>
      <c r="DP71" s="1530"/>
    </row>
    <row r="72" spans="1:120">
      <c r="A72" s="1451"/>
      <c r="C72" s="1451"/>
      <c r="K72" s="1451"/>
      <c r="L72" s="1451"/>
      <c r="U72" s="1530"/>
      <c r="V72" s="1530"/>
      <c r="W72" s="1530"/>
      <c r="X72" s="1530"/>
      <c r="Y72" s="1530"/>
      <c r="Z72" s="1530"/>
      <c r="AA72" s="1530"/>
      <c r="AB72" s="1530"/>
      <c r="AC72" s="1530"/>
      <c r="AD72" s="1530"/>
      <c r="AE72" s="1530"/>
      <c r="AF72" s="1530"/>
      <c r="AG72" s="1530"/>
      <c r="AH72" s="1530"/>
      <c r="AI72" s="1530"/>
      <c r="AJ72" s="1530"/>
      <c r="AK72" s="1530"/>
      <c r="AL72" s="1530"/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530"/>
      <c r="AW72" s="1530"/>
      <c r="AX72" s="1530"/>
      <c r="AY72" s="1530"/>
      <c r="AZ72" s="1530"/>
      <c r="BA72" s="1530"/>
      <c r="BB72" s="1530"/>
      <c r="BC72" s="1530"/>
      <c r="BD72" s="1530"/>
      <c r="BE72" s="1530"/>
      <c r="BF72" s="1530"/>
      <c r="BG72" s="1530"/>
      <c r="BH72" s="1530"/>
      <c r="BI72" s="1530"/>
      <c r="BJ72" s="1530"/>
      <c r="BK72" s="1530"/>
      <c r="BL72" s="1530"/>
      <c r="BM72" s="1530"/>
      <c r="BN72" s="1530"/>
      <c r="BW72" s="1569"/>
      <c r="BX72" s="1530"/>
      <c r="BY72" s="1530"/>
      <c r="BZ72" s="1530"/>
      <c r="CA72" s="1530"/>
      <c r="CB72" s="1530"/>
      <c r="CC72" s="1530"/>
      <c r="CD72" s="1530"/>
      <c r="CE72" s="1530"/>
      <c r="CF72" s="1530"/>
      <c r="CG72" s="1530"/>
      <c r="CH72" s="1530"/>
      <c r="CI72" s="1530"/>
      <c r="CJ72" s="1530"/>
      <c r="CK72" s="1530"/>
      <c r="CL72" s="1530"/>
      <c r="CM72" s="1530"/>
      <c r="CN72" s="1570"/>
      <c r="CO72" s="1530"/>
      <c r="CP72" s="1530"/>
      <c r="CQ72" s="1530"/>
      <c r="CR72" s="1530"/>
      <c r="CS72" s="1530"/>
      <c r="CT72" s="1530"/>
      <c r="CU72" s="1530"/>
      <c r="CV72" s="1530"/>
      <c r="CW72" s="1530"/>
      <c r="CX72" s="1530"/>
      <c r="CY72" s="1530"/>
      <c r="CZ72" s="1530"/>
      <c r="DA72" s="1530"/>
      <c r="DB72" s="1530"/>
      <c r="DC72" s="1530"/>
      <c r="DD72" s="1530"/>
      <c r="DE72" s="1530"/>
      <c r="DF72" s="1530"/>
      <c r="DG72" s="1530"/>
      <c r="DH72" s="1530"/>
      <c r="DI72" s="1530"/>
      <c r="DJ72" s="1530"/>
      <c r="DK72" s="1530"/>
      <c r="DL72" s="1530"/>
      <c r="DM72" s="1530"/>
      <c r="DN72" s="1571"/>
      <c r="DO72" s="1530"/>
      <c r="DP72" s="1530"/>
    </row>
    <row r="73" spans="1:120">
      <c r="A73" s="1451"/>
      <c r="C73" s="1451"/>
      <c r="K73" s="1451"/>
      <c r="L73" s="1451"/>
      <c r="U73" s="1530"/>
      <c r="V73" s="1530"/>
      <c r="W73" s="1530"/>
      <c r="X73" s="1530"/>
      <c r="Y73" s="1530"/>
      <c r="Z73" s="1530"/>
      <c r="AA73" s="1530"/>
      <c r="AB73" s="1530"/>
      <c r="AC73" s="1530"/>
      <c r="AD73" s="1530"/>
      <c r="AE73" s="1530"/>
      <c r="AF73" s="1530"/>
      <c r="AG73" s="1530"/>
      <c r="AH73" s="1530"/>
      <c r="AI73" s="1530"/>
      <c r="AJ73" s="1530"/>
      <c r="AK73" s="1530"/>
      <c r="AL73" s="1530"/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30"/>
      <c r="AW73" s="1530"/>
      <c r="AX73" s="1530"/>
      <c r="AY73" s="1530"/>
      <c r="AZ73" s="1530"/>
      <c r="BA73" s="1530"/>
      <c r="BB73" s="1530"/>
      <c r="BC73" s="1530"/>
      <c r="BD73" s="1530"/>
      <c r="BE73" s="1530"/>
      <c r="BF73" s="1530"/>
      <c r="BG73" s="1530"/>
      <c r="BH73" s="1530"/>
      <c r="BI73" s="1530"/>
      <c r="BJ73" s="1530"/>
      <c r="BK73" s="1530"/>
      <c r="BL73" s="1530"/>
      <c r="BM73" s="1530"/>
      <c r="BN73" s="1530"/>
      <c r="BW73" s="1569"/>
      <c r="BX73" s="1530"/>
      <c r="BY73" s="1530"/>
      <c r="BZ73" s="1530"/>
      <c r="CA73" s="1530"/>
      <c r="CB73" s="1530"/>
      <c r="CC73" s="1530"/>
      <c r="CD73" s="1530"/>
      <c r="CE73" s="1530"/>
      <c r="CF73" s="1530"/>
      <c r="CG73" s="1530"/>
      <c r="CH73" s="1530"/>
      <c r="CI73" s="1530"/>
      <c r="CJ73" s="1530"/>
      <c r="CK73" s="1530"/>
      <c r="CL73" s="1530"/>
      <c r="CM73" s="1530"/>
      <c r="CN73" s="1570"/>
      <c r="CO73" s="1530"/>
      <c r="CP73" s="1530"/>
      <c r="CQ73" s="1530"/>
      <c r="CR73" s="1530"/>
      <c r="CS73" s="1530"/>
      <c r="CT73" s="1530"/>
      <c r="CU73" s="1530"/>
      <c r="CV73" s="1530"/>
      <c r="CW73" s="1530"/>
      <c r="CX73" s="1530"/>
      <c r="CY73" s="1530"/>
      <c r="CZ73" s="1530"/>
      <c r="DA73" s="1530"/>
      <c r="DB73" s="1530"/>
      <c r="DC73" s="1530"/>
      <c r="DD73" s="1530"/>
      <c r="DE73" s="1530"/>
      <c r="DF73" s="1530"/>
      <c r="DG73" s="1530"/>
      <c r="DH73" s="1530"/>
      <c r="DI73" s="1530"/>
      <c r="DJ73" s="1530"/>
      <c r="DK73" s="1530"/>
      <c r="DL73" s="1530"/>
      <c r="DM73" s="1530"/>
      <c r="DN73" s="1571"/>
      <c r="DO73" s="1530"/>
      <c r="DP73" s="1530"/>
    </row>
    <row r="74" spans="1:120">
      <c r="A74" s="1451"/>
      <c r="C74" s="1451"/>
      <c r="K74" s="1451"/>
      <c r="L74" s="1451"/>
      <c r="U74" s="1530"/>
      <c r="V74" s="1530"/>
      <c r="W74" s="1530"/>
      <c r="X74" s="1530"/>
      <c r="Y74" s="1530"/>
      <c r="Z74" s="1530"/>
      <c r="AA74" s="1530"/>
      <c r="AB74" s="1530"/>
      <c r="AC74" s="1530"/>
      <c r="AD74" s="1530"/>
      <c r="AE74" s="1530"/>
      <c r="AF74" s="1530"/>
      <c r="AG74" s="1530"/>
      <c r="AH74" s="1530"/>
      <c r="AI74" s="1530"/>
      <c r="AJ74" s="1530"/>
      <c r="AK74" s="1530"/>
      <c r="AL74" s="1530"/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530"/>
      <c r="AW74" s="1530"/>
      <c r="AX74" s="1530"/>
      <c r="AY74" s="1530"/>
      <c r="AZ74" s="1530"/>
      <c r="BA74" s="1530"/>
      <c r="BB74" s="1530"/>
      <c r="BC74" s="1530"/>
      <c r="BD74" s="1530"/>
      <c r="BE74" s="1530"/>
      <c r="BF74" s="1530"/>
      <c r="BG74" s="1530"/>
      <c r="BH74" s="1530"/>
      <c r="BI74" s="1530"/>
      <c r="BJ74" s="1530"/>
      <c r="BK74" s="1530"/>
      <c r="BL74" s="1530"/>
      <c r="BM74" s="1530"/>
      <c r="BN74" s="1530"/>
      <c r="BW74" s="1569"/>
      <c r="BX74" s="1530"/>
      <c r="BY74" s="1530"/>
      <c r="BZ74" s="1530"/>
      <c r="CA74" s="1530"/>
      <c r="CB74" s="1530"/>
      <c r="CC74" s="1530"/>
      <c r="CD74" s="1530"/>
      <c r="CE74" s="1530"/>
      <c r="CF74" s="1530"/>
      <c r="CG74" s="1530"/>
      <c r="CH74" s="1530"/>
      <c r="CI74" s="1530"/>
      <c r="CJ74" s="1530"/>
      <c r="CK74" s="1530"/>
      <c r="CL74" s="1530"/>
      <c r="CM74" s="1530"/>
      <c r="CN74" s="1570"/>
      <c r="CO74" s="1530"/>
      <c r="CP74" s="1530"/>
      <c r="CQ74" s="1530"/>
      <c r="CR74" s="1530"/>
      <c r="CS74" s="1530"/>
      <c r="CT74" s="1530"/>
      <c r="CU74" s="1530"/>
      <c r="CV74" s="1530"/>
      <c r="CW74" s="1530"/>
      <c r="CX74" s="1530"/>
      <c r="CY74" s="1530"/>
      <c r="CZ74" s="1530"/>
      <c r="DA74" s="1530"/>
      <c r="DB74" s="1530"/>
      <c r="DC74" s="1530"/>
      <c r="DD74" s="1530"/>
      <c r="DE74" s="1530"/>
      <c r="DF74" s="1530"/>
      <c r="DG74" s="1530"/>
      <c r="DH74" s="1530"/>
      <c r="DI74" s="1530"/>
      <c r="DJ74" s="1530"/>
      <c r="DK74" s="1530"/>
      <c r="DL74" s="1530"/>
      <c r="DM74" s="1530"/>
      <c r="DN74" s="1571"/>
      <c r="DO74" s="1530"/>
      <c r="DP74" s="1530"/>
    </row>
    <row r="75" spans="1:120">
      <c r="A75" s="1451"/>
      <c r="C75" s="1451"/>
      <c r="K75" s="1451"/>
      <c r="L75" s="1451"/>
      <c r="U75" s="1530"/>
      <c r="V75" s="1530"/>
      <c r="W75" s="1530"/>
      <c r="X75" s="1530"/>
      <c r="Y75" s="1530"/>
      <c r="Z75" s="1530"/>
      <c r="AA75" s="1530"/>
      <c r="AB75" s="1530"/>
      <c r="AC75" s="1530"/>
      <c r="AD75" s="1530"/>
      <c r="AE75" s="1530"/>
      <c r="AF75" s="1530"/>
      <c r="AG75" s="1530"/>
      <c r="AH75" s="1530"/>
      <c r="AI75" s="1530"/>
      <c r="AJ75" s="1530"/>
      <c r="AK75" s="1530"/>
      <c r="AL75" s="1530"/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30"/>
      <c r="AW75" s="1530"/>
      <c r="AX75" s="1530"/>
      <c r="AY75" s="1530"/>
      <c r="AZ75" s="1530"/>
      <c r="BA75" s="1530"/>
      <c r="BB75" s="1530"/>
      <c r="BC75" s="1530"/>
      <c r="BD75" s="1530"/>
      <c r="BE75" s="1530"/>
      <c r="BF75" s="1530"/>
      <c r="BG75" s="1530"/>
      <c r="BH75" s="1530"/>
      <c r="BI75" s="1530"/>
      <c r="BJ75" s="1530"/>
      <c r="BK75" s="1530"/>
      <c r="BL75" s="1530"/>
      <c r="BM75" s="1530"/>
      <c r="BN75" s="1530"/>
      <c r="BW75" s="1569"/>
      <c r="BX75" s="1530"/>
      <c r="BY75" s="1530"/>
      <c r="BZ75" s="1530"/>
      <c r="CA75" s="1530"/>
      <c r="CB75" s="1530"/>
      <c r="CC75" s="1530"/>
      <c r="CD75" s="1530"/>
      <c r="CE75" s="1530"/>
      <c r="CF75" s="1530"/>
      <c r="CG75" s="1530"/>
      <c r="CH75" s="1530"/>
      <c r="CI75" s="1530"/>
      <c r="CJ75" s="1530"/>
      <c r="CK75" s="1530"/>
      <c r="CL75" s="1530"/>
      <c r="CM75" s="1530"/>
      <c r="CN75" s="1570"/>
      <c r="CO75" s="1530"/>
      <c r="CP75" s="1530"/>
      <c r="CQ75" s="1530"/>
      <c r="CR75" s="1530"/>
      <c r="CS75" s="1530"/>
      <c r="CT75" s="1530"/>
      <c r="CU75" s="1530"/>
      <c r="CV75" s="1530"/>
      <c r="CW75" s="1530"/>
      <c r="CX75" s="1530"/>
      <c r="CY75" s="1530"/>
      <c r="CZ75" s="1530"/>
      <c r="DA75" s="1530"/>
      <c r="DB75" s="1530"/>
      <c r="DC75" s="1530"/>
      <c r="DD75" s="1530"/>
      <c r="DE75" s="1530"/>
      <c r="DF75" s="1530"/>
      <c r="DG75" s="1530"/>
      <c r="DH75" s="1530"/>
      <c r="DI75" s="1530"/>
      <c r="DJ75" s="1530"/>
      <c r="DK75" s="1530"/>
      <c r="DL75" s="1530"/>
      <c r="DM75" s="1530"/>
      <c r="DN75" s="1571"/>
      <c r="DO75" s="1530"/>
      <c r="DP75" s="1530"/>
    </row>
    <row r="76" spans="1:120">
      <c r="A76" s="1451"/>
      <c r="C76" s="1451"/>
      <c r="K76" s="1451"/>
      <c r="L76" s="1451"/>
      <c r="U76" s="1530"/>
      <c r="V76" s="1530"/>
      <c r="W76" s="1530"/>
      <c r="X76" s="1530"/>
      <c r="Y76" s="1530"/>
      <c r="Z76" s="1530"/>
      <c r="AA76" s="1530"/>
      <c r="AB76" s="1530"/>
      <c r="AC76" s="1530"/>
      <c r="AD76" s="1530"/>
      <c r="AE76" s="1530"/>
      <c r="AF76" s="1530"/>
      <c r="AG76" s="1530"/>
      <c r="AH76" s="1530"/>
      <c r="AI76" s="1530"/>
      <c r="AJ76" s="1530"/>
      <c r="AK76" s="1530"/>
      <c r="AL76" s="1530"/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30"/>
      <c r="AW76" s="1530"/>
      <c r="AX76" s="1530"/>
      <c r="AY76" s="1530"/>
      <c r="AZ76" s="1530"/>
      <c r="BA76" s="1530"/>
      <c r="BB76" s="1530"/>
      <c r="BC76" s="1530"/>
      <c r="BD76" s="1530"/>
      <c r="BE76" s="1530"/>
      <c r="BF76" s="1530"/>
      <c r="BG76" s="1530"/>
      <c r="BH76" s="1530"/>
      <c r="BI76" s="1530"/>
      <c r="BJ76" s="1530"/>
      <c r="BK76" s="1530"/>
      <c r="BL76" s="1530"/>
      <c r="BM76" s="1530"/>
      <c r="BN76" s="1530"/>
      <c r="BW76" s="1569"/>
      <c r="BX76" s="1530"/>
      <c r="BY76" s="1530"/>
      <c r="BZ76" s="1530"/>
      <c r="CA76" s="1530"/>
      <c r="CB76" s="1530"/>
      <c r="CC76" s="1530"/>
      <c r="CD76" s="1530"/>
      <c r="CE76" s="1530"/>
      <c r="CF76" s="1530"/>
      <c r="CG76" s="1530"/>
      <c r="CH76" s="1530"/>
      <c r="CI76" s="1530"/>
      <c r="CJ76" s="1530"/>
      <c r="CK76" s="1530"/>
      <c r="CL76" s="1530"/>
      <c r="CM76" s="1530"/>
      <c r="CN76" s="1570"/>
      <c r="CO76" s="1530"/>
      <c r="CP76" s="1530"/>
      <c r="CQ76" s="1530"/>
      <c r="CR76" s="1530"/>
      <c r="CS76" s="1530"/>
      <c r="CT76" s="1530"/>
      <c r="CU76" s="1530"/>
      <c r="CV76" s="1530"/>
      <c r="CW76" s="1530"/>
      <c r="CX76" s="1530"/>
      <c r="CY76" s="1530"/>
      <c r="CZ76" s="1530"/>
      <c r="DA76" s="1530"/>
      <c r="DB76" s="1530"/>
      <c r="DC76" s="1530"/>
      <c r="DD76" s="1530"/>
      <c r="DE76" s="1530"/>
      <c r="DF76" s="1530"/>
      <c r="DG76" s="1530"/>
      <c r="DH76" s="1530"/>
      <c r="DI76" s="1530"/>
      <c r="DJ76" s="1530"/>
      <c r="DK76" s="1530"/>
      <c r="DL76" s="1530"/>
      <c r="DM76" s="1530"/>
      <c r="DN76" s="1571"/>
      <c r="DO76" s="1530"/>
      <c r="DP76" s="1530"/>
    </row>
    <row r="77" spans="1:120">
      <c r="A77" s="1451"/>
      <c r="C77" s="1451"/>
      <c r="K77" s="1451"/>
      <c r="L77" s="1451"/>
      <c r="U77" s="1530"/>
      <c r="V77" s="1530"/>
      <c r="W77" s="1530"/>
      <c r="X77" s="1530"/>
      <c r="Y77" s="1530"/>
      <c r="Z77" s="1530"/>
      <c r="AA77" s="1530"/>
      <c r="AB77" s="1530"/>
      <c r="AC77" s="1530"/>
      <c r="AD77" s="1530"/>
      <c r="AE77" s="1530"/>
      <c r="AF77" s="1530"/>
      <c r="AG77" s="1530"/>
      <c r="AH77" s="1530"/>
      <c r="AI77" s="1530"/>
      <c r="AJ77" s="1530"/>
      <c r="AK77" s="1530"/>
      <c r="AL77" s="1530"/>
      <c r="AM77" s="1530"/>
      <c r="AN77" s="1530"/>
      <c r="AO77" s="1530"/>
      <c r="AP77" s="1530"/>
      <c r="AQ77" s="1530"/>
      <c r="AR77" s="1530"/>
      <c r="AS77" s="1530"/>
      <c r="AT77" s="1530"/>
      <c r="AU77" s="1530"/>
      <c r="AV77" s="1530"/>
      <c r="AW77" s="1530"/>
      <c r="AX77" s="1530"/>
      <c r="AY77" s="1530"/>
      <c r="AZ77" s="1530"/>
      <c r="BA77" s="1530"/>
      <c r="BB77" s="1530"/>
      <c r="BC77" s="1530"/>
      <c r="BD77" s="1530"/>
      <c r="BE77" s="1530"/>
      <c r="BF77" s="1530"/>
      <c r="BG77" s="1530"/>
      <c r="BH77" s="1530"/>
      <c r="BI77" s="1530"/>
      <c r="BJ77" s="1530"/>
      <c r="BK77" s="1530"/>
      <c r="BL77" s="1530"/>
      <c r="BM77" s="1530"/>
      <c r="BN77" s="1530"/>
      <c r="BW77" s="1569"/>
      <c r="BX77" s="1530"/>
      <c r="BY77" s="1530"/>
      <c r="BZ77" s="1530"/>
      <c r="CA77" s="1530"/>
      <c r="CB77" s="1530"/>
      <c r="CC77" s="1530"/>
      <c r="CD77" s="1530"/>
      <c r="CE77" s="1530"/>
      <c r="CF77" s="1530"/>
      <c r="CG77" s="1530"/>
      <c r="CH77" s="1530"/>
      <c r="CI77" s="1530"/>
      <c r="CJ77" s="1530"/>
      <c r="CK77" s="1530"/>
      <c r="CL77" s="1530"/>
      <c r="CM77" s="1530"/>
      <c r="CN77" s="1570"/>
      <c r="CO77" s="1530"/>
      <c r="CP77" s="1530"/>
      <c r="CQ77" s="1530"/>
      <c r="CR77" s="1530"/>
      <c r="CS77" s="1530"/>
      <c r="CT77" s="1530"/>
      <c r="CU77" s="1530"/>
      <c r="CV77" s="1530"/>
      <c r="CW77" s="1530"/>
      <c r="CX77" s="1530"/>
      <c r="CY77" s="1530"/>
      <c r="CZ77" s="1530"/>
      <c r="DA77" s="1530"/>
      <c r="DB77" s="1530"/>
      <c r="DC77" s="1530"/>
      <c r="DD77" s="1530"/>
      <c r="DE77" s="1530"/>
      <c r="DF77" s="1530"/>
      <c r="DG77" s="1530"/>
      <c r="DH77" s="1530"/>
      <c r="DI77" s="1530"/>
      <c r="DJ77" s="1530"/>
      <c r="DK77" s="1530"/>
      <c r="DL77" s="1530"/>
      <c r="DM77" s="1530"/>
      <c r="DN77" s="1571"/>
      <c r="DO77" s="1530"/>
      <c r="DP77" s="1530"/>
    </row>
    <row r="78" spans="1:120">
      <c r="A78" s="1451"/>
      <c r="C78" s="1451"/>
      <c r="K78" s="1451"/>
      <c r="L78" s="1451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530"/>
      <c r="AK78" s="1530"/>
      <c r="AL78" s="1530"/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530"/>
      <c r="AW78" s="1530"/>
      <c r="AX78" s="1530"/>
      <c r="AY78" s="1530"/>
      <c r="AZ78" s="1530"/>
      <c r="BA78" s="1530"/>
      <c r="BB78" s="1530"/>
      <c r="BC78" s="1530"/>
      <c r="BD78" s="1530"/>
      <c r="BE78" s="1530"/>
      <c r="BF78" s="1530"/>
      <c r="BG78" s="1530"/>
      <c r="BH78" s="1530"/>
      <c r="BI78" s="1530"/>
      <c r="BJ78" s="1530"/>
      <c r="BK78" s="1530"/>
      <c r="BL78" s="1530"/>
      <c r="BM78" s="1530"/>
      <c r="BN78" s="1530"/>
      <c r="BW78" s="1569"/>
      <c r="BX78" s="1530"/>
      <c r="BY78" s="1530"/>
      <c r="BZ78" s="1530"/>
      <c r="CA78" s="1530"/>
      <c r="CB78" s="1530"/>
      <c r="CC78" s="1530"/>
      <c r="CD78" s="1530"/>
      <c r="CE78" s="1530"/>
      <c r="CF78" s="1530"/>
      <c r="CG78" s="1530"/>
      <c r="CH78" s="1530"/>
      <c r="CI78" s="1530"/>
      <c r="CJ78" s="1530"/>
      <c r="CK78" s="1530"/>
      <c r="CL78" s="1530"/>
      <c r="CM78" s="1530"/>
      <c r="CN78" s="1570"/>
      <c r="CO78" s="1530"/>
      <c r="CP78" s="1530"/>
      <c r="CQ78" s="1530"/>
      <c r="CR78" s="1530"/>
      <c r="CS78" s="1530"/>
      <c r="CT78" s="1530"/>
      <c r="CU78" s="1530"/>
      <c r="CV78" s="1530"/>
      <c r="CW78" s="1530"/>
      <c r="CX78" s="1530"/>
      <c r="CY78" s="1530"/>
      <c r="CZ78" s="1530"/>
      <c r="DA78" s="1530"/>
      <c r="DB78" s="1530"/>
      <c r="DC78" s="1530"/>
      <c r="DD78" s="1530"/>
      <c r="DE78" s="1530"/>
      <c r="DF78" s="1530"/>
      <c r="DG78" s="1530"/>
      <c r="DH78" s="1530"/>
      <c r="DI78" s="1530"/>
      <c r="DJ78" s="1530"/>
      <c r="DK78" s="1530"/>
      <c r="DL78" s="1530"/>
      <c r="DM78" s="1530"/>
      <c r="DN78" s="1571"/>
      <c r="DO78" s="1530"/>
      <c r="DP78" s="1530"/>
    </row>
    <row r="79" spans="1:120">
      <c r="A79" s="1451"/>
      <c r="C79" s="1451"/>
      <c r="K79" s="1451"/>
      <c r="L79" s="1451"/>
      <c r="U79" s="1530"/>
      <c r="V79" s="1530"/>
      <c r="W79" s="1530"/>
      <c r="X79" s="1530"/>
      <c r="Y79" s="1530"/>
      <c r="Z79" s="1530"/>
      <c r="AA79" s="1530"/>
      <c r="AB79" s="1530"/>
      <c r="AC79" s="1530"/>
      <c r="AD79" s="1530"/>
      <c r="AE79" s="1530"/>
      <c r="AF79" s="1530"/>
      <c r="AG79" s="1530"/>
      <c r="AH79" s="1530"/>
      <c r="AI79" s="1530"/>
      <c r="AJ79" s="1530"/>
      <c r="AK79" s="1530"/>
      <c r="AL79" s="1530"/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530"/>
      <c r="AW79" s="1530"/>
      <c r="AX79" s="1530"/>
      <c r="AY79" s="1530"/>
      <c r="AZ79" s="1530"/>
      <c r="BA79" s="1530"/>
      <c r="BB79" s="1530"/>
      <c r="BC79" s="1530"/>
      <c r="BD79" s="1530"/>
      <c r="BE79" s="1530"/>
      <c r="BF79" s="1530"/>
      <c r="BG79" s="1530"/>
      <c r="BH79" s="1530"/>
      <c r="BI79" s="1530"/>
      <c r="BJ79" s="1530"/>
      <c r="BK79" s="1530"/>
      <c r="BL79" s="1530"/>
      <c r="BM79" s="1530"/>
      <c r="BN79" s="1530"/>
      <c r="BW79" s="1569"/>
      <c r="BX79" s="1530"/>
      <c r="BY79" s="1530"/>
      <c r="BZ79" s="1530"/>
      <c r="CA79" s="1530"/>
      <c r="CB79" s="1530"/>
      <c r="CC79" s="1530"/>
      <c r="CD79" s="1530"/>
      <c r="CE79" s="1530"/>
      <c r="CF79" s="1530"/>
      <c r="CG79" s="1530"/>
      <c r="CH79" s="1530"/>
      <c r="CI79" s="1530"/>
      <c r="CJ79" s="1530"/>
      <c r="CK79" s="1530"/>
      <c r="CL79" s="1530"/>
      <c r="CM79" s="1530"/>
      <c r="CN79" s="1570"/>
      <c r="CO79" s="1530"/>
      <c r="CP79" s="1530"/>
      <c r="CQ79" s="1530"/>
      <c r="CR79" s="1530"/>
      <c r="CS79" s="1530"/>
      <c r="CT79" s="1530"/>
      <c r="CU79" s="1530"/>
      <c r="CV79" s="1530"/>
      <c r="CW79" s="1530"/>
      <c r="CX79" s="1530"/>
      <c r="CY79" s="1530"/>
      <c r="CZ79" s="1530"/>
      <c r="DA79" s="1530"/>
      <c r="DB79" s="1530"/>
      <c r="DC79" s="1530"/>
      <c r="DD79" s="1530"/>
      <c r="DE79" s="1530"/>
      <c r="DF79" s="1530"/>
      <c r="DG79" s="1530"/>
      <c r="DH79" s="1530"/>
      <c r="DI79" s="1530"/>
      <c r="DJ79" s="1530"/>
      <c r="DK79" s="1530"/>
      <c r="DL79" s="1530"/>
      <c r="DM79" s="1530"/>
      <c r="DN79" s="1571"/>
      <c r="DO79" s="1530"/>
      <c r="DP79" s="1530"/>
    </row>
    <row r="80" spans="1:120">
      <c r="A80" s="1451"/>
      <c r="C80" s="1451"/>
      <c r="K80" s="1451"/>
      <c r="L80" s="1451"/>
      <c r="U80" s="1530"/>
      <c r="V80" s="1530"/>
      <c r="W80" s="1530"/>
      <c r="X80" s="1530"/>
      <c r="Y80" s="1530"/>
      <c r="Z80" s="1530"/>
      <c r="AA80" s="1530"/>
      <c r="AB80" s="1530"/>
      <c r="AC80" s="1530"/>
      <c r="AD80" s="1530"/>
      <c r="AE80" s="1530"/>
      <c r="AF80" s="1530"/>
      <c r="AG80" s="1530"/>
      <c r="AH80" s="1530"/>
      <c r="AI80" s="1530"/>
      <c r="AJ80" s="1530"/>
      <c r="AK80" s="1530"/>
      <c r="AL80" s="1530"/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30"/>
      <c r="AW80" s="1530"/>
      <c r="AX80" s="1530"/>
      <c r="AY80" s="1530"/>
      <c r="AZ80" s="1530"/>
      <c r="BA80" s="1530"/>
      <c r="BB80" s="1530"/>
      <c r="BC80" s="1530"/>
      <c r="BD80" s="1530"/>
      <c r="BE80" s="1530"/>
      <c r="BF80" s="1530"/>
      <c r="BG80" s="1530"/>
      <c r="BH80" s="1530"/>
      <c r="BI80" s="1530"/>
      <c r="BJ80" s="1530"/>
      <c r="BK80" s="1530"/>
      <c r="BL80" s="1530"/>
      <c r="BM80" s="1530"/>
      <c r="BN80" s="1530"/>
      <c r="BW80" s="1569"/>
      <c r="BX80" s="1530"/>
      <c r="BY80" s="1530"/>
      <c r="BZ80" s="1530"/>
      <c r="CA80" s="1530"/>
      <c r="CB80" s="1530"/>
      <c r="CC80" s="1530"/>
      <c r="CD80" s="1530"/>
      <c r="CE80" s="1530"/>
      <c r="CF80" s="1530"/>
      <c r="CG80" s="1530"/>
      <c r="CH80" s="1530"/>
      <c r="CI80" s="1530"/>
      <c r="CJ80" s="1530"/>
      <c r="CK80" s="1530"/>
      <c r="CL80" s="1530"/>
      <c r="CM80" s="1530"/>
      <c r="CN80" s="1570"/>
      <c r="CO80" s="1530"/>
      <c r="CP80" s="1530"/>
      <c r="CQ80" s="1530"/>
      <c r="CR80" s="1530"/>
      <c r="CS80" s="1530"/>
      <c r="CT80" s="1530"/>
      <c r="CU80" s="1530"/>
      <c r="CV80" s="1530"/>
      <c r="CW80" s="1530"/>
      <c r="CX80" s="1530"/>
      <c r="CY80" s="1530"/>
      <c r="CZ80" s="1530"/>
      <c r="DA80" s="1530"/>
      <c r="DB80" s="1530"/>
      <c r="DC80" s="1530"/>
      <c r="DD80" s="1530"/>
      <c r="DE80" s="1530"/>
      <c r="DF80" s="1530"/>
      <c r="DG80" s="1530"/>
      <c r="DH80" s="1530"/>
      <c r="DI80" s="1530"/>
      <c r="DJ80" s="1530"/>
      <c r="DK80" s="1530"/>
      <c r="DL80" s="1530"/>
      <c r="DM80" s="1530"/>
      <c r="DN80" s="1571"/>
      <c r="DO80" s="1530"/>
      <c r="DP80" s="1530"/>
    </row>
    <row r="81" spans="1:120">
      <c r="A81" s="1451"/>
      <c r="C81" s="1451"/>
      <c r="K81" s="1451"/>
      <c r="L81" s="1451"/>
      <c r="U81" s="1530"/>
      <c r="V81" s="1530"/>
      <c r="W81" s="1530"/>
      <c r="X81" s="1530"/>
      <c r="Y81" s="1530"/>
      <c r="Z81" s="1530"/>
      <c r="AA81" s="1530"/>
      <c r="AB81" s="1530"/>
      <c r="AC81" s="1530"/>
      <c r="AD81" s="1530"/>
      <c r="AE81" s="1530"/>
      <c r="AF81" s="1530"/>
      <c r="AG81" s="1530"/>
      <c r="AH81" s="1530"/>
      <c r="AI81" s="1530"/>
      <c r="AJ81" s="1530"/>
      <c r="AK81" s="1530"/>
      <c r="AL81" s="1530"/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30"/>
      <c r="AW81" s="1530"/>
      <c r="AX81" s="1530"/>
      <c r="AY81" s="1530"/>
      <c r="AZ81" s="1530"/>
      <c r="BA81" s="1530"/>
      <c r="BB81" s="1530"/>
      <c r="BC81" s="1530"/>
      <c r="BD81" s="1530"/>
      <c r="BE81" s="1530"/>
      <c r="BF81" s="1530"/>
      <c r="BG81" s="1530"/>
      <c r="BH81" s="1530"/>
      <c r="BI81" s="1530"/>
      <c r="BJ81" s="1530"/>
      <c r="BK81" s="1530"/>
      <c r="BL81" s="1530"/>
      <c r="BM81" s="1530"/>
      <c r="BN81" s="1530"/>
      <c r="BW81" s="1569"/>
      <c r="BX81" s="1530"/>
      <c r="BY81" s="1530"/>
      <c r="BZ81" s="1530"/>
      <c r="CA81" s="1530"/>
      <c r="CB81" s="1530"/>
      <c r="CC81" s="1530"/>
      <c r="CD81" s="1530"/>
      <c r="CE81" s="1530"/>
      <c r="CF81" s="1530"/>
      <c r="CG81" s="1530"/>
      <c r="CH81" s="1530"/>
      <c r="CI81" s="1530"/>
      <c r="CJ81" s="1530"/>
      <c r="CK81" s="1530"/>
      <c r="CL81" s="1530"/>
      <c r="CM81" s="1530"/>
      <c r="CN81" s="1570"/>
      <c r="CO81" s="1530"/>
      <c r="CP81" s="1530"/>
      <c r="CQ81" s="1530"/>
      <c r="CR81" s="1530"/>
      <c r="CS81" s="1530"/>
      <c r="CT81" s="1530"/>
      <c r="CU81" s="1530"/>
      <c r="CV81" s="1530"/>
      <c r="CW81" s="1530"/>
      <c r="CX81" s="1530"/>
      <c r="CY81" s="1530"/>
      <c r="CZ81" s="1530"/>
      <c r="DA81" s="1530"/>
      <c r="DB81" s="1530"/>
      <c r="DC81" s="1530"/>
      <c r="DD81" s="1530"/>
      <c r="DE81" s="1530"/>
      <c r="DF81" s="1530"/>
      <c r="DG81" s="1530"/>
      <c r="DH81" s="1530"/>
      <c r="DI81" s="1530"/>
      <c r="DJ81" s="1530"/>
      <c r="DK81" s="1530"/>
      <c r="DL81" s="1530"/>
      <c r="DM81" s="1530"/>
      <c r="DN81" s="1571"/>
      <c r="DO81" s="1530"/>
      <c r="DP81" s="1530"/>
    </row>
    <row r="82" spans="1:120">
      <c r="A82" s="1451"/>
      <c r="C82" s="1451"/>
      <c r="K82" s="1451"/>
      <c r="L82" s="1451"/>
      <c r="U82" s="1530"/>
      <c r="V82" s="1530"/>
      <c r="W82" s="1530"/>
      <c r="X82" s="1530"/>
      <c r="Y82" s="1530"/>
      <c r="Z82" s="1530"/>
      <c r="AA82" s="1530"/>
      <c r="AB82" s="1530"/>
      <c r="AC82" s="1530"/>
      <c r="AD82" s="1530"/>
      <c r="AE82" s="1530"/>
      <c r="AF82" s="1530"/>
      <c r="AG82" s="1530"/>
      <c r="AH82" s="1530"/>
      <c r="AI82" s="1530"/>
      <c r="AJ82" s="1530"/>
      <c r="AK82" s="1530"/>
      <c r="AL82" s="1530"/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30"/>
      <c r="AW82" s="1530"/>
      <c r="AX82" s="1530"/>
      <c r="AY82" s="1530"/>
      <c r="AZ82" s="1530"/>
      <c r="BA82" s="1530"/>
      <c r="BB82" s="1530"/>
      <c r="BC82" s="1530"/>
      <c r="BD82" s="1530"/>
      <c r="BE82" s="1530"/>
      <c r="BF82" s="1530"/>
      <c r="BG82" s="1530"/>
      <c r="BH82" s="1530"/>
      <c r="BI82" s="1530"/>
      <c r="BJ82" s="1530"/>
      <c r="BK82" s="1530"/>
      <c r="BL82" s="1530"/>
      <c r="BM82" s="1530"/>
      <c r="BN82" s="1530"/>
      <c r="BW82" s="1569"/>
      <c r="BX82" s="1530"/>
      <c r="BY82" s="1530"/>
      <c r="BZ82" s="1530"/>
      <c r="CA82" s="1530"/>
      <c r="CB82" s="1530"/>
      <c r="CC82" s="1530"/>
      <c r="CD82" s="1530"/>
      <c r="CE82" s="1530"/>
      <c r="CF82" s="1530"/>
      <c r="CG82" s="1530"/>
      <c r="CH82" s="1530"/>
      <c r="CI82" s="1530"/>
      <c r="CJ82" s="1530"/>
      <c r="CK82" s="1530"/>
      <c r="CL82" s="1530"/>
      <c r="CM82" s="1530"/>
      <c r="CN82" s="1570"/>
      <c r="CO82" s="1530"/>
      <c r="CP82" s="1530"/>
      <c r="CQ82" s="1530"/>
      <c r="CR82" s="1530"/>
      <c r="CS82" s="1530"/>
      <c r="CT82" s="1530"/>
      <c r="CU82" s="1530"/>
      <c r="CV82" s="1530"/>
      <c r="CW82" s="1530"/>
      <c r="CX82" s="1530"/>
      <c r="CY82" s="1530"/>
      <c r="CZ82" s="1530"/>
      <c r="DA82" s="1530"/>
      <c r="DB82" s="1530"/>
      <c r="DC82" s="1530"/>
      <c r="DD82" s="1530"/>
      <c r="DE82" s="1530"/>
      <c r="DF82" s="1530"/>
      <c r="DG82" s="1530"/>
      <c r="DH82" s="1530"/>
      <c r="DI82" s="1530"/>
      <c r="DJ82" s="1530"/>
      <c r="DK82" s="1530"/>
      <c r="DL82" s="1530"/>
      <c r="DM82" s="1530"/>
      <c r="DN82" s="1571"/>
      <c r="DO82" s="1530"/>
      <c r="DP82" s="1530"/>
    </row>
    <row r="83" spans="1:120">
      <c r="A83" s="1451"/>
      <c r="C83" s="1451"/>
      <c r="K83" s="1451"/>
      <c r="L83" s="1451"/>
      <c r="U83" s="1530"/>
      <c r="V83" s="1530"/>
      <c r="W83" s="1530"/>
      <c r="X83" s="1530"/>
      <c r="Y83" s="1530"/>
      <c r="Z83" s="1530"/>
      <c r="AA83" s="1530"/>
      <c r="AB83" s="1530"/>
      <c r="AC83" s="1530"/>
      <c r="AD83" s="1530"/>
      <c r="AE83" s="1530"/>
      <c r="AF83" s="1530"/>
      <c r="AG83" s="1530"/>
      <c r="AH83" s="1530"/>
      <c r="AI83" s="1530"/>
      <c r="AJ83" s="1530"/>
      <c r="AK83" s="1530"/>
      <c r="AL83" s="1530"/>
      <c r="AM83" s="1530"/>
      <c r="AN83" s="1530"/>
      <c r="AO83" s="1530"/>
      <c r="AP83" s="1530"/>
      <c r="AQ83" s="1530"/>
      <c r="AR83" s="1530"/>
      <c r="AS83" s="1530"/>
      <c r="AT83" s="1530"/>
      <c r="AU83" s="1530"/>
      <c r="AV83" s="1530"/>
      <c r="AW83" s="1530"/>
      <c r="AX83" s="1530"/>
      <c r="AY83" s="1530"/>
      <c r="AZ83" s="1530"/>
      <c r="BA83" s="1530"/>
      <c r="BB83" s="1530"/>
      <c r="BC83" s="1530"/>
      <c r="BD83" s="1530"/>
      <c r="BE83" s="1530"/>
      <c r="BF83" s="1530"/>
      <c r="BG83" s="1530"/>
      <c r="BH83" s="1530"/>
      <c r="BI83" s="1530"/>
      <c r="BJ83" s="1530"/>
      <c r="BK83" s="1530"/>
      <c r="BL83" s="1530"/>
      <c r="BM83" s="1530"/>
      <c r="BN83" s="1530"/>
      <c r="BW83" s="1569"/>
      <c r="BX83" s="1530"/>
      <c r="BY83" s="1530"/>
      <c r="BZ83" s="1530"/>
      <c r="CA83" s="1530"/>
      <c r="CB83" s="1530"/>
      <c r="CC83" s="1530"/>
      <c r="CD83" s="1530"/>
      <c r="CE83" s="1530"/>
      <c r="CF83" s="1530"/>
      <c r="CG83" s="1530"/>
      <c r="CH83" s="1530"/>
      <c r="CI83" s="1530"/>
      <c r="CJ83" s="1530"/>
      <c r="CK83" s="1530"/>
      <c r="CL83" s="1530"/>
      <c r="CM83" s="1530"/>
      <c r="CN83" s="1570"/>
      <c r="CO83" s="1530"/>
      <c r="CP83" s="1530"/>
      <c r="CQ83" s="1530"/>
      <c r="CR83" s="1530"/>
      <c r="CS83" s="1530"/>
      <c r="CT83" s="1530"/>
      <c r="CU83" s="1530"/>
      <c r="CV83" s="1530"/>
      <c r="CW83" s="1530"/>
      <c r="CX83" s="1530"/>
      <c r="CY83" s="1530"/>
      <c r="CZ83" s="1530"/>
      <c r="DA83" s="1530"/>
      <c r="DB83" s="1530"/>
      <c r="DC83" s="1530"/>
      <c r="DD83" s="1530"/>
      <c r="DE83" s="1530"/>
      <c r="DF83" s="1530"/>
      <c r="DG83" s="1530"/>
      <c r="DH83" s="1530"/>
      <c r="DI83" s="1530"/>
      <c r="DJ83" s="1530"/>
      <c r="DK83" s="1530"/>
      <c r="DL83" s="1530"/>
      <c r="DM83" s="1530"/>
      <c r="DN83" s="1571"/>
      <c r="DO83" s="1530"/>
      <c r="DP83" s="1530"/>
    </row>
    <row r="84" spans="1:120">
      <c r="A84" s="1451"/>
      <c r="C84" s="1451"/>
      <c r="K84" s="1451"/>
      <c r="L84" s="1451"/>
      <c r="U84" s="1530"/>
      <c r="V84" s="1530"/>
      <c r="W84" s="1530"/>
      <c r="X84" s="1530"/>
      <c r="Y84" s="1530"/>
      <c r="Z84" s="1530"/>
      <c r="AA84" s="1530"/>
      <c r="AB84" s="1530"/>
      <c r="AC84" s="1530"/>
      <c r="AD84" s="1530"/>
      <c r="AE84" s="1530"/>
      <c r="AF84" s="1530"/>
      <c r="AG84" s="1530"/>
      <c r="AH84" s="1530"/>
      <c r="AI84" s="1530"/>
      <c r="AJ84" s="1530"/>
      <c r="AK84" s="1530"/>
      <c r="AL84" s="1530"/>
      <c r="AM84" s="1530"/>
      <c r="AN84" s="1530"/>
      <c r="AO84" s="1530"/>
      <c r="AP84" s="1530"/>
      <c r="AQ84" s="1530"/>
      <c r="AR84" s="1530"/>
      <c r="AS84" s="1530"/>
      <c r="AT84" s="1530"/>
      <c r="AU84" s="1530"/>
      <c r="AV84" s="1530"/>
      <c r="AW84" s="1530"/>
      <c r="AX84" s="1530"/>
      <c r="AY84" s="1530"/>
      <c r="AZ84" s="1530"/>
      <c r="BA84" s="1530"/>
      <c r="BB84" s="1530"/>
      <c r="BC84" s="1530"/>
      <c r="BD84" s="1530"/>
      <c r="BE84" s="1530"/>
      <c r="BF84" s="1530"/>
      <c r="BG84" s="1530"/>
      <c r="BH84" s="1530"/>
      <c r="BI84" s="1530"/>
      <c r="BJ84" s="1530"/>
      <c r="BK84" s="1530"/>
      <c r="BL84" s="1530"/>
      <c r="BM84" s="1530"/>
      <c r="BN84" s="1530"/>
      <c r="BW84" s="1569"/>
      <c r="BX84" s="1530"/>
      <c r="BY84" s="1530"/>
      <c r="BZ84" s="1530"/>
      <c r="CA84" s="1530"/>
      <c r="CB84" s="1530"/>
      <c r="CC84" s="1530"/>
      <c r="CD84" s="1530"/>
      <c r="CE84" s="1530"/>
      <c r="CF84" s="1530"/>
      <c r="CG84" s="1530"/>
      <c r="CH84" s="1530"/>
      <c r="CI84" s="1530"/>
      <c r="CJ84" s="1530"/>
      <c r="CK84" s="1530"/>
      <c r="CL84" s="1530"/>
      <c r="CM84" s="1530"/>
      <c r="CN84" s="1570"/>
      <c r="CO84" s="1530"/>
      <c r="CP84" s="1530"/>
      <c r="CQ84" s="1530"/>
      <c r="CR84" s="1530"/>
      <c r="CS84" s="1530"/>
      <c r="CT84" s="1530"/>
      <c r="CU84" s="1530"/>
      <c r="CV84" s="1530"/>
      <c r="CW84" s="1530"/>
      <c r="CX84" s="1530"/>
      <c r="CY84" s="1530"/>
      <c r="CZ84" s="1530"/>
      <c r="DA84" s="1530"/>
      <c r="DB84" s="1530"/>
      <c r="DC84" s="1530"/>
      <c r="DD84" s="1530"/>
      <c r="DE84" s="1530"/>
      <c r="DF84" s="1530"/>
      <c r="DG84" s="1530"/>
      <c r="DH84" s="1530"/>
      <c r="DI84" s="1530"/>
      <c r="DJ84" s="1530"/>
      <c r="DK84" s="1530"/>
      <c r="DL84" s="1530"/>
      <c r="DM84" s="1530"/>
      <c r="DN84" s="1571"/>
      <c r="DO84" s="1530"/>
      <c r="DP84" s="1530"/>
    </row>
    <row r="85" spans="1:120">
      <c r="A85" s="1451"/>
      <c r="C85" s="1451"/>
      <c r="K85" s="1451"/>
      <c r="L85" s="1451"/>
      <c r="U85" s="1530"/>
      <c r="V85" s="1530"/>
      <c r="W85" s="1530"/>
      <c r="X85" s="1530"/>
      <c r="Y85" s="1530"/>
      <c r="Z85" s="1530"/>
      <c r="AA85" s="1530"/>
      <c r="AB85" s="1530"/>
      <c r="AC85" s="1530"/>
      <c r="AD85" s="1530"/>
      <c r="AE85" s="1530"/>
      <c r="AF85" s="1530"/>
      <c r="AG85" s="1530"/>
      <c r="AH85" s="1530"/>
      <c r="AI85" s="1530"/>
      <c r="AJ85" s="1530"/>
      <c r="AK85" s="1530"/>
      <c r="AL85" s="1530"/>
      <c r="AM85" s="1530"/>
      <c r="AN85" s="1530"/>
      <c r="AO85" s="1530"/>
      <c r="AP85" s="1530"/>
      <c r="AQ85" s="1530"/>
      <c r="AR85" s="1530"/>
      <c r="AS85" s="1530"/>
      <c r="AT85" s="1530"/>
      <c r="AU85" s="1530"/>
      <c r="AV85" s="1530"/>
      <c r="AW85" s="1530"/>
      <c r="AX85" s="1530"/>
      <c r="AY85" s="1530"/>
      <c r="AZ85" s="1530"/>
      <c r="BA85" s="1530"/>
      <c r="BB85" s="1530"/>
      <c r="BC85" s="1530"/>
      <c r="BD85" s="1530"/>
      <c r="BE85" s="1530"/>
      <c r="BF85" s="1530"/>
      <c r="BG85" s="1530"/>
      <c r="BH85" s="1530"/>
      <c r="BI85" s="1530"/>
      <c r="BJ85" s="1530"/>
      <c r="BK85" s="1530"/>
      <c r="BL85" s="1530"/>
      <c r="BM85" s="1530"/>
      <c r="BN85" s="1530"/>
      <c r="BW85" s="1569"/>
      <c r="BX85" s="1530"/>
      <c r="BY85" s="1530"/>
      <c r="BZ85" s="1530"/>
      <c r="CA85" s="1530"/>
      <c r="CB85" s="1530"/>
      <c r="CC85" s="1530"/>
      <c r="CD85" s="1530"/>
      <c r="CE85" s="1530"/>
      <c r="CF85" s="1530"/>
      <c r="CG85" s="1530"/>
      <c r="CH85" s="1530"/>
      <c r="CI85" s="1530"/>
      <c r="CJ85" s="1530"/>
      <c r="CK85" s="1530"/>
      <c r="CL85" s="1530"/>
      <c r="CM85" s="1530"/>
      <c r="CN85" s="1570"/>
      <c r="CO85" s="1530"/>
      <c r="CP85" s="1530"/>
      <c r="CQ85" s="1530"/>
      <c r="CR85" s="1530"/>
      <c r="CS85" s="1530"/>
      <c r="CT85" s="1530"/>
      <c r="CU85" s="1530"/>
      <c r="CV85" s="1530"/>
      <c r="CW85" s="1530"/>
      <c r="CX85" s="1530"/>
      <c r="CY85" s="1530"/>
      <c r="CZ85" s="1530"/>
      <c r="DA85" s="1530"/>
      <c r="DB85" s="1530"/>
      <c r="DC85" s="1530"/>
      <c r="DD85" s="1530"/>
      <c r="DE85" s="1530"/>
      <c r="DF85" s="1530"/>
      <c r="DG85" s="1530"/>
      <c r="DH85" s="1530"/>
      <c r="DI85" s="1530"/>
      <c r="DJ85" s="1530"/>
      <c r="DK85" s="1530"/>
      <c r="DL85" s="1530"/>
      <c r="DM85" s="1530"/>
      <c r="DN85" s="1571"/>
      <c r="DO85" s="1530"/>
      <c r="DP85" s="1530"/>
    </row>
    <row r="86" spans="1:120">
      <c r="A86" s="1451"/>
      <c r="C86" s="1451"/>
      <c r="K86" s="1451"/>
      <c r="L86" s="1451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530"/>
      <c r="AI86" s="1530"/>
      <c r="AJ86" s="1530"/>
      <c r="AK86" s="1530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530"/>
      <c r="BB86" s="1530"/>
      <c r="BC86" s="1530"/>
      <c r="BD86" s="1530"/>
      <c r="BE86" s="1530"/>
      <c r="BF86" s="1530"/>
      <c r="BG86" s="1530"/>
      <c r="BH86" s="1530"/>
      <c r="BI86" s="1530"/>
      <c r="BJ86" s="1530"/>
      <c r="BK86" s="1530"/>
      <c r="BL86" s="1530"/>
      <c r="BM86" s="1530"/>
      <c r="BN86" s="1530"/>
      <c r="BW86" s="1569"/>
      <c r="BX86" s="1530"/>
      <c r="BY86" s="1530"/>
      <c r="BZ86" s="1530"/>
      <c r="CA86" s="1530"/>
      <c r="CB86" s="1530"/>
      <c r="CC86" s="1530"/>
      <c r="CD86" s="1530"/>
      <c r="CE86" s="1530"/>
      <c r="CF86" s="1530"/>
      <c r="CG86" s="1530"/>
      <c r="CH86" s="1530"/>
      <c r="CI86" s="1530"/>
      <c r="CJ86" s="1530"/>
      <c r="CK86" s="1530"/>
      <c r="CL86" s="1530"/>
      <c r="CM86" s="1530"/>
      <c r="CN86" s="1570"/>
      <c r="CO86" s="1530"/>
      <c r="CP86" s="1530"/>
      <c r="CQ86" s="1530"/>
      <c r="CR86" s="1530"/>
      <c r="CS86" s="1530"/>
      <c r="CT86" s="1530"/>
      <c r="CU86" s="1530"/>
      <c r="CV86" s="1530"/>
      <c r="CW86" s="1530"/>
      <c r="CX86" s="1530"/>
      <c r="CY86" s="1530"/>
      <c r="CZ86" s="1530"/>
      <c r="DA86" s="1530"/>
      <c r="DB86" s="1530"/>
      <c r="DC86" s="1530"/>
      <c r="DD86" s="1530"/>
      <c r="DE86" s="1530"/>
      <c r="DF86" s="1530"/>
      <c r="DG86" s="1530"/>
      <c r="DH86" s="1530"/>
      <c r="DI86" s="1530"/>
      <c r="DJ86" s="1530"/>
      <c r="DK86" s="1530"/>
      <c r="DL86" s="1530"/>
      <c r="DM86" s="1530"/>
      <c r="DN86" s="1571"/>
      <c r="DO86" s="1530"/>
      <c r="DP86" s="1530"/>
    </row>
    <row r="87" spans="1:120">
      <c r="A87" s="1451"/>
      <c r="C87" s="1451"/>
      <c r="K87" s="1451"/>
      <c r="L87" s="1451"/>
      <c r="U87" s="1530"/>
      <c r="V87" s="1530"/>
      <c r="W87" s="1530"/>
      <c r="X87" s="1530"/>
      <c r="Y87" s="1530"/>
      <c r="Z87" s="1530"/>
      <c r="AA87" s="1530"/>
      <c r="AB87" s="1530"/>
      <c r="AC87" s="1530"/>
      <c r="AD87" s="1530"/>
      <c r="AE87" s="1530"/>
      <c r="AF87" s="1530"/>
      <c r="AG87" s="1530"/>
      <c r="AH87" s="1530"/>
      <c r="AI87" s="1530"/>
      <c r="AJ87" s="1530"/>
      <c r="AK87" s="1530"/>
      <c r="AL87" s="1530"/>
      <c r="AM87" s="1530"/>
      <c r="AN87" s="1530"/>
      <c r="AO87" s="1530"/>
      <c r="AP87" s="1530"/>
      <c r="AQ87" s="1530"/>
      <c r="AR87" s="1530"/>
      <c r="AS87" s="1530"/>
      <c r="AT87" s="1530"/>
      <c r="AU87" s="1530"/>
      <c r="AV87" s="1530"/>
      <c r="AW87" s="1530"/>
      <c r="AX87" s="1530"/>
      <c r="AY87" s="1530"/>
      <c r="AZ87" s="1530"/>
      <c r="BA87" s="1530"/>
      <c r="BB87" s="1530"/>
      <c r="BC87" s="1530"/>
      <c r="BD87" s="1530"/>
      <c r="BE87" s="1530"/>
      <c r="BF87" s="1530"/>
      <c r="BG87" s="1530"/>
      <c r="BH87" s="1530"/>
      <c r="BI87" s="1530"/>
      <c r="BJ87" s="1530"/>
      <c r="BK87" s="1530"/>
      <c r="BL87" s="1530"/>
      <c r="BM87" s="1530"/>
      <c r="BN87" s="1530"/>
      <c r="BW87" s="1569"/>
      <c r="BX87" s="1530"/>
      <c r="BY87" s="1530"/>
      <c r="BZ87" s="1530"/>
      <c r="CA87" s="1530"/>
      <c r="CB87" s="1530"/>
      <c r="CC87" s="1530"/>
      <c r="CD87" s="1530"/>
      <c r="CE87" s="1530"/>
      <c r="CF87" s="1530"/>
      <c r="CG87" s="1530"/>
      <c r="CH87" s="1530"/>
      <c r="CI87" s="1530"/>
      <c r="CJ87" s="1530"/>
      <c r="CK87" s="1530"/>
      <c r="CL87" s="1530"/>
      <c r="CM87" s="1530"/>
      <c r="CN87" s="1570"/>
      <c r="CO87" s="1530"/>
      <c r="CP87" s="1530"/>
      <c r="CQ87" s="1530"/>
      <c r="CR87" s="1530"/>
      <c r="CS87" s="1530"/>
      <c r="CT87" s="1530"/>
      <c r="CU87" s="1530"/>
      <c r="CV87" s="1530"/>
      <c r="CW87" s="1530"/>
      <c r="CX87" s="1530"/>
      <c r="CY87" s="1530"/>
      <c r="CZ87" s="1530"/>
      <c r="DA87" s="1530"/>
      <c r="DB87" s="1530"/>
      <c r="DC87" s="1530"/>
      <c r="DD87" s="1530"/>
      <c r="DE87" s="1530"/>
      <c r="DF87" s="1530"/>
      <c r="DG87" s="1530"/>
      <c r="DH87" s="1530"/>
      <c r="DI87" s="1530"/>
      <c r="DJ87" s="1530"/>
      <c r="DK87" s="1530"/>
      <c r="DL87" s="1530"/>
      <c r="DM87" s="1530"/>
      <c r="DN87" s="1571"/>
      <c r="DO87" s="1530"/>
      <c r="DP87" s="1530"/>
    </row>
    <row r="88" spans="1:120">
      <c r="A88" s="1451"/>
      <c r="C88" s="1451"/>
      <c r="K88" s="1451"/>
      <c r="L88" s="1451"/>
      <c r="U88" s="1530"/>
      <c r="V88" s="1530"/>
      <c r="W88" s="1530"/>
      <c r="X88" s="1530"/>
      <c r="Y88" s="1530"/>
      <c r="Z88" s="1530"/>
      <c r="AA88" s="1530"/>
      <c r="AB88" s="1530"/>
      <c r="AC88" s="1530"/>
      <c r="AD88" s="1530"/>
      <c r="AE88" s="1530"/>
      <c r="AF88" s="1530"/>
      <c r="AG88" s="1530"/>
      <c r="AH88" s="1530"/>
      <c r="AI88" s="1530"/>
      <c r="AJ88" s="1530"/>
      <c r="AK88" s="1530"/>
      <c r="AL88" s="1530"/>
      <c r="AM88" s="1530"/>
      <c r="AN88" s="1530"/>
      <c r="AO88" s="1530"/>
      <c r="AP88" s="1530"/>
      <c r="AQ88" s="1530"/>
      <c r="AR88" s="1530"/>
      <c r="AS88" s="1530"/>
      <c r="AT88" s="1530"/>
      <c r="AU88" s="1530"/>
      <c r="AV88" s="1530"/>
      <c r="AW88" s="1530"/>
      <c r="AX88" s="1530"/>
      <c r="AY88" s="1530"/>
      <c r="AZ88" s="1530"/>
      <c r="BA88" s="1530"/>
      <c r="BB88" s="1530"/>
      <c r="BC88" s="1530"/>
      <c r="BD88" s="1530"/>
      <c r="BE88" s="1530"/>
      <c r="BF88" s="1530"/>
      <c r="BG88" s="1530"/>
      <c r="BH88" s="1530"/>
      <c r="BI88" s="1530"/>
      <c r="BJ88" s="1530"/>
      <c r="BK88" s="1530"/>
      <c r="BL88" s="1530"/>
      <c r="BM88" s="1530"/>
      <c r="BN88" s="1530"/>
      <c r="BW88" s="1569"/>
      <c r="BX88" s="1530"/>
      <c r="BY88" s="1530"/>
      <c r="BZ88" s="1530"/>
      <c r="CA88" s="1530"/>
      <c r="CB88" s="1530"/>
      <c r="CC88" s="1530"/>
      <c r="CD88" s="1530"/>
      <c r="CE88" s="1530"/>
      <c r="CF88" s="1530"/>
      <c r="CG88" s="1530"/>
      <c r="CH88" s="1530"/>
      <c r="CI88" s="1530"/>
      <c r="CJ88" s="1530"/>
      <c r="CK88" s="1530"/>
      <c r="CL88" s="1530"/>
      <c r="CM88" s="1530"/>
      <c r="CN88" s="1570"/>
      <c r="CO88" s="1530"/>
      <c r="CP88" s="1530"/>
      <c r="CQ88" s="1530"/>
      <c r="CR88" s="1530"/>
      <c r="CS88" s="1530"/>
      <c r="CT88" s="1530"/>
      <c r="CU88" s="1530"/>
      <c r="CV88" s="1530"/>
      <c r="CW88" s="1530"/>
      <c r="CX88" s="1530"/>
      <c r="CY88" s="1530"/>
      <c r="CZ88" s="1530"/>
      <c r="DA88" s="1530"/>
      <c r="DB88" s="1530"/>
      <c r="DC88" s="1530"/>
      <c r="DD88" s="1530"/>
      <c r="DE88" s="1530"/>
      <c r="DF88" s="1530"/>
      <c r="DG88" s="1530"/>
      <c r="DH88" s="1530"/>
      <c r="DI88" s="1530"/>
      <c r="DJ88" s="1530"/>
      <c r="DK88" s="1530"/>
      <c r="DL88" s="1530"/>
      <c r="DM88" s="1530"/>
      <c r="DN88" s="1571"/>
      <c r="DO88" s="1530"/>
      <c r="DP88" s="1530"/>
    </row>
    <row r="89" spans="1:120">
      <c r="A89" s="1451"/>
      <c r="C89" s="1451"/>
      <c r="K89" s="1451"/>
      <c r="L89" s="1451"/>
      <c r="U89" s="1530"/>
      <c r="V89" s="1530"/>
      <c r="W89" s="1530"/>
      <c r="X89" s="1530"/>
      <c r="Y89" s="1530"/>
      <c r="Z89" s="1530"/>
      <c r="AA89" s="1530"/>
      <c r="AB89" s="1530"/>
      <c r="AC89" s="1530"/>
      <c r="AD89" s="1530"/>
      <c r="AE89" s="1530"/>
      <c r="AF89" s="1530"/>
      <c r="AG89" s="1530"/>
      <c r="AH89" s="1530"/>
      <c r="AI89" s="1530"/>
      <c r="AJ89" s="1530"/>
      <c r="AK89" s="1530"/>
      <c r="AL89" s="1530"/>
      <c r="AM89" s="1530"/>
      <c r="AN89" s="1530"/>
      <c r="AO89" s="1530"/>
      <c r="AP89" s="1530"/>
      <c r="AQ89" s="1530"/>
      <c r="AR89" s="1530"/>
      <c r="AS89" s="1530"/>
      <c r="AT89" s="1530"/>
      <c r="AU89" s="1530"/>
      <c r="AV89" s="1530"/>
      <c r="AW89" s="1530"/>
      <c r="AX89" s="1530"/>
      <c r="AY89" s="1530"/>
      <c r="AZ89" s="1530"/>
      <c r="BA89" s="1530"/>
      <c r="BB89" s="1530"/>
      <c r="BC89" s="1530"/>
      <c r="BD89" s="1530"/>
      <c r="BE89" s="1530"/>
      <c r="BF89" s="1530"/>
      <c r="BG89" s="1530"/>
      <c r="BH89" s="1530"/>
      <c r="BI89" s="1530"/>
      <c r="BJ89" s="1530"/>
      <c r="BK89" s="1530"/>
      <c r="BL89" s="1530"/>
      <c r="BM89" s="1530"/>
      <c r="BN89" s="1530"/>
      <c r="BW89" s="1569"/>
      <c r="BX89" s="1530"/>
      <c r="BY89" s="1530"/>
      <c r="BZ89" s="1530"/>
      <c r="CA89" s="1530"/>
      <c r="CB89" s="1530"/>
      <c r="CC89" s="1530"/>
      <c r="CD89" s="1530"/>
      <c r="CE89" s="1530"/>
      <c r="CF89" s="1530"/>
      <c r="CG89" s="1530"/>
      <c r="CH89" s="1530"/>
      <c r="CI89" s="1530"/>
      <c r="CJ89" s="1530"/>
      <c r="CK89" s="1530"/>
      <c r="CL89" s="1530"/>
      <c r="CM89" s="1530"/>
      <c r="CN89" s="1570"/>
      <c r="CO89" s="1530"/>
      <c r="CP89" s="1530"/>
      <c r="CQ89" s="1530"/>
      <c r="CR89" s="1530"/>
      <c r="CS89" s="1530"/>
      <c r="CT89" s="1530"/>
      <c r="CU89" s="1530"/>
      <c r="CV89" s="1530"/>
      <c r="CW89" s="1530"/>
      <c r="CX89" s="1530"/>
      <c r="CY89" s="1530"/>
      <c r="CZ89" s="1530"/>
      <c r="DA89" s="1530"/>
      <c r="DB89" s="1530"/>
      <c r="DC89" s="1530"/>
      <c r="DD89" s="1530"/>
      <c r="DE89" s="1530"/>
      <c r="DF89" s="1530"/>
      <c r="DG89" s="1530"/>
      <c r="DH89" s="1530"/>
      <c r="DI89" s="1530"/>
      <c r="DJ89" s="1530"/>
      <c r="DK89" s="1530"/>
      <c r="DL89" s="1530"/>
      <c r="DM89" s="1530"/>
      <c r="DN89" s="1571"/>
      <c r="DO89" s="1530"/>
      <c r="DP89" s="1530"/>
    </row>
    <row r="90" spans="1:120">
      <c r="A90" s="1451"/>
      <c r="C90" s="1451"/>
      <c r="K90" s="1451"/>
      <c r="L90" s="1451"/>
      <c r="U90" s="1530"/>
      <c r="V90" s="1530"/>
      <c r="W90" s="1530"/>
      <c r="X90" s="1530"/>
      <c r="Y90" s="1530"/>
      <c r="Z90" s="1530"/>
      <c r="AA90" s="1530"/>
      <c r="AB90" s="1530"/>
      <c r="AC90" s="1530"/>
      <c r="AD90" s="1530"/>
      <c r="AE90" s="1530"/>
      <c r="AF90" s="1530"/>
      <c r="AG90" s="1530"/>
      <c r="AH90" s="1530"/>
      <c r="AI90" s="1530"/>
      <c r="AJ90" s="1530"/>
      <c r="AK90" s="1530"/>
      <c r="AL90" s="1530"/>
      <c r="AM90" s="1530"/>
      <c r="AN90" s="1530"/>
      <c r="AO90" s="1530"/>
      <c r="AP90" s="1530"/>
      <c r="AQ90" s="1530"/>
      <c r="AR90" s="1530"/>
      <c r="AS90" s="1530"/>
      <c r="AT90" s="1530"/>
      <c r="AU90" s="1530"/>
      <c r="AV90" s="1530"/>
      <c r="AW90" s="1530"/>
      <c r="AX90" s="1530"/>
      <c r="AY90" s="1530"/>
      <c r="AZ90" s="1530"/>
      <c r="BA90" s="1530"/>
      <c r="BB90" s="1530"/>
      <c r="BC90" s="1530"/>
      <c r="BD90" s="1530"/>
      <c r="BE90" s="1530"/>
      <c r="BF90" s="1530"/>
      <c r="BG90" s="1530"/>
      <c r="BH90" s="1530"/>
      <c r="BI90" s="1530"/>
      <c r="BJ90" s="1530"/>
      <c r="BK90" s="1530"/>
      <c r="BL90" s="1530"/>
      <c r="BM90" s="1530"/>
      <c r="BN90" s="1530"/>
      <c r="BW90" s="1569"/>
      <c r="BX90" s="1530"/>
      <c r="BY90" s="1530"/>
      <c r="BZ90" s="1530"/>
      <c r="CA90" s="1530"/>
      <c r="CB90" s="1530"/>
      <c r="CC90" s="1530"/>
      <c r="CD90" s="1530"/>
      <c r="CE90" s="1530"/>
      <c r="CF90" s="1530"/>
      <c r="CG90" s="1530"/>
      <c r="CH90" s="1530"/>
      <c r="CI90" s="1530"/>
      <c r="CJ90" s="1530"/>
      <c r="CK90" s="1530"/>
      <c r="CL90" s="1530"/>
      <c r="CM90" s="1530"/>
      <c r="CN90" s="1570"/>
      <c r="CO90" s="1530"/>
      <c r="CP90" s="1530"/>
      <c r="CQ90" s="1530"/>
      <c r="CR90" s="1530"/>
      <c r="CS90" s="1530"/>
      <c r="CT90" s="1530"/>
      <c r="CU90" s="1530"/>
      <c r="CV90" s="1530"/>
      <c r="CW90" s="1530"/>
      <c r="CX90" s="1530"/>
      <c r="CY90" s="1530"/>
      <c r="CZ90" s="1530"/>
      <c r="DA90" s="1530"/>
      <c r="DB90" s="1530"/>
      <c r="DC90" s="1530"/>
      <c r="DD90" s="1530"/>
      <c r="DE90" s="1530"/>
      <c r="DF90" s="1530"/>
      <c r="DG90" s="1530"/>
      <c r="DH90" s="1530"/>
      <c r="DI90" s="1530"/>
      <c r="DJ90" s="1530"/>
      <c r="DK90" s="1530"/>
      <c r="DL90" s="1530"/>
      <c r="DM90" s="1530"/>
      <c r="DN90" s="1571"/>
      <c r="DO90" s="1530"/>
      <c r="DP90" s="1530"/>
    </row>
    <row r="91" spans="1:120">
      <c r="A91" s="1451"/>
      <c r="C91" s="1451"/>
      <c r="K91" s="1451"/>
      <c r="L91" s="1451"/>
      <c r="U91" s="1530"/>
      <c r="V91" s="1530"/>
      <c r="W91" s="1530"/>
      <c r="X91" s="1530"/>
      <c r="Y91" s="1530"/>
      <c r="Z91" s="1530"/>
      <c r="AA91" s="1530"/>
      <c r="AB91" s="1530"/>
      <c r="AC91" s="1530"/>
      <c r="AD91" s="1530"/>
      <c r="AE91" s="1530"/>
      <c r="AF91" s="1530"/>
      <c r="AG91" s="1530"/>
      <c r="AH91" s="1530"/>
      <c r="AI91" s="1530"/>
      <c r="AJ91" s="1530"/>
      <c r="AK91" s="1530"/>
      <c r="AL91" s="1530"/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530"/>
      <c r="AW91" s="1530"/>
      <c r="AX91" s="1530"/>
      <c r="AY91" s="1530"/>
      <c r="AZ91" s="1530"/>
      <c r="BA91" s="1530"/>
      <c r="BB91" s="1530"/>
      <c r="BC91" s="1530"/>
      <c r="BD91" s="1530"/>
      <c r="BE91" s="1530"/>
      <c r="BF91" s="1530"/>
      <c r="BG91" s="1530"/>
      <c r="BH91" s="1530"/>
      <c r="BI91" s="1530"/>
      <c r="BJ91" s="1530"/>
      <c r="BK91" s="1530"/>
      <c r="BL91" s="1530"/>
      <c r="BM91" s="1530"/>
      <c r="BN91" s="1530"/>
      <c r="BW91" s="1569"/>
      <c r="BX91" s="1530"/>
      <c r="BY91" s="1530"/>
      <c r="BZ91" s="1530"/>
      <c r="CA91" s="1530"/>
      <c r="CB91" s="1530"/>
      <c r="CC91" s="1530"/>
      <c r="CD91" s="1530"/>
      <c r="CE91" s="1530"/>
      <c r="CF91" s="1530"/>
      <c r="CG91" s="1530"/>
      <c r="CH91" s="1530"/>
      <c r="CI91" s="1530"/>
      <c r="CJ91" s="1530"/>
      <c r="CK91" s="1530"/>
      <c r="CL91" s="1530"/>
      <c r="CM91" s="1530"/>
      <c r="CN91" s="1570"/>
      <c r="CO91" s="1530"/>
      <c r="CP91" s="1530"/>
      <c r="CQ91" s="1530"/>
      <c r="CR91" s="1530"/>
      <c r="CS91" s="1530"/>
      <c r="CT91" s="1530"/>
      <c r="CU91" s="1530"/>
      <c r="CV91" s="1530"/>
      <c r="CW91" s="1530"/>
      <c r="CX91" s="1530"/>
      <c r="CY91" s="1530"/>
      <c r="CZ91" s="1530"/>
      <c r="DA91" s="1530"/>
      <c r="DB91" s="1530"/>
      <c r="DC91" s="1530"/>
      <c r="DD91" s="1530"/>
      <c r="DE91" s="1530"/>
      <c r="DF91" s="1530"/>
      <c r="DG91" s="1530"/>
      <c r="DH91" s="1530"/>
      <c r="DI91" s="1530"/>
      <c r="DJ91" s="1530"/>
      <c r="DK91" s="1530"/>
      <c r="DL91" s="1530"/>
      <c r="DM91" s="1530"/>
      <c r="DN91" s="1571"/>
      <c r="DO91" s="1530"/>
      <c r="DP91" s="1530"/>
    </row>
    <row r="92" spans="1:120">
      <c r="A92" s="1451"/>
      <c r="C92" s="1451"/>
      <c r="K92" s="1451"/>
      <c r="L92" s="1451"/>
      <c r="U92" s="1530"/>
      <c r="V92" s="1530"/>
      <c r="W92" s="1530"/>
      <c r="X92" s="1530"/>
      <c r="Y92" s="1530"/>
      <c r="Z92" s="1530"/>
      <c r="AA92" s="1530"/>
      <c r="AB92" s="1530"/>
      <c r="AC92" s="1530"/>
      <c r="AD92" s="1530"/>
      <c r="AE92" s="1530"/>
      <c r="AF92" s="1530"/>
      <c r="AG92" s="1530"/>
      <c r="AH92" s="1530"/>
      <c r="AI92" s="1530"/>
      <c r="AJ92" s="1530"/>
      <c r="AK92" s="1530"/>
      <c r="AL92" s="1530"/>
      <c r="AM92" s="1530"/>
      <c r="AN92" s="1530"/>
      <c r="AO92" s="1530"/>
      <c r="AP92" s="1530"/>
      <c r="AQ92" s="1530"/>
      <c r="AR92" s="1530"/>
      <c r="AS92" s="1530"/>
      <c r="AT92" s="1530"/>
      <c r="AU92" s="1530"/>
      <c r="AV92" s="1530"/>
      <c r="AW92" s="1530"/>
      <c r="AX92" s="1530"/>
      <c r="AY92" s="1530"/>
      <c r="AZ92" s="1530"/>
      <c r="BA92" s="1530"/>
      <c r="BB92" s="1530"/>
      <c r="BC92" s="1530"/>
      <c r="BD92" s="1530"/>
      <c r="BE92" s="1530"/>
      <c r="BF92" s="1530"/>
      <c r="BG92" s="1530"/>
      <c r="BH92" s="1530"/>
      <c r="BI92" s="1530"/>
      <c r="BJ92" s="1530"/>
      <c r="BK92" s="1530"/>
      <c r="BL92" s="1530"/>
      <c r="BM92" s="1530"/>
      <c r="BN92" s="1530"/>
      <c r="BW92" s="1569"/>
      <c r="BX92" s="1530"/>
      <c r="BY92" s="1530"/>
      <c r="BZ92" s="1530"/>
      <c r="CA92" s="1530"/>
      <c r="CB92" s="1530"/>
      <c r="CC92" s="1530"/>
      <c r="CD92" s="1530"/>
      <c r="CE92" s="1530"/>
      <c r="CF92" s="1530"/>
      <c r="CG92" s="1530"/>
      <c r="CH92" s="1530"/>
      <c r="CI92" s="1530"/>
      <c r="CJ92" s="1530"/>
      <c r="CK92" s="1530"/>
      <c r="CL92" s="1530"/>
      <c r="CM92" s="1530"/>
      <c r="CN92" s="1570"/>
      <c r="CO92" s="1530"/>
      <c r="CP92" s="1530"/>
      <c r="CQ92" s="1530"/>
      <c r="CR92" s="1530"/>
      <c r="CS92" s="1530"/>
      <c r="CT92" s="1530"/>
      <c r="CU92" s="1530"/>
      <c r="CV92" s="1530"/>
      <c r="CW92" s="1530"/>
      <c r="CX92" s="1530"/>
      <c r="CY92" s="1530"/>
      <c r="CZ92" s="1530"/>
      <c r="DA92" s="1530"/>
      <c r="DB92" s="1530"/>
      <c r="DC92" s="1530"/>
      <c r="DD92" s="1530"/>
      <c r="DE92" s="1530"/>
      <c r="DF92" s="1530"/>
      <c r="DG92" s="1530"/>
      <c r="DH92" s="1530"/>
      <c r="DI92" s="1530"/>
      <c r="DJ92" s="1530"/>
      <c r="DK92" s="1530"/>
      <c r="DL92" s="1530"/>
      <c r="DM92" s="1530"/>
      <c r="DN92" s="1571"/>
      <c r="DO92" s="1530"/>
      <c r="DP92" s="1530"/>
    </row>
    <row r="93" spans="1:120">
      <c r="A93" s="1451"/>
      <c r="C93" s="1451"/>
      <c r="K93" s="1451"/>
      <c r="L93" s="1451"/>
      <c r="U93" s="1530"/>
      <c r="V93" s="1530"/>
      <c r="W93" s="1530"/>
      <c r="X93" s="1530"/>
      <c r="Y93" s="1530"/>
      <c r="Z93" s="1530"/>
      <c r="AA93" s="1530"/>
      <c r="AB93" s="1530"/>
      <c r="AC93" s="1530"/>
      <c r="AD93" s="1530"/>
      <c r="AE93" s="1530"/>
      <c r="AF93" s="1530"/>
      <c r="AG93" s="1530"/>
      <c r="AH93" s="1530"/>
      <c r="AI93" s="1530"/>
      <c r="AJ93" s="1530"/>
      <c r="AK93" s="1530"/>
      <c r="AL93" s="1530"/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530"/>
      <c r="AW93" s="1530"/>
      <c r="AX93" s="1530"/>
      <c r="AY93" s="1530"/>
      <c r="AZ93" s="1530"/>
      <c r="BA93" s="1530"/>
      <c r="BB93" s="1530"/>
      <c r="BC93" s="1530"/>
      <c r="BD93" s="1530"/>
      <c r="BE93" s="1530"/>
      <c r="BF93" s="1530"/>
      <c r="BG93" s="1530"/>
      <c r="BH93" s="1530"/>
      <c r="BI93" s="1530"/>
      <c r="BJ93" s="1530"/>
      <c r="BK93" s="1530"/>
      <c r="BL93" s="1530"/>
      <c r="BM93" s="1530"/>
      <c r="BN93" s="1530"/>
      <c r="BW93" s="1569"/>
      <c r="BX93" s="1530"/>
      <c r="BY93" s="1530"/>
      <c r="BZ93" s="1530"/>
      <c r="CA93" s="1530"/>
      <c r="CB93" s="1530"/>
      <c r="CC93" s="1530"/>
      <c r="CD93" s="1530"/>
      <c r="CE93" s="1530"/>
      <c r="CF93" s="1530"/>
      <c r="CG93" s="1530"/>
      <c r="CH93" s="1530"/>
      <c r="CI93" s="1530"/>
      <c r="CJ93" s="1530"/>
      <c r="CK93" s="1530"/>
      <c r="CL93" s="1530"/>
      <c r="CM93" s="1530"/>
      <c r="CN93" s="1570"/>
      <c r="CO93" s="1530"/>
      <c r="CP93" s="1530"/>
      <c r="CQ93" s="1530"/>
      <c r="CR93" s="1530"/>
      <c r="CS93" s="1530"/>
      <c r="CT93" s="1530"/>
      <c r="CU93" s="1530"/>
      <c r="CV93" s="1530"/>
      <c r="CW93" s="1530"/>
      <c r="CX93" s="1530"/>
      <c r="CY93" s="1530"/>
      <c r="CZ93" s="1530"/>
      <c r="DA93" s="1530"/>
      <c r="DB93" s="1530"/>
      <c r="DC93" s="1530"/>
      <c r="DD93" s="1530"/>
      <c r="DE93" s="1530"/>
      <c r="DF93" s="1530"/>
      <c r="DG93" s="1530"/>
      <c r="DH93" s="1530"/>
      <c r="DI93" s="1530"/>
      <c r="DJ93" s="1530"/>
      <c r="DK93" s="1530"/>
      <c r="DL93" s="1530"/>
      <c r="DM93" s="1530"/>
      <c r="DN93" s="1571"/>
      <c r="DO93" s="1530"/>
      <c r="DP93" s="1530"/>
    </row>
    <row r="94" spans="1:120">
      <c r="A94" s="1451"/>
      <c r="C94" s="1451"/>
      <c r="K94" s="1451"/>
      <c r="L94" s="1451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530"/>
      <c r="AI94" s="1530"/>
      <c r="AJ94" s="1530"/>
      <c r="AK94" s="1530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530"/>
      <c r="BB94" s="1530"/>
      <c r="BC94" s="1530"/>
      <c r="BD94" s="1530"/>
      <c r="BE94" s="1530"/>
      <c r="BF94" s="1530"/>
      <c r="BG94" s="1530"/>
      <c r="BH94" s="1530"/>
      <c r="BI94" s="1530"/>
      <c r="BJ94" s="1530"/>
      <c r="BK94" s="1530"/>
      <c r="BL94" s="1530"/>
      <c r="BM94" s="1530"/>
      <c r="BN94" s="1530"/>
      <c r="BW94" s="1569"/>
      <c r="BX94" s="1530"/>
      <c r="BY94" s="1530"/>
      <c r="BZ94" s="1530"/>
      <c r="CA94" s="1530"/>
      <c r="CB94" s="1530"/>
      <c r="CC94" s="1530"/>
      <c r="CD94" s="1530"/>
      <c r="CE94" s="1530"/>
      <c r="CF94" s="1530"/>
      <c r="CG94" s="1530"/>
      <c r="CH94" s="1530"/>
      <c r="CI94" s="1530"/>
      <c r="CJ94" s="1530"/>
      <c r="CK94" s="1530"/>
      <c r="CL94" s="1530"/>
      <c r="CM94" s="1530"/>
      <c r="CN94" s="1570"/>
      <c r="CO94" s="1530"/>
      <c r="CP94" s="1530"/>
      <c r="CQ94" s="1530"/>
      <c r="CR94" s="1530"/>
      <c r="CS94" s="1530"/>
      <c r="CT94" s="1530"/>
      <c r="CU94" s="1530"/>
      <c r="CV94" s="1530"/>
      <c r="CW94" s="1530"/>
      <c r="CX94" s="1530"/>
      <c r="CY94" s="1530"/>
      <c r="CZ94" s="1530"/>
      <c r="DA94" s="1530"/>
      <c r="DB94" s="1530"/>
      <c r="DC94" s="1530"/>
      <c r="DD94" s="1530"/>
      <c r="DE94" s="1530"/>
      <c r="DF94" s="1530"/>
      <c r="DG94" s="1530"/>
      <c r="DH94" s="1530"/>
      <c r="DI94" s="1530"/>
      <c r="DJ94" s="1530"/>
      <c r="DK94" s="1530"/>
      <c r="DL94" s="1530"/>
      <c r="DM94" s="1530"/>
      <c r="DN94" s="1571"/>
      <c r="DO94" s="1530"/>
      <c r="DP94" s="1530"/>
    </row>
    <row r="95" spans="1:120">
      <c r="A95" s="1451"/>
      <c r="C95" s="1451"/>
      <c r="K95" s="1451"/>
      <c r="L95" s="1451"/>
      <c r="U95" s="1530"/>
      <c r="V95" s="1530"/>
      <c r="W95" s="1530"/>
      <c r="X95" s="1530"/>
      <c r="Y95" s="1530"/>
      <c r="Z95" s="1530"/>
      <c r="AA95" s="1530"/>
      <c r="AB95" s="1530"/>
      <c r="AC95" s="1530"/>
      <c r="AD95" s="1530"/>
      <c r="AE95" s="1530"/>
      <c r="AF95" s="1530"/>
      <c r="AG95" s="1530"/>
      <c r="AH95" s="1530"/>
      <c r="AI95" s="1530"/>
      <c r="AJ95" s="1530"/>
      <c r="AK95" s="1530"/>
      <c r="AL95" s="1530"/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530"/>
      <c r="AW95" s="1530"/>
      <c r="AX95" s="1530"/>
      <c r="AY95" s="1530"/>
      <c r="AZ95" s="1530"/>
      <c r="BA95" s="1530"/>
      <c r="BB95" s="1530"/>
      <c r="BC95" s="1530"/>
      <c r="BD95" s="1530"/>
      <c r="BE95" s="1530"/>
      <c r="BF95" s="1530"/>
      <c r="BG95" s="1530"/>
      <c r="BH95" s="1530"/>
      <c r="BI95" s="1530"/>
      <c r="BJ95" s="1530"/>
      <c r="BK95" s="1530"/>
      <c r="BL95" s="1530"/>
      <c r="BM95" s="1530"/>
      <c r="BN95" s="1530"/>
      <c r="BW95" s="1569"/>
      <c r="BX95" s="1530"/>
      <c r="BY95" s="1530"/>
      <c r="BZ95" s="1530"/>
      <c r="CA95" s="1530"/>
      <c r="CB95" s="1530"/>
      <c r="CC95" s="1530"/>
      <c r="CD95" s="1530"/>
      <c r="CE95" s="1530"/>
      <c r="CF95" s="1530"/>
      <c r="CG95" s="1530"/>
      <c r="CH95" s="1530"/>
      <c r="CI95" s="1530"/>
      <c r="CJ95" s="1530"/>
      <c r="CK95" s="1530"/>
      <c r="CL95" s="1530"/>
      <c r="CM95" s="1530"/>
      <c r="CN95" s="1570"/>
      <c r="CO95" s="1530"/>
      <c r="CP95" s="1530"/>
      <c r="CQ95" s="1530"/>
      <c r="CR95" s="1530"/>
      <c r="CS95" s="1530"/>
      <c r="CT95" s="1530"/>
      <c r="CU95" s="1530"/>
      <c r="CV95" s="1530"/>
      <c r="CW95" s="1530"/>
      <c r="CX95" s="1530"/>
      <c r="CY95" s="1530"/>
      <c r="CZ95" s="1530"/>
      <c r="DA95" s="1530"/>
      <c r="DB95" s="1530"/>
      <c r="DC95" s="1530"/>
      <c r="DD95" s="1530"/>
      <c r="DE95" s="1530"/>
      <c r="DF95" s="1530"/>
      <c r="DG95" s="1530"/>
      <c r="DH95" s="1530"/>
      <c r="DI95" s="1530"/>
      <c r="DJ95" s="1530"/>
      <c r="DK95" s="1530"/>
      <c r="DL95" s="1530"/>
      <c r="DM95" s="1530"/>
      <c r="DN95" s="1571"/>
      <c r="DO95" s="1530"/>
      <c r="DP95" s="1530"/>
    </row>
    <row r="96" spans="1:120">
      <c r="A96" s="1451"/>
      <c r="C96" s="1451"/>
      <c r="K96" s="1451"/>
      <c r="L96" s="1451"/>
      <c r="U96" s="1530"/>
      <c r="V96" s="1530"/>
      <c r="W96" s="1530"/>
      <c r="X96" s="1530"/>
      <c r="Y96" s="1530"/>
      <c r="Z96" s="1530"/>
      <c r="AA96" s="1530"/>
      <c r="AB96" s="1530"/>
      <c r="AC96" s="1530"/>
      <c r="AD96" s="1530"/>
      <c r="AE96" s="1530"/>
      <c r="AF96" s="1530"/>
      <c r="AG96" s="1530"/>
      <c r="AH96" s="1530"/>
      <c r="AI96" s="1530"/>
      <c r="AJ96" s="1530"/>
      <c r="AK96" s="1530"/>
      <c r="AL96" s="1530"/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30"/>
      <c r="AW96" s="1530"/>
      <c r="AX96" s="1530"/>
      <c r="AY96" s="1530"/>
      <c r="AZ96" s="1530"/>
      <c r="BA96" s="1530"/>
      <c r="BB96" s="1530"/>
      <c r="BC96" s="1530"/>
      <c r="BD96" s="1530"/>
      <c r="BE96" s="1530"/>
      <c r="BF96" s="1530"/>
      <c r="BG96" s="1530"/>
      <c r="BH96" s="1530"/>
      <c r="BI96" s="1530"/>
      <c r="BJ96" s="1530"/>
      <c r="BK96" s="1530"/>
      <c r="BL96" s="1530"/>
      <c r="BM96" s="1530"/>
      <c r="BN96" s="1530"/>
      <c r="BW96" s="1569"/>
      <c r="BX96" s="1530"/>
      <c r="BY96" s="1530"/>
      <c r="BZ96" s="1530"/>
      <c r="CA96" s="1530"/>
      <c r="CB96" s="1530"/>
      <c r="CC96" s="1530"/>
      <c r="CD96" s="1530"/>
      <c r="CE96" s="1530"/>
      <c r="CF96" s="1530"/>
      <c r="CG96" s="1530"/>
      <c r="CH96" s="1530"/>
      <c r="CI96" s="1530"/>
      <c r="CJ96" s="1530"/>
      <c r="CK96" s="1530"/>
      <c r="CL96" s="1530"/>
      <c r="CM96" s="1530"/>
      <c r="CN96" s="1570"/>
      <c r="CO96" s="1530"/>
      <c r="CP96" s="1530"/>
      <c r="CQ96" s="1530"/>
      <c r="CR96" s="1530"/>
      <c r="CS96" s="1530"/>
      <c r="CT96" s="1530"/>
      <c r="CU96" s="1530"/>
      <c r="CV96" s="1530"/>
      <c r="CW96" s="1530"/>
      <c r="CX96" s="1530"/>
      <c r="CY96" s="1530"/>
      <c r="CZ96" s="1530"/>
      <c r="DA96" s="1530"/>
      <c r="DB96" s="1530"/>
      <c r="DC96" s="1530"/>
      <c r="DD96" s="1530"/>
      <c r="DE96" s="1530"/>
      <c r="DF96" s="1530"/>
      <c r="DG96" s="1530"/>
      <c r="DH96" s="1530"/>
      <c r="DI96" s="1530"/>
      <c r="DJ96" s="1530"/>
      <c r="DK96" s="1530"/>
      <c r="DL96" s="1530"/>
      <c r="DM96" s="1530"/>
      <c r="DN96" s="1571"/>
      <c r="DO96" s="1530"/>
      <c r="DP96" s="1530"/>
    </row>
    <row r="97" spans="1:120">
      <c r="A97" s="1451"/>
      <c r="C97" s="1451"/>
      <c r="K97" s="1451"/>
      <c r="L97" s="1451"/>
      <c r="U97" s="1530"/>
      <c r="V97" s="1530"/>
      <c r="W97" s="1530"/>
      <c r="X97" s="1530"/>
      <c r="Y97" s="1530"/>
      <c r="Z97" s="1530"/>
      <c r="AA97" s="1530"/>
      <c r="AB97" s="1530"/>
      <c r="AC97" s="1530"/>
      <c r="AD97" s="1530"/>
      <c r="AE97" s="1530"/>
      <c r="AF97" s="1530"/>
      <c r="AG97" s="1530"/>
      <c r="AH97" s="1530"/>
      <c r="AI97" s="1530"/>
      <c r="AJ97" s="1530"/>
      <c r="AK97" s="1530"/>
      <c r="AL97" s="1530"/>
      <c r="AM97" s="1530"/>
      <c r="AN97" s="1530"/>
      <c r="AO97" s="1530"/>
      <c r="AP97" s="1530"/>
      <c r="AQ97" s="1530"/>
      <c r="AR97" s="1530"/>
      <c r="AS97" s="1530"/>
      <c r="AT97" s="1530"/>
      <c r="AU97" s="1530"/>
      <c r="AV97" s="1530"/>
      <c r="AW97" s="1530"/>
      <c r="AX97" s="1530"/>
      <c r="AY97" s="1530"/>
      <c r="AZ97" s="1530"/>
      <c r="BA97" s="1530"/>
      <c r="BB97" s="1530"/>
      <c r="BC97" s="1530"/>
      <c r="BD97" s="1530"/>
      <c r="BE97" s="1530"/>
      <c r="BF97" s="1530"/>
      <c r="BG97" s="1530"/>
      <c r="BH97" s="1530"/>
      <c r="BI97" s="1530"/>
      <c r="BJ97" s="1530"/>
      <c r="BK97" s="1530"/>
      <c r="BL97" s="1530"/>
      <c r="BM97" s="1530"/>
      <c r="BN97" s="1530"/>
      <c r="BW97" s="1569"/>
      <c r="BX97" s="1530"/>
      <c r="BY97" s="1530"/>
      <c r="BZ97" s="1530"/>
      <c r="CA97" s="1530"/>
      <c r="CB97" s="1530"/>
      <c r="CC97" s="1530"/>
      <c r="CD97" s="1530"/>
      <c r="CE97" s="1530"/>
      <c r="CF97" s="1530"/>
      <c r="CG97" s="1530"/>
      <c r="CH97" s="1530"/>
      <c r="CI97" s="1530"/>
      <c r="CJ97" s="1530"/>
      <c r="CK97" s="1530"/>
      <c r="CL97" s="1530"/>
      <c r="CM97" s="1530"/>
      <c r="CN97" s="1570"/>
      <c r="CO97" s="1530"/>
      <c r="CP97" s="1530"/>
      <c r="CQ97" s="1530"/>
      <c r="CR97" s="1530"/>
      <c r="CS97" s="1530"/>
      <c r="CT97" s="1530"/>
      <c r="CU97" s="1530"/>
      <c r="CV97" s="1530"/>
      <c r="CW97" s="1530"/>
      <c r="CX97" s="1530"/>
      <c r="CY97" s="1530"/>
      <c r="CZ97" s="1530"/>
      <c r="DA97" s="1530"/>
      <c r="DB97" s="1530"/>
      <c r="DC97" s="1530"/>
      <c r="DD97" s="1530"/>
      <c r="DE97" s="1530"/>
      <c r="DF97" s="1530"/>
      <c r="DG97" s="1530"/>
      <c r="DH97" s="1530"/>
      <c r="DI97" s="1530"/>
      <c r="DJ97" s="1530"/>
      <c r="DK97" s="1530"/>
      <c r="DL97" s="1530"/>
      <c r="DM97" s="1530"/>
      <c r="DN97" s="1571"/>
      <c r="DO97" s="1530"/>
      <c r="DP97" s="1530"/>
    </row>
    <row r="98" spans="1:120">
      <c r="A98" s="1451"/>
      <c r="C98" s="1451"/>
      <c r="K98" s="1451"/>
      <c r="L98" s="1451"/>
      <c r="U98" s="1530"/>
      <c r="V98" s="1530"/>
      <c r="W98" s="1530"/>
      <c r="X98" s="1530"/>
      <c r="Y98" s="1530"/>
      <c r="Z98" s="1530"/>
      <c r="AA98" s="1530"/>
      <c r="AB98" s="1530"/>
      <c r="AC98" s="1530"/>
      <c r="AD98" s="1530"/>
      <c r="AE98" s="1530"/>
      <c r="AF98" s="1530"/>
      <c r="AG98" s="1530"/>
      <c r="AH98" s="1530"/>
      <c r="AI98" s="1530"/>
      <c r="AJ98" s="1530"/>
      <c r="AK98" s="1530"/>
      <c r="AL98" s="1530"/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30"/>
      <c r="AW98" s="1530"/>
      <c r="AX98" s="1530"/>
      <c r="AY98" s="1530"/>
      <c r="AZ98" s="1530"/>
      <c r="BA98" s="1530"/>
      <c r="BB98" s="1530"/>
      <c r="BC98" s="1530"/>
      <c r="BD98" s="1530"/>
      <c r="BE98" s="1530"/>
      <c r="BF98" s="1530"/>
      <c r="BG98" s="1530"/>
      <c r="BH98" s="1530"/>
      <c r="BI98" s="1530"/>
      <c r="BJ98" s="1530"/>
      <c r="BK98" s="1530"/>
      <c r="BL98" s="1530"/>
      <c r="BM98" s="1530"/>
      <c r="BN98" s="1530"/>
      <c r="BW98" s="1569"/>
      <c r="BX98" s="1530"/>
      <c r="BY98" s="1530"/>
      <c r="BZ98" s="1530"/>
      <c r="CA98" s="1530"/>
      <c r="CB98" s="1530"/>
      <c r="CC98" s="1530"/>
      <c r="CD98" s="1530"/>
      <c r="CE98" s="1530"/>
      <c r="CF98" s="1530"/>
      <c r="CG98" s="1530"/>
      <c r="CH98" s="1530"/>
      <c r="CI98" s="1530"/>
      <c r="CJ98" s="1530"/>
      <c r="CK98" s="1530"/>
      <c r="CL98" s="1530"/>
      <c r="CM98" s="1530"/>
      <c r="CN98" s="1570"/>
      <c r="CO98" s="1530"/>
      <c r="CP98" s="1530"/>
      <c r="CQ98" s="1530"/>
      <c r="CR98" s="1530"/>
      <c r="CS98" s="1530"/>
      <c r="CT98" s="1530"/>
      <c r="CU98" s="1530"/>
      <c r="CV98" s="1530"/>
      <c r="CW98" s="1530"/>
      <c r="CX98" s="1530"/>
      <c r="CY98" s="1530"/>
      <c r="CZ98" s="1530"/>
      <c r="DA98" s="1530"/>
      <c r="DB98" s="1530"/>
      <c r="DC98" s="1530"/>
      <c r="DD98" s="1530"/>
      <c r="DE98" s="1530"/>
      <c r="DF98" s="1530"/>
      <c r="DG98" s="1530"/>
      <c r="DH98" s="1530"/>
      <c r="DI98" s="1530"/>
      <c r="DJ98" s="1530"/>
      <c r="DK98" s="1530"/>
      <c r="DL98" s="1530"/>
      <c r="DM98" s="1530"/>
      <c r="DN98" s="1571"/>
      <c r="DO98" s="1530"/>
      <c r="DP98" s="1530"/>
    </row>
    <row r="99" spans="1:120">
      <c r="A99" s="1451"/>
      <c r="C99" s="1451"/>
      <c r="K99" s="1451"/>
      <c r="L99" s="1451"/>
      <c r="U99" s="1530"/>
      <c r="V99" s="1530"/>
      <c r="W99" s="1530"/>
      <c r="X99" s="1530"/>
      <c r="Y99" s="1530"/>
      <c r="Z99" s="1530"/>
      <c r="AA99" s="1530"/>
      <c r="AB99" s="1530"/>
      <c r="AC99" s="1530"/>
      <c r="AD99" s="1530"/>
      <c r="AE99" s="1530"/>
      <c r="AF99" s="1530"/>
      <c r="AG99" s="1530"/>
      <c r="AH99" s="1530"/>
      <c r="AI99" s="1530"/>
      <c r="AJ99" s="1530"/>
      <c r="AK99" s="1530"/>
      <c r="AL99" s="1530"/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30"/>
      <c r="AW99" s="1530"/>
      <c r="AX99" s="1530"/>
      <c r="AY99" s="1530"/>
      <c r="AZ99" s="1530"/>
      <c r="BA99" s="1530"/>
      <c r="BB99" s="1530"/>
      <c r="BC99" s="1530"/>
      <c r="BD99" s="1530"/>
      <c r="BE99" s="1530"/>
      <c r="BF99" s="1530"/>
      <c r="BG99" s="1530"/>
      <c r="BH99" s="1530"/>
      <c r="BI99" s="1530"/>
      <c r="BJ99" s="1530"/>
      <c r="BK99" s="1530"/>
      <c r="BL99" s="1530"/>
      <c r="BM99" s="1530"/>
      <c r="BN99" s="1530"/>
      <c r="BW99" s="1569"/>
      <c r="BX99" s="1530"/>
      <c r="BY99" s="1530"/>
      <c r="BZ99" s="1530"/>
      <c r="CA99" s="1530"/>
      <c r="CB99" s="1530"/>
      <c r="CC99" s="1530"/>
      <c r="CD99" s="1530"/>
      <c r="CE99" s="1530"/>
      <c r="CF99" s="1530"/>
      <c r="CG99" s="1530"/>
      <c r="CH99" s="1530"/>
      <c r="CI99" s="1530"/>
      <c r="CJ99" s="1530"/>
      <c r="CK99" s="1530"/>
      <c r="CL99" s="1530"/>
      <c r="CM99" s="1530"/>
      <c r="CN99" s="1570"/>
      <c r="CO99" s="1530"/>
      <c r="CP99" s="1530"/>
      <c r="CQ99" s="1530"/>
      <c r="CR99" s="1530"/>
      <c r="CS99" s="1530"/>
      <c r="CT99" s="1530"/>
      <c r="CU99" s="1530"/>
      <c r="CV99" s="1530"/>
      <c r="CW99" s="1530"/>
      <c r="CX99" s="1530"/>
      <c r="CY99" s="1530"/>
      <c r="CZ99" s="1530"/>
      <c r="DA99" s="1530"/>
      <c r="DB99" s="1530"/>
      <c r="DC99" s="1530"/>
      <c r="DD99" s="1530"/>
      <c r="DE99" s="1530"/>
      <c r="DF99" s="1530"/>
      <c r="DG99" s="1530"/>
      <c r="DH99" s="1530"/>
      <c r="DI99" s="1530"/>
      <c r="DJ99" s="1530"/>
      <c r="DK99" s="1530"/>
      <c r="DL99" s="1530"/>
      <c r="DM99" s="1530"/>
      <c r="DN99" s="1571"/>
      <c r="DO99" s="1530"/>
      <c r="DP99" s="1530"/>
    </row>
    <row r="100" spans="1:120">
      <c r="A100" s="1451"/>
      <c r="C100" s="1451"/>
      <c r="K100" s="1451"/>
      <c r="L100" s="1451"/>
      <c r="U100" s="1530"/>
      <c r="V100" s="1530"/>
      <c r="W100" s="1530"/>
      <c r="X100" s="1530"/>
      <c r="Y100" s="1530"/>
      <c r="Z100" s="1530"/>
      <c r="AA100" s="1530"/>
      <c r="AB100" s="1530"/>
      <c r="AC100" s="1530"/>
      <c r="AD100" s="1530"/>
      <c r="AE100" s="1530"/>
      <c r="AF100" s="1530"/>
      <c r="AG100" s="1530"/>
      <c r="AH100" s="1530"/>
      <c r="AI100" s="1530"/>
      <c r="AJ100" s="1530"/>
      <c r="AK100" s="1530"/>
      <c r="AL100" s="1530"/>
      <c r="AM100" s="1530"/>
      <c r="AN100" s="1530"/>
      <c r="AO100" s="1530"/>
      <c r="AP100" s="1530"/>
      <c r="AQ100" s="1530"/>
      <c r="AR100" s="1530"/>
      <c r="AS100" s="1530"/>
      <c r="AT100" s="1530"/>
      <c r="AU100" s="1530"/>
      <c r="AV100" s="1530"/>
      <c r="AW100" s="1530"/>
      <c r="AX100" s="1530"/>
      <c r="AY100" s="1530"/>
      <c r="AZ100" s="1530"/>
      <c r="BA100" s="1530"/>
      <c r="BB100" s="1530"/>
      <c r="BC100" s="1530"/>
      <c r="BD100" s="1530"/>
      <c r="BE100" s="1530"/>
      <c r="BF100" s="1530"/>
      <c r="BG100" s="1530"/>
      <c r="BH100" s="1530"/>
      <c r="BI100" s="1530"/>
      <c r="BJ100" s="1530"/>
      <c r="BK100" s="1530"/>
      <c r="BL100" s="1530"/>
      <c r="BM100" s="1530"/>
      <c r="BN100" s="1530"/>
      <c r="BW100" s="1569"/>
      <c r="BX100" s="1530"/>
      <c r="BY100" s="1530"/>
      <c r="BZ100" s="1530"/>
      <c r="CA100" s="1530"/>
      <c r="CB100" s="1530"/>
      <c r="CC100" s="1530"/>
      <c r="CD100" s="1530"/>
      <c r="CE100" s="1530"/>
      <c r="CF100" s="1530"/>
      <c r="CG100" s="1530"/>
      <c r="CH100" s="1530"/>
      <c r="CI100" s="1530"/>
      <c r="CJ100" s="1530"/>
      <c r="CK100" s="1530"/>
      <c r="CL100" s="1530"/>
      <c r="CM100" s="1530"/>
      <c r="CN100" s="1570"/>
      <c r="CO100" s="1530"/>
      <c r="CP100" s="1530"/>
      <c r="CQ100" s="1530"/>
      <c r="CR100" s="1530"/>
      <c r="CS100" s="1530"/>
      <c r="CT100" s="1530"/>
      <c r="CU100" s="1530"/>
      <c r="CV100" s="1530"/>
      <c r="CW100" s="1530"/>
      <c r="CX100" s="1530"/>
      <c r="CY100" s="1530"/>
      <c r="CZ100" s="1530"/>
      <c r="DA100" s="1530"/>
      <c r="DB100" s="1530"/>
      <c r="DC100" s="1530"/>
      <c r="DD100" s="1530"/>
      <c r="DE100" s="1530"/>
      <c r="DF100" s="1530"/>
      <c r="DG100" s="1530"/>
      <c r="DH100" s="1530"/>
      <c r="DI100" s="1530"/>
      <c r="DJ100" s="1530"/>
      <c r="DK100" s="1530"/>
      <c r="DL100" s="1530"/>
      <c r="DM100" s="1530"/>
      <c r="DN100" s="1571"/>
      <c r="DO100" s="1530"/>
      <c r="DP100" s="1530"/>
    </row>
    <row r="101" spans="1:120">
      <c r="A101" s="1451"/>
      <c r="C101" s="1451"/>
      <c r="K101" s="1451"/>
      <c r="L101" s="1451"/>
      <c r="U101" s="1530"/>
      <c r="V101" s="1530"/>
      <c r="W101" s="1530"/>
      <c r="X101" s="1530"/>
      <c r="Y101" s="1530"/>
      <c r="Z101" s="1530"/>
      <c r="AA101" s="1530"/>
      <c r="AB101" s="1530"/>
      <c r="AC101" s="1530"/>
      <c r="AD101" s="1530"/>
      <c r="AE101" s="1530"/>
      <c r="AF101" s="1530"/>
      <c r="AG101" s="1530"/>
      <c r="AH101" s="1530"/>
      <c r="AI101" s="1530"/>
      <c r="AJ101" s="1530"/>
      <c r="AK101" s="1530"/>
      <c r="AL101" s="1530"/>
      <c r="AM101" s="1530"/>
      <c r="AN101" s="1530"/>
      <c r="AO101" s="1530"/>
      <c r="AP101" s="1530"/>
      <c r="AQ101" s="1530"/>
      <c r="AR101" s="1530"/>
      <c r="AS101" s="1530"/>
      <c r="AT101" s="1530"/>
      <c r="AU101" s="1530"/>
      <c r="AV101" s="1530"/>
      <c r="AW101" s="1530"/>
      <c r="AX101" s="1530"/>
      <c r="AY101" s="1530"/>
      <c r="AZ101" s="1530"/>
      <c r="BA101" s="1530"/>
      <c r="BB101" s="1530"/>
      <c r="BC101" s="1530"/>
      <c r="BD101" s="1530"/>
      <c r="BE101" s="1530"/>
      <c r="BF101" s="1530"/>
      <c r="BG101" s="1530"/>
      <c r="BH101" s="1530"/>
      <c r="BI101" s="1530"/>
      <c r="BJ101" s="1530"/>
      <c r="BK101" s="1530"/>
      <c r="BL101" s="1530"/>
      <c r="BM101" s="1530"/>
      <c r="BN101" s="1530"/>
      <c r="BW101" s="1569"/>
      <c r="BX101" s="1530"/>
      <c r="BY101" s="1530"/>
      <c r="BZ101" s="1530"/>
      <c r="CA101" s="1530"/>
      <c r="CB101" s="1530"/>
      <c r="CC101" s="1530"/>
      <c r="CD101" s="1530"/>
      <c r="CE101" s="1530"/>
      <c r="CF101" s="1530"/>
      <c r="CG101" s="1530"/>
      <c r="CH101" s="1530"/>
      <c r="CI101" s="1530"/>
      <c r="CJ101" s="1530"/>
      <c r="CK101" s="1530"/>
      <c r="CL101" s="1530"/>
      <c r="CM101" s="1530"/>
      <c r="CN101" s="1570"/>
      <c r="CO101" s="1530"/>
      <c r="CP101" s="1530"/>
      <c r="CQ101" s="1530"/>
      <c r="CR101" s="1530"/>
      <c r="CS101" s="1530"/>
      <c r="CT101" s="1530"/>
      <c r="CU101" s="1530"/>
      <c r="CV101" s="1530"/>
      <c r="CW101" s="1530"/>
      <c r="CX101" s="1530"/>
      <c r="CY101" s="1530"/>
      <c r="CZ101" s="1530"/>
      <c r="DA101" s="1530"/>
      <c r="DB101" s="1530"/>
      <c r="DC101" s="1530"/>
      <c r="DD101" s="1530"/>
      <c r="DE101" s="1530"/>
      <c r="DF101" s="1530"/>
      <c r="DG101" s="1530"/>
      <c r="DH101" s="1530"/>
      <c r="DI101" s="1530"/>
      <c r="DJ101" s="1530"/>
      <c r="DK101" s="1530"/>
      <c r="DL101" s="1530"/>
      <c r="DM101" s="1530"/>
      <c r="DN101" s="1571"/>
      <c r="DO101" s="1530"/>
      <c r="DP101" s="1530"/>
    </row>
    <row r="102" spans="1:120">
      <c r="A102" s="1451"/>
      <c r="C102" s="1451"/>
      <c r="K102" s="1451"/>
      <c r="L102" s="1451"/>
      <c r="U102" s="1530"/>
      <c r="V102" s="1530"/>
      <c r="W102" s="1530"/>
      <c r="X102" s="1530"/>
      <c r="Y102" s="1530"/>
      <c r="Z102" s="1530"/>
      <c r="AA102" s="1530"/>
      <c r="AB102" s="1530"/>
      <c r="AC102" s="1530"/>
      <c r="AD102" s="1530"/>
      <c r="AE102" s="1530"/>
      <c r="AF102" s="1530"/>
      <c r="AG102" s="1530"/>
      <c r="AH102" s="1530"/>
      <c r="AI102" s="1530"/>
      <c r="AJ102" s="1530"/>
      <c r="AK102" s="1530"/>
      <c r="AL102" s="1530"/>
      <c r="AM102" s="1530"/>
      <c r="AN102" s="1530"/>
      <c r="AO102" s="1530"/>
      <c r="AP102" s="1530"/>
      <c r="AQ102" s="1530"/>
      <c r="AR102" s="1530"/>
      <c r="AS102" s="1530"/>
      <c r="AT102" s="1530"/>
      <c r="AU102" s="1530"/>
      <c r="AV102" s="1530"/>
      <c r="AW102" s="1530"/>
      <c r="AX102" s="1530"/>
      <c r="AY102" s="1530"/>
      <c r="AZ102" s="1530"/>
      <c r="BA102" s="1530"/>
      <c r="BB102" s="1530"/>
      <c r="BC102" s="1530"/>
      <c r="BD102" s="1530"/>
      <c r="BE102" s="1530"/>
      <c r="BF102" s="1530"/>
      <c r="BG102" s="1530"/>
      <c r="BH102" s="1530"/>
      <c r="BI102" s="1530"/>
      <c r="BJ102" s="1530"/>
      <c r="BK102" s="1530"/>
      <c r="BL102" s="1530"/>
      <c r="BM102" s="1530"/>
      <c r="BN102" s="1530"/>
      <c r="BW102" s="1569"/>
      <c r="BX102" s="1530"/>
      <c r="BY102" s="1530"/>
      <c r="BZ102" s="1530"/>
      <c r="CA102" s="1530"/>
      <c r="CB102" s="1530"/>
      <c r="CC102" s="1530"/>
      <c r="CD102" s="1530"/>
      <c r="CE102" s="1530"/>
      <c r="CF102" s="1530"/>
      <c r="CG102" s="1530"/>
      <c r="CH102" s="1530"/>
      <c r="CI102" s="1530"/>
      <c r="CJ102" s="1530"/>
      <c r="CK102" s="1530"/>
      <c r="CL102" s="1530"/>
      <c r="CM102" s="1530"/>
      <c r="CN102" s="1570"/>
      <c r="CO102" s="1530"/>
      <c r="CP102" s="1530"/>
      <c r="CQ102" s="1530"/>
      <c r="CR102" s="1530"/>
      <c r="CS102" s="1530"/>
      <c r="CT102" s="1530"/>
      <c r="CU102" s="1530"/>
      <c r="CV102" s="1530"/>
      <c r="CW102" s="1530"/>
      <c r="CX102" s="1530"/>
      <c r="CY102" s="1530"/>
      <c r="CZ102" s="1530"/>
      <c r="DA102" s="1530"/>
      <c r="DB102" s="1530"/>
      <c r="DC102" s="1530"/>
      <c r="DD102" s="1530"/>
      <c r="DE102" s="1530"/>
      <c r="DF102" s="1530"/>
      <c r="DG102" s="1530"/>
      <c r="DH102" s="1530"/>
      <c r="DI102" s="1530"/>
      <c r="DJ102" s="1530"/>
      <c r="DK102" s="1530"/>
      <c r="DL102" s="1530"/>
      <c r="DM102" s="1530"/>
      <c r="DN102" s="1571"/>
      <c r="DO102" s="1530"/>
      <c r="DP102" s="1530"/>
    </row>
    <row r="103" spans="1:120">
      <c r="A103" s="1451"/>
      <c r="C103" s="1451"/>
      <c r="K103" s="1451"/>
      <c r="L103" s="1451"/>
      <c r="U103" s="1530"/>
      <c r="V103" s="1530"/>
      <c r="W103" s="1530"/>
      <c r="X103" s="1530"/>
      <c r="Y103" s="1530"/>
      <c r="Z103" s="1530"/>
      <c r="AA103" s="1530"/>
      <c r="AB103" s="1530"/>
      <c r="AC103" s="1530"/>
      <c r="AD103" s="1530"/>
      <c r="AE103" s="1530"/>
      <c r="AF103" s="1530"/>
      <c r="AG103" s="1530"/>
      <c r="AH103" s="1530"/>
      <c r="AI103" s="1530"/>
      <c r="AJ103" s="1530"/>
      <c r="AK103" s="1530"/>
      <c r="AL103" s="1530"/>
      <c r="AM103" s="1530"/>
      <c r="AN103" s="1530"/>
      <c r="AO103" s="1530"/>
      <c r="AP103" s="1530"/>
      <c r="AQ103" s="1530"/>
      <c r="AR103" s="1530"/>
      <c r="AS103" s="1530"/>
      <c r="AT103" s="1530"/>
      <c r="AU103" s="1530"/>
      <c r="AV103" s="1530"/>
      <c r="AW103" s="1530"/>
      <c r="AX103" s="1530"/>
      <c r="AY103" s="1530"/>
      <c r="AZ103" s="1530"/>
      <c r="BA103" s="1530"/>
      <c r="BB103" s="1530"/>
      <c r="BC103" s="1530"/>
      <c r="BD103" s="1530"/>
      <c r="BE103" s="1530"/>
      <c r="BF103" s="1530"/>
      <c r="BG103" s="1530"/>
      <c r="BH103" s="1530"/>
      <c r="BI103" s="1530"/>
      <c r="BJ103" s="1530"/>
      <c r="BK103" s="1530"/>
      <c r="BL103" s="1530"/>
      <c r="BM103" s="1530"/>
      <c r="BN103" s="1530"/>
      <c r="BW103" s="1569"/>
      <c r="BX103" s="1530"/>
      <c r="BY103" s="1530"/>
      <c r="BZ103" s="1530"/>
      <c r="CA103" s="1530"/>
      <c r="CB103" s="1530"/>
      <c r="CC103" s="1530"/>
      <c r="CD103" s="1530"/>
      <c r="CE103" s="1530"/>
      <c r="CF103" s="1530"/>
      <c r="CG103" s="1530"/>
      <c r="CH103" s="1530"/>
      <c r="CI103" s="1530"/>
      <c r="CJ103" s="1530"/>
      <c r="CK103" s="1530"/>
      <c r="CL103" s="1530"/>
      <c r="CM103" s="1530"/>
      <c r="CN103" s="1570"/>
      <c r="CO103" s="1530"/>
      <c r="CP103" s="1530"/>
      <c r="CQ103" s="1530"/>
      <c r="CR103" s="1530"/>
      <c r="CS103" s="1530"/>
      <c r="CT103" s="1530"/>
      <c r="CU103" s="1530"/>
      <c r="CV103" s="1530"/>
      <c r="CW103" s="1530"/>
      <c r="CX103" s="1530"/>
      <c r="CY103" s="1530"/>
      <c r="CZ103" s="1530"/>
      <c r="DA103" s="1530"/>
      <c r="DB103" s="1530"/>
      <c r="DC103" s="1530"/>
      <c r="DD103" s="1530"/>
      <c r="DE103" s="1530"/>
      <c r="DF103" s="1530"/>
      <c r="DG103" s="1530"/>
      <c r="DH103" s="1530"/>
      <c r="DI103" s="1530"/>
      <c r="DJ103" s="1530"/>
      <c r="DK103" s="1530"/>
      <c r="DL103" s="1530"/>
      <c r="DM103" s="1530"/>
      <c r="DN103" s="1571"/>
      <c r="DO103" s="1530"/>
      <c r="DP103" s="1530"/>
    </row>
    <row r="104" spans="1:120">
      <c r="A104" s="1451"/>
      <c r="C104" s="1451"/>
      <c r="K104" s="1451"/>
      <c r="L104" s="1451"/>
      <c r="U104" s="1530"/>
      <c r="V104" s="1530"/>
      <c r="W104" s="1530"/>
      <c r="X104" s="1530"/>
      <c r="Y104" s="1530"/>
      <c r="Z104" s="1530"/>
      <c r="AA104" s="1530"/>
      <c r="AB104" s="1530"/>
      <c r="AC104" s="1530"/>
      <c r="AD104" s="1530"/>
      <c r="AE104" s="1530"/>
      <c r="AF104" s="1530"/>
      <c r="AG104" s="1530"/>
      <c r="AH104" s="1530"/>
      <c r="AI104" s="1530"/>
      <c r="AJ104" s="1530"/>
      <c r="AK104" s="1530"/>
      <c r="AL104" s="1530"/>
      <c r="AM104" s="1530"/>
      <c r="AN104" s="1530"/>
      <c r="AO104" s="1530"/>
      <c r="AP104" s="1530"/>
      <c r="AQ104" s="1530"/>
      <c r="AR104" s="1530"/>
      <c r="AS104" s="1530"/>
      <c r="AT104" s="1530"/>
      <c r="AU104" s="1530"/>
      <c r="AV104" s="1530"/>
      <c r="AW104" s="1530"/>
      <c r="AX104" s="1530"/>
      <c r="AY104" s="1530"/>
      <c r="AZ104" s="1530"/>
      <c r="BA104" s="1530"/>
      <c r="BB104" s="1530"/>
      <c r="BC104" s="1530"/>
      <c r="BD104" s="1530"/>
      <c r="BE104" s="1530"/>
      <c r="BF104" s="1530"/>
      <c r="BG104" s="1530"/>
      <c r="BH104" s="1530"/>
      <c r="BI104" s="1530"/>
      <c r="BJ104" s="1530"/>
      <c r="BK104" s="1530"/>
      <c r="BL104" s="1530"/>
      <c r="BM104" s="1530"/>
      <c r="BN104" s="1530"/>
      <c r="BW104" s="1569"/>
      <c r="BX104" s="1530"/>
      <c r="BY104" s="1530"/>
      <c r="BZ104" s="1530"/>
      <c r="CA104" s="1530"/>
      <c r="CB104" s="1530"/>
      <c r="CC104" s="1530"/>
      <c r="CD104" s="1530"/>
      <c r="CE104" s="1530"/>
      <c r="CF104" s="1530"/>
      <c r="CG104" s="1530"/>
      <c r="CH104" s="1530"/>
      <c r="CI104" s="1530"/>
      <c r="CJ104" s="1530"/>
      <c r="CK104" s="1530"/>
      <c r="CL104" s="1530"/>
      <c r="CM104" s="1530"/>
      <c r="CN104" s="1570"/>
      <c r="CO104" s="1530"/>
      <c r="CP104" s="1530"/>
      <c r="CQ104" s="1530"/>
      <c r="CR104" s="1530"/>
      <c r="CS104" s="1530"/>
      <c r="CT104" s="1530"/>
      <c r="CU104" s="1530"/>
      <c r="CV104" s="1530"/>
      <c r="CW104" s="1530"/>
      <c r="CX104" s="1530"/>
      <c r="CY104" s="1530"/>
      <c r="CZ104" s="1530"/>
      <c r="DA104" s="1530"/>
      <c r="DB104" s="1530"/>
      <c r="DC104" s="1530"/>
      <c r="DD104" s="1530"/>
      <c r="DE104" s="1530"/>
      <c r="DF104" s="1530"/>
      <c r="DG104" s="1530"/>
      <c r="DH104" s="1530"/>
      <c r="DI104" s="1530"/>
      <c r="DJ104" s="1530"/>
      <c r="DK104" s="1530"/>
      <c r="DL104" s="1530"/>
      <c r="DM104" s="1530"/>
      <c r="DN104" s="1571"/>
      <c r="DO104" s="1530"/>
      <c r="DP104" s="1530"/>
    </row>
    <row r="105" spans="1:120">
      <c r="A105" s="1451"/>
      <c r="C105" s="1451"/>
      <c r="K105" s="1451"/>
      <c r="L105" s="1451"/>
      <c r="U105" s="1530"/>
      <c r="V105" s="1530"/>
      <c r="W105" s="1530"/>
      <c r="X105" s="1530"/>
      <c r="Y105" s="1530"/>
      <c r="Z105" s="1530"/>
      <c r="AA105" s="1530"/>
      <c r="AB105" s="1530"/>
      <c r="AC105" s="1530"/>
      <c r="AD105" s="1530"/>
      <c r="AE105" s="1530"/>
      <c r="AF105" s="1530"/>
      <c r="AG105" s="1530"/>
      <c r="AH105" s="1530"/>
      <c r="AI105" s="1530"/>
      <c r="AJ105" s="1530"/>
      <c r="AK105" s="1530"/>
      <c r="AL105" s="1530"/>
      <c r="AM105" s="1530"/>
      <c r="AN105" s="1530"/>
      <c r="AO105" s="1530"/>
      <c r="AP105" s="1530"/>
      <c r="AQ105" s="1530"/>
      <c r="AR105" s="1530"/>
      <c r="AS105" s="1530"/>
      <c r="AT105" s="1530"/>
      <c r="AU105" s="1530"/>
      <c r="AV105" s="1530"/>
      <c r="AW105" s="1530"/>
      <c r="AX105" s="1530"/>
      <c r="AY105" s="1530"/>
      <c r="AZ105" s="1530"/>
      <c r="BA105" s="1530"/>
      <c r="BB105" s="1530"/>
      <c r="BC105" s="1530"/>
      <c r="BD105" s="1530"/>
      <c r="BE105" s="1530"/>
      <c r="BF105" s="1530"/>
      <c r="BG105" s="1530"/>
      <c r="BH105" s="1530"/>
      <c r="BI105" s="1530"/>
      <c r="BJ105" s="1530"/>
      <c r="BK105" s="1530"/>
      <c r="BL105" s="1530"/>
      <c r="BM105" s="1530"/>
      <c r="BN105" s="1530"/>
      <c r="BW105" s="1569"/>
      <c r="BX105" s="1530"/>
      <c r="BY105" s="1530"/>
      <c r="BZ105" s="1530"/>
      <c r="CA105" s="1530"/>
      <c r="CB105" s="1530"/>
      <c r="CC105" s="1530"/>
      <c r="CD105" s="1530"/>
      <c r="CE105" s="1530"/>
      <c r="CF105" s="1530"/>
      <c r="CG105" s="1530"/>
      <c r="CH105" s="1530"/>
      <c r="CI105" s="1530"/>
      <c r="CJ105" s="1530"/>
      <c r="CK105" s="1530"/>
      <c r="CL105" s="1530"/>
      <c r="CM105" s="1530"/>
      <c r="CN105" s="1570"/>
      <c r="CO105" s="1530"/>
      <c r="CP105" s="1530"/>
      <c r="CQ105" s="1530"/>
      <c r="CR105" s="1530"/>
      <c r="CS105" s="1530"/>
      <c r="CT105" s="1530"/>
      <c r="CU105" s="1530"/>
      <c r="CV105" s="1530"/>
      <c r="CW105" s="1530"/>
      <c r="CX105" s="1530"/>
      <c r="CY105" s="1530"/>
      <c r="CZ105" s="1530"/>
      <c r="DA105" s="1530"/>
      <c r="DB105" s="1530"/>
      <c r="DC105" s="1530"/>
      <c r="DD105" s="1530"/>
      <c r="DE105" s="1530"/>
      <c r="DF105" s="1530"/>
      <c r="DG105" s="1530"/>
      <c r="DH105" s="1530"/>
      <c r="DI105" s="1530"/>
      <c r="DJ105" s="1530"/>
      <c r="DK105" s="1530"/>
      <c r="DL105" s="1530"/>
      <c r="DM105" s="1530"/>
      <c r="DN105" s="1571"/>
      <c r="DO105" s="1530"/>
      <c r="DP105" s="1530"/>
    </row>
    <row r="106" spans="1:120">
      <c r="A106" s="1451"/>
      <c r="C106" s="1451"/>
      <c r="K106" s="1451"/>
      <c r="L106" s="1451"/>
      <c r="U106" s="1530"/>
      <c r="V106" s="1530"/>
      <c r="W106" s="1530"/>
      <c r="X106" s="1530"/>
      <c r="Y106" s="1530"/>
      <c r="Z106" s="1530"/>
      <c r="AA106" s="1530"/>
      <c r="AB106" s="1530"/>
      <c r="AC106" s="1530"/>
      <c r="AD106" s="1530"/>
      <c r="AE106" s="1530"/>
      <c r="AF106" s="1530"/>
      <c r="AG106" s="1530"/>
      <c r="AH106" s="1530"/>
      <c r="AI106" s="1530"/>
      <c r="AJ106" s="1530"/>
      <c r="AK106" s="1530"/>
      <c r="AL106" s="1530"/>
      <c r="AM106" s="1530"/>
      <c r="AN106" s="1530"/>
      <c r="AO106" s="1530"/>
      <c r="AP106" s="1530"/>
      <c r="AQ106" s="1530"/>
      <c r="AR106" s="1530"/>
      <c r="AS106" s="1530"/>
      <c r="AT106" s="1530"/>
      <c r="AU106" s="1530"/>
      <c r="AV106" s="1530"/>
      <c r="AW106" s="1530"/>
      <c r="AX106" s="1530"/>
      <c r="AY106" s="1530"/>
      <c r="AZ106" s="1530"/>
      <c r="BA106" s="1530"/>
      <c r="BB106" s="1530"/>
      <c r="BC106" s="1530"/>
      <c r="BD106" s="1530"/>
      <c r="BE106" s="1530"/>
      <c r="BF106" s="1530"/>
      <c r="BG106" s="1530"/>
      <c r="BH106" s="1530"/>
      <c r="BI106" s="1530"/>
      <c r="BJ106" s="1530"/>
      <c r="BK106" s="1530"/>
      <c r="BL106" s="1530"/>
      <c r="BM106" s="1530"/>
      <c r="BN106" s="1530"/>
      <c r="BW106" s="1569"/>
      <c r="BX106" s="1530"/>
      <c r="BY106" s="1530"/>
      <c r="BZ106" s="1530"/>
      <c r="CA106" s="1530"/>
      <c r="CB106" s="1530"/>
      <c r="CC106" s="1530"/>
      <c r="CD106" s="1530"/>
      <c r="CE106" s="1530"/>
      <c r="CF106" s="1530"/>
      <c r="CG106" s="1530"/>
      <c r="CH106" s="1530"/>
      <c r="CI106" s="1530"/>
      <c r="CJ106" s="1530"/>
      <c r="CK106" s="1530"/>
      <c r="CL106" s="1530"/>
      <c r="CM106" s="1530"/>
      <c r="CN106" s="1570"/>
      <c r="CO106" s="1530"/>
      <c r="CP106" s="1530"/>
      <c r="CQ106" s="1530"/>
      <c r="CR106" s="1530"/>
      <c r="CS106" s="1530"/>
      <c r="CT106" s="1530"/>
      <c r="CU106" s="1530"/>
      <c r="CV106" s="1530"/>
      <c r="CW106" s="1530"/>
      <c r="CX106" s="1530"/>
      <c r="CY106" s="1530"/>
      <c r="CZ106" s="1530"/>
      <c r="DA106" s="1530"/>
      <c r="DB106" s="1530"/>
      <c r="DC106" s="1530"/>
      <c r="DD106" s="1530"/>
      <c r="DE106" s="1530"/>
      <c r="DF106" s="1530"/>
      <c r="DG106" s="1530"/>
      <c r="DH106" s="1530"/>
      <c r="DI106" s="1530"/>
      <c r="DJ106" s="1530"/>
      <c r="DK106" s="1530"/>
      <c r="DL106" s="1530"/>
      <c r="DM106" s="1530"/>
      <c r="DN106" s="1571"/>
      <c r="DO106" s="1530"/>
      <c r="DP106" s="1530"/>
    </row>
    <row r="107" spans="1:120">
      <c r="A107" s="1451"/>
      <c r="C107" s="1451"/>
      <c r="K107" s="1451"/>
      <c r="L107" s="1451"/>
      <c r="U107" s="1530"/>
      <c r="V107" s="1530"/>
      <c r="W107" s="1530"/>
      <c r="X107" s="1530"/>
      <c r="Y107" s="1530"/>
      <c r="Z107" s="1530"/>
      <c r="AA107" s="1530"/>
      <c r="AB107" s="1530"/>
      <c r="AC107" s="1530"/>
      <c r="AD107" s="1530"/>
      <c r="AE107" s="1530"/>
      <c r="AF107" s="1530"/>
      <c r="AG107" s="1530"/>
      <c r="AH107" s="1530"/>
      <c r="AI107" s="1530"/>
      <c r="AJ107" s="1530"/>
      <c r="AK107" s="1530"/>
      <c r="AL107" s="1530"/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530"/>
      <c r="AW107" s="1530"/>
      <c r="AX107" s="1530"/>
      <c r="AY107" s="1530"/>
      <c r="AZ107" s="1530"/>
      <c r="BA107" s="1530"/>
      <c r="BB107" s="1530"/>
      <c r="BC107" s="1530"/>
      <c r="BD107" s="1530"/>
      <c r="BE107" s="1530"/>
      <c r="BF107" s="1530"/>
      <c r="BG107" s="1530"/>
      <c r="BH107" s="1530"/>
      <c r="BI107" s="1530"/>
      <c r="BJ107" s="1530"/>
      <c r="BK107" s="1530"/>
      <c r="BL107" s="1530"/>
      <c r="BM107" s="1530"/>
      <c r="BN107" s="1530"/>
      <c r="BW107" s="1569"/>
      <c r="BX107" s="1530"/>
      <c r="BY107" s="1530"/>
      <c r="BZ107" s="1530"/>
      <c r="CA107" s="1530"/>
      <c r="CB107" s="1530"/>
      <c r="CC107" s="1530"/>
      <c r="CD107" s="1530"/>
      <c r="CE107" s="1530"/>
      <c r="CF107" s="1530"/>
      <c r="CG107" s="1530"/>
      <c r="CH107" s="1530"/>
      <c r="CI107" s="1530"/>
      <c r="CJ107" s="1530"/>
      <c r="CK107" s="1530"/>
      <c r="CL107" s="1530"/>
      <c r="CM107" s="1530"/>
      <c r="CN107" s="1570"/>
      <c r="CO107" s="1530"/>
      <c r="CP107" s="1530"/>
      <c r="CQ107" s="1530"/>
      <c r="CR107" s="1530"/>
      <c r="CS107" s="1530"/>
      <c r="CT107" s="1530"/>
      <c r="CU107" s="1530"/>
      <c r="CV107" s="1530"/>
      <c r="CW107" s="1530"/>
      <c r="CX107" s="1530"/>
      <c r="CY107" s="1530"/>
      <c r="CZ107" s="1530"/>
      <c r="DA107" s="1530"/>
      <c r="DB107" s="1530"/>
      <c r="DC107" s="1530"/>
      <c r="DD107" s="1530"/>
      <c r="DE107" s="1530"/>
      <c r="DF107" s="1530"/>
      <c r="DG107" s="1530"/>
      <c r="DH107" s="1530"/>
      <c r="DI107" s="1530"/>
      <c r="DJ107" s="1530"/>
      <c r="DK107" s="1530"/>
      <c r="DL107" s="1530"/>
      <c r="DM107" s="1530"/>
      <c r="DN107" s="1571"/>
      <c r="DO107" s="1530"/>
      <c r="DP107" s="1530"/>
    </row>
    <row r="108" spans="1:120">
      <c r="A108" s="1451"/>
      <c r="C108" s="1451"/>
      <c r="K108" s="1451"/>
      <c r="L108" s="1451"/>
      <c r="U108" s="1530"/>
      <c r="V108" s="1530"/>
      <c r="W108" s="1530"/>
      <c r="X108" s="1530"/>
      <c r="Y108" s="1530"/>
      <c r="Z108" s="1530"/>
      <c r="AA108" s="1530"/>
      <c r="AB108" s="1530"/>
      <c r="AC108" s="1530"/>
      <c r="AD108" s="1530"/>
      <c r="AE108" s="1530"/>
      <c r="AF108" s="1530"/>
      <c r="AG108" s="1530"/>
      <c r="AH108" s="1530"/>
      <c r="AI108" s="1530"/>
      <c r="AJ108" s="1530"/>
      <c r="AK108" s="1530"/>
      <c r="AL108" s="1530"/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530"/>
      <c r="AW108" s="1530"/>
      <c r="AX108" s="1530"/>
      <c r="AY108" s="1530"/>
      <c r="AZ108" s="1530"/>
      <c r="BA108" s="1530"/>
      <c r="BB108" s="1530"/>
      <c r="BC108" s="1530"/>
      <c r="BD108" s="1530"/>
      <c r="BE108" s="1530"/>
      <c r="BF108" s="1530"/>
      <c r="BG108" s="1530"/>
      <c r="BH108" s="1530"/>
      <c r="BI108" s="1530"/>
      <c r="BJ108" s="1530"/>
      <c r="BK108" s="1530"/>
      <c r="BL108" s="1530"/>
      <c r="BM108" s="1530"/>
      <c r="BN108" s="1530"/>
      <c r="BW108" s="1569"/>
      <c r="BX108" s="1530"/>
      <c r="BY108" s="1530"/>
      <c r="BZ108" s="1530"/>
      <c r="CA108" s="1530"/>
      <c r="CB108" s="1530"/>
      <c r="CC108" s="1530"/>
      <c r="CD108" s="1530"/>
      <c r="CE108" s="1530"/>
      <c r="CF108" s="1530"/>
      <c r="CG108" s="1530"/>
      <c r="CH108" s="1530"/>
      <c r="CI108" s="1530"/>
      <c r="CJ108" s="1530"/>
      <c r="CK108" s="1530"/>
      <c r="CL108" s="1530"/>
      <c r="CM108" s="1530"/>
      <c r="CN108" s="1570"/>
      <c r="CO108" s="1530"/>
      <c r="CP108" s="1530"/>
      <c r="CQ108" s="1530"/>
      <c r="CR108" s="1530"/>
      <c r="CS108" s="1530"/>
      <c r="CT108" s="1530"/>
      <c r="CU108" s="1530"/>
      <c r="CV108" s="1530"/>
      <c r="CW108" s="1530"/>
      <c r="CX108" s="1530"/>
      <c r="CY108" s="1530"/>
      <c r="CZ108" s="1530"/>
      <c r="DA108" s="1530"/>
      <c r="DB108" s="1530"/>
      <c r="DC108" s="1530"/>
      <c r="DD108" s="1530"/>
      <c r="DE108" s="1530"/>
      <c r="DF108" s="1530"/>
      <c r="DG108" s="1530"/>
      <c r="DH108" s="1530"/>
      <c r="DI108" s="1530"/>
      <c r="DJ108" s="1530"/>
      <c r="DK108" s="1530"/>
      <c r="DL108" s="1530"/>
      <c r="DM108" s="1530"/>
      <c r="DN108" s="1571"/>
      <c r="DO108" s="1530"/>
      <c r="DP108" s="1530"/>
    </row>
    <row r="109" spans="1:120">
      <c r="A109" s="1451"/>
      <c r="C109" s="1451"/>
      <c r="K109" s="1451"/>
      <c r="L109" s="1451"/>
      <c r="U109" s="1530"/>
      <c r="V109" s="1530"/>
      <c r="W109" s="1530"/>
      <c r="X109" s="1530"/>
      <c r="Y109" s="1530"/>
      <c r="Z109" s="1530"/>
      <c r="AA109" s="1530"/>
      <c r="AB109" s="1530"/>
      <c r="AC109" s="1530"/>
      <c r="AD109" s="1530"/>
      <c r="AE109" s="1530"/>
      <c r="AF109" s="1530"/>
      <c r="AG109" s="1530"/>
      <c r="AH109" s="1530"/>
      <c r="AI109" s="1530"/>
      <c r="AJ109" s="1530"/>
      <c r="AK109" s="1530"/>
      <c r="AL109" s="1530"/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530"/>
      <c r="AW109" s="1530"/>
      <c r="AX109" s="1530"/>
      <c r="AY109" s="1530"/>
      <c r="AZ109" s="1530"/>
      <c r="BA109" s="1530"/>
      <c r="BB109" s="1530"/>
      <c r="BC109" s="1530"/>
      <c r="BD109" s="1530"/>
      <c r="BE109" s="1530"/>
      <c r="BF109" s="1530"/>
      <c r="BG109" s="1530"/>
      <c r="BH109" s="1530"/>
      <c r="BI109" s="1530"/>
      <c r="BJ109" s="1530"/>
      <c r="BK109" s="1530"/>
      <c r="BL109" s="1530"/>
      <c r="BM109" s="1530"/>
      <c r="BN109" s="1530"/>
      <c r="BW109" s="1569"/>
      <c r="BX109" s="1530"/>
      <c r="BY109" s="1530"/>
      <c r="BZ109" s="1530"/>
      <c r="CA109" s="1530"/>
      <c r="CB109" s="1530"/>
      <c r="CC109" s="1530"/>
      <c r="CD109" s="1530"/>
      <c r="CE109" s="1530"/>
      <c r="CF109" s="1530"/>
      <c r="CG109" s="1530"/>
      <c r="CH109" s="1530"/>
      <c r="CI109" s="1530"/>
      <c r="CJ109" s="1530"/>
      <c r="CK109" s="1530"/>
      <c r="CL109" s="1530"/>
      <c r="CM109" s="1530"/>
      <c r="CN109" s="1570"/>
      <c r="CO109" s="1530"/>
      <c r="CP109" s="1530"/>
      <c r="CQ109" s="1530"/>
      <c r="CR109" s="1530"/>
      <c r="CS109" s="1530"/>
      <c r="CT109" s="1530"/>
      <c r="CU109" s="1530"/>
      <c r="CV109" s="1530"/>
      <c r="CW109" s="1530"/>
      <c r="CX109" s="1530"/>
      <c r="CY109" s="1530"/>
      <c r="CZ109" s="1530"/>
      <c r="DA109" s="1530"/>
      <c r="DB109" s="1530"/>
      <c r="DC109" s="1530"/>
      <c r="DD109" s="1530"/>
      <c r="DE109" s="1530"/>
      <c r="DF109" s="1530"/>
      <c r="DG109" s="1530"/>
      <c r="DH109" s="1530"/>
      <c r="DI109" s="1530"/>
      <c r="DJ109" s="1530"/>
      <c r="DK109" s="1530"/>
      <c r="DL109" s="1530"/>
      <c r="DM109" s="1530"/>
      <c r="DN109" s="1571"/>
      <c r="DO109" s="1530"/>
      <c r="DP109" s="1530"/>
    </row>
    <row r="110" spans="1:120">
      <c r="A110" s="1451"/>
      <c r="C110" s="1451"/>
      <c r="K110" s="1451"/>
      <c r="L110" s="1451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530"/>
      <c r="AK110" s="1530"/>
      <c r="AL110" s="1530"/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30"/>
      <c r="AW110" s="1530"/>
      <c r="AX110" s="1530"/>
      <c r="AY110" s="1530"/>
      <c r="AZ110" s="1530"/>
      <c r="BA110" s="1530"/>
      <c r="BB110" s="1530"/>
      <c r="BC110" s="1530"/>
      <c r="BD110" s="1530"/>
      <c r="BE110" s="1530"/>
      <c r="BF110" s="1530"/>
      <c r="BG110" s="1530"/>
      <c r="BH110" s="1530"/>
      <c r="BI110" s="1530"/>
      <c r="BJ110" s="1530"/>
      <c r="BK110" s="1530"/>
      <c r="BL110" s="1530"/>
      <c r="BM110" s="1530"/>
      <c r="BN110" s="1530"/>
      <c r="BW110" s="1569"/>
      <c r="BX110" s="1530"/>
      <c r="BY110" s="1530"/>
      <c r="BZ110" s="1530"/>
      <c r="CA110" s="1530"/>
      <c r="CB110" s="1530"/>
      <c r="CC110" s="1530"/>
      <c r="CD110" s="1530"/>
      <c r="CE110" s="1530"/>
      <c r="CF110" s="1530"/>
      <c r="CG110" s="1530"/>
      <c r="CH110" s="1530"/>
      <c r="CI110" s="1530"/>
      <c r="CJ110" s="1530"/>
      <c r="CK110" s="1530"/>
      <c r="CL110" s="1530"/>
      <c r="CM110" s="1530"/>
      <c r="CN110" s="1570"/>
      <c r="CO110" s="1530"/>
      <c r="CP110" s="1530"/>
      <c r="CQ110" s="1530"/>
      <c r="CR110" s="1530"/>
      <c r="CS110" s="1530"/>
      <c r="CT110" s="1530"/>
      <c r="CU110" s="1530"/>
      <c r="CV110" s="1530"/>
      <c r="CW110" s="1530"/>
      <c r="CX110" s="1530"/>
      <c r="CY110" s="1530"/>
      <c r="CZ110" s="1530"/>
      <c r="DA110" s="1530"/>
      <c r="DB110" s="1530"/>
      <c r="DC110" s="1530"/>
      <c r="DD110" s="1530"/>
      <c r="DE110" s="1530"/>
      <c r="DF110" s="1530"/>
      <c r="DG110" s="1530"/>
      <c r="DH110" s="1530"/>
      <c r="DI110" s="1530"/>
      <c r="DJ110" s="1530"/>
      <c r="DK110" s="1530"/>
      <c r="DL110" s="1530"/>
      <c r="DM110" s="1530"/>
      <c r="DN110" s="1571"/>
      <c r="DO110" s="1530"/>
      <c r="DP110" s="1530"/>
    </row>
    <row r="111" spans="1:120">
      <c r="A111" s="1451"/>
      <c r="C111" s="1451"/>
      <c r="K111" s="1451"/>
      <c r="L111" s="1451"/>
      <c r="U111" s="1530"/>
      <c r="V111" s="1530"/>
      <c r="W111" s="1530"/>
      <c r="X111" s="1530"/>
      <c r="Y111" s="1530"/>
      <c r="Z111" s="1530"/>
      <c r="AA111" s="1530"/>
      <c r="AB111" s="1530"/>
      <c r="AC111" s="1530"/>
      <c r="AD111" s="1530"/>
      <c r="AE111" s="1530"/>
      <c r="AF111" s="1530"/>
      <c r="AG111" s="1530"/>
      <c r="AH111" s="1530"/>
      <c r="AI111" s="1530"/>
      <c r="AJ111" s="1530"/>
      <c r="AK111" s="1530"/>
      <c r="AL111" s="1530"/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30"/>
      <c r="AW111" s="1530"/>
      <c r="AX111" s="1530"/>
      <c r="AY111" s="1530"/>
      <c r="AZ111" s="1530"/>
      <c r="BA111" s="1530"/>
      <c r="BB111" s="1530"/>
      <c r="BC111" s="1530"/>
      <c r="BD111" s="1530"/>
      <c r="BE111" s="1530"/>
      <c r="BF111" s="1530"/>
      <c r="BG111" s="1530"/>
      <c r="BH111" s="1530"/>
      <c r="BI111" s="1530"/>
      <c r="BJ111" s="1530"/>
      <c r="BK111" s="1530"/>
      <c r="BL111" s="1530"/>
      <c r="BM111" s="1530"/>
      <c r="BN111" s="1530"/>
      <c r="BW111" s="1569"/>
      <c r="BX111" s="1530"/>
      <c r="BY111" s="1530"/>
      <c r="BZ111" s="1530"/>
      <c r="CA111" s="1530"/>
      <c r="CB111" s="1530"/>
      <c r="CC111" s="1530"/>
      <c r="CD111" s="1530"/>
      <c r="CE111" s="1530"/>
      <c r="CF111" s="1530"/>
      <c r="CG111" s="1530"/>
      <c r="CH111" s="1530"/>
      <c r="CI111" s="1530"/>
      <c r="CJ111" s="1530"/>
      <c r="CK111" s="1530"/>
      <c r="CL111" s="1530"/>
      <c r="CM111" s="1530"/>
      <c r="CN111" s="1570"/>
      <c r="CO111" s="1530"/>
      <c r="CP111" s="1530"/>
      <c r="CQ111" s="1530"/>
      <c r="CR111" s="1530"/>
      <c r="CS111" s="1530"/>
      <c r="CT111" s="1530"/>
      <c r="CU111" s="1530"/>
      <c r="CV111" s="1530"/>
      <c r="CW111" s="1530"/>
      <c r="CX111" s="1530"/>
      <c r="CY111" s="1530"/>
      <c r="CZ111" s="1530"/>
      <c r="DA111" s="1530"/>
      <c r="DB111" s="1530"/>
      <c r="DC111" s="1530"/>
      <c r="DD111" s="1530"/>
      <c r="DE111" s="1530"/>
      <c r="DF111" s="1530"/>
      <c r="DG111" s="1530"/>
      <c r="DH111" s="1530"/>
      <c r="DI111" s="1530"/>
      <c r="DJ111" s="1530"/>
      <c r="DK111" s="1530"/>
      <c r="DL111" s="1530"/>
      <c r="DM111" s="1530"/>
      <c r="DN111" s="1571"/>
      <c r="DO111" s="1530"/>
      <c r="DP111" s="1530"/>
    </row>
    <row r="112" spans="1:120">
      <c r="A112" s="1451"/>
      <c r="C112" s="1451"/>
      <c r="K112" s="1451"/>
      <c r="L112" s="1451"/>
      <c r="U112" s="1530"/>
      <c r="V112" s="1530"/>
      <c r="W112" s="1530"/>
      <c r="X112" s="1530"/>
      <c r="Y112" s="1530"/>
      <c r="Z112" s="1530"/>
      <c r="AA112" s="1530"/>
      <c r="AB112" s="1530"/>
      <c r="AC112" s="1530"/>
      <c r="AD112" s="1530"/>
      <c r="AE112" s="1530"/>
      <c r="AF112" s="1530"/>
      <c r="AG112" s="1530"/>
      <c r="AH112" s="1530"/>
      <c r="AI112" s="1530"/>
      <c r="AJ112" s="1530"/>
      <c r="AK112" s="1530"/>
      <c r="AL112" s="1530"/>
      <c r="AM112" s="1530"/>
      <c r="AN112" s="1530"/>
      <c r="AO112" s="1530"/>
      <c r="AP112" s="1530"/>
      <c r="AQ112" s="1530"/>
      <c r="AR112" s="1530"/>
      <c r="AS112" s="1530"/>
      <c r="AT112" s="1530"/>
      <c r="AU112" s="1530"/>
      <c r="AV112" s="1530"/>
      <c r="AW112" s="1530"/>
      <c r="AX112" s="1530"/>
      <c r="AY112" s="1530"/>
      <c r="AZ112" s="1530"/>
      <c r="BA112" s="1530"/>
      <c r="BB112" s="1530"/>
      <c r="BC112" s="1530"/>
      <c r="BD112" s="1530"/>
      <c r="BE112" s="1530"/>
      <c r="BF112" s="1530"/>
      <c r="BG112" s="1530"/>
      <c r="BH112" s="1530"/>
      <c r="BI112" s="1530"/>
      <c r="BJ112" s="1530"/>
      <c r="BK112" s="1530"/>
      <c r="BL112" s="1530"/>
      <c r="BM112" s="1530"/>
      <c r="BN112" s="1530"/>
      <c r="BW112" s="1569"/>
      <c r="BX112" s="1530"/>
      <c r="BY112" s="1530"/>
      <c r="BZ112" s="1530"/>
      <c r="CA112" s="1530"/>
      <c r="CB112" s="1530"/>
      <c r="CC112" s="1530"/>
      <c r="CD112" s="1530"/>
      <c r="CE112" s="1530"/>
      <c r="CF112" s="1530"/>
      <c r="CG112" s="1530"/>
      <c r="CH112" s="1530"/>
      <c r="CI112" s="1530"/>
      <c r="CJ112" s="1530"/>
      <c r="CK112" s="1530"/>
      <c r="CL112" s="1530"/>
      <c r="CM112" s="1530"/>
      <c r="CN112" s="1570"/>
      <c r="CO112" s="1530"/>
      <c r="CP112" s="1530"/>
      <c r="CQ112" s="1530"/>
      <c r="CR112" s="1530"/>
      <c r="CS112" s="1530"/>
      <c r="CT112" s="1530"/>
      <c r="CU112" s="1530"/>
      <c r="CV112" s="1530"/>
      <c r="CW112" s="1530"/>
      <c r="CX112" s="1530"/>
      <c r="CY112" s="1530"/>
      <c r="CZ112" s="1530"/>
      <c r="DA112" s="1530"/>
      <c r="DB112" s="1530"/>
      <c r="DC112" s="1530"/>
      <c r="DD112" s="1530"/>
      <c r="DE112" s="1530"/>
      <c r="DF112" s="1530"/>
      <c r="DG112" s="1530"/>
      <c r="DH112" s="1530"/>
      <c r="DI112" s="1530"/>
      <c r="DJ112" s="1530"/>
      <c r="DK112" s="1530"/>
      <c r="DL112" s="1530"/>
      <c r="DM112" s="1530"/>
      <c r="DN112" s="1571"/>
      <c r="DO112" s="1530"/>
      <c r="DP112" s="1530"/>
    </row>
    <row r="113" spans="1:120">
      <c r="A113" s="1451"/>
      <c r="C113" s="1451"/>
      <c r="K113" s="1451"/>
      <c r="L113" s="1451"/>
      <c r="U113" s="1530"/>
      <c r="V113" s="1530"/>
      <c r="W113" s="1530"/>
      <c r="X113" s="1530"/>
      <c r="Y113" s="1530"/>
      <c r="Z113" s="1530"/>
      <c r="AA113" s="1530"/>
      <c r="AB113" s="1530"/>
      <c r="AC113" s="1530"/>
      <c r="AD113" s="1530"/>
      <c r="AE113" s="1530"/>
      <c r="AF113" s="1530"/>
      <c r="AG113" s="1530"/>
      <c r="AH113" s="1530"/>
      <c r="AI113" s="1530"/>
      <c r="AJ113" s="1530"/>
      <c r="AK113" s="1530"/>
      <c r="AL113" s="1530"/>
      <c r="AM113" s="1530"/>
      <c r="AN113" s="1530"/>
      <c r="AO113" s="1530"/>
      <c r="AP113" s="1530"/>
      <c r="AQ113" s="1530"/>
      <c r="AR113" s="1530"/>
      <c r="AS113" s="1530"/>
      <c r="AT113" s="1530"/>
      <c r="AU113" s="1530"/>
      <c r="AV113" s="1530"/>
      <c r="AW113" s="1530"/>
      <c r="AX113" s="1530"/>
      <c r="AY113" s="1530"/>
      <c r="AZ113" s="1530"/>
      <c r="BA113" s="1530"/>
      <c r="BB113" s="1530"/>
      <c r="BC113" s="1530"/>
      <c r="BD113" s="1530"/>
      <c r="BE113" s="1530"/>
      <c r="BF113" s="1530"/>
      <c r="BG113" s="1530"/>
      <c r="BH113" s="1530"/>
      <c r="BI113" s="1530"/>
      <c r="BJ113" s="1530"/>
      <c r="BK113" s="1530"/>
      <c r="BL113" s="1530"/>
      <c r="BM113" s="1530"/>
      <c r="BN113" s="1530"/>
      <c r="BW113" s="1569"/>
      <c r="BX113" s="1530"/>
      <c r="BY113" s="1530"/>
      <c r="BZ113" s="1530"/>
      <c r="CA113" s="1530"/>
      <c r="CB113" s="1530"/>
      <c r="CC113" s="1530"/>
      <c r="CD113" s="1530"/>
      <c r="CE113" s="1530"/>
      <c r="CF113" s="1530"/>
      <c r="CG113" s="1530"/>
      <c r="CH113" s="1530"/>
      <c r="CI113" s="1530"/>
      <c r="CJ113" s="1530"/>
      <c r="CK113" s="1530"/>
      <c r="CL113" s="1530"/>
      <c r="CM113" s="1530"/>
      <c r="CN113" s="1570"/>
      <c r="CO113" s="1530"/>
      <c r="CP113" s="1530"/>
      <c r="CQ113" s="1530"/>
      <c r="CR113" s="1530"/>
      <c r="CS113" s="1530"/>
      <c r="CT113" s="1530"/>
      <c r="CU113" s="1530"/>
      <c r="CV113" s="1530"/>
      <c r="CW113" s="1530"/>
      <c r="CX113" s="1530"/>
      <c r="CY113" s="1530"/>
      <c r="CZ113" s="1530"/>
      <c r="DA113" s="1530"/>
      <c r="DB113" s="1530"/>
      <c r="DC113" s="1530"/>
      <c r="DD113" s="1530"/>
      <c r="DE113" s="1530"/>
      <c r="DF113" s="1530"/>
      <c r="DG113" s="1530"/>
      <c r="DH113" s="1530"/>
      <c r="DI113" s="1530"/>
      <c r="DJ113" s="1530"/>
      <c r="DK113" s="1530"/>
      <c r="DL113" s="1530"/>
      <c r="DM113" s="1530"/>
      <c r="DN113" s="1571"/>
      <c r="DO113" s="1530"/>
      <c r="DP113" s="1530"/>
    </row>
    <row r="114" spans="1:120">
      <c r="A114" s="1451"/>
      <c r="C114" s="1451"/>
      <c r="K114" s="1451"/>
      <c r="L114" s="1451"/>
      <c r="U114" s="1530"/>
      <c r="V114" s="1530"/>
      <c r="W114" s="1530"/>
      <c r="X114" s="1530"/>
      <c r="Y114" s="1530"/>
      <c r="Z114" s="1530"/>
      <c r="AA114" s="1530"/>
      <c r="AB114" s="1530"/>
      <c r="AC114" s="1530"/>
      <c r="AD114" s="1530"/>
      <c r="AE114" s="1530"/>
      <c r="AF114" s="1530"/>
      <c r="AG114" s="1530"/>
      <c r="AH114" s="1530"/>
      <c r="AI114" s="1530"/>
      <c r="AJ114" s="1530"/>
      <c r="AK114" s="1530"/>
      <c r="AL114" s="1530"/>
      <c r="AM114" s="1530"/>
      <c r="AN114" s="1530"/>
      <c r="AO114" s="1530"/>
      <c r="AP114" s="1530"/>
      <c r="AQ114" s="1530"/>
      <c r="AR114" s="1530"/>
      <c r="AS114" s="1530"/>
      <c r="AT114" s="1530"/>
      <c r="AU114" s="1530"/>
      <c r="AV114" s="1530"/>
      <c r="AW114" s="1530"/>
      <c r="AX114" s="1530"/>
      <c r="AY114" s="1530"/>
      <c r="AZ114" s="1530"/>
      <c r="BA114" s="1530"/>
      <c r="BB114" s="1530"/>
      <c r="BC114" s="1530"/>
      <c r="BD114" s="1530"/>
      <c r="BE114" s="1530"/>
      <c r="BF114" s="1530"/>
      <c r="BG114" s="1530"/>
      <c r="BH114" s="1530"/>
      <c r="BI114" s="1530"/>
      <c r="BJ114" s="1530"/>
      <c r="BK114" s="1530"/>
      <c r="BL114" s="1530"/>
      <c r="BM114" s="1530"/>
      <c r="BN114" s="1530"/>
      <c r="BW114" s="1569"/>
      <c r="BX114" s="1530"/>
      <c r="BY114" s="1530"/>
      <c r="BZ114" s="1530"/>
      <c r="CA114" s="1530"/>
      <c r="CB114" s="1530"/>
      <c r="CC114" s="1530"/>
      <c r="CD114" s="1530"/>
      <c r="CE114" s="1530"/>
      <c r="CF114" s="1530"/>
      <c r="CG114" s="1530"/>
      <c r="CH114" s="1530"/>
      <c r="CI114" s="1530"/>
      <c r="CJ114" s="1530"/>
      <c r="CK114" s="1530"/>
      <c r="CL114" s="1530"/>
      <c r="CM114" s="1530"/>
      <c r="CN114" s="1570"/>
      <c r="CO114" s="1530"/>
      <c r="CP114" s="1530"/>
      <c r="CQ114" s="1530"/>
      <c r="CR114" s="1530"/>
      <c r="CS114" s="1530"/>
      <c r="CT114" s="1530"/>
      <c r="CU114" s="1530"/>
      <c r="CV114" s="1530"/>
      <c r="CW114" s="1530"/>
      <c r="CX114" s="1530"/>
      <c r="CY114" s="1530"/>
      <c r="CZ114" s="1530"/>
      <c r="DA114" s="1530"/>
      <c r="DB114" s="1530"/>
      <c r="DC114" s="1530"/>
      <c r="DD114" s="1530"/>
      <c r="DE114" s="1530"/>
      <c r="DF114" s="1530"/>
      <c r="DG114" s="1530"/>
      <c r="DH114" s="1530"/>
      <c r="DI114" s="1530"/>
      <c r="DJ114" s="1530"/>
      <c r="DK114" s="1530"/>
      <c r="DL114" s="1530"/>
      <c r="DM114" s="1530"/>
      <c r="DN114" s="1571"/>
      <c r="DO114" s="1530"/>
      <c r="DP114" s="1530"/>
    </row>
    <row r="115" spans="1:120">
      <c r="A115" s="1451"/>
      <c r="C115" s="1451"/>
      <c r="K115" s="1451"/>
      <c r="L115" s="1451"/>
      <c r="U115" s="1530"/>
      <c r="V115" s="1530"/>
      <c r="W115" s="1530"/>
      <c r="X115" s="1530"/>
      <c r="Y115" s="1530"/>
      <c r="Z115" s="1530"/>
      <c r="AA115" s="1530"/>
      <c r="AB115" s="1530"/>
      <c r="AC115" s="1530"/>
      <c r="AD115" s="1530"/>
      <c r="AE115" s="1530"/>
      <c r="AF115" s="1530"/>
      <c r="AG115" s="1530"/>
      <c r="AH115" s="1530"/>
      <c r="AI115" s="1530"/>
      <c r="AJ115" s="1530"/>
      <c r="AK115" s="1530"/>
      <c r="AL115" s="1530"/>
      <c r="AM115" s="1530"/>
      <c r="AN115" s="1530"/>
      <c r="AO115" s="1530"/>
      <c r="AP115" s="1530"/>
      <c r="AQ115" s="1530"/>
      <c r="AR115" s="1530"/>
      <c r="AS115" s="1530"/>
      <c r="AT115" s="1530"/>
      <c r="AU115" s="1530"/>
      <c r="AV115" s="1530"/>
      <c r="AW115" s="1530"/>
      <c r="AX115" s="1530"/>
      <c r="AY115" s="1530"/>
      <c r="AZ115" s="1530"/>
      <c r="BA115" s="1530"/>
      <c r="BB115" s="1530"/>
      <c r="BC115" s="1530"/>
      <c r="BD115" s="1530"/>
      <c r="BE115" s="1530"/>
      <c r="BF115" s="1530"/>
      <c r="BG115" s="1530"/>
      <c r="BH115" s="1530"/>
      <c r="BI115" s="1530"/>
      <c r="BJ115" s="1530"/>
      <c r="BK115" s="1530"/>
      <c r="BL115" s="1530"/>
      <c r="BM115" s="1530"/>
      <c r="BN115" s="1530"/>
      <c r="BW115" s="1569"/>
      <c r="BX115" s="1530"/>
      <c r="BY115" s="1530"/>
      <c r="BZ115" s="1530"/>
      <c r="CA115" s="1530"/>
      <c r="CB115" s="1530"/>
      <c r="CC115" s="1530"/>
      <c r="CD115" s="1530"/>
      <c r="CE115" s="1530"/>
      <c r="CF115" s="1530"/>
      <c r="CG115" s="1530"/>
      <c r="CH115" s="1530"/>
      <c r="CI115" s="1530"/>
      <c r="CJ115" s="1530"/>
      <c r="CK115" s="1530"/>
      <c r="CL115" s="1530"/>
      <c r="CM115" s="1530"/>
      <c r="CN115" s="1570"/>
      <c r="CO115" s="1530"/>
      <c r="CP115" s="1530"/>
      <c r="CQ115" s="1530"/>
      <c r="CR115" s="1530"/>
      <c r="CS115" s="1530"/>
      <c r="CT115" s="1530"/>
      <c r="CU115" s="1530"/>
      <c r="CV115" s="1530"/>
      <c r="CW115" s="1530"/>
      <c r="CX115" s="1530"/>
      <c r="CY115" s="1530"/>
      <c r="CZ115" s="1530"/>
      <c r="DA115" s="1530"/>
      <c r="DB115" s="1530"/>
      <c r="DC115" s="1530"/>
      <c r="DD115" s="1530"/>
      <c r="DE115" s="1530"/>
      <c r="DF115" s="1530"/>
      <c r="DG115" s="1530"/>
      <c r="DH115" s="1530"/>
      <c r="DI115" s="1530"/>
      <c r="DJ115" s="1530"/>
      <c r="DK115" s="1530"/>
      <c r="DL115" s="1530"/>
      <c r="DM115" s="1530"/>
      <c r="DN115" s="1571"/>
      <c r="DO115" s="1530"/>
      <c r="DP115" s="1530"/>
    </row>
    <row r="116" spans="1:120">
      <c r="A116" s="1451"/>
      <c r="C116" s="1451"/>
      <c r="K116" s="1451"/>
      <c r="L116" s="1451"/>
      <c r="U116" s="1530"/>
      <c r="V116" s="1530"/>
      <c r="W116" s="1530"/>
      <c r="X116" s="1530"/>
      <c r="Y116" s="1530"/>
      <c r="Z116" s="1530"/>
      <c r="AA116" s="1530"/>
      <c r="AB116" s="1530"/>
      <c r="AC116" s="1530"/>
      <c r="AD116" s="1530"/>
      <c r="AE116" s="1530"/>
      <c r="AF116" s="1530"/>
      <c r="AG116" s="1530"/>
      <c r="AH116" s="1530"/>
      <c r="AI116" s="1530"/>
      <c r="AJ116" s="1530"/>
      <c r="AK116" s="1530"/>
      <c r="AL116" s="1530"/>
      <c r="AM116" s="1530"/>
      <c r="AN116" s="1530"/>
      <c r="AO116" s="1530"/>
      <c r="AP116" s="1530"/>
      <c r="AQ116" s="1530"/>
      <c r="AR116" s="1530"/>
      <c r="AS116" s="1530"/>
      <c r="AT116" s="1530"/>
      <c r="AU116" s="1530"/>
      <c r="AV116" s="1530"/>
      <c r="AW116" s="1530"/>
      <c r="AX116" s="1530"/>
      <c r="AY116" s="1530"/>
      <c r="AZ116" s="1530"/>
      <c r="BA116" s="1530"/>
      <c r="BB116" s="1530"/>
      <c r="BC116" s="1530"/>
      <c r="BD116" s="1530"/>
      <c r="BE116" s="1530"/>
      <c r="BF116" s="1530"/>
      <c r="BG116" s="1530"/>
      <c r="BH116" s="1530"/>
      <c r="BI116" s="1530"/>
      <c r="BJ116" s="1530"/>
      <c r="BK116" s="1530"/>
      <c r="BL116" s="1530"/>
      <c r="BM116" s="1530"/>
      <c r="BN116" s="1530"/>
      <c r="BW116" s="1569"/>
      <c r="BX116" s="1530"/>
      <c r="BY116" s="1530"/>
      <c r="BZ116" s="1530"/>
      <c r="CA116" s="1530"/>
      <c r="CB116" s="1530"/>
      <c r="CC116" s="1530"/>
      <c r="CD116" s="1530"/>
      <c r="CE116" s="1530"/>
      <c r="CF116" s="1530"/>
      <c r="CG116" s="1530"/>
      <c r="CH116" s="1530"/>
      <c r="CI116" s="1530"/>
      <c r="CJ116" s="1530"/>
      <c r="CK116" s="1530"/>
      <c r="CL116" s="1530"/>
      <c r="CM116" s="1530"/>
      <c r="CN116" s="1570"/>
      <c r="CO116" s="1530"/>
      <c r="CP116" s="1530"/>
      <c r="CQ116" s="1530"/>
      <c r="CR116" s="1530"/>
      <c r="CS116" s="1530"/>
      <c r="CT116" s="1530"/>
      <c r="CU116" s="1530"/>
      <c r="CV116" s="1530"/>
      <c r="CW116" s="1530"/>
      <c r="CX116" s="1530"/>
      <c r="CY116" s="1530"/>
      <c r="CZ116" s="1530"/>
      <c r="DA116" s="1530"/>
      <c r="DB116" s="1530"/>
      <c r="DC116" s="1530"/>
      <c r="DD116" s="1530"/>
      <c r="DE116" s="1530"/>
      <c r="DF116" s="1530"/>
      <c r="DG116" s="1530"/>
      <c r="DH116" s="1530"/>
      <c r="DI116" s="1530"/>
      <c r="DJ116" s="1530"/>
      <c r="DK116" s="1530"/>
      <c r="DL116" s="1530"/>
      <c r="DM116" s="1530"/>
      <c r="DN116" s="1571"/>
      <c r="DO116" s="1530"/>
      <c r="DP116" s="1530"/>
    </row>
    <row r="117" spans="1:120">
      <c r="A117" s="1451"/>
      <c r="C117" s="1451"/>
      <c r="K117" s="1451"/>
      <c r="L117" s="1451"/>
      <c r="U117" s="1530"/>
      <c r="V117" s="1530"/>
      <c r="W117" s="1530"/>
      <c r="X117" s="1530"/>
      <c r="Y117" s="1530"/>
      <c r="Z117" s="1530"/>
      <c r="AA117" s="1530"/>
      <c r="AB117" s="1530"/>
      <c r="AC117" s="1530"/>
      <c r="AD117" s="1530"/>
      <c r="AE117" s="1530"/>
      <c r="AF117" s="1530"/>
      <c r="AG117" s="1530"/>
      <c r="AH117" s="1530"/>
      <c r="AI117" s="1530"/>
      <c r="AJ117" s="1530"/>
      <c r="AK117" s="1530"/>
      <c r="AL117" s="1530"/>
      <c r="AM117" s="1530"/>
      <c r="AN117" s="1530"/>
      <c r="AO117" s="1530"/>
      <c r="AP117" s="1530"/>
      <c r="AQ117" s="1530"/>
      <c r="AR117" s="1530"/>
      <c r="AS117" s="1530"/>
      <c r="AT117" s="1530"/>
      <c r="AU117" s="1530"/>
      <c r="AV117" s="1530"/>
      <c r="AW117" s="1530"/>
      <c r="AX117" s="1530"/>
      <c r="AY117" s="1530"/>
      <c r="AZ117" s="1530"/>
      <c r="BA117" s="1530"/>
      <c r="BB117" s="1530"/>
      <c r="BC117" s="1530"/>
      <c r="BD117" s="1530"/>
      <c r="BE117" s="1530"/>
      <c r="BF117" s="1530"/>
      <c r="BG117" s="1530"/>
      <c r="BH117" s="1530"/>
      <c r="BI117" s="1530"/>
      <c r="BJ117" s="1530"/>
      <c r="BK117" s="1530"/>
      <c r="BL117" s="1530"/>
      <c r="BM117" s="1530"/>
      <c r="BN117" s="1530"/>
      <c r="BW117" s="1569"/>
      <c r="BX117" s="1530"/>
      <c r="BY117" s="1530"/>
      <c r="BZ117" s="1530"/>
      <c r="CA117" s="1530"/>
      <c r="CB117" s="1530"/>
      <c r="CC117" s="1530"/>
      <c r="CD117" s="1530"/>
      <c r="CE117" s="1530"/>
      <c r="CF117" s="1530"/>
      <c r="CG117" s="1530"/>
      <c r="CH117" s="1530"/>
      <c r="CI117" s="1530"/>
      <c r="CJ117" s="1530"/>
      <c r="CK117" s="1530"/>
      <c r="CL117" s="1530"/>
      <c r="CM117" s="1530"/>
      <c r="CN117" s="1570"/>
      <c r="CO117" s="1530"/>
      <c r="CP117" s="1530"/>
      <c r="CQ117" s="1530"/>
      <c r="CR117" s="1530"/>
      <c r="CS117" s="1530"/>
      <c r="CT117" s="1530"/>
      <c r="CU117" s="1530"/>
      <c r="CV117" s="1530"/>
      <c r="CW117" s="1530"/>
      <c r="CX117" s="1530"/>
      <c r="CY117" s="1530"/>
      <c r="CZ117" s="1530"/>
      <c r="DA117" s="1530"/>
      <c r="DB117" s="1530"/>
      <c r="DC117" s="1530"/>
      <c r="DD117" s="1530"/>
      <c r="DE117" s="1530"/>
      <c r="DF117" s="1530"/>
      <c r="DG117" s="1530"/>
      <c r="DH117" s="1530"/>
      <c r="DI117" s="1530"/>
      <c r="DJ117" s="1530"/>
      <c r="DK117" s="1530"/>
      <c r="DL117" s="1530"/>
      <c r="DM117" s="1530"/>
      <c r="DN117" s="1571"/>
      <c r="DO117" s="1530"/>
      <c r="DP117" s="1530"/>
    </row>
    <row r="118" spans="1:120">
      <c r="A118" s="1451"/>
      <c r="C118" s="1451"/>
      <c r="K118" s="1451"/>
      <c r="L118" s="1451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530"/>
      <c r="AI118" s="1530"/>
      <c r="AJ118" s="1530"/>
      <c r="AK118" s="1530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530"/>
      <c r="BB118" s="1530"/>
      <c r="BC118" s="1530"/>
      <c r="BD118" s="1530"/>
      <c r="BE118" s="1530"/>
      <c r="BF118" s="1530"/>
      <c r="BG118" s="1530"/>
      <c r="BH118" s="1530"/>
      <c r="BI118" s="1530"/>
      <c r="BJ118" s="1530"/>
      <c r="BK118" s="1530"/>
      <c r="BL118" s="1530"/>
      <c r="BM118" s="1530"/>
      <c r="BN118" s="1530"/>
      <c r="BW118" s="1569"/>
      <c r="BX118" s="1530"/>
      <c r="BY118" s="1530"/>
      <c r="BZ118" s="1530"/>
      <c r="CA118" s="1530"/>
      <c r="CB118" s="1530"/>
      <c r="CC118" s="1530"/>
      <c r="CD118" s="1530"/>
      <c r="CE118" s="1530"/>
      <c r="CF118" s="1530"/>
      <c r="CG118" s="1530"/>
      <c r="CH118" s="1530"/>
      <c r="CI118" s="1530"/>
      <c r="CJ118" s="1530"/>
      <c r="CK118" s="1530"/>
      <c r="CL118" s="1530"/>
      <c r="CM118" s="1530"/>
      <c r="CN118" s="1570"/>
      <c r="CO118" s="1530"/>
      <c r="CP118" s="1530"/>
      <c r="CQ118" s="1530"/>
      <c r="CR118" s="1530"/>
      <c r="CS118" s="1530"/>
      <c r="CT118" s="1530"/>
      <c r="CU118" s="1530"/>
      <c r="CV118" s="1530"/>
      <c r="CW118" s="1530"/>
      <c r="CX118" s="1530"/>
      <c r="CY118" s="1530"/>
      <c r="CZ118" s="1530"/>
      <c r="DA118" s="1530"/>
      <c r="DB118" s="1530"/>
      <c r="DC118" s="1530"/>
      <c r="DD118" s="1530"/>
      <c r="DE118" s="1530"/>
      <c r="DF118" s="1530"/>
      <c r="DG118" s="1530"/>
      <c r="DH118" s="1530"/>
      <c r="DI118" s="1530"/>
      <c r="DJ118" s="1530"/>
      <c r="DK118" s="1530"/>
      <c r="DL118" s="1530"/>
      <c r="DM118" s="1530"/>
      <c r="DN118" s="1571"/>
      <c r="DO118" s="1530"/>
      <c r="DP118" s="1530"/>
    </row>
    <row r="119" spans="1:120">
      <c r="A119" s="1451"/>
      <c r="C119" s="1451"/>
      <c r="K119" s="1451"/>
      <c r="L119" s="1451"/>
      <c r="U119" s="1530"/>
      <c r="V119" s="1530"/>
      <c r="W119" s="1530"/>
      <c r="X119" s="1530"/>
      <c r="Y119" s="1530"/>
      <c r="Z119" s="1530"/>
      <c r="AA119" s="1530"/>
      <c r="AB119" s="1530"/>
      <c r="AC119" s="1530"/>
      <c r="AD119" s="1530"/>
      <c r="AE119" s="1530"/>
      <c r="AF119" s="1530"/>
      <c r="AG119" s="1530"/>
      <c r="AH119" s="1530"/>
      <c r="AI119" s="1530"/>
      <c r="AJ119" s="1530"/>
      <c r="AK119" s="1530"/>
      <c r="AL119" s="1530"/>
      <c r="AM119" s="1530"/>
      <c r="AN119" s="1530"/>
      <c r="AO119" s="1530"/>
      <c r="AP119" s="1530"/>
      <c r="AQ119" s="1530"/>
      <c r="AR119" s="1530"/>
      <c r="AS119" s="1530"/>
      <c r="AT119" s="1530"/>
      <c r="AU119" s="1530"/>
      <c r="AV119" s="1530"/>
      <c r="AW119" s="1530"/>
      <c r="AX119" s="1530"/>
      <c r="AY119" s="1530"/>
      <c r="AZ119" s="1530"/>
      <c r="BA119" s="1530"/>
      <c r="BB119" s="1530"/>
      <c r="BC119" s="1530"/>
      <c r="BD119" s="1530"/>
      <c r="BE119" s="1530"/>
      <c r="BF119" s="1530"/>
      <c r="BG119" s="1530"/>
      <c r="BH119" s="1530"/>
      <c r="BI119" s="1530"/>
      <c r="BJ119" s="1530"/>
      <c r="BK119" s="1530"/>
      <c r="BL119" s="1530"/>
      <c r="BM119" s="1530"/>
      <c r="BN119" s="1530"/>
      <c r="BW119" s="1569"/>
      <c r="BX119" s="1530"/>
      <c r="BY119" s="1530"/>
      <c r="BZ119" s="1530"/>
      <c r="CA119" s="1530"/>
      <c r="CB119" s="1530"/>
      <c r="CC119" s="1530"/>
      <c r="CD119" s="1530"/>
      <c r="CE119" s="1530"/>
      <c r="CF119" s="1530"/>
      <c r="CG119" s="1530"/>
      <c r="CH119" s="1530"/>
      <c r="CI119" s="1530"/>
      <c r="CJ119" s="1530"/>
      <c r="CK119" s="1530"/>
      <c r="CL119" s="1530"/>
      <c r="CM119" s="1530"/>
      <c r="CN119" s="1570"/>
      <c r="CO119" s="1530"/>
      <c r="CP119" s="1530"/>
      <c r="CQ119" s="1530"/>
      <c r="CR119" s="1530"/>
      <c r="CS119" s="1530"/>
      <c r="CT119" s="1530"/>
      <c r="CU119" s="1530"/>
      <c r="CV119" s="1530"/>
      <c r="CW119" s="1530"/>
      <c r="CX119" s="1530"/>
      <c r="CY119" s="1530"/>
      <c r="CZ119" s="1530"/>
      <c r="DA119" s="1530"/>
      <c r="DB119" s="1530"/>
      <c r="DC119" s="1530"/>
      <c r="DD119" s="1530"/>
      <c r="DE119" s="1530"/>
      <c r="DF119" s="1530"/>
      <c r="DG119" s="1530"/>
      <c r="DH119" s="1530"/>
      <c r="DI119" s="1530"/>
      <c r="DJ119" s="1530"/>
      <c r="DK119" s="1530"/>
      <c r="DL119" s="1530"/>
      <c r="DM119" s="1530"/>
      <c r="DN119" s="1571"/>
      <c r="DO119" s="1530"/>
      <c r="DP119" s="1530"/>
    </row>
    <row r="120" spans="1:120">
      <c r="A120" s="1451"/>
      <c r="C120" s="1451"/>
      <c r="K120" s="1451"/>
      <c r="L120" s="1451"/>
      <c r="U120" s="1530"/>
      <c r="V120" s="1530"/>
      <c r="W120" s="1530"/>
      <c r="X120" s="1530"/>
      <c r="Y120" s="1530"/>
      <c r="Z120" s="1530"/>
      <c r="AA120" s="1530"/>
      <c r="AB120" s="1530"/>
      <c r="AC120" s="1530"/>
      <c r="AD120" s="1530"/>
      <c r="AE120" s="1530"/>
      <c r="AF120" s="1530"/>
      <c r="AG120" s="1530"/>
      <c r="AH120" s="1530"/>
      <c r="AI120" s="1530"/>
      <c r="AJ120" s="1530"/>
      <c r="AK120" s="1530"/>
      <c r="AL120" s="1530"/>
      <c r="AM120" s="1530"/>
      <c r="AN120" s="1530"/>
      <c r="AO120" s="1530"/>
      <c r="AP120" s="1530"/>
      <c r="AQ120" s="1530"/>
      <c r="AR120" s="1530"/>
      <c r="AS120" s="1530"/>
      <c r="AT120" s="1530"/>
      <c r="AU120" s="1530"/>
      <c r="AV120" s="1530"/>
      <c r="AW120" s="1530"/>
      <c r="AX120" s="1530"/>
      <c r="AY120" s="1530"/>
      <c r="AZ120" s="1530"/>
      <c r="BA120" s="1530"/>
      <c r="BB120" s="1530"/>
      <c r="BC120" s="1530"/>
      <c r="BD120" s="1530"/>
      <c r="BE120" s="1530"/>
      <c r="BF120" s="1530"/>
      <c r="BG120" s="1530"/>
      <c r="BH120" s="1530"/>
      <c r="BI120" s="1530"/>
      <c r="BJ120" s="1530"/>
      <c r="BK120" s="1530"/>
      <c r="BL120" s="1530"/>
      <c r="BM120" s="1530"/>
      <c r="BN120" s="1530"/>
      <c r="BW120" s="1569"/>
      <c r="BX120" s="1530"/>
      <c r="BY120" s="1530"/>
      <c r="BZ120" s="1530"/>
      <c r="CA120" s="1530"/>
      <c r="CB120" s="1530"/>
      <c r="CC120" s="1530"/>
      <c r="CD120" s="1530"/>
      <c r="CE120" s="1530"/>
      <c r="CF120" s="1530"/>
      <c r="CG120" s="1530"/>
      <c r="CH120" s="1530"/>
      <c r="CI120" s="1530"/>
      <c r="CJ120" s="1530"/>
      <c r="CK120" s="1530"/>
      <c r="CL120" s="1530"/>
      <c r="CM120" s="1530"/>
      <c r="CN120" s="1570"/>
      <c r="CO120" s="1530"/>
      <c r="CP120" s="1530"/>
      <c r="CQ120" s="1530"/>
      <c r="CR120" s="1530"/>
      <c r="CS120" s="1530"/>
      <c r="CT120" s="1530"/>
      <c r="CU120" s="1530"/>
      <c r="CV120" s="1530"/>
      <c r="CW120" s="1530"/>
      <c r="CX120" s="1530"/>
      <c r="CY120" s="1530"/>
      <c r="CZ120" s="1530"/>
      <c r="DA120" s="1530"/>
      <c r="DB120" s="1530"/>
      <c r="DC120" s="1530"/>
      <c r="DD120" s="1530"/>
      <c r="DE120" s="1530"/>
      <c r="DF120" s="1530"/>
      <c r="DG120" s="1530"/>
      <c r="DH120" s="1530"/>
      <c r="DI120" s="1530"/>
      <c r="DJ120" s="1530"/>
      <c r="DK120" s="1530"/>
      <c r="DL120" s="1530"/>
      <c r="DM120" s="1530"/>
      <c r="DN120" s="1571"/>
      <c r="DO120" s="1530"/>
      <c r="DP120" s="1530"/>
    </row>
    <row r="121" spans="1:120">
      <c r="A121" s="1451"/>
      <c r="C121" s="1451"/>
      <c r="K121" s="1451"/>
      <c r="L121" s="1451"/>
      <c r="U121" s="1530"/>
      <c r="V121" s="1530"/>
      <c r="W121" s="1530"/>
      <c r="X121" s="1530"/>
      <c r="Y121" s="1530"/>
      <c r="Z121" s="1530"/>
      <c r="AA121" s="1530"/>
      <c r="AB121" s="1530"/>
      <c r="AC121" s="1530"/>
      <c r="AD121" s="1530"/>
      <c r="AE121" s="1530"/>
      <c r="AF121" s="1530"/>
      <c r="AG121" s="1530"/>
      <c r="AH121" s="1530"/>
      <c r="AI121" s="1530"/>
      <c r="AJ121" s="1530"/>
      <c r="AK121" s="1530"/>
      <c r="AL121" s="1530"/>
      <c r="AM121" s="1530"/>
      <c r="AN121" s="1530"/>
      <c r="AO121" s="1530"/>
      <c r="AP121" s="1530"/>
      <c r="AQ121" s="1530"/>
      <c r="AR121" s="1530"/>
      <c r="AS121" s="1530"/>
      <c r="AT121" s="1530"/>
      <c r="AU121" s="1530"/>
      <c r="AV121" s="1530"/>
      <c r="AW121" s="1530"/>
      <c r="AX121" s="1530"/>
      <c r="AY121" s="1530"/>
      <c r="AZ121" s="1530"/>
      <c r="BA121" s="1530"/>
      <c r="BB121" s="1530"/>
      <c r="BC121" s="1530"/>
      <c r="BD121" s="1530"/>
      <c r="BE121" s="1530"/>
      <c r="BF121" s="1530"/>
      <c r="BG121" s="1530"/>
      <c r="BH121" s="1530"/>
      <c r="BI121" s="1530"/>
      <c r="BJ121" s="1530"/>
      <c r="BK121" s="1530"/>
      <c r="BL121" s="1530"/>
      <c r="BM121" s="1530"/>
      <c r="BN121" s="1530"/>
      <c r="BW121" s="1569"/>
      <c r="BX121" s="1530"/>
      <c r="BY121" s="1530"/>
      <c r="BZ121" s="1530"/>
      <c r="CA121" s="1530"/>
      <c r="CB121" s="1530"/>
      <c r="CC121" s="1530"/>
      <c r="CD121" s="1530"/>
      <c r="CE121" s="1530"/>
      <c r="CF121" s="1530"/>
      <c r="CG121" s="1530"/>
      <c r="CH121" s="1530"/>
      <c r="CI121" s="1530"/>
      <c r="CJ121" s="1530"/>
      <c r="CK121" s="1530"/>
      <c r="CL121" s="1530"/>
      <c r="CM121" s="1530"/>
      <c r="CN121" s="1570"/>
      <c r="CO121" s="1530"/>
      <c r="CP121" s="1530"/>
      <c r="CQ121" s="1530"/>
      <c r="CR121" s="1530"/>
      <c r="CS121" s="1530"/>
      <c r="CT121" s="1530"/>
      <c r="CU121" s="1530"/>
      <c r="CV121" s="1530"/>
      <c r="CW121" s="1530"/>
      <c r="CX121" s="1530"/>
      <c r="CY121" s="1530"/>
      <c r="CZ121" s="1530"/>
      <c r="DA121" s="1530"/>
      <c r="DB121" s="1530"/>
      <c r="DC121" s="1530"/>
      <c r="DD121" s="1530"/>
      <c r="DE121" s="1530"/>
      <c r="DF121" s="1530"/>
      <c r="DG121" s="1530"/>
      <c r="DH121" s="1530"/>
      <c r="DI121" s="1530"/>
      <c r="DJ121" s="1530"/>
      <c r="DK121" s="1530"/>
      <c r="DL121" s="1530"/>
      <c r="DM121" s="1530"/>
      <c r="DN121" s="1571"/>
      <c r="DO121" s="1530"/>
      <c r="DP121" s="1530"/>
    </row>
    <row r="122" spans="1:120">
      <c r="A122" s="1451"/>
      <c r="C122" s="1451"/>
      <c r="K122" s="1451"/>
      <c r="L122" s="1451"/>
      <c r="U122" s="1530"/>
      <c r="V122" s="1530"/>
      <c r="W122" s="1530"/>
      <c r="X122" s="1530"/>
      <c r="Y122" s="1530"/>
      <c r="Z122" s="1530"/>
      <c r="AA122" s="1530"/>
      <c r="AB122" s="1530"/>
      <c r="AC122" s="1530"/>
      <c r="AD122" s="1530"/>
      <c r="AE122" s="1530"/>
      <c r="AF122" s="1530"/>
      <c r="AG122" s="1530"/>
      <c r="AH122" s="1530"/>
      <c r="AI122" s="1530"/>
      <c r="AJ122" s="1530"/>
      <c r="AK122" s="1530"/>
      <c r="AL122" s="1530"/>
      <c r="AM122" s="1530"/>
      <c r="AN122" s="1530"/>
      <c r="AO122" s="1530"/>
      <c r="AP122" s="1530"/>
      <c r="AQ122" s="1530"/>
      <c r="AR122" s="1530"/>
      <c r="AS122" s="1530"/>
      <c r="AT122" s="1530"/>
      <c r="AU122" s="1530"/>
      <c r="AV122" s="1530"/>
      <c r="AW122" s="1530"/>
      <c r="AX122" s="1530"/>
      <c r="AY122" s="1530"/>
      <c r="AZ122" s="1530"/>
      <c r="BA122" s="1530"/>
      <c r="BB122" s="1530"/>
      <c r="BC122" s="1530"/>
      <c r="BD122" s="1530"/>
      <c r="BE122" s="1530"/>
      <c r="BF122" s="1530"/>
      <c r="BG122" s="1530"/>
      <c r="BH122" s="1530"/>
      <c r="BI122" s="1530"/>
      <c r="BJ122" s="1530"/>
      <c r="BK122" s="1530"/>
      <c r="BL122" s="1530"/>
      <c r="BM122" s="1530"/>
      <c r="BN122" s="1530"/>
      <c r="BW122" s="1569"/>
      <c r="BX122" s="1530"/>
      <c r="BY122" s="1530"/>
      <c r="BZ122" s="1530"/>
      <c r="CA122" s="1530"/>
      <c r="CB122" s="1530"/>
      <c r="CC122" s="1530"/>
      <c r="CD122" s="1530"/>
      <c r="CE122" s="1530"/>
      <c r="CF122" s="1530"/>
      <c r="CG122" s="1530"/>
      <c r="CH122" s="1530"/>
      <c r="CI122" s="1530"/>
      <c r="CJ122" s="1530"/>
      <c r="CK122" s="1530"/>
      <c r="CL122" s="1530"/>
      <c r="CM122" s="1530"/>
      <c r="CN122" s="1570"/>
      <c r="CO122" s="1530"/>
      <c r="CP122" s="1530"/>
      <c r="CQ122" s="1530"/>
      <c r="CR122" s="1530"/>
      <c r="CS122" s="1530"/>
      <c r="CT122" s="1530"/>
      <c r="CU122" s="1530"/>
      <c r="CV122" s="1530"/>
      <c r="CW122" s="1530"/>
      <c r="CX122" s="1530"/>
      <c r="CY122" s="1530"/>
      <c r="CZ122" s="1530"/>
      <c r="DA122" s="1530"/>
      <c r="DB122" s="1530"/>
      <c r="DC122" s="1530"/>
      <c r="DD122" s="1530"/>
      <c r="DE122" s="1530"/>
      <c r="DF122" s="1530"/>
      <c r="DG122" s="1530"/>
      <c r="DH122" s="1530"/>
      <c r="DI122" s="1530"/>
      <c r="DJ122" s="1530"/>
      <c r="DK122" s="1530"/>
      <c r="DL122" s="1530"/>
      <c r="DM122" s="1530"/>
      <c r="DN122" s="1571"/>
      <c r="DO122" s="1530"/>
      <c r="DP122" s="1530"/>
    </row>
    <row r="123" spans="1:120">
      <c r="A123" s="1451"/>
      <c r="C123" s="1451"/>
      <c r="K123" s="1451"/>
      <c r="L123" s="1451"/>
      <c r="U123" s="1530"/>
      <c r="V123" s="1530"/>
      <c r="W123" s="1530"/>
      <c r="X123" s="1530"/>
      <c r="Y123" s="1530"/>
      <c r="Z123" s="1530"/>
      <c r="AA123" s="1530"/>
      <c r="AB123" s="1530"/>
      <c r="AC123" s="1530"/>
      <c r="AD123" s="1530"/>
      <c r="AE123" s="1530"/>
      <c r="AF123" s="1530"/>
      <c r="AG123" s="1530"/>
      <c r="AH123" s="1530"/>
      <c r="AI123" s="1530"/>
      <c r="AJ123" s="1530"/>
      <c r="AK123" s="1530"/>
      <c r="AL123" s="1530"/>
      <c r="AM123" s="1530"/>
      <c r="AN123" s="1530"/>
      <c r="AO123" s="1530"/>
      <c r="AP123" s="1530"/>
      <c r="AQ123" s="1530"/>
      <c r="AR123" s="1530"/>
      <c r="AS123" s="1530"/>
      <c r="AT123" s="1530"/>
      <c r="AU123" s="1530"/>
      <c r="AV123" s="1530"/>
      <c r="AW123" s="1530"/>
      <c r="AX123" s="1530"/>
      <c r="AY123" s="1530"/>
      <c r="AZ123" s="1530"/>
      <c r="BA123" s="1530"/>
      <c r="BB123" s="1530"/>
      <c r="BC123" s="1530"/>
      <c r="BD123" s="1530"/>
      <c r="BE123" s="1530"/>
      <c r="BF123" s="1530"/>
      <c r="BG123" s="1530"/>
      <c r="BH123" s="1530"/>
      <c r="BI123" s="1530"/>
      <c r="BJ123" s="1530"/>
      <c r="BK123" s="1530"/>
      <c r="BL123" s="1530"/>
      <c r="BM123" s="1530"/>
      <c r="BN123" s="1530"/>
      <c r="BW123" s="1569"/>
      <c r="BX123" s="1530"/>
      <c r="BY123" s="1530"/>
      <c r="BZ123" s="1530"/>
      <c r="CA123" s="1530"/>
      <c r="CB123" s="1530"/>
      <c r="CC123" s="1530"/>
      <c r="CD123" s="1530"/>
      <c r="CE123" s="1530"/>
      <c r="CF123" s="1530"/>
      <c r="CG123" s="1530"/>
      <c r="CH123" s="1530"/>
      <c r="CI123" s="1530"/>
      <c r="CJ123" s="1530"/>
      <c r="CK123" s="1530"/>
      <c r="CL123" s="1530"/>
      <c r="CM123" s="1530"/>
      <c r="CN123" s="1570"/>
      <c r="CO123" s="1530"/>
      <c r="CP123" s="1530"/>
      <c r="CQ123" s="1530"/>
      <c r="CR123" s="1530"/>
      <c r="CS123" s="1530"/>
      <c r="CT123" s="1530"/>
      <c r="CU123" s="1530"/>
      <c r="CV123" s="1530"/>
      <c r="CW123" s="1530"/>
      <c r="CX123" s="1530"/>
      <c r="CY123" s="1530"/>
      <c r="CZ123" s="1530"/>
      <c r="DA123" s="1530"/>
      <c r="DB123" s="1530"/>
      <c r="DC123" s="1530"/>
      <c r="DD123" s="1530"/>
      <c r="DE123" s="1530"/>
      <c r="DF123" s="1530"/>
      <c r="DG123" s="1530"/>
      <c r="DH123" s="1530"/>
      <c r="DI123" s="1530"/>
      <c r="DJ123" s="1530"/>
      <c r="DK123" s="1530"/>
      <c r="DL123" s="1530"/>
      <c r="DM123" s="1530"/>
      <c r="DN123" s="1571"/>
      <c r="DO123" s="1530"/>
      <c r="DP123" s="1530"/>
    </row>
    <row r="124" spans="1:120">
      <c r="A124" s="1451"/>
      <c r="C124" s="1451"/>
      <c r="K124" s="1451"/>
      <c r="L124" s="1451"/>
      <c r="U124" s="1530"/>
      <c r="V124" s="1530"/>
      <c r="W124" s="1530"/>
      <c r="X124" s="1530"/>
      <c r="Y124" s="1530"/>
      <c r="Z124" s="1530"/>
      <c r="AA124" s="1530"/>
      <c r="AB124" s="1530"/>
      <c r="AC124" s="1530"/>
      <c r="AD124" s="1530"/>
      <c r="AE124" s="1530"/>
      <c r="AF124" s="1530"/>
      <c r="AG124" s="1530"/>
      <c r="AH124" s="1530"/>
      <c r="AI124" s="1530"/>
      <c r="AJ124" s="1530"/>
      <c r="AK124" s="1530"/>
      <c r="AL124" s="1530"/>
      <c r="AM124" s="1530"/>
      <c r="AN124" s="1530"/>
      <c r="AO124" s="1530"/>
      <c r="AP124" s="1530"/>
      <c r="AQ124" s="1530"/>
      <c r="AR124" s="1530"/>
      <c r="AS124" s="1530"/>
      <c r="AT124" s="1530"/>
      <c r="AU124" s="1530"/>
      <c r="AV124" s="1530"/>
      <c r="AW124" s="1530"/>
      <c r="AX124" s="1530"/>
      <c r="AY124" s="1530"/>
      <c r="AZ124" s="1530"/>
      <c r="BA124" s="1530"/>
      <c r="BB124" s="1530"/>
      <c r="BC124" s="1530"/>
      <c r="BD124" s="1530"/>
      <c r="BE124" s="1530"/>
      <c r="BF124" s="1530"/>
      <c r="BG124" s="1530"/>
      <c r="BH124" s="1530"/>
      <c r="BI124" s="1530"/>
      <c r="BJ124" s="1530"/>
      <c r="BK124" s="1530"/>
      <c r="BL124" s="1530"/>
      <c r="BM124" s="1530"/>
      <c r="BN124" s="1530"/>
      <c r="BW124" s="1569"/>
      <c r="BX124" s="1530"/>
      <c r="BY124" s="1530"/>
      <c r="BZ124" s="1530"/>
      <c r="CA124" s="1530"/>
      <c r="CB124" s="1530"/>
      <c r="CC124" s="1530"/>
      <c r="CD124" s="1530"/>
      <c r="CE124" s="1530"/>
      <c r="CF124" s="1530"/>
      <c r="CG124" s="1530"/>
      <c r="CH124" s="1530"/>
      <c r="CI124" s="1530"/>
      <c r="CJ124" s="1530"/>
      <c r="CK124" s="1530"/>
      <c r="CL124" s="1530"/>
      <c r="CM124" s="1530"/>
      <c r="CN124" s="1570"/>
      <c r="CO124" s="1530"/>
      <c r="CP124" s="1530"/>
      <c r="CQ124" s="1530"/>
      <c r="CR124" s="1530"/>
      <c r="CS124" s="1530"/>
      <c r="CT124" s="1530"/>
      <c r="CU124" s="1530"/>
      <c r="CV124" s="1530"/>
      <c r="CW124" s="1530"/>
      <c r="CX124" s="1530"/>
      <c r="CY124" s="1530"/>
      <c r="CZ124" s="1530"/>
      <c r="DA124" s="1530"/>
      <c r="DB124" s="1530"/>
      <c r="DC124" s="1530"/>
      <c r="DD124" s="1530"/>
      <c r="DE124" s="1530"/>
      <c r="DF124" s="1530"/>
      <c r="DG124" s="1530"/>
      <c r="DH124" s="1530"/>
      <c r="DI124" s="1530"/>
      <c r="DJ124" s="1530"/>
      <c r="DK124" s="1530"/>
      <c r="DL124" s="1530"/>
      <c r="DM124" s="1530"/>
      <c r="DN124" s="1571"/>
      <c r="DO124" s="1530"/>
      <c r="DP124" s="1530"/>
    </row>
    <row r="125" spans="1:120">
      <c r="A125" s="1451"/>
      <c r="C125" s="1451"/>
      <c r="K125" s="1451"/>
      <c r="L125" s="1451"/>
      <c r="U125" s="1530"/>
      <c r="V125" s="1530"/>
      <c r="W125" s="1530"/>
      <c r="X125" s="1530"/>
      <c r="Y125" s="1530"/>
      <c r="Z125" s="1530"/>
      <c r="AA125" s="1530"/>
      <c r="AB125" s="1530"/>
      <c r="AC125" s="1530"/>
      <c r="AD125" s="1530"/>
      <c r="AE125" s="1530"/>
      <c r="AF125" s="1530"/>
      <c r="AG125" s="1530"/>
      <c r="AH125" s="1530"/>
      <c r="AI125" s="1530"/>
      <c r="AJ125" s="1530"/>
      <c r="AK125" s="1530"/>
      <c r="AL125" s="1530"/>
      <c r="AM125" s="1530"/>
      <c r="AN125" s="1530"/>
      <c r="AO125" s="1530"/>
      <c r="AP125" s="1530"/>
      <c r="AQ125" s="1530"/>
      <c r="AR125" s="1530"/>
      <c r="AS125" s="1530"/>
      <c r="AT125" s="1530"/>
      <c r="AU125" s="1530"/>
      <c r="AV125" s="1530"/>
      <c r="AW125" s="1530"/>
      <c r="AX125" s="1530"/>
      <c r="AY125" s="1530"/>
      <c r="AZ125" s="1530"/>
      <c r="BA125" s="1530"/>
      <c r="BB125" s="1530"/>
      <c r="BC125" s="1530"/>
      <c r="BD125" s="1530"/>
      <c r="BE125" s="1530"/>
      <c r="BF125" s="1530"/>
      <c r="BG125" s="1530"/>
      <c r="BH125" s="1530"/>
      <c r="BI125" s="1530"/>
      <c r="BJ125" s="1530"/>
      <c r="BK125" s="1530"/>
      <c r="BL125" s="1530"/>
      <c r="BM125" s="1530"/>
      <c r="BN125" s="1530"/>
      <c r="BW125" s="1569"/>
      <c r="BX125" s="1530"/>
      <c r="BY125" s="1530"/>
      <c r="BZ125" s="1530"/>
      <c r="CA125" s="1530"/>
      <c r="CB125" s="1530"/>
      <c r="CC125" s="1530"/>
      <c r="CD125" s="1530"/>
      <c r="CE125" s="1530"/>
      <c r="CF125" s="1530"/>
      <c r="CG125" s="1530"/>
      <c r="CH125" s="1530"/>
      <c r="CI125" s="1530"/>
      <c r="CJ125" s="1530"/>
      <c r="CK125" s="1530"/>
      <c r="CL125" s="1530"/>
      <c r="CM125" s="1530"/>
      <c r="CN125" s="1570"/>
      <c r="CO125" s="1530"/>
      <c r="CP125" s="1530"/>
      <c r="CQ125" s="1530"/>
      <c r="CR125" s="1530"/>
      <c r="CS125" s="1530"/>
      <c r="CT125" s="1530"/>
      <c r="CU125" s="1530"/>
      <c r="CV125" s="1530"/>
      <c r="CW125" s="1530"/>
      <c r="CX125" s="1530"/>
      <c r="CY125" s="1530"/>
      <c r="CZ125" s="1530"/>
      <c r="DA125" s="1530"/>
      <c r="DB125" s="1530"/>
      <c r="DC125" s="1530"/>
      <c r="DD125" s="1530"/>
      <c r="DE125" s="1530"/>
      <c r="DF125" s="1530"/>
      <c r="DG125" s="1530"/>
      <c r="DH125" s="1530"/>
      <c r="DI125" s="1530"/>
      <c r="DJ125" s="1530"/>
      <c r="DK125" s="1530"/>
      <c r="DL125" s="1530"/>
      <c r="DM125" s="1530"/>
      <c r="DN125" s="1571"/>
      <c r="DO125" s="1530"/>
      <c r="DP125" s="1530"/>
    </row>
    <row r="126" spans="1:120">
      <c r="A126" s="1451"/>
      <c r="C126" s="1451"/>
      <c r="K126" s="1451"/>
      <c r="L126" s="1451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530"/>
      <c r="AI126" s="1530"/>
      <c r="AJ126" s="1530"/>
      <c r="AK126" s="1530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530"/>
      <c r="BB126" s="1530"/>
      <c r="BC126" s="1530"/>
      <c r="BD126" s="1530"/>
      <c r="BE126" s="1530"/>
      <c r="BF126" s="1530"/>
      <c r="BG126" s="1530"/>
      <c r="BH126" s="1530"/>
      <c r="BI126" s="1530"/>
      <c r="BJ126" s="1530"/>
      <c r="BK126" s="1530"/>
      <c r="BL126" s="1530"/>
      <c r="BM126" s="1530"/>
      <c r="BN126" s="1530"/>
      <c r="BW126" s="1569"/>
      <c r="BX126" s="1530"/>
      <c r="BY126" s="1530"/>
      <c r="BZ126" s="1530"/>
      <c r="CA126" s="1530"/>
      <c r="CB126" s="1530"/>
      <c r="CC126" s="1530"/>
      <c r="CD126" s="1530"/>
      <c r="CE126" s="1530"/>
      <c r="CF126" s="1530"/>
      <c r="CG126" s="1530"/>
      <c r="CH126" s="1530"/>
      <c r="CI126" s="1530"/>
      <c r="CJ126" s="1530"/>
      <c r="CK126" s="1530"/>
      <c r="CL126" s="1530"/>
      <c r="CM126" s="1530"/>
      <c r="CN126" s="1570"/>
      <c r="CO126" s="1530"/>
      <c r="CP126" s="1530"/>
      <c r="CQ126" s="1530"/>
      <c r="CR126" s="1530"/>
      <c r="CS126" s="1530"/>
      <c r="CT126" s="1530"/>
      <c r="CU126" s="1530"/>
      <c r="CV126" s="1530"/>
      <c r="CW126" s="1530"/>
      <c r="CX126" s="1530"/>
      <c r="CY126" s="1530"/>
      <c r="CZ126" s="1530"/>
      <c r="DA126" s="1530"/>
      <c r="DB126" s="1530"/>
      <c r="DC126" s="1530"/>
      <c r="DD126" s="1530"/>
      <c r="DE126" s="1530"/>
      <c r="DF126" s="1530"/>
      <c r="DG126" s="1530"/>
      <c r="DH126" s="1530"/>
      <c r="DI126" s="1530"/>
      <c r="DJ126" s="1530"/>
      <c r="DK126" s="1530"/>
      <c r="DL126" s="1530"/>
      <c r="DM126" s="1530"/>
      <c r="DN126" s="1571"/>
      <c r="DO126" s="1530"/>
      <c r="DP126" s="1530"/>
    </row>
    <row r="127" spans="1:120">
      <c r="A127" s="1451"/>
      <c r="C127" s="1451"/>
      <c r="K127" s="1451"/>
      <c r="L127" s="1451"/>
      <c r="U127" s="1530"/>
      <c r="V127" s="1530"/>
      <c r="W127" s="1530"/>
      <c r="X127" s="1530"/>
      <c r="Y127" s="1530"/>
      <c r="Z127" s="1530"/>
      <c r="AA127" s="1530"/>
      <c r="AB127" s="1530"/>
      <c r="AC127" s="1530"/>
      <c r="AD127" s="1530"/>
      <c r="AE127" s="1530"/>
      <c r="AF127" s="1530"/>
      <c r="AG127" s="1530"/>
      <c r="AH127" s="1530"/>
      <c r="AI127" s="1530"/>
      <c r="AJ127" s="1530"/>
      <c r="AK127" s="1530"/>
      <c r="AL127" s="1530"/>
      <c r="AM127" s="1530"/>
      <c r="AN127" s="1530"/>
      <c r="AO127" s="1530"/>
      <c r="AP127" s="1530"/>
      <c r="AQ127" s="1530"/>
      <c r="AR127" s="1530"/>
      <c r="AS127" s="1530"/>
      <c r="AT127" s="1530"/>
      <c r="AU127" s="1530"/>
      <c r="AV127" s="1530"/>
      <c r="AW127" s="1530"/>
      <c r="AX127" s="1530"/>
      <c r="AY127" s="1530"/>
      <c r="AZ127" s="1530"/>
      <c r="BA127" s="1530"/>
      <c r="BB127" s="1530"/>
      <c r="BC127" s="1530"/>
      <c r="BD127" s="1530"/>
      <c r="BE127" s="1530"/>
      <c r="BF127" s="1530"/>
      <c r="BG127" s="1530"/>
      <c r="BH127" s="1530"/>
      <c r="BI127" s="1530"/>
      <c r="BJ127" s="1530"/>
      <c r="BK127" s="1530"/>
      <c r="BL127" s="1530"/>
      <c r="BM127" s="1530"/>
      <c r="BN127" s="1530"/>
      <c r="BW127" s="1569"/>
      <c r="BX127" s="1530"/>
      <c r="BY127" s="1530"/>
      <c r="BZ127" s="1530"/>
      <c r="CA127" s="1530"/>
      <c r="CB127" s="1530"/>
      <c r="CC127" s="1530"/>
      <c r="CD127" s="1530"/>
      <c r="CE127" s="1530"/>
      <c r="CF127" s="1530"/>
      <c r="CG127" s="1530"/>
      <c r="CH127" s="1530"/>
      <c r="CI127" s="1530"/>
      <c r="CJ127" s="1530"/>
      <c r="CK127" s="1530"/>
      <c r="CL127" s="1530"/>
      <c r="CM127" s="1530"/>
      <c r="CN127" s="1570"/>
      <c r="CO127" s="1530"/>
      <c r="CP127" s="1530"/>
      <c r="CQ127" s="1530"/>
      <c r="CR127" s="1530"/>
      <c r="CS127" s="1530"/>
      <c r="CT127" s="1530"/>
      <c r="CU127" s="1530"/>
      <c r="CV127" s="1530"/>
      <c r="CW127" s="1530"/>
      <c r="CX127" s="1530"/>
      <c r="CY127" s="1530"/>
      <c r="CZ127" s="1530"/>
      <c r="DA127" s="1530"/>
      <c r="DB127" s="1530"/>
      <c r="DC127" s="1530"/>
      <c r="DD127" s="1530"/>
      <c r="DE127" s="1530"/>
      <c r="DF127" s="1530"/>
      <c r="DG127" s="1530"/>
      <c r="DH127" s="1530"/>
      <c r="DI127" s="1530"/>
      <c r="DJ127" s="1530"/>
      <c r="DK127" s="1530"/>
      <c r="DL127" s="1530"/>
      <c r="DM127" s="1530"/>
      <c r="DN127" s="1571"/>
      <c r="DO127" s="1530"/>
      <c r="DP127" s="1530"/>
    </row>
    <row r="128" spans="1:120">
      <c r="A128" s="1451"/>
      <c r="C128" s="1451"/>
      <c r="K128" s="1451"/>
      <c r="L128" s="1451"/>
      <c r="U128" s="1530"/>
      <c r="V128" s="1530"/>
      <c r="W128" s="1530"/>
      <c r="X128" s="1530"/>
      <c r="Y128" s="1530"/>
      <c r="Z128" s="1530"/>
      <c r="AA128" s="1530"/>
      <c r="AB128" s="1530"/>
      <c r="AC128" s="1530"/>
      <c r="AD128" s="1530"/>
      <c r="AE128" s="1530"/>
      <c r="AF128" s="1530"/>
      <c r="AG128" s="1530"/>
      <c r="AH128" s="1530"/>
      <c r="AI128" s="1530"/>
      <c r="AJ128" s="1530"/>
      <c r="AK128" s="1530"/>
      <c r="AL128" s="1530"/>
      <c r="AM128" s="1530"/>
      <c r="AN128" s="1530"/>
      <c r="AO128" s="1530"/>
      <c r="AP128" s="1530"/>
      <c r="AQ128" s="1530"/>
      <c r="AR128" s="1530"/>
      <c r="AS128" s="1530"/>
      <c r="AT128" s="1530"/>
      <c r="AU128" s="1530"/>
      <c r="AV128" s="1530"/>
      <c r="AW128" s="1530"/>
      <c r="AX128" s="1530"/>
      <c r="AY128" s="1530"/>
      <c r="AZ128" s="1530"/>
      <c r="BA128" s="1530"/>
      <c r="BB128" s="1530"/>
      <c r="BC128" s="1530"/>
      <c r="BD128" s="1530"/>
      <c r="BE128" s="1530"/>
      <c r="BF128" s="1530"/>
      <c r="BG128" s="1530"/>
      <c r="BH128" s="1530"/>
      <c r="BI128" s="1530"/>
      <c r="BJ128" s="1530"/>
      <c r="BK128" s="1530"/>
      <c r="BL128" s="1530"/>
      <c r="BM128" s="1530"/>
      <c r="BN128" s="1530"/>
      <c r="BW128" s="1569"/>
      <c r="BX128" s="1530"/>
      <c r="BY128" s="1530"/>
      <c r="BZ128" s="1530"/>
      <c r="CA128" s="1530"/>
      <c r="CB128" s="1530"/>
      <c r="CC128" s="1530"/>
      <c r="CD128" s="1530"/>
      <c r="CE128" s="1530"/>
      <c r="CF128" s="1530"/>
      <c r="CG128" s="1530"/>
      <c r="CH128" s="1530"/>
      <c r="CI128" s="1530"/>
      <c r="CJ128" s="1530"/>
      <c r="CK128" s="1530"/>
      <c r="CL128" s="1530"/>
      <c r="CM128" s="1530"/>
      <c r="CN128" s="1570"/>
      <c r="CO128" s="1530"/>
      <c r="CP128" s="1530"/>
      <c r="CQ128" s="1530"/>
      <c r="CR128" s="1530"/>
      <c r="CS128" s="1530"/>
      <c r="CT128" s="1530"/>
      <c r="CU128" s="1530"/>
      <c r="CV128" s="1530"/>
      <c r="CW128" s="1530"/>
      <c r="CX128" s="1530"/>
      <c r="CY128" s="1530"/>
      <c r="CZ128" s="1530"/>
      <c r="DA128" s="1530"/>
      <c r="DB128" s="1530"/>
      <c r="DC128" s="1530"/>
      <c r="DD128" s="1530"/>
      <c r="DE128" s="1530"/>
      <c r="DF128" s="1530"/>
      <c r="DG128" s="1530"/>
      <c r="DH128" s="1530"/>
      <c r="DI128" s="1530"/>
      <c r="DJ128" s="1530"/>
      <c r="DK128" s="1530"/>
      <c r="DL128" s="1530"/>
      <c r="DM128" s="1530"/>
      <c r="DN128" s="1571"/>
      <c r="DO128" s="1530"/>
      <c r="DP128" s="1530"/>
    </row>
    <row r="129" spans="1:120">
      <c r="A129" s="1451"/>
      <c r="C129" s="1451"/>
      <c r="K129" s="1451"/>
      <c r="L129" s="1451"/>
      <c r="U129" s="1530"/>
      <c r="V129" s="1530"/>
      <c r="W129" s="1530"/>
      <c r="X129" s="1530"/>
      <c r="Y129" s="1530"/>
      <c r="Z129" s="1530"/>
      <c r="AA129" s="1530"/>
      <c r="AB129" s="1530"/>
      <c r="AC129" s="1530"/>
      <c r="AD129" s="1530"/>
      <c r="AE129" s="1530"/>
      <c r="AF129" s="1530"/>
      <c r="AG129" s="1530"/>
      <c r="AH129" s="1530"/>
      <c r="AI129" s="1530"/>
      <c r="AJ129" s="1530"/>
      <c r="AK129" s="1530"/>
      <c r="AL129" s="1530"/>
      <c r="AM129" s="1530"/>
      <c r="AN129" s="1530"/>
      <c r="AO129" s="1530"/>
      <c r="AP129" s="1530"/>
      <c r="AQ129" s="1530"/>
      <c r="AR129" s="1530"/>
      <c r="AS129" s="1530"/>
      <c r="AT129" s="1530"/>
      <c r="AU129" s="1530"/>
      <c r="AV129" s="1530"/>
      <c r="AW129" s="1530"/>
      <c r="AX129" s="1530"/>
      <c r="AY129" s="1530"/>
      <c r="AZ129" s="1530"/>
      <c r="BA129" s="1530"/>
      <c r="BB129" s="1530"/>
      <c r="BC129" s="1530"/>
      <c r="BD129" s="1530"/>
      <c r="BE129" s="1530"/>
      <c r="BF129" s="1530"/>
      <c r="BG129" s="1530"/>
      <c r="BH129" s="1530"/>
      <c r="BI129" s="1530"/>
      <c r="BJ129" s="1530"/>
      <c r="BK129" s="1530"/>
      <c r="BL129" s="1530"/>
      <c r="BM129" s="1530"/>
      <c r="BN129" s="1530"/>
      <c r="BW129" s="1569"/>
      <c r="BX129" s="1530"/>
      <c r="BY129" s="1530"/>
      <c r="BZ129" s="1530"/>
      <c r="CA129" s="1530"/>
      <c r="CB129" s="1530"/>
      <c r="CC129" s="1530"/>
      <c r="CD129" s="1530"/>
      <c r="CE129" s="1530"/>
      <c r="CF129" s="1530"/>
      <c r="CG129" s="1530"/>
      <c r="CH129" s="1530"/>
      <c r="CI129" s="1530"/>
      <c r="CJ129" s="1530"/>
      <c r="CK129" s="1530"/>
      <c r="CL129" s="1530"/>
      <c r="CM129" s="1530"/>
      <c r="CN129" s="1570"/>
      <c r="CO129" s="1530"/>
      <c r="CP129" s="1530"/>
      <c r="CQ129" s="1530"/>
      <c r="CR129" s="1530"/>
      <c r="CS129" s="1530"/>
      <c r="CT129" s="1530"/>
      <c r="CU129" s="1530"/>
      <c r="CV129" s="1530"/>
      <c r="CW129" s="1530"/>
      <c r="CX129" s="1530"/>
      <c r="CY129" s="1530"/>
      <c r="CZ129" s="1530"/>
      <c r="DA129" s="1530"/>
      <c r="DB129" s="1530"/>
      <c r="DC129" s="1530"/>
      <c r="DD129" s="1530"/>
      <c r="DE129" s="1530"/>
      <c r="DF129" s="1530"/>
      <c r="DG129" s="1530"/>
      <c r="DH129" s="1530"/>
      <c r="DI129" s="1530"/>
      <c r="DJ129" s="1530"/>
      <c r="DK129" s="1530"/>
      <c r="DL129" s="1530"/>
      <c r="DM129" s="1530"/>
      <c r="DN129" s="1571"/>
      <c r="DO129" s="1530"/>
      <c r="DP129" s="1530"/>
    </row>
    <row r="130" spans="1:120">
      <c r="A130" s="1451"/>
      <c r="C130" s="1451"/>
      <c r="K130" s="1451"/>
      <c r="L130" s="1451"/>
      <c r="U130" s="1530"/>
      <c r="V130" s="1530"/>
      <c r="W130" s="1530"/>
      <c r="X130" s="1530"/>
      <c r="Y130" s="1530"/>
      <c r="Z130" s="1530"/>
      <c r="AA130" s="1530"/>
      <c r="AB130" s="1530"/>
      <c r="AC130" s="1530"/>
      <c r="AD130" s="1530"/>
      <c r="AE130" s="1530"/>
      <c r="AF130" s="1530"/>
      <c r="AG130" s="1530"/>
      <c r="AH130" s="1530"/>
      <c r="AI130" s="1530"/>
      <c r="AJ130" s="1530"/>
      <c r="AK130" s="1530"/>
      <c r="AL130" s="1530"/>
      <c r="AM130" s="1530"/>
      <c r="AN130" s="1530"/>
      <c r="AO130" s="1530"/>
      <c r="AP130" s="1530"/>
      <c r="AQ130" s="1530"/>
      <c r="AR130" s="1530"/>
      <c r="AS130" s="1530"/>
      <c r="AT130" s="1530"/>
      <c r="AU130" s="1530"/>
      <c r="AV130" s="1530"/>
      <c r="AW130" s="1530"/>
      <c r="AX130" s="1530"/>
      <c r="AY130" s="1530"/>
      <c r="AZ130" s="1530"/>
      <c r="BA130" s="1530"/>
      <c r="BB130" s="1530"/>
      <c r="BC130" s="1530"/>
      <c r="BD130" s="1530"/>
      <c r="BE130" s="1530"/>
      <c r="BF130" s="1530"/>
      <c r="BG130" s="1530"/>
      <c r="BH130" s="1530"/>
      <c r="BI130" s="1530"/>
      <c r="BJ130" s="1530"/>
      <c r="BK130" s="1530"/>
      <c r="BL130" s="1530"/>
      <c r="BM130" s="1530"/>
      <c r="BN130" s="1530"/>
      <c r="BW130" s="1569"/>
      <c r="BX130" s="1530"/>
      <c r="BY130" s="1530"/>
      <c r="BZ130" s="1530"/>
      <c r="CA130" s="1530"/>
      <c r="CB130" s="1530"/>
      <c r="CC130" s="1530"/>
      <c r="CD130" s="1530"/>
      <c r="CE130" s="1530"/>
      <c r="CF130" s="1530"/>
      <c r="CG130" s="1530"/>
      <c r="CH130" s="1530"/>
      <c r="CI130" s="1530"/>
      <c r="CJ130" s="1530"/>
      <c r="CK130" s="1530"/>
      <c r="CL130" s="1530"/>
      <c r="CM130" s="1530"/>
      <c r="CN130" s="1570"/>
      <c r="CO130" s="1530"/>
      <c r="CP130" s="1530"/>
      <c r="CQ130" s="1530"/>
      <c r="CR130" s="1530"/>
      <c r="CS130" s="1530"/>
      <c r="CT130" s="1530"/>
      <c r="CU130" s="1530"/>
      <c r="CV130" s="1530"/>
      <c r="CW130" s="1530"/>
      <c r="CX130" s="1530"/>
      <c r="CY130" s="1530"/>
      <c r="CZ130" s="1530"/>
      <c r="DA130" s="1530"/>
      <c r="DB130" s="1530"/>
      <c r="DC130" s="1530"/>
      <c r="DD130" s="1530"/>
      <c r="DE130" s="1530"/>
      <c r="DF130" s="1530"/>
      <c r="DG130" s="1530"/>
      <c r="DH130" s="1530"/>
      <c r="DI130" s="1530"/>
      <c r="DJ130" s="1530"/>
      <c r="DK130" s="1530"/>
      <c r="DL130" s="1530"/>
      <c r="DM130" s="1530"/>
      <c r="DN130" s="1571"/>
      <c r="DO130" s="1530"/>
      <c r="DP130" s="1530"/>
    </row>
    <row r="131" spans="1:120">
      <c r="A131" s="1451"/>
      <c r="C131" s="1451"/>
      <c r="K131" s="1451"/>
      <c r="L131" s="1451"/>
      <c r="U131" s="1530"/>
      <c r="V131" s="1530"/>
      <c r="W131" s="1530"/>
      <c r="X131" s="1530"/>
      <c r="Y131" s="1530"/>
      <c r="Z131" s="1530"/>
      <c r="AA131" s="1530"/>
      <c r="AB131" s="1530"/>
      <c r="AC131" s="1530"/>
      <c r="AD131" s="1530"/>
      <c r="AE131" s="1530"/>
      <c r="AF131" s="1530"/>
      <c r="AG131" s="1530"/>
      <c r="AH131" s="1530"/>
      <c r="AI131" s="1530"/>
      <c r="AJ131" s="1530"/>
      <c r="AK131" s="1530"/>
      <c r="AL131" s="1530"/>
      <c r="AM131" s="1530"/>
      <c r="AN131" s="1530"/>
      <c r="AO131" s="1530"/>
      <c r="AP131" s="1530"/>
      <c r="AQ131" s="1530"/>
      <c r="AR131" s="1530"/>
      <c r="AS131" s="1530"/>
      <c r="AT131" s="1530"/>
      <c r="AU131" s="1530"/>
      <c r="AV131" s="1530"/>
      <c r="AW131" s="1530"/>
      <c r="AX131" s="1530"/>
      <c r="AY131" s="1530"/>
      <c r="AZ131" s="1530"/>
      <c r="BA131" s="1530"/>
      <c r="BB131" s="1530"/>
      <c r="BC131" s="1530"/>
      <c r="BD131" s="1530"/>
      <c r="BE131" s="1530"/>
      <c r="BF131" s="1530"/>
      <c r="BG131" s="1530"/>
      <c r="BH131" s="1530"/>
      <c r="BI131" s="1530"/>
      <c r="BJ131" s="1530"/>
      <c r="BK131" s="1530"/>
      <c r="BL131" s="1530"/>
      <c r="BM131" s="1530"/>
      <c r="BN131" s="1530"/>
      <c r="BW131" s="1569"/>
      <c r="BX131" s="1530"/>
      <c r="BY131" s="1530"/>
      <c r="BZ131" s="1530"/>
      <c r="CA131" s="1530"/>
      <c r="CB131" s="1530"/>
      <c r="CC131" s="1530"/>
      <c r="CD131" s="1530"/>
      <c r="CE131" s="1530"/>
      <c r="CF131" s="1530"/>
      <c r="CG131" s="1530"/>
      <c r="CH131" s="1530"/>
      <c r="CI131" s="1530"/>
      <c r="CJ131" s="1530"/>
      <c r="CK131" s="1530"/>
      <c r="CL131" s="1530"/>
      <c r="CM131" s="1530"/>
      <c r="CN131" s="1570"/>
      <c r="CO131" s="1530"/>
      <c r="CP131" s="1530"/>
      <c r="CQ131" s="1530"/>
      <c r="CR131" s="1530"/>
      <c r="CS131" s="1530"/>
      <c r="CT131" s="1530"/>
      <c r="CU131" s="1530"/>
      <c r="CV131" s="1530"/>
      <c r="CW131" s="1530"/>
      <c r="CX131" s="1530"/>
      <c r="CY131" s="1530"/>
      <c r="CZ131" s="1530"/>
      <c r="DA131" s="1530"/>
      <c r="DB131" s="1530"/>
      <c r="DC131" s="1530"/>
      <c r="DD131" s="1530"/>
      <c r="DE131" s="1530"/>
      <c r="DF131" s="1530"/>
      <c r="DG131" s="1530"/>
      <c r="DH131" s="1530"/>
      <c r="DI131" s="1530"/>
      <c r="DJ131" s="1530"/>
      <c r="DK131" s="1530"/>
      <c r="DL131" s="1530"/>
      <c r="DM131" s="1530"/>
      <c r="DN131" s="1571"/>
      <c r="DO131" s="1530"/>
      <c r="DP131" s="1530"/>
    </row>
    <row r="132" spans="1:120">
      <c r="A132" s="1451"/>
      <c r="C132" s="1451"/>
      <c r="K132" s="1451"/>
      <c r="L132" s="1451"/>
      <c r="U132" s="1530"/>
      <c r="V132" s="1530"/>
      <c r="W132" s="1530"/>
      <c r="X132" s="1530"/>
      <c r="Y132" s="1530"/>
      <c r="Z132" s="1530"/>
      <c r="AA132" s="1530"/>
      <c r="AB132" s="1530"/>
      <c r="AC132" s="1530"/>
      <c r="AD132" s="1530"/>
      <c r="AE132" s="1530"/>
      <c r="AF132" s="1530"/>
      <c r="AG132" s="1530"/>
      <c r="AH132" s="1530"/>
      <c r="AI132" s="1530"/>
      <c r="AJ132" s="1530"/>
      <c r="AK132" s="1530"/>
      <c r="AL132" s="1530"/>
      <c r="AM132" s="1530"/>
      <c r="AN132" s="1530"/>
      <c r="AO132" s="1530"/>
      <c r="AP132" s="1530"/>
      <c r="AQ132" s="1530"/>
      <c r="AR132" s="1530"/>
      <c r="AS132" s="1530"/>
      <c r="AT132" s="1530"/>
      <c r="AU132" s="1530"/>
      <c r="AV132" s="1530"/>
      <c r="AW132" s="1530"/>
      <c r="AX132" s="1530"/>
      <c r="AY132" s="1530"/>
      <c r="AZ132" s="1530"/>
      <c r="BA132" s="1530"/>
      <c r="BB132" s="1530"/>
      <c r="BC132" s="1530"/>
      <c r="BD132" s="1530"/>
      <c r="BE132" s="1530"/>
      <c r="BF132" s="1530"/>
      <c r="BG132" s="1530"/>
      <c r="BH132" s="1530"/>
      <c r="BI132" s="1530"/>
      <c r="BJ132" s="1530"/>
      <c r="BK132" s="1530"/>
      <c r="BL132" s="1530"/>
      <c r="BM132" s="1530"/>
      <c r="BN132" s="1530"/>
      <c r="BW132" s="1569"/>
      <c r="BX132" s="1530"/>
      <c r="BY132" s="1530"/>
      <c r="BZ132" s="1530"/>
      <c r="CA132" s="1530"/>
      <c r="CB132" s="1530"/>
      <c r="CC132" s="1530"/>
      <c r="CD132" s="1530"/>
      <c r="CE132" s="1530"/>
      <c r="CF132" s="1530"/>
      <c r="CG132" s="1530"/>
      <c r="CH132" s="1530"/>
      <c r="CI132" s="1530"/>
      <c r="CJ132" s="1530"/>
      <c r="CK132" s="1530"/>
      <c r="CL132" s="1530"/>
      <c r="CM132" s="1530"/>
      <c r="CN132" s="1570"/>
      <c r="CO132" s="1530"/>
      <c r="CP132" s="1530"/>
      <c r="CQ132" s="1530"/>
      <c r="CR132" s="1530"/>
      <c r="CS132" s="1530"/>
      <c r="CT132" s="1530"/>
      <c r="CU132" s="1530"/>
      <c r="CV132" s="1530"/>
      <c r="CW132" s="1530"/>
      <c r="CX132" s="1530"/>
      <c r="CY132" s="1530"/>
      <c r="CZ132" s="1530"/>
      <c r="DA132" s="1530"/>
      <c r="DB132" s="1530"/>
      <c r="DC132" s="1530"/>
      <c r="DD132" s="1530"/>
      <c r="DE132" s="1530"/>
      <c r="DF132" s="1530"/>
      <c r="DG132" s="1530"/>
      <c r="DH132" s="1530"/>
      <c r="DI132" s="1530"/>
      <c r="DJ132" s="1530"/>
      <c r="DK132" s="1530"/>
      <c r="DL132" s="1530"/>
      <c r="DM132" s="1530"/>
      <c r="DN132" s="1571"/>
      <c r="DO132" s="1530"/>
      <c r="DP132" s="1530"/>
    </row>
    <row r="133" spans="1:120">
      <c r="A133" s="1451"/>
      <c r="C133" s="1451"/>
      <c r="K133" s="1451"/>
      <c r="L133" s="1451"/>
      <c r="U133" s="1530"/>
      <c r="V133" s="1530"/>
      <c r="W133" s="1530"/>
      <c r="X133" s="1530"/>
      <c r="Y133" s="1530"/>
      <c r="Z133" s="1530"/>
      <c r="AA133" s="1530"/>
      <c r="AB133" s="1530"/>
      <c r="AC133" s="1530"/>
      <c r="AD133" s="1530"/>
      <c r="AE133" s="1530"/>
      <c r="AF133" s="1530"/>
      <c r="AG133" s="1530"/>
      <c r="AH133" s="1530"/>
      <c r="AI133" s="1530"/>
      <c r="AJ133" s="1530"/>
      <c r="AK133" s="1530"/>
      <c r="AL133" s="1530"/>
      <c r="AM133" s="1530"/>
      <c r="AN133" s="1530"/>
      <c r="AO133" s="1530"/>
      <c r="AP133" s="1530"/>
      <c r="AQ133" s="1530"/>
      <c r="AR133" s="1530"/>
      <c r="AS133" s="1530"/>
      <c r="AT133" s="1530"/>
      <c r="AU133" s="1530"/>
      <c r="AV133" s="1530"/>
      <c r="AW133" s="1530"/>
      <c r="AX133" s="1530"/>
      <c r="AY133" s="1530"/>
      <c r="AZ133" s="1530"/>
      <c r="BA133" s="1530"/>
      <c r="BB133" s="1530"/>
      <c r="BC133" s="1530"/>
      <c r="BD133" s="1530"/>
      <c r="BE133" s="1530"/>
      <c r="BF133" s="1530"/>
      <c r="BG133" s="1530"/>
      <c r="BH133" s="1530"/>
      <c r="BI133" s="1530"/>
      <c r="BJ133" s="1530"/>
      <c r="BK133" s="1530"/>
      <c r="BL133" s="1530"/>
      <c r="BM133" s="1530"/>
      <c r="BN133" s="1530"/>
      <c r="BW133" s="1569"/>
      <c r="BX133" s="1530"/>
      <c r="BY133" s="1530"/>
      <c r="BZ133" s="1530"/>
      <c r="CA133" s="1530"/>
      <c r="CB133" s="1530"/>
      <c r="CC133" s="1530"/>
      <c r="CD133" s="1530"/>
      <c r="CE133" s="1530"/>
      <c r="CF133" s="1530"/>
      <c r="CG133" s="1530"/>
      <c r="CH133" s="1530"/>
      <c r="CI133" s="1530"/>
      <c r="CJ133" s="1530"/>
      <c r="CK133" s="1530"/>
      <c r="CL133" s="1530"/>
      <c r="CM133" s="1530"/>
      <c r="CN133" s="1570"/>
      <c r="CO133" s="1530"/>
      <c r="CP133" s="1530"/>
      <c r="CQ133" s="1530"/>
      <c r="CR133" s="1530"/>
      <c r="CS133" s="1530"/>
      <c r="CT133" s="1530"/>
      <c r="CU133" s="1530"/>
      <c r="CV133" s="1530"/>
      <c r="CW133" s="1530"/>
      <c r="CX133" s="1530"/>
      <c r="CY133" s="1530"/>
      <c r="CZ133" s="1530"/>
      <c r="DA133" s="1530"/>
      <c r="DB133" s="1530"/>
      <c r="DC133" s="1530"/>
      <c r="DD133" s="1530"/>
      <c r="DE133" s="1530"/>
      <c r="DF133" s="1530"/>
      <c r="DG133" s="1530"/>
      <c r="DH133" s="1530"/>
      <c r="DI133" s="1530"/>
      <c r="DJ133" s="1530"/>
      <c r="DK133" s="1530"/>
      <c r="DL133" s="1530"/>
      <c r="DM133" s="1530"/>
      <c r="DN133" s="1571"/>
      <c r="DO133" s="1530"/>
      <c r="DP133" s="1530"/>
    </row>
    <row r="134" spans="1:120">
      <c r="A134" s="1451"/>
      <c r="C134" s="1451"/>
      <c r="K134" s="1451"/>
      <c r="L134" s="1451"/>
      <c r="U134" s="1530"/>
      <c r="V134" s="1530"/>
      <c r="W134" s="1530"/>
      <c r="X134" s="1530"/>
      <c r="Y134" s="1530"/>
      <c r="Z134" s="1530"/>
      <c r="AA134" s="1530"/>
      <c r="AB134" s="1530"/>
      <c r="AC134" s="1530"/>
      <c r="AD134" s="1530"/>
      <c r="AE134" s="1530"/>
      <c r="AF134" s="1530"/>
      <c r="AG134" s="1530"/>
      <c r="AH134" s="1530"/>
      <c r="AI134" s="1530"/>
      <c r="AJ134" s="1530"/>
      <c r="AK134" s="1530"/>
      <c r="AL134" s="1530"/>
      <c r="AM134" s="1530"/>
      <c r="AN134" s="1530"/>
      <c r="AO134" s="1530"/>
      <c r="AP134" s="1530"/>
      <c r="AQ134" s="1530"/>
      <c r="AR134" s="1530"/>
      <c r="AS134" s="1530"/>
      <c r="AT134" s="1530"/>
      <c r="AU134" s="1530"/>
      <c r="AV134" s="1530"/>
      <c r="AW134" s="1530"/>
      <c r="AX134" s="1530"/>
      <c r="AY134" s="1530"/>
      <c r="AZ134" s="1530"/>
      <c r="BA134" s="1530"/>
      <c r="BB134" s="1530"/>
      <c r="BC134" s="1530"/>
      <c r="BD134" s="1530"/>
      <c r="BE134" s="1530"/>
      <c r="BF134" s="1530"/>
      <c r="BG134" s="1530"/>
      <c r="BH134" s="1530"/>
      <c r="BI134" s="1530"/>
      <c r="BJ134" s="1530"/>
      <c r="BK134" s="1530"/>
      <c r="BL134" s="1530"/>
      <c r="BM134" s="1530"/>
      <c r="BN134" s="1530"/>
      <c r="BW134" s="1569"/>
      <c r="BX134" s="1530"/>
      <c r="BY134" s="1530"/>
      <c r="BZ134" s="1530"/>
      <c r="CA134" s="1530"/>
      <c r="CB134" s="1530"/>
      <c r="CC134" s="1530"/>
      <c r="CD134" s="1530"/>
      <c r="CE134" s="1530"/>
      <c r="CF134" s="1530"/>
      <c r="CG134" s="1530"/>
      <c r="CH134" s="1530"/>
      <c r="CI134" s="1530"/>
      <c r="CJ134" s="1530"/>
      <c r="CK134" s="1530"/>
      <c r="CL134" s="1530"/>
      <c r="CM134" s="1530"/>
      <c r="CN134" s="1570"/>
      <c r="CO134" s="1530"/>
      <c r="CP134" s="1530"/>
      <c r="CQ134" s="1530"/>
      <c r="CR134" s="1530"/>
      <c r="CS134" s="1530"/>
      <c r="CT134" s="1530"/>
      <c r="CU134" s="1530"/>
      <c r="CV134" s="1530"/>
      <c r="CW134" s="1530"/>
      <c r="CX134" s="1530"/>
      <c r="CY134" s="1530"/>
      <c r="CZ134" s="1530"/>
      <c r="DA134" s="1530"/>
      <c r="DB134" s="1530"/>
      <c r="DC134" s="1530"/>
      <c r="DD134" s="1530"/>
      <c r="DE134" s="1530"/>
      <c r="DF134" s="1530"/>
      <c r="DG134" s="1530"/>
      <c r="DH134" s="1530"/>
      <c r="DI134" s="1530"/>
      <c r="DJ134" s="1530"/>
      <c r="DK134" s="1530"/>
      <c r="DL134" s="1530"/>
      <c r="DM134" s="1530"/>
      <c r="DN134" s="1571"/>
      <c r="DO134" s="1530"/>
      <c r="DP134" s="1530"/>
    </row>
    <row r="135" spans="1:120">
      <c r="A135" s="1451"/>
      <c r="C135" s="1451"/>
      <c r="K135" s="1451"/>
      <c r="L135" s="1451"/>
      <c r="U135" s="1530"/>
      <c r="V135" s="1530"/>
      <c r="W135" s="1530"/>
      <c r="X135" s="1530"/>
      <c r="Y135" s="1530"/>
      <c r="Z135" s="1530"/>
      <c r="AA135" s="1530"/>
      <c r="AB135" s="1530"/>
      <c r="AC135" s="1530"/>
      <c r="AD135" s="1530"/>
      <c r="AE135" s="1530"/>
      <c r="AF135" s="1530"/>
      <c r="AG135" s="1530"/>
      <c r="AH135" s="1530"/>
      <c r="AI135" s="1530"/>
      <c r="AJ135" s="1530"/>
      <c r="AK135" s="1530"/>
      <c r="AL135" s="1530"/>
      <c r="AM135" s="1530"/>
      <c r="AN135" s="1530"/>
      <c r="AO135" s="1530"/>
      <c r="AP135" s="1530"/>
      <c r="AQ135" s="1530"/>
      <c r="AR135" s="1530"/>
      <c r="AS135" s="1530"/>
      <c r="AT135" s="1530"/>
      <c r="AU135" s="1530"/>
      <c r="AV135" s="1530"/>
      <c r="AW135" s="1530"/>
      <c r="AX135" s="1530"/>
      <c r="AY135" s="1530"/>
      <c r="AZ135" s="1530"/>
      <c r="BA135" s="1530"/>
      <c r="BB135" s="1530"/>
      <c r="BC135" s="1530"/>
      <c r="BD135" s="1530"/>
      <c r="BE135" s="1530"/>
      <c r="BF135" s="1530"/>
      <c r="BG135" s="1530"/>
      <c r="BH135" s="1530"/>
      <c r="BI135" s="1530"/>
      <c r="BJ135" s="1530"/>
      <c r="BK135" s="1530"/>
      <c r="BL135" s="1530"/>
      <c r="BM135" s="1530"/>
      <c r="BN135" s="1530"/>
      <c r="BW135" s="1569"/>
      <c r="BX135" s="1530"/>
      <c r="BY135" s="1530"/>
      <c r="BZ135" s="1530"/>
      <c r="CA135" s="1530"/>
      <c r="CB135" s="1530"/>
      <c r="CC135" s="1530"/>
      <c r="CD135" s="1530"/>
      <c r="CE135" s="1530"/>
      <c r="CF135" s="1530"/>
      <c r="CG135" s="1530"/>
      <c r="CH135" s="1530"/>
      <c r="CI135" s="1530"/>
      <c r="CJ135" s="1530"/>
      <c r="CK135" s="1530"/>
      <c r="CL135" s="1530"/>
      <c r="CM135" s="1530"/>
      <c r="CN135" s="1570"/>
      <c r="CO135" s="1530"/>
      <c r="CP135" s="1530"/>
      <c r="CQ135" s="1530"/>
      <c r="CR135" s="1530"/>
      <c r="CS135" s="1530"/>
      <c r="CT135" s="1530"/>
      <c r="CU135" s="1530"/>
      <c r="CV135" s="1530"/>
      <c r="CW135" s="1530"/>
      <c r="CX135" s="1530"/>
      <c r="CY135" s="1530"/>
      <c r="CZ135" s="1530"/>
      <c r="DA135" s="1530"/>
      <c r="DB135" s="1530"/>
      <c r="DC135" s="1530"/>
      <c r="DD135" s="1530"/>
      <c r="DE135" s="1530"/>
      <c r="DF135" s="1530"/>
      <c r="DG135" s="1530"/>
      <c r="DH135" s="1530"/>
      <c r="DI135" s="1530"/>
      <c r="DJ135" s="1530"/>
      <c r="DK135" s="1530"/>
      <c r="DL135" s="1530"/>
      <c r="DM135" s="1530"/>
      <c r="DN135" s="1571"/>
      <c r="DO135" s="1530"/>
      <c r="DP135" s="1530"/>
    </row>
    <row r="136" spans="1:120">
      <c r="A136" s="1451"/>
      <c r="C136" s="1451"/>
      <c r="K136" s="1451"/>
      <c r="L136" s="1451"/>
      <c r="U136" s="1530"/>
      <c r="V136" s="1530"/>
      <c r="W136" s="1530"/>
      <c r="X136" s="1530"/>
      <c r="Y136" s="1530"/>
      <c r="Z136" s="1530"/>
      <c r="AA136" s="1530"/>
      <c r="AB136" s="1530"/>
      <c r="AC136" s="1530"/>
      <c r="AD136" s="1530"/>
      <c r="AE136" s="1530"/>
      <c r="AF136" s="1530"/>
      <c r="AG136" s="1530"/>
      <c r="AH136" s="1530"/>
      <c r="AI136" s="1530"/>
      <c r="AJ136" s="1530"/>
      <c r="AK136" s="1530"/>
      <c r="AL136" s="1530"/>
      <c r="AM136" s="1530"/>
      <c r="AN136" s="1530"/>
      <c r="AO136" s="1530"/>
      <c r="AP136" s="1530"/>
      <c r="AQ136" s="1530"/>
      <c r="AR136" s="1530"/>
      <c r="AS136" s="1530"/>
      <c r="AT136" s="1530"/>
      <c r="AU136" s="1530"/>
      <c r="AV136" s="1530"/>
      <c r="AW136" s="1530"/>
      <c r="AX136" s="1530"/>
      <c r="AY136" s="1530"/>
      <c r="AZ136" s="1530"/>
      <c r="BA136" s="1530"/>
      <c r="BB136" s="1530"/>
      <c r="BC136" s="1530"/>
      <c r="BD136" s="1530"/>
      <c r="BE136" s="1530"/>
      <c r="BF136" s="1530"/>
      <c r="BG136" s="1530"/>
      <c r="BH136" s="1530"/>
      <c r="BI136" s="1530"/>
      <c r="BJ136" s="1530"/>
      <c r="BK136" s="1530"/>
      <c r="BL136" s="1530"/>
      <c r="BM136" s="1530"/>
      <c r="BN136" s="1530"/>
      <c r="BW136" s="1569"/>
      <c r="BX136" s="1530"/>
      <c r="BY136" s="1530"/>
      <c r="BZ136" s="1530"/>
      <c r="CA136" s="1530"/>
      <c r="CB136" s="1530"/>
      <c r="CC136" s="1530"/>
      <c r="CD136" s="1530"/>
      <c r="CE136" s="1530"/>
      <c r="CF136" s="1530"/>
      <c r="CG136" s="1530"/>
      <c r="CH136" s="1530"/>
      <c r="CI136" s="1530"/>
      <c r="CJ136" s="1530"/>
      <c r="CK136" s="1530"/>
      <c r="CL136" s="1530"/>
      <c r="CM136" s="1530"/>
      <c r="CN136" s="1570"/>
      <c r="CO136" s="1530"/>
      <c r="CP136" s="1530"/>
      <c r="CQ136" s="1530"/>
      <c r="CR136" s="1530"/>
      <c r="CS136" s="1530"/>
      <c r="CT136" s="1530"/>
      <c r="CU136" s="1530"/>
      <c r="CV136" s="1530"/>
      <c r="CW136" s="1530"/>
      <c r="CX136" s="1530"/>
      <c r="CY136" s="1530"/>
      <c r="CZ136" s="1530"/>
      <c r="DA136" s="1530"/>
      <c r="DB136" s="1530"/>
      <c r="DC136" s="1530"/>
      <c r="DD136" s="1530"/>
      <c r="DE136" s="1530"/>
      <c r="DF136" s="1530"/>
      <c r="DG136" s="1530"/>
      <c r="DH136" s="1530"/>
      <c r="DI136" s="1530"/>
      <c r="DJ136" s="1530"/>
      <c r="DK136" s="1530"/>
      <c r="DL136" s="1530"/>
      <c r="DM136" s="1530"/>
      <c r="DN136" s="1571"/>
      <c r="DO136" s="1530"/>
      <c r="DP136" s="1530"/>
    </row>
    <row r="137" spans="1:120">
      <c r="A137" s="1451"/>
      <c r="C137" s="1451"/>
      <c r="K137" s="1451"/>
      <c r="L137" s="1451"/>
      <c r="U137" s="1530"/>
      <c r="V137" s="1530"/>
      <c r="W137" s="1530"/>
      <c r="X137" s="1530"/>
      <c r="Y137" s="1530"/>
      <c r="Z137" s="1530"/>
      <c r="AA137" s="1530"/>
      <c r="AB137" s="1530"/>
      <c r="AC137" s="1530"/>
      <c r="AD137" s="1530"/>
      <c r="AE137" s="1530"/>
      <c r="AF137" s="1530"/>
      <c r="AG137" s="1530"/>
      <c r="AH137" s="1530"/>
      <c r="AI137" s="1530"/>
      <c r="AJ137" s="1530"/>
      <c r="AK137" s="1530"/>
      <c r="AL137" s="1530"/>
      <c r="AM137" s="1530"/>
      <c r="AN137" s="1530"/>
      <c r="AO137" s="1530"/>
      <c r="AP137" s="1530"/>
      <c r="AQ137" s="1530"/>
      <c r="AR137" s="1530"/>
      <c r="AS137" s="1530"/>
      <c r="AT137" s="1530"/>
      <c r="AU137" s="1530"/>
      <c r="AV137" s="1530"/>
      <c r="AW137" s="1530"/>
      <c r="AX137" s="1530"/>
      <c r="AY137" s="1530"/>
      <c r="AZ137" s="1530"/>
      <c r="BA137" s="1530"/>
      <c r="BB137" s="1530"/>
      <c r="BC137" s="1530"/>
      <c r="BD137" s="1530"/>
      <c r="BE137" s="1530"/>
      <c r="BF137" s="1530"/>
      <c r="BG137" s="1530"/>
      <c r="BH137" s="1530"/>
      <c r="BI137" s="1530"/>
      <c r="BJ137" s="1530"/>
      <c r="BK137" s="1530"/>
      <c r="BL137" s="1530"/>
      <c r="BM137" s="1530"/>
      <c r="BN137" s="1530"/>
      <c r="BW137" s="1569"/>
      <c r="BX137" s="1530"/>
      <c r="BY137" s="1530"/>
      <c r="BZ137" s="1530"/>
      <c r="CA137" s="1530"/>
      <c r="CB137" s="1530"/>
      <c r="CC137" s="1530"/>
      <c r="CD137" s="1530"/>
      <c r="CE137" s="1530"/>
      <c r="CF137" s="1530"/>
      <c r="CG137" s="1530"/>
      <c r="CH137" s="1530"/>
      <c r="CI137" s="1530"/>
      <c r="CJ137" s="1530"/>
      <c r="CK137" s="1530"/>
      <c r="CL137" s="1530"/>
      <c r="CM137" s="1530"/>
      <c r="CN137" s="1570"/>
      <c r="CO137" s="1530"/>
      <c r="CP137" s="1530"/>
      <c r="CQ137" s="1530"/>
      <c r="CR137" s="1530"/>
      <c r="CS137" s="1530"/>
      <c r="CT137" s="1530"/>
      <c r="CU137" s="1530"/>
      <c r="CV137" s="1530"/>
      <c r="CW137" s="1530"/>
      <c r="CX137" s="1530"/>
      <c r="CY137" s="1530"/>
      <c r="CZ137" s="1530"/>
      <c r="DA137" s="1530"/>
      <c r="DB137" s="1530"/>
      <c r="DC137" s="1530"/>
      <c r="DD137" s="1530"/>
      <c r="DE137" s="1530"/>
      <c r="DF137" s="1530"/>
      <c r="DG137" s="1530"/>
      <c r="DH137" s="1530"/>
      <c r="DI137" s="1530"/>
      <c r="DJ137" s="1530"/>
      <c r="DK137" s="1530"/>
      <c r="DL137" s="1530"/>
      <c r="DM137" s="1530"/>
      <c r="DN137" s="1571"/>
      <c r="DO137" s="1530"/>
      <c r="DP137" s="1530"/>
    </row>
    <row r="138" spans="1:120">
      <c r="A138" s="1451"/>
      <c r="C138" s="1451"/>
      <c r="K138" s="1451"/>
      <c r="L138" s="1451"/>
      <c r="U138" s="1530"/>
      <c r="V138" s="1530"/>
      <c r="W138" s="1530"/>
      <c r="X138" s="1530"/>
      <c r="Y138" s="1530"/>
      <c r="Z138" s="1530"/>
      <c r="AA138" s="1530"/>
      <c r="AB138" s="1530"/>
      <c r="AC138" s="1530"/>
      <c r="AD138" s="1530"/>
      <c r="AE138" s="1530"/>
      <c r="AF138" s="1530"/>
      <c r="AG138" s="1530"/>
      <c r="AH138" s="1530"/>
      <c r="AI138" s="1530"/>
      <c r="AJ138" s="1530"/>
      <c r="AK138" s="1530"/>
      <c r="AL138" s="1530"/>
      <c r="AM138" s="1530"/>
      <c r="AN138" s="1530"/>
      <c r="AO138" s="1530"/>
      <c r="AP138" s="1530"/>
      <c r="AQ138" s="1530"/>
      <c r="AR138" s="1530"/>
      <c r="AS138" s="1530"/>
      <c r="AT138" s="1530"/>
      <c r="AU138" s="1530"/>
      <c r="AV138" s="1530"/>
      <c r="AW138" s="1530"/>
      <c r="AX138" s="1530"/>
      <c r="AY138" s="1530"/>
      <c r="AZ138" s="1530"/>
      <c r="BA138" s="1530"/>
      <c r="BB138" s="1530"/>
      <c r="BC138" s="1530"/>
      <c r="BD138" s="1530"/>
      <c r="BE138" s="1530"/>
      <c r="BF138" s="1530"/>
      <c r="BG138" s="1530"/>
      <c r="BH138" s="1530"/>
      <c r="BI138" s="1530"/>
      <c r="BJ138" s="1530"/>
      <c r="BK138" s="1530"/>
      <c r="BL138" s="1530"/>
      <c r="BM138" s="1530"/>
      <c r="BN138" s="1530"/>
      <c r="BW138" s="1569"/>
      <c r="BX138" s="1530"/>
      <c r="BY138" s="1530"/>
      <c r="BZ138" s="1530"/>
      <c r="CA138" s="1530"/>
      <c r="CB138" s="1530"/>
      <c r="CC138" s="1530"/>
      <c r="CD138" s="1530"/>
      <c r="CE138" s="1530"/>
      <c r="CF138" s="1530"/>
      <c r="CG138" s="1530"/>
      <c r="CH138" s="1530"/>
      <c r="CI138" s="1530"/>
      <c r="CJ138" s="1530"/>
      <c r="CK138" s="1530"/>
      <c r="CL138" s="1530"/>
      <c r="CM138" s="1530"/>
      <c r="CN138" s="1570"/>
      <c r="CO138" s="1530"/>
      <c r="CP138" s="1530"/>
      <c r="CQ138" s="1530"/>
      <c r="CR138" s="1530"/>
      <c r="CS138" s="1530"/>
      <c r="CT138" s="1530"/>
      <c r="CU138" s="1530"/>
      <c r="CV138" s="1530"/>
      <c r="CW138" s="1530"/>
      <c r="CX138" s="1530"/>
      <c r="CY138" s="1530"/>
      <c r="CZ138" s="1530"/>
      <c r="DA138" s="1530"/>
      <c r="DB138" s="1530"/>
      <c r="DC138" s="1530"/>
      <c r="DD138" s="1530"/>
      <c r="DE138" s="1530"/>
      <c r="DF138" s="1530"/>
      <c r="DG138" s="1530"/>
      <c r="DH138" s="1530"/>
      <c r="DI138" s="1530"/>
      <c r="DJ138" s="1530"/>
      <c r="DK138" s="1530"/>
      <c r="DL138" s="1530"/>
      <c r="DM138" s="1530"/>
      <c r="DN138" s="1571"/>
      <c r="DO138" s="1530"/>
      <c r="DP138" s="1530"/>
    </row>
    <row r="139" spans="1:120">
      <c r="A139" s="1451"/>
      <c r="C139" s="1451"/>
      <c r="K139" s="1451"/>
      <c r="L139" s="1451"/>
      <c r="U139" s="1530"/>
      <c r="V139" s="1530"/>
      <c r="W139" s="1530"/>
      <c r="X139" s="1530"/>
      <c r="Y139" s="1530"/>
      <c r="Z139" s="1530"/>
      <c r="AA139" s="1530"/>
      <c r="AB139" s="1530"/>
      <c r="AC139" s="1530"/>
      <c r="AD139" s="1530"/>
      <c r="AE139" s="1530"/>
      <c r="AF139" s="1530"/>
      <c r="AG139" s="1530"/>
      <c r="AH139" s="1530"/>
      <c r="AI139" s="1530"/>
      <c r="AJ139" s="1530"/>
      <c r="AK139" s="1530"/>
      <c r="AL139" s="1530"/>
      <c r="AM139" s="1530"/>
      <c r="AN139" s="1530"/>
      <c r="AO139" s="1530"/>
      <c r="AP139" s="1530"/>
      <c r="AQ139" s="1530"/>
      <c r="AR139" s="1530"/>
      <c r="AS139" s="1530"/>
      <c r="AT139" s="1530"/>
      <c r="AU139" s="1530"/>
      <c r="AV139" s="1530"/>
      <c r="AW139" s="1530"/>
      <c r="AX139" s="1530"/>
      <c r="AY139" s="1530"/>
      <c r="AZ139" s="1530"/>
      <c r="BA139" s="1530"/>
      <c r="BB139" s="1530"/>
      <c r="BC139" s="1530"/>
      <c r="BD139" s="1530"/>
      <c r="BE139" s="1530"/>
      <c r="BF139" s="1530"/>
      <c r="BG139" s="1530"/>
      <c r="BH139" s="1530"/>
      <c r="BI139" s="1530"/>
      <c r="BJ139" s="1530"/>
      <c r="BK139" s="1530"/>
      <c r="BL139" s="1530"/>
      <c r="BM139" s="1530"/>
      <c r="BN139" s="1530"/>
      <c r="BW139" s="1569"/>
      <c r="BX139" s="1530"/>
      <c r="BY139" s="1530"/>
      <c r="BZ139" s="1530"/>
      <c r="CA139" s="1530"/>
      <c r="CB139" s="1530"/>
      <c r="CC139" s="1530"/>
      <c r="CD139" s="1530"/>
      <c r="CE139" s="1530"/>
      <c r="CF139" s="1530"/>
      <c r="CG139" s="1530"/>
      <c r="CH139" s="1530"/>
      <c r="CI139" s="1530"/>
      <c r="CJ139" s="1530"/>
      <c r="CK139" s="1530"/>
      <c r="CL139" s="1530"/>
      <c r="CM139" s="1530"/>
      <c r="CN139" s="1570"/>
      <c r="CO139" s="1530"/>
      <c r="CP139" s="1530"/>
      <c r="CQ139" s="1530"/>
      <c r="CR139" s="1530"/>
      <c r="CS139" s="1530"/>
      <c r="CT139" s="1530"/>
      <c r="CU139" s="1530"/>
      <c r="CV139" s="1530"/>
      <c r="CW139" s="1530"/>
      <c r="CX139" s="1530"/>
      <c r="CY139" s="1530"/>
      <c r="CZ139" s="1530"/>
      <c r="DA139" s="1530"/>
      <c r="DB139" s="1530"/>
      <c r="DC139" s="1530"/>
      <c r="DD139" s="1530"/>
      <c r="DE139" s="1530"/>
      <c r="DF139" s="1530"/>
      <c r="DG139" s="1530"/>
      <c r="DH139" s="1530"/>
      <c r="DI139" s="1530"/>
      <c r="DJ139" s="1530"/>
      <c r="DK139" s="1530"/>
      <c r="DL139" s="1530"/>
      <c r="DM139" s="1530"/>
      <c r="DN139" s="1571"/>
      <c r="DO139" s="1530"/>
      <c r="DP139" s="1530"/>
    </row>
    <row r="140" spans="1:120">
      <c r="A140" s="1451"/>
      <c r="C140" s="1451"/>
      <c r="K140" s="1451"/>
      <c r="L140" s="1451"/>
      <c r="U140" s="1530"/>
      <c r="V140" s="1530"/>
      <c r="W140" s="1530"/>
      <c r="X140" s="1530"/>
      <c r="Y140" s="1530"/>
      <c r="Z140" s="1530"/>
      <c r="AA140" s="1530"/>
      <c r="AB140" s="1530"/>
      <c r="AC140" s="1530"/>
      <c r="AD140" s="1530"/>
      <c r="AE140" s="1530"/>
      <c r="AF140" s="1530"/>
      <c r="AG140" s="1530"/>
      <c r="AH140" s="1530"/>
      <c r="AI140" s="1530"/>
      <c r="AJ140" s="1530"/>
      <c r="AK140" s="1530"/>
      <c r="AL140" s="1530"/>
      <c r="AM140" s="1530"/>
      <c r="AN140" s="1530"/>
      <c r="AO140" s="1530"/>
      <c r="AP140" s="1530"/>
      <c r="AQ140" s="1530"/>
      <c r="AR140" s="1530"/>
      <c r="AS140" s="1530"/>
      <c r="AT140" s="1530"/>
      <c r="AU140" s="1530"/>
      <c r="AV140" s="1530"/>
      <c r="AW140" s="1530"/>
      <c r="AX140" s="1530"/>
      <c r="AY140" s="1530"/>
      <c r="AZ140" s="1530"/>
      <c r="BA140" s="1530"/>
      <c r="BB140" s="1530"/>
      <c r="BC140" s="1530"/>
      <c r="BD140" s="1530"/>
      <c r="BE140" s="1530"/>
      <c r="BF140" s="1530"/>
      <c r="BG140" s="1530"/>
      <c r="BH140" s="1530"/>
      <c r="BI140" s="1530"/>
      <c r="BJ140" s="1530"/>
      <c r="BK140" s="1530"/>
      <c r="BL140" s="1530"/>
      <c r="BM140" s="1530"/>
      <c r="BN140" s="1530"/>
      <c r="BW140" s="1569"/>
      <c r="BX140" s="1530"/>
      <c r="BY140" s="1530"/>
      <c r="BZ140" s="1530"/>
      <c r="CA140" s="1530"/>
      <c r="CB140" s="1530"/>
      <c r="CC140" s="1530"/>
      <c r="CD140" s="1530"/>
      <c r="CE140" s="1530"/>
      <c r="CF140" s="1530"/>
      <c r="CG140" s="1530"/>
      <c r="CH140" s="1530"/>
      <c r="CI140" s="1530"/>
      <c r="CJ140" s="1530"/>
      <c r="CK140" s="1530"/>
      <c r="CL140" s="1530"/>
      <c r="CM140" s="1530"/>
      <c r="CN140" s="1570"/>
      <c r="CO140" s="1530"/>
      <c r="CP140" s="1530"/>
      <c r="CQ140" s="1530"/>
      <c r="CR140" s="1530"/>
      <c r="CS140" s="1530"/>
      <c r="CT140" s="1530"/>
      <c r="CU140" s="1530"/>
      <c r="CV140" s="1530"/>
      <c r="CW140" s="1530"/>
      <c r="CX140" s="1530"/>
      <c r="CY140" s="1530"/>
      <c r="CZ140" s="1530"/>
      <c r="DA140" s="1530"/>
      <c r="DB140" s="1530"/>
      <c r="DC140" s="1530"/>
      <c r="DD140" s="1530"/>
      <c r="DE140" s="1530"/>
      <c r="DF140" s="1530"/>
      <c r="DG140" s="1530"/>
      <c r="DH140" s="1530"/>
      <c r="DI140" s="1530"/>
      <c r="DJ140" s="1530"/>
      <c r="DK140" s="1530"/>
      <c r="DL140" s="1530"/>
      <c r="DM140" s="1530"/>
      <c r="DN140" s="1571"/>
      <c r="DO140" s="1530"/>
      <c r="DP140" s="1530"/>
    </row>
    <row r="141" spans="1:120">
      <c r="A141" s="1451"/>
      <c r="C141" s="1451"/>
      <c r="K141" s="1451"/>
      <c r="L141" s="1451"/>
      <c r="U141" s="1530"/>
      <c r="V141" s="1530"/>
      <c r="W141" s="1530"/>
      <c r="X141" s="1530"/>
      <c r="Y141" s="1530"/>
      <c r="Z141" s="1530"/>
      <c r="AA141" s="1530"/>
      <c r="AB141" s="1530"/>
      <c r="AC141" s="1530"/>
      <c r="AD141" s="1530"/>
      <c r="AE141" s="1530"/>
      <c r="AF141" s="1530"/>
      <c r="AG141" s="1530"/>
      <c r="AH141" s="1530"/>
      <c r="AI141" s="1530"/>
      <c r="AJ141" s="1530"/>
      <c r="AK141" s="1530"/>
      <c r="AL141" s="1530"/>
      <c r="AM141" s="1530"/>
      <c r="AN141" s="1530"/>
      <c r="AO141" s="1530"/>
      <c r="AP141" s="1530"/>
      <c r="AQ141" s="1530"/>
      <c r="AR141" s="1530"/>
      <c r="AS141" s="1530"/>
      <c r="AT141" s="1530"/>
      <c r="AU141" s="1530"/>
      <c r="AV141" s="1530"/>
      <c r="AW141" s="1530"/>
      <c r="AX141" s="1530"/>
      <c r="AY141" s="1530"/>
      <c r="AZ141" s="1530"/>
      <c r="BA141" s="1530"/>
      <c r="BB141" s="1530"/>
      <c r="BC141" s="1530"/>
      <c r="BD141" s="1530"/>
      <c r="BE141" s="1530"/>
      <c r="BF141" s="1530"/>
      <c r="BG141" s="1530"/>
      <c r="BH141" s="1530"/>
      <c r="BI141" s="1530"/>
      <c r="BJ141" s="1530"/>
      <c r="BK141" s="1530"/>
      <c r="BL141" s="1530"/>
      <c r="BM141" s="1530"/>
      <c r="BN141" s="1530"/>
      <c r="BW141" s="1569"/>
      <c r="BX141" s="1530"/>
      <c r="BY141" s="1530"/>
      <c r="BZ141" s="1530"/>
      <c r="CA141" s="1530"/>
      <c r="CB141" s="1530"/>
      <c r="CC141" s="1530"/>
      <c r="CD141" s="1530"/>
      <c r="CE141" s="1530"/>
      <c r="CF141" s="1530"/>
      <c r="CG141" s="1530"/>
      <c r="CH141" s="1530"/>
      <c r="CI141" s="1530"/>
      <c r="CJ141" s="1530"/>
      <c r="CK141" s="1530"/>
      <c r="CL141" s="1530"/>
      <c r="CM141" s="1530"/>
      <c r="CN141" s="1570"/>
      <c r="CO141" s="1530"/>
      <c r="CP141" s="1530"/>
      <c r="CQ141" s="1530"/>
      <c r="CR141" s="1530"/>
      <c r="CS141" s="1530"/>
      <c r="CT141" s="1530"/>
      <c r="CU141" s="1530"/>
      <c r="CV141" s="1530"/>
      <c r="CW141" s="1530"/>
      <c r="CX141" s="1530"/>
      <c r="CY141" s="1530"/>
      <c r="CZ141" s="1530"/>
      <c r="DA141" s="1530"/>
      <c r="DB141" s="1530"/>
      <c r="DC141" s="1530"/>
      <c r="DD141" s="1530"/>
      <c r="DE141" s="1530"/>
      <c r="DF141" s="1530"/>
      <c r="DG141" s="1530"/>
      <c r="DH141" s="1530"/>
      <c r="DI141" s="1530"/>
      <c r="DJ141" s="1530"/>
      <c r="DK141" s="1530"/>
      <c r="DL141" s="1530"/>
      <c r="DM141" s="1530"/>
      <c r="DN141" s="1571"/>
      <c r="DO141" s="1530"/>
      <c r="DP141" s="1530"/>
    </row>
    <row r="142" spans="1:120">
      <c r="A142" s="1451"/>
      <c r="C142" s="1451"/>
      <c r="K142" s="1451"/>
      <c r="L142" s="1451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530"/>
      <c r="AK142" s="1530"/>
      <c r="AL142" s="1530"/>
      <c r="AM142" s="1530"/>
      <c r="AN142" s="1530"/>
      <c r="AO142" s="1530"/>
      <c r="AP142" s="1530"/>
      <c r="AQ142" s="1530"/>
      <c r="AR142" s="1530"/>
      <c r="AS142" s="1530"/>
      <c r="AT142" s="1530"/>
      <c r="AU142" s="1530"/>
      <c r="AV142" s="1530"/>
      <c r="AW142" s="1530"/>
      <c r="AX142" s="1530"/>
      <c r="AY142" s="1530"/>
      <c r="AZ142" s="1530"/>
      <c r="BA142" s="1530"/>
      <c r="BB142" s="1530"/>
      <c r="BC142" s="1530"/>
      <c r="BD142" s="1530"/>
      <c r="BE142" s="1530"/>
      <c r="BF142" s="1530"/>
      <c r="BG142" s="1530"/>
      <c r="BH142" s="1530"/>
      <c r="BI142" s="1530"/>
      <c r="BJ142" s="1530"/>
      <c r="BK142" s="1530"/>
      <c r="BL142" s="1530"/>
      <c r="BM142" s="1530"/>
      <c r="BN142" s="1530"/>
      <c r="BW142" s="1569"/>
      <c r="BX142" s="1530"/>
      <c r="BY142" s="1530"/>
      <c r="BZ142" s="1530"/>
      <c r="CA142" s="1530"/>
      <c r="CB142" s="1530"/>
      <c r="CC142" s="1530"/>
      <c r="CD142" s="1530"/>
      <c r="CE142" s="1530"/>
      <c r="CF142" s="1530"/>
      <c r="CG142" s="1530"/>
      <c r="CH142" s="1530"/>
      <c r="CI142" s="1530"/>
      <c r="CJ142" s="1530"/>
      <c r="CK142" s="1530"/>
      <c r="CL142" s="1530"/>
      <c r="CM142" s="1530"/>
      <c r="CN142" s="1570"/>
      <c r="CO142" s="1530"/>
      <c r="CP142" s="1530"/>
      <c r="CQ142" s="1530"/>
      <c r="CR142" s="1530"/>
      <c r="CS142" s="1530"/>
      <c r="CT142" s="1530"/>
      <c r="CU142" s="1530"/>
      <c r="CV142" s="1530"/>
      <c r="CW142" s="1530"/>
      <c r="CX142" s="1530"/>
      <c r="CY142" s="1530"/>
      <c r="CZ142" s="1530"/>
      <c r="DA142" s="1530"/>
      <c r="DB142" s="1530"/>
      <c r="DC142" s="1530"/>
      <c r="DD142" s="1530"/>
      <c r="DE142" s="1530"/>
      <c r="DF142" s="1530"/>
      <c r="DG142" s="1530"/>
      <c r="DH142" s="1530"/>
      <c r="DI142" s="1530"/>
      <c r="DJ142" s="1530"/>
      <c r="DK142" s="1530"/>
      <c r="DL142" s="1530"/>
      <c r="DM142" s="1530"/>
      <c r="DN142" s="1571"/>
      <c r="DO142" s="1530"/>
      <c r="DP142" s="1530"/>
    </row>
    <row r="143" spans="1:120">
      <c r="A143" s="1451"/>
      <c r="C143" s="1451"/>
      <c r="K143" s="1451"/>
      <c r="L143" s="1451"/>
      <c r="U143" s="1530"/>
      <c r="V143" s="1530"/>
      <c r="W143" s="1530"/>
      <c r="X143" s="1530"/>
      <c r="Y143" s="1530"/>
      <c r="Z143" s="1530"/>
      <c r="AA143" s="1530"/>
      <c r="AB143" s="1530"/>
      <c r="AC143" s="1530"/>
      <c r="AD143" s="1530"/>
      <c r="AE143" s="1530"/>
      <c r="AF143" s="1530"/>
      <c r="AG143" s="1530"/>
      <c r="AH143" s="1530"/>
      <c r="AI143" s="1530"/>
      <c r="AJ143" s="1530"/>
      <c r="AK143" s="1530"/>
      <c r="AL143" s="1530"/>
      <c r="AM143" s="1530"/>
      <c r="AN143" s="1530"/>
      <c r="AO143" s="1530"/>
      <c r="AP143" s="1530"/>
      <c r="AQ143" s="1530"/>
      <c r="AR143" s="1530"/>
      <c r="AS143" s="1530"/>
      <c r="AT143" s="1530"/>
      <c r="AU143" s="1530"/>
      <c r="AV143" s="1530"/>
      <c r="AW143" s="1530"/>
      <c r="AX143" s="1530"/>
      <c r="AY143" s="1530"/>
      <c r="AZ143" s="1530"/>
      <c r="BA143" s="1530"/>
      <c r="BB143" s="1530"/>
      <c r="BC143" s="1530"/>
      <c r="BD143" s="1530"/>
      <c r="BE143" s="1530"/>
      <c r="BF143" s="1530"/>
      <c r="BG143" s="1530"/>
      <c r="BH143" s="1530"/>
      <c r="BI143" s="1530"/>
      <c r="BJ143" s="1530"/>
      <c r="BK143" s="1530"/>
      <c r="BL143" s="1530"/>
      <c r="BM143" s="1530"/>
      <c r="BN143" s="1530"/>
      <c r="BW143" s="1569"/>
      <c r="BX143" s="1530"/>
      <c r="BY143" s="1530"/>
      <c r="BZ143" s="1530"/>
      <c r="CA143" s="1530"/>
      <c r="CB143" s="1530"/>
      <c r="CC143" s="1530"/>
      <c r="CD143" s="1530"/>
      <c r="CE143" s="1530"/>
      <c r="CF143" s="1530"/>
      <c r="CG143" s="1530"/>
      <c r="CH143" s="1530"/>
      <c r="CI143" s="1530"/>
      <c r="CJ143" s="1530"/>
      <c r="CK143" s="1530"/>
      <c r="CL143" s="1530"/>
      <c r="CM143" s="1530"/>
      <c r="CN143" s="1570"/>
      <c r="CO143" s="1530"/>
      <c r="CP143" s="1530"/>
      <c r="CQ143" s="1530"/>
      <c r="CR143" s="1530"/>
      <c r="CS143" s="1530"/>
      <c r="CT143" s="1530"/>
      <c r="CU143" s="1530"/>
      <c r="CV143" s="1530"/>
      <c r="CW143" s="1530"/>
      <c r="CX143" s="1530"/>
      <c r="CY143" s="1530"/>
      <c r="CZ143" s="1530"/>
      <c r="DA143" s="1530"/>
      <c r="DB143" s="1530"/>
      <c r="DC143" s="1530"/>
      <c r="DD143" s="1530"/>
      <c r="DE143" s="1530"/>
      <c r="DF143" s="1530"/>
      <c r="DG143" s="1530"/>
      <c r="DH143" s="1530"/>
      <c r="DI143" s="1530"/>
      <c r="DJ143" s="1530"/>
      <c r="DK143" s="1530"/>
      <c r="DL143" s="1530"/>
      <c r="DM143" s="1530"/>
      <c r="DN143" s="1571"/>
      <c r="DO143" s="1530"/>
      <c r="DP143" s="1530"/>
    </row>
    <row r="144" spans="1:120">
      <c r="A144" s="1451"/>
      <c r="C144" s="1451"/>
      <c r="K144" s="1451"/>
      <c r="L144" s="1451"/>
      <c r="U144" s="1530"/>
      <c r="V144" s="1530"/>
      <c r="W144" s="1530"/>
      <c r="X144" s="1530"/>
      <c r="Y144" s="1530"/>
      <c r="Z144" s="1530"/>
      <c r="AA144" s="1530"/>
      <c r="AB144" s="1530"/>
      <c r="AC144" s="1530"/>
      <c r="AD144" s="1530"/>
      <c r="AE144" s="1530"/>
      <c r="AF144" s="1530"/>
      <c r="AG144" s="1530"/>
      <c r="AH144" s="1530"/>
      <c r="AI144" s="1530"/>
      <c r="AJ144" s="1530"/>
      <c r="AK144" s="1530"/>
      <c r="AL144" s="1530"/>
      <c r="AM144" s="1530"/>
      <c r="AN144" s="1530"/>
      <c r="AO144" s="1530"/>
      <c r="AP144" s="1530"/>
      <c r="AQ144" s="1530"/>
      <c r="AR144" s="1530"/>
      <c r="AS144" s="1530"/>
      <c r="AT144" s="1530"/>
      <c r="AU144" s="1530"/>
      <c r="AV144" s="1530"/>
      <c r="AW144" s="1530"/>
      <c r="AX144" s="1530"/>
      <c r="AY144" s="1530"/>
      <c r="AZ144" s="1530"/>
      <c r="BA144" s="1530"/>
      <c r="BB144" s="1530"/>
      <c r="BC144" s="1530"/>
      <c r="BD144" s="1530"/>
      <c r="BE144" s="1530"/>
      <c r="BF144" s="1530"/>
      <c r="BG144" s="1530"/>
      <c r="BH144" s="1530"/>
      <c r="BI144" s="1530"/>
      <c r="BJ144" s="1530"/>
      <c r="BK144" s="1530"/>
      <c r="BL144" s="1530"/>
      <c r="BM144" s="1530"/>
      <c r="BN144" s="1530"/>
      <c r="BW144" s="1569"/>
      <c r="BX144" s="1530"/>
      <c r="BY144" s="1530"/>
      <c r="BZ144" s="1530"/>
      <c r="CA144" s="1530"/>
      <c r="CB144" s="1530"/>
      <c r="CC144" s="1530"/>
      <c r="CD144" s="1530"/>
      <c r="CE144" s="1530"/>
      <c r="CF144" s="1530"/>
      <c r="CG144" s="1530"/>
      <c r="CH144" s="1530"/>
      <c r="CI144" s="1530"/>
      <c r="CJ144" s="1530"/>
      <c r="CK144" s="1530"/>
      <c r="CL144" s="1530"/>
      <c r="CM144" s="1530"/>
      <c r="CN144" s="1570"/>
      <c r="CO144" s="1530"/>
      <c r="CP144" s="1530"/>
      <c r="CQ144" s="1530"/>
      <c r="CR144" s="1530"/>
      <c r="CS144" s="1530"/>
      <c r="CT144" s="1530"/>
      <c r="CU144" s="1530"/>
      <c r="CV144" s="1530"/>
      <c r="CW144" s="1530"/>
      <c r="CX144" s="1530"/>
      <c r="CY144" s="1530"/>
      <c r="CZ144" s="1530"/>
      <c r="DA144" s="1530"/>
      <c r="DB144" s="1530"/>
      <c r="DC144" s="1530"/>
      <c r="DD144" s="1530"/>
      <c r="DE144" s="1530"/>
      <c r="DF144" s="1530"/>
      <c r="DG144" s="1530"/>
      <c r="DH144" s="1530"/>
      <c r="DI144" s="1530"/>
      <c r="DJ144" s="1530"/>
      <c r="DK144" s="1530"/>
      <c r="DL144" s="1530"/>
      <c r="DM144" s="1530"/>
      <c r="DN144" s="1571"/>
      <c r="DO144" s="1530"/>
      <c r="DP144" s="1530"/>
    </row>
    <row r="145" spans="1:120">
      <c r="A145" s="1451"/>
      <c r="C145" s="1451"/>
      <c r="K145" s="1451"/>
      <c r="L145" s="1451"/>
      <c r="U145" s="1530"/>
      <c r="V145" s="1530"/>
      <c r="W145" s="1530"/>
      <c r="X145" s="1530"/>
      <c r="Y145" s="1530"/>
      <c r="Z145" s="1530"/>
      <c r="AA145" s="1530"/>
      <c r="AB145" s="1530"/>
      <c r="AC145" s="1530"/>
      <c r="AD145" s="1530"/>
      <c r="AE145" s="1530"/>
      <c r="AF145" s="1530"/>
      <c r="AG145" s="1530"/>
      <c r="AH145" s="1530"/>
      <c r="AI145" s="1530"/>
      <c r="AJ145" s="1530"/>
      <c r="AK145" s="1530"/>
      <c r="AL145" s="1530"/>
      <c r="AM145" s="1530"/>
      <c r="AN145" s="1530"/>
      <c r="AO145" s="1530"/>
      <c r="AP145" s="1530"/>
      <c r="AQ145" s="1530"/>
      <c r="AR145" s="1530"/>
      <c r="AS145" s="1530"/>
      <c r="AT145" s="1530"/>
      <c r="AU145" s="1530"/>
      <c r="AV145" s="1530"/>
      <c r="AW145" s="1530"/>
      <c r="AX145" s="1530"/>
      <c r="AY145" s="1530"/>
      <c r="AZ145" s="1530"/>
      <c r="BA145" s="1530"/>
      <c r="BB145" s="1530"/>
      <c r="BC145" s="1530"/>
      <c r="BD145" s="1530"/>
      <c r="BE145" s="1530"/>
      <c r="BF145" s="1530"/>
      <c r="BG145" s="1530"/>
      <c r="BH145" s="1530"/>
      <c r="BI145" s="1530"/>
      <c r="BJ145" s="1530"/>
      <c r="BK145" s="1530"/>
      <c r="BL145" s="1530"/>
      <c r="BM145" s="1530"/>
      <c r="BN145" s="1530"/>
      <c r="BW145" s="1569"/>
      <c r="BX145" s="1530"/>
      <c r="BY145" s="1530"/>
      <c r="BZ145" s="1530"/>
      <c r="CA145" s="1530"/>
      <c r="CB145" s="1530"/>
      <c r="CC145" s="1530"/>
      <c r="CD145" s="1530"/>
      <c r="CE145" s="1530"/>
      <c r="CF145" s="1530"/>
      <c r="CG145" s="1530"/>
      <c r="CH145" s="1530"/>
      <c r="CI145" s="1530"/>
      <c r="CJ145" s="1530"/>
      <c r="CK145" s="1530"/>
      <c r="CL145" s="1530"/>
      <c r="CM145" s="1530"/>
      <c r="CN145" s="1570"/>
      <c r="CO145" s="1530"/>
      <c r="CP145" s="1530"/>
      <c r="CQ145" s="1530"/>
      <c r="CR145" s="1530"/>
      <c r="CS145" s="1530"/>
      <c r="CT145" s="1530"/>
      <c r="CU145" s="1530"/>
      <c r="CV145" s="1530"/>
      <c r="CW145" s="1530"/>
      <c r="CX145" s="1530"/>
      <c r="CY145" s="1530"/>
      <c r="CZ145" s="1530"/>
      <c r="DA145" s="1530"/>
      <c r="DB145" s="1530"/>
      <c r="DC145" s="1530"/>
      <c r="DD145" s="1530"/>
      <c r="DE145" s="1530"/>
      <c r="DF145" s="1530"/>
      <c r="DG145" s="1530"/>
      <c r="DH145" s="1530"/>
      <c r="DI145" s="1530"/>
      <c r="DJ145" s="1530"/>
      <c r="DK145" s="1530"/>
      <c r="DL145" s="1530"/>
      <c r="DM145" s="1530"/>
      <c r="DN145" s="1571"/>
      <c r="DO145" s="1530"/>
      <c r="DP145" s="1530"/>
    </row>
    <row r="146" spans="1:120">
      <c r="A146" s="1451"/>
      <c r="C146" s="1451"/>
      <c r="K146" s="1451"/>
      <c r="L146" s="1451"/>
      <c r="U146" s="1530"/>
      <c r="V146" s="1530"/>
      <c r="W146" s="1530"/>
      <c r="X146" s="1530"/>
      <c r="Y146" s="1530"/>
      <c r="Z146" s="1530"/>
      <c r="AA146" s="1530"/>
      <c r="AB146" s="1530"/>
      <c r="AC146" s="1530"/>
      <c r="AD146" s="1530"/>
      <c r="AE146" s="1530"/>
      <c r="AF146" s="1530"/>
      <c r="AG146" s="1530"/>
      <c r="AH146" s="1530"/>
      <c r="AI146" s="1530"/>
      <c r="AJ146" s="1530"/>
      <c r="AK146" s="1530"/>
      <c r="AL146" s="1530"/>
      <c r="AM146" s="1530"/>
      <c r="AN146" s="1530"/>
      <c r="AO146" s="1530"/>
      <c r="AP146" s="1530"/>
      <c r="AQ146" s="1530"/>
      <c r="AR146" s="1530"/>
      <c r="AS146" s="1530"/>
      <c r="AT146" s="1530"/>
      <c r="AU146" s="1530"/>
      <c r="AV146" s="1530"/>
      <c r="AW146" s="1530"/>
      <c r="AX146" s="1530"/>
      <c r="AY146" s="1530"/>
      <c r="AZ146" s="1530"/>
      <c r="BA146" s="1530"/>
      <c r="BB146" s="1530"/>
      <c r="BC146" s="1530"/>
      <c r="BD146" s="1530"/>
      <c r="BE146" s="1530"/>
      <c r="BF146" s="1530"/>
      <c r="BG146" s="1530"/>
      <c r="BH146" s="1530"/>
      <c r="BI146" s="1530"/>
      <c r="BJ146" s="1530"/>
      <c r="BK146" s="1530"/>
      <c r="BL146" s="1530"/>
      <c r="BM146" s="1530"/>
      <c r="BN146" s="1530"/>
      <c r="BW146" s="1569"/>
      <c r="BX146" s="1530"/>
      <c r="BY146" s="1530"/>
      <c r="BZ146" s="1530"/>
      <c r="CA146" s="1530"/>
      <c r="CB146" s="1530"/>
      <c r="CC146" s="1530"/>
      <c r="CD146" s="1530"/>
      <c r="CE146" s="1530"/>
      <c r="CF146" s="1530"/>
      <c r="CG146" s="1530"/>
      <c r="CH146" s="1530"/>
      <c r="CI146" s="1530"/>
      <c r="CJ146" s="1530"/>
      <c r="CK146" s="1530"/>
      <c r="CL146" s="1530"/>
      <c r="CM146" s="1530"/>
      <c r="CN146" s="1570"/>
      <c r="CO146" s="1530"/>
      <c r="CP146" s="1530"/>
      <c r="CQ146" s="1530"/>
      <c r="CR146" s="1530"/>
      <c r="CS146" s="1530"/>
      <c r="CT146" s="1530"/>
      <c r="CU146" s="1530"/>
      <c r="CV146" s="1530"/>
      <c r="CW146" s="1530"/>
      <c r="CX146" s="1530"/>
      <c r="CY146" s="1530"/>
      <c r="CZ146" s="1530"/>
      <c r="DA146" s="1530"/>
      <c r="DB146" s="1530"/>
      <c r="DC146" s="1530"/>
      <c r="DD146" s="1530"/>
      <c r="DE146" s="1530"/>
      <c r="DF146" s="1530"/>
      <c r="DG146" s="1530"/>
      <c r="DH146" s="1530"/>
      <c r="DI146" s="1530"/>
      <c r="DJ146" s="1530"/>
      <c r="DK146" s="1530"/>
      <c r="DL146" s="1530"/>
      <c r="DM146" s="1530"/>
      <c r="DN146" s="1571"/>
      <c r="DO146" s="1530"/>
      <c r="DP146" s="1530"/>
    </row>
    <row r="147" spans="1:120">
      <c r="A147" s="1451"/>
      <c r="C147" s="1451"/>
      <c r="K147" s="1451"/>
      <c r="L147" s="1451"/>
      <c r="U147" s="1530"/>
      <c r="V147" s="1530"/>
      <c r="W147" s="1530"/>
      <c r="X147" s="1530"/>
      <c r="Y147" s="1530"/>
      <c r="Z147" s="1530"/>
      <c r="AA147" s="1530"/>
      <c r="AB147" s="1530"/>
      <c r="AC147" s="1530"/>
      <c r="AD147" s="1530"/>
      <c r="AE147" s="1530"/>
      <c r="AF147" s="1530"/>
      <c r="AG147" s="1530"/>
      <c r="AH147" s="1530"/>
      <c r="AI147" s="1530"/>
      <c r="AJ147" s="1530"/>
      <c r="AK147" s="1530"/>
      <c r="AL147" s="1530"/>
      <c r="AM147" s="1530"/>
      <c r="AN147" s="1530"/>
      <c r="AO147" s="1530"/>
      <c r="AP147" s="1530"/>
      <c r="AQ147" s="1530"/>
      <c r="AR147" s="1530"/>
      <c r="AS147" s="1530"/>
      <c r="AT147" s="1530"/>
      <c r="AU147" s="1530"/>
      <c r="AV147" s="1530"/>
      <c r="AW147" s="1530"/>
      <c r="AX147" s="1530"/>
      <c r="AY147" s="1530"/>
      <c r="AZ147" s="1530"/>
      <c r="BA147" s="1530"/>
      <c r="BB147" s="1530"/>
      <c r="BC147" s="1530"/>
      <c r="BD147" s="1530"/>
      <c r="BE147" s="1530"/>
      <c r="BF147" s="1530"/>
      <c r="BG147" s="1530"/>
      <c r="BH147" s="1530"/>
      <c r="BI147" s="1530"/>
      <c r="BJ147" s="1530"/>
      <c r="BK147" s="1530"/>
      <c r="BL147" s="1530"/>
      <c r="BM147" s="1530"/>
      <c r="BN147" s="1530"/>
      <c r="BW147" s="1569"/>
      <c r="BX147" s="1530"/>
      <c r="BY147" s="1530"/>
      <c r="BZ147" s="1530"/>
      <c r="CA147" s="1530"/>
      <c r="CB147" s="1530"/>
      <c r="CC147" s="1530"/>
      <c r="CD147" s="1530"/>
      <c r="CE147" s="1530"/>
      <c r="CF147" s="1530"/>
      <c r="CG147" s="1530"/>
      <c r="CH147" s="1530"/>
      <c r="CI147" s="1530"/>
      <c r="CJ147" s="1530"/>
      <c r="CK147" s="1530"/>
      <c r="CL147" s="1530"/>
      <c r="CM147" s="1530"/>
      <c r="CN147" s="1570"/>
      <c r="CO147" s="1530"/>
      <c r="CP147" s="1530"/>
      <c r="CQ147" s="1530"/>
      <c r="CR147" s="1530"/>
      <c r="CS147" s="1530"/>
      <c r="CT147" s="1530"/>
      <c r="CU147" s="1530"/>
      <c r="CV147" s="1530"/>
      <c r="CW147" s="1530"/>
      <c r="CX147" s="1530"/>
      <c r="CY147" s="1530"/>
      <c r="CZ147" s="1530"/>
      <c r="DA147" s="1530"/>
      <c r="DB147" s="1530"/>
      <c r="DC147" s="1530"/>
      <c r="DD147" s="1530"/>
      <c r="DE147" s="1530"/>
      <c r="DF147" s="1530"/>
      <c r="DG147" s="1530"/>
      <c r="DH147" s="1530"/>
      <c r="DI147" s="1530"/>
      <c r="DJ147" s="1530"/>
      <c r="DK147" s="1530"/>
      <c r="DL147" s="1530"/>
      <c r="DM147" s="1530"/>
      <c r="DN147" s="1571"/>
      <c r="DO147" s="1530"/>
      <c r="DP147" s="1530"/>
    </row>
    <row r="148" spans="1:120">
      <c r="A148" s="1451"/>
      <c r="C148" s="1451"/>
      <c r="K148" s="1451"/>
      <c r="L148" s="1451"/>
      <c r="U148" s="1530"/>
      <c r="V148" s="1530"/>
      <c r="W148" s="1530"/>
      <c r="X148" s="1530"/>
      <c r="Y148" s="1530"/>
      <c r="Z148" s="1530"/>
      <c r="AA148" s="1530"/>
      <c r="AB148" s="1530"/>
      <c r="AC148" s="1530"/>
      <c r="AD148" s="1530"/>
      <c r="AE148" s="1530"/>
      <c r="AF148" s="1530"/>
      <c r="AG148" s="1530"/>
      <c r="AH148" s="1530"/>
      <c r="AI148" s="1530"/>
      <c r="AJ148" s="1530"/>
      <c r="AK148" s="1530"/>
      <c r="AL148" s="1530"/>
      <c r="AM148" s="1530"/>
      <c r="AN148" s="1530"/>
      <c r="AO148" s="1530"/>
      <c r="AP148" s="1530"/>
      <c r="AQ148" s="1530"/>
      <c r="AR148" s="1530"/>
      <c r="AS148" s="1530"/>
      <c r="AT148" s="1530"/>
      <c r="AU148" s="1530"/>
      <c r="AV148" s="1530"/>
      <c r="AW148" s="1530"/>
      <c r="AX148" s="1530"/>
      <c r="AY148" s="1530"/>
      <c r="AZ148" s="1530"/>
      <c r="BA148" s="1530"/>
      <c r="BB148" s="1530"/>
      <c r="BC148" s="1530"/>
      <c r="BD148" s="1530"/>
      <c r="BE148" s="1530"/>
      <c r="BF148" s="1530"/>
      <c r="BG148" s="1530"/>
      <c r="BH148" s="1530"/>
      <c r="BI148" s="1530"/>
      <c r="BJ148" s="1530"/>
      <c r="BK148" s="1530"/>
      <c r="BL148" s="1530"/>
      <c r="BM148" s="1530"/>
      <c r="BN148" s="1530"/>
      <c r="BW148" s="1569"/>
      <c r="BX148" s="1530"/>
      <c r="BY148" s="1530"/>
      <c r="BZ148" s="1530"/>
      <c r="CA148" s="1530"/>
      <c r="CB148" s="1530"/>
      <c r="CC148" s="1530"/>
      <c r="CD148" s="1530"/>
      <c r="CE148" s="1530"/>
      <c r="CF148" s="1530"/>
      <c r="CG148" s="1530"/>
      <c r="CH148" s="1530"/>
      <c r="CI148" s="1530"/>
      <c r="CJ148" s="1530"/>
      <c r="CK148" s="1530"/>
      <c r="CL148" s="1530"/>
      <c r="CM148" s="1530"/>
      <c r="CN148" s="1570"/>
      <c r="CO148" s="1530"/>
      <c r="CP148" s="1530"/>
      <c r="CQ148" s="1530"/>
      <c r="CR148" s="1530"/>
      <c r="CS148" s="1530"/>
      <c r="CT148" s="1530"/>
      <c r="CU148" s="1530"/>
      <c r="CV148" s="1530"/>
      <c r="CW148" s="1530"/>
      <c r="CX148" s="1530"/>
      <c r="CY148" s="1530"/>
      <c r="CZ148" s="1530"/>
      <c r="DA148" s="1530"/>
      <c r="DB148" s="1530"/>
      <c r="DC148" s="1530"/>
      <c r="DD148" s="1530"/>
      <c r="DE148" s="1530"/>
      <c r="DF148" s="1530"/>
      <c r="DG148" s="1530"/>
      <c r="DH148" s="1530"/>
      <c r="DI148" s="1530"/>
      <c r="DJ148" s="1530"/>
      <c r="DK148" s="1530"/>
      <c r="DL148" s="1530"/>
      <c r="DM148" s="1530"/>
      <c r="DN148" s="1571"/>
      <c r="DO148" s="1530"/>
      <c r="DP148" s="1530"/>
    </row>
    <row r="149" spans="1:120">
      <c r="A149" s="1451"/>
      <c r="C149" s="1451"/>
      <c r="K149" s="1451"/>
      <c r="L149" s="1451"/>
      <c r="U149" s="1530"/>
      <c r="V149" s="1530"/>
      <c r="W149" s="1530"/>
      <c r="X149" s="1530"/>
      <c r="Y149" s="1530"/>
      <c r="Z149" s="1530"/>
      <c r="AA149" s="1530"/>
      <c r="AB149" s="1530"/>
      <c r="AC149" s="1530"/>
      <c r="AD149" s="1530"/>
      <c r="AE149" s="1530"/>
      <c r="AF149" s="1530"/>
      <c r="AG149" s="1530"/>
      <c r="AH149" s="1530"/>
      <c r="AI149" s="1530"/>
      <c r="AJ149" s="1530"/>
      <c r="AK149" s="1530"/>
      <c r="AL149" s="1530"/>
      <c r="AM149" s="1530"/>
      <c r="AN149" s="1530"/>
      <c r="AO149" s="1530"/>
      <c r="AP149" s="1530"/>
      <c r="AQ149" s="1530"/>
      <c r="AR149" s="1530"/>
      <c r="AS149" s="1530"/>
      <c r="AT149" s="1530"/>
      <c r="AU149" s="1530"/>
      <c r="AV149" s="1530"/>
      <c r="AW149" s="1530"/>
      <c r="AX149" s="1530"/>
      <c r="AY149" s="1530"/>
      <c r="AZ149" s="1530"/>
      <c r="BA149" s="1530"/>
      <c r="BB149" s="1530"/>
      <c r="BC149" s="1530"/>
      <c r="BD149" s="1530"/>
      <c r="BE149" s="1530"/>
      <c r="BF149" s="1530"/>
      <c r="BG149" s="1530"/>
      <c r="BH149" s="1530"/>
      <c r="BI149" s="1530"/>
      <c r="BJ149" s="1530"/>
      <c r="BK149" s="1530"/>
      <c r="BL149" s="1530"/>
      <c r="BM149" s="1530"/>
      <c r="BN149" s="1530"/>
      <c r="BW149" s="1569"/>
      <c r="BX149" s="1530"/>
      <c r="BY149" s="1530"/>
      <c r="BZ149" s="1530"/>
      <c r="CA149" s="1530"/>
      <c r="CB149" s="1530"/>
      <c r="CC149" s="1530"/>
      <c r="CD149" s="1530"/>
      <c r="CE149" s="1530"/>
      <c r="CF149" s="1530"/>
      <c r="CG149" s="1530"/>
      <c r="CH149" s="1530"/>
      <c r="CI149" s="1530"/>
      <c r="CJ149" s="1530"/>
      <c r="CK149" s="1530"/>
      <c r="CL149" s="1530"/>
      <c r="CM149" s="1530"/>
      <c r="CN149" s="1570"/>
      <c r="CO149" s="1530"/>
      <c r="CP149" s="1530"/>
      <c r="CQ149" s="1530"/>
      <c r="CR149" s="1530"/>
      <c r="CS149" s="1530"/>
      <c r="CT149" s="1530"/>
      <c r="CU149" s="1530"/>
      <c r="CV149" s="1530"/>
      <c r="CW149" s="1530"/>
      <c r="CX149" s="1530"/>
      <c r="CY149" s="1530"/>
      <c r="CZ149" s="1530"/>
      <c r="DA149" s="1530"/>
      <c r="DB149" s="1530"/>
      <c r="DC149" s="1530"/>
      <c r="DD149" s="1530"/>
      <c r="DE149" s="1530"/>
      <c r="DF149" s="1530"/>
      <c r="DG149" s="1530"/>
      <c r="DH149" s="1530"/>
      <c r="DI149" s="1530"/>
      <c r="DJ149" s="1530"/>
      <c r="DK149" s="1530"/>
      <c r="DL149" s="1530"/>
      <c r="DM149" s="1530"/>
      <c r="DN149" s="1571"/>
      <c r="DO149" s="1530"/>
      <c r="DP149" s="1530"/>
    </row>
    <row r="150" spans="1:120">
      <c r="A150" s="1451"/>
      <c r="C150" s="1451"/>
      <c r="K150" s="1451"/>
      <c r="L150" s="1451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530"/>
      <c r="AI150" s="1530"/>
      <c r="AJ150" s="1530"/>
      <c r="AK150" s="1530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530"/>
      <c r="BB150" s="1530"/>
      <c r="BC150" s="1530"/>
      <c r="BD150" s="1530"/>
      <c r="BE150" s="1530"/>
      <c r="BF150" s="1530"/>
      <c r="BG150" s="1530"/>
      <c r="BH150" s="1530"/>
      <c r="BI150" s="1530"/>
      <c r="BJ150" s="1530"/>
      <c r="BK150" s="1530"/>
      <c r="BL150" s="1530"/>
      <c r="BM150" s="1530"/>
      <c r="BN150" s="1530"/>
      <c r="BW150" s="1569"/>
      <c r="BX150" s="1530"/>
      <c r="BY150" s="1530"/>
      <c r="BZ150" s="1530"/>
      <c r="CA150" s="1530"/>
      <c r="CB150" s="1530"/>
      <c r="CC150" s="1530"/>
      <c r="CD150" s="1530"/>
      <c r="CE150" s="1530"/>
      <c r="CF150" s="1530"/>
      <c r="CG150" s="1530"/>
      <c r="CH150" s="1530"/>
      <c r="CI150" s="1530"/>
      <c r="CJ150" s="1530"/>
      <c r="CK150" s="1530"/>
      <c r="CL150" s="1530"/>
      <c r="CM150" s="1530"/>
      <c r="CN150" s="1570"/>
      <c r="CO150" s="1530"/>
      <c r="CP150" s="1530"/>
      <c r="CQ150" s="1530"/>
      <c r="CR150" s="1530"/>
      <c r="CS150" s="1530"/>
      <c r="CT150" s="1530"/>
      <c r="CU150" s="1530"/>
      <c r="CV150" s="1530"/>
      <c r="CW150" s="1530"/>
      <c r="CX150" s="1530"/>
      <c r="CY150" s="1530"/>
      <c r="CZ150" s="1530"/>
      <c r="DA150" s="1530"/>
      <c r="DB150" s="1530"/>
      <c r="DC150" s="1530"/>
      <c r="DD150" s="1530"/>
      <c r="DE150" s="1530"/>
      <c r="DF150" s="1530"/>
      <c r="DG150" s="1530"/>
      <c r="DH150" s="1530"/>
      <c r="DI150" s="1530"/>
      <c r="DJ150" s="1530"/>
      <c r="DK150" s="1530"/>
      <c r="DL150" s="1530"/>
      <c r="DM150" s="1530"/>
      <c r="DN150" s="1571"/>
      <c r="DO150" s="1530"/>
      <c r="DP150" s="1530"/>
    </row>
    <row r="151" spans="1:120">
      <c r="A151" s="1451"/>
      <c r="C151" s="1451"/>
      <c r="K151" s="1451"/>
      <c r="L151" s="1451"/>
      <c r="U151" s="1530"/>
      <c r="V151" s="1530"/>
      <c r="W151" s="1530"/>
      <c r="X151" s="1530"/>
      <c r="Y151" s="1530"/>
      <c r="Z151" s="1530"/>
      <c r="AA151" s="1530"/>
      <c r="AB151" s="1530"/>
      <c r="AC151" s="1530"/>
      <c r="AD151" s="1530"/>
      <c r="AE151" s="1530"/>
      <c r="AF151" s="1530"/>
      <c r="AG151" s="1530"/>
      <c r="AH151" s="1530"/>
      <c r="AI151" s="1530"/>
      <c r="AJ151" s="1530"/>
      <c r="AK151" s="1530"/>
      <c r="AL151" s="1530"/>
      <c r="AM151" s="1530"/>
      <c r="AN151" s="1530"/>
      <c r="AO151" s="1530"/>
      <c r="AP151" s="1530"/>
      <c r="AQ151" s="1530"/>
      <c r="AR151" s="1530"/>
      <c r="AS151" s="1530"/>
      <c r="AT151" s="1530"/>
      <c r="AU151" s="1530"/>
      <c r="AV151" s="1530"/>
      <c r="AW151" s="1530"/>
      <c r="AX151" s="1530"/>
      <c r="AY151" s="1530"/>
      <c r="AZ151" s="1530"/>
      <c r="BA151" s="1530"/>
      <c r="BB151" s="1530"/>
      <c r="BC151" s="1530"/>
      <c r="BD151" s="1530"/>
      <c r="BE151" s="1530"/>
      <c r="BF151" s="1530"/>
      <c r="BG151" s="1530"/>
      <c r="BH151" s="1530"/>
      <c r="BI151" s="1530"/>
      <c r="BJ151" s="1530"/>
      <c r="BK151" s="1530"/>
      <c r="BL151" s="1530"/>
      <c r="BM151" s="1530"/>
      <c r="BN151" s="1530"/>
      <c r="BW151" s="1569"/>
      <c r="BX151" s="1530"/>
      <c r="BY151" s="1530"/>
      <c r="BZ151" s="1530"/>
      <c r="CA151" s="1530"/>
      <c r="CB151" s="1530"/>
      <c r="CC151" s="1530"/>
      <c r="CD151" s="1530"/>
      <c r="CE151" s="1530"/>
      <c r="CF151" s="1530"/>
      <c r="CG151" s="1530"/>
      <c r="CH151" s="1530"/>
      <c r="CI151" s="1530"/>
      <c r="CJ151" s="1530"/>
      <c r="CK151" s="1530"/>
      <c r="CL151" s="1530"/>
      <c r="CM151" s="1530"/>
      <c r="CN151" s="1570"/>
      <c r="CO151" s="1530"/>
      <c r="CP151" s="1530"/>
      <c r="CQ151" s="1530"/>
      <c r="CR151" s="1530"/>
      <c r="CS151" s="1530"/>
      <c r="CT151" s="1530"/>
      <c r="CU151" s="1530"/>
      <c r="CV151" s="1530"/>
      <c r="CW151" s="1530"/>
      <c r="CX151" s="1530"/>
      <c r="CY151" s="1530"/>
      <c r="CZ151" s="1530"/>
      <c r="DA151" s="1530"/>
      <c r="DB151" s="1530"/>
      <c r="DC151" s="1530"/>
      <c r="DD151" s="1530"/>
      <c r="DE151" s="1530"/>
      <c r="DF151" s="1530"/>
      <c r="DG151" s="1530"/>
      <c r="DH151" s="1530"/>
      <c r="DI151" s="1530"/>
      <c r="DJ151" s="1530"/>
      <c r="DK151" s="1530"/>
      <c r="DL151" s="1530"/>
      <c r="DM151" s="1530"/>
      <c r="DN151" s="1571"/>
      <c r="DO151" s="1530"/>
      <c r="DP151" s="1530"/>
    </row>
    <row r="152" spans="1:120">
      <c r="A152" s="1451"/>
      <c r="C152" s="1451"/>
      <c r="K152" s="1451"/>
      <c r="L152" s="1451"/>
      <c r="U152" s="1530"/>
      <c r="V152" s="1530"/>
      <c r="W152" s="1530"/>
      <c r="X152" s="1530"/>
      <c r="Y152" s="1530"/>
      <c r="Z152" s="1530"/>
      <c r="AA152" s="1530"/>
      <c r="AB152" s="1530"/>
      <c r="AC152" s="1530"/>
      <c r="AD152" s="1530"/>
      <c r="AE152" s="1530"/>
      <c r="AF152" s="1530"/>
      <c r="AG152" s="1530"/>
      <c r="AH152" s="1530"/>
      <c r="AI152" s="1530"/>
      <c r="AJ152" s="1530"/>
      <c r="AK152" s="1530"/>
      <c r="AL152" s="1530"/>
      <c r="AM152" s="1530"/>
      <c r="AN152" s="1530"/>
      <c r="AO152" s="1530"/>
      <c r="AP152" s="1530"/>
      <c r="AQ152" s="1530"/>
      <c r="AR152" s="1530"/>
      <c r="AS152" s="1530"/>
      <c r="AT152" s="1530"/>
      <c r="AU152" s="1530"/>
      <c r="AV152" s="1530"/>
      <c r="AW152" s="1530"/>
      <c r="AX152" s="1530"/>
      <c r="AY152" s="1530"/>
      <c r="AZ152" s="1530"/>
      <c r="BA152" s="1530"/>
      <c r="BB152" s="1530"/>
      <c r="BC152" s="1530"/>
      <c r="BD152" s="1530"/>
      <c r="BE152" s="1530"/>
      <c r="BF152" s="1530"/>
      <c r="BG152" s="1530"/>
      <c r="BH152" s="1530"/>
      <c r="BI152" s="1530"/>
      <c r="BJ152" s="1530"/>
      <c r="BK152" s="1530"/>
      <c r="BL152" s="1530"/>
      <c r="BM152" s="1530"/>
      <c r="BN152" s="1530"/>
      <c r="BW152" s="1569"/>
      <c r="BX152" s="1530"/>
      <c r="BY152" s="1530"/>
      <c r="BZ152" s="1530"/>
      <c r="CA152" s="1530"/>
      <c r="CB152" s="1530"/>
      <c r="CC152" s="1530"/>
      <c r="CD152" s="1530"/>
      <c r="CE152" s="1530"/>
      <c r="CF152" s="1530"/>
      <c r="CG152" s="1530"/>
      <c r="CH152" s="1530"/>
      <c r="CI152" s="1530"/>
      <c r="CJ152" s="1530"/>
      <c r="CK152" s="1530"/>
      <c r="CL152" s="1530"/>
      <c r="CM152" s="1530"/>
      <c r="CN152" s="1570"/>
      <c r="CO152" s="1530"/>
      <c r="CP152" s="1530"/>
      <c r="CQ152" s="1530"/>
      <c r="CR152" s="1530"/>
      <c r="CS152" s="1530"/>
      <c r="CT152" s="1530"/>
      <c r="CU152" s="1530"/>
      <c r="CV152" s="1530"/>
      <c r="CW152" s="1530"/>
      <c r="CX152" s="1530"/>
      <c r="CY152" s="1530"/>
      <c r="CZ152" s="1530"/>
      <c r="DA152" s="1530"/>
      <c r="DB152" s="1530"/>
      <c r="DC152" s="1530"/>
      <c r="DD152" s="1530"/>
      <c r="DE152" s="1530"/>
      <c r="DF152" s="1530"/>
      <c r="DG152" s="1530"/>
      <c r="DH152" s="1530"/>
      <c r="DI152" s="1530"/>
      <c r="DJ152" s="1530"/>
      <c r="DK152" s="1530"/>
      <c r="DL152" s="1530"/>
      <c r="DM152" s="1530"/>
      <c r="DN152" s="1571"/>
      <c r="DO152" s="1530"/>
      <c r="DP152" s="1530"/>
    </row>
    <row r="153" spans="1:120">
      <c r="A153" s="1451"/>
      <c r="C153" s="1451"/>
      <c r="K153" s="1451"/>
      <c r="L153" s="1451"/>
      <c r="U153" s="1530"/>
      <c r="V153" s="1530"/>
      <c r="W153" s="1530"/>
      <c r="X153" s="1530"/>
      <c r="Y153" s="1530"/>
      <c r="Z153" s="1530"/>
      <c r="AA153" s="1530"/>
      <c r="AB153" s="1530"/>
      <c r="AC153" s="1530"/>
      <c r="AD153" s="1530"/>
      <c r="AE153" s="1530"/>
      <c r="AF153" s="1530"/>
      <c r="AG153" s="1530"/>
      <c r="AH153" s="1530"/>
      <c r="AI153" s="1530"/>
      <c r="AJ153" s="1530"/>
      <c r="AK153" s="1530"/>
      <c r="AL153" s="1530"/>
      <c r="AM153" s="1530"/>
      <c r="AN153" s="1530"/>
      <c r="AO153" s="1530"/>
      <c r="AP153" s="1530"/>
      <c r="AQ153" s="1530"/>
      <c r="AR153" s="1530"/>
      <c r="AS153" s="1530"/>
      <c r="AT153" s="1530"/>
      <c r="AU153" s="1530"/>
      <c r="AV153" s="1530"/>
      <c r="AW153" s="1530"/>
      <c r="AX153" s="1530"/>
      <c r="AY153" s="1530"/>
      <c r="AZ153" s="1530"/>
      <c r="BA153" s="1530"/>
      <c r="BB153" s="1530"/>
      <c r="BC153" s="1530"/>
      <c r="BD153" s="1530"/>
      <c r="BE153" s="1530"/>
      <c r="BF153" s="1530"/>
      <c r="BG153" s="1530"/>
      <c r="BH153" s="1530"/>
      <c r="BI153" s="1530"/>
      <c r="BJ153" s="1530"/>
      <c r="BK153" s="1530"/>
      <c r="BL153" s="1530"/>
      <c r="BM153" s="1530"/>
      <c r="BN153" s="1530"/>
      <c r="BW153" s="1569"/>
      <c r="BX153" s="1530"/>
      <c r="BY153" s="1530"/>
      <c r="BZ153" s="1530"/>
      <c r="CA153" s="1530"/>
      <c r="CB153" s="1530"/>
      <c r="CC153" s="1530"/>
      <c r="CD153" s="1530"/>
      <c r="CE153" s="1530"/>
      <c r="CF153" s="1530"/>
      <c r="CG153" s="1530"/>
      <c r="CH153" s="1530"/>
      <c r="CI153" s="1530"/>
      <c r="CJ153" s="1530"/>
      <c r="CK153" s="1530"/>
      <c r="CL153" s="1530"/>
      <c r="CM153" s="1530"/>
      <c r="CN153" s="1570"/>
      <c r="CO153" s="1530"/>
      <c r="CP153" s="1530"/>
      <c r="CQ153" s="1530"/>
      <c r="CR153" s="1530"/>
      <c r="CS153" s="1530"/>
      <c r="CT153" s="1530"/>
      <c r="CU153" s="1530"/>
      <c r="CV153" s="1530"/>
      <c r="CW153" s="1530"/>
      <c r="CX153" s="1530"/>
      <c r="CY153" s="1530"/>
      <c r="CZ153" s="1530"/>
      <c r="DA153" s="1530"/>
      <c r="DB153" s="1530"/>
      <c r="DC153" s="1530"/>
      <c r="DD153" s="1530"/>
      <c r="DE153" s="1530"/>
      <c r="DF153" s="1530"/>
      <c r="DG153" s="1530"/>
      <c r="DH153" s="1530"/>
      <c r="DI153" s="1530"/>
      <c r="DJ153" s="1530"/>
      <c r="DK153" s="1530"/>
      <c r="DL153" s="1530"/>
      <c r="DM153" s="1530"/>
      <c r="DN153" s="1571"/>
      <c r="DO153" s="1530"/>
      <c r="DP153" s="1530"/>
    </row>
    <row r="154" spans="1:120">
      <c r="A154" s="1451"/>
      <c r="C154" s="1451"/>
      <c r="K154" s="1451"/>
      <c r="L154" s="1451"/>
      <c r="U154" s="1530"/>
      <c r="V154" s="1530"/>
      <c r="W154" s="1530"/>
      <c r="X154" s="1530"/>
      <c r="Y154" s="1530"/>
      <c r="Z154" s="1530"/>
      <c r="AA154" s="1530"/>
      <c r="AB154" s="1530"/>
      <c r="AC154" s="1530"/>
      <c r="AD154" s="1530"/>
      <c r="AE154" s="1530"/>
      <c r="AF154" s="1530"/>
      <c r="AG154" s="1530"/>
      <c r="AH154" s="1530"/>
      <c r="AI154" s="1530"/>
      <c r="AJ154" s="1530"/>
      <c r="AK154" s="1530"/>
      <c r="AL154" s="1530"/>
      <c r="AM154" s="1530"/>
      <c r="AN154" s="1530"/>
      <c r="AO154" s="1530"/>
      <c r="AP154" s="1530"/>
      <c r="AQ154" s="1530"/>
      <c r="AR154" s="1530"/>
      <c r="AS154" s="1530"/>
      <c r="AT154" s="1530"/>
      <c r="AU154" s="1530"/>
      <c r="AV154" s="1530"/>
      <c r="AW154" s="1530"/>
      <c r="AX154" s="1530"/>
      <c r="AY154" s="1530"/>
      <c r="AZ154" s="1530"/>
      <c r="BA154" s="1530"/>
      <c r="BB154" s="1530"/>
      <c r="BC154" s="1530"/>
      <c r="BD154" s="1530"/>
      <c r="BE154" s="1530"/>
      <c r="BF154" s="1530"/>
      <c r="BG154" s="1530"/>
      <c r="BH154" s="1530"/>
      <c r="BI154" s="1530"/>
      <c r="BJ154" s="1530"/>
      <c r="BK154" s="1530"/>
      <c r="BL154" s="1530"/>
      <c r="BM154" s="1530"/>
      <c r="BN154" s="1530"/>
      <c r="BW154" s="1569"/>
      <c r="BX154" s="1530"/>
      <c r="BY154" s="1530"/>
      <c r="BZ154" s="1530"/>
      <c r="CA154" s="1530"/>
      <c r="CB154" s="1530"/>
      <c r="CC154" s="1530"/>
      <c r="CD154" s="1530"/>
      <c r="CE154" s="1530"/>
      <c r="CF154" s="1530"/>
      <c r="CG154" s="1530"/>
      <c r="CH154" s="1530"/>
      <c r="CI154" s="1530"/>
      <c r="CJ154" s="1530"/>
      <c r="CK154" s="1530"/>
      <c r="CL154" s="1530"/>
      <c r="CM154" s="1530"/>
      <c r="CN154" s="1570"/>
      <c r="CO154" s="1530"/>
      <c r="CP154" s="1530"/>
      <c r="CQ154" s="1530"/>
      <c r="CR154" s="1530"/>
      <c r="CS154" s="1530"/>
      <c r="CT154" s="1530"/>
      <c r="CU154" s="1530"/>
      <c r="CV154" s="1530"/>
      <c r="CW154" s="1530"/>
      <c r="CX154" s="1530"/>
      <c r="CY154" s="1530"/>
      <c r="CZ154" s="1530"/>
      <c r="DA154" s="1530"/>
      <c r="DB154" s="1530"/>
      <c r="DC154" s="1530"/>
      <c r="DD154" s="1530"/>
      <c r="DE154" s="1530"/>
      <c r="DF154" s="1530"/>
      <c r="DG154" s="1530"/>
      <c r="DH154" s="1530"/>
      <c r="DI154" s="1530"/>
      <c r="DJ154" s="1530"/>
      <c r="DK154" s="1530"/>
      <c r="DL154" s="1530"/>
      <c r="DM154" s="1530"/>
      <c r="DN154" s="1571"/>
      <c r="DO154" s="1530"/>
      <c r="DP154" s="1530"/>
    </row>
    <row r="155" spans="1:120">
      <c r="A155" s="1451"/>
      <c r="C155" s="1451"/>
      <c r="K155" s="1451"/>
      <c r="L155" s="1451"/>
      <c r="U155" s="1530"/>
      <c r="V155" s="1530"/>
      <c r="W155" s="1530"/>
      <c r="X155" s="1530"/>
      <c r="Y155" s="1530"/>
      <c r="Z155" s="1530"/>
      <c r="AA155" s="1530"/>
      <c r="AB155" s="1530"/>
      <c r="AC155" s="1530"/>
      <c r="AD155" s="1530"/>
      <c r="AE155" s="1530"/>
      <c r="AF155" s="1530"/>
      <c r="AG155" s="1530"/>
      <c r="AH155" s="1530"/>
      <c r="AI155" s="1530"/>
      <c r="AJ155" s="1530"/>
      <c r="AK155" s="1530"/>
      <c r="AL155" s="1530"/>
      <c r="AM155" s="1530"/>
      <c r="AN155" s="1530"/>
      <c r="AO155" s="1530"/>
      <c r="AP155" s="1530"/>
      <c r="AQ155" s="1530"/>
      <c r="AR155" s="1530"/>
      <c r="AS155" s="1530"/>
      <c r="AT155" s="1530"/>
      <c r="AU155" s="1530"/>
      <c r="AV155" s="1530"/>
      <c r="AW155" s="1530"/>
      <c r="AX155" s="1530"/>
      <c r="AY155" s="1530"/>
      <c r="AZ155" s="1530"/>
      <c r="BA155" s="1530"/>
      <c r="BB155" s="1530"/>
      <c r="BC155" s="1530"/>
      <c r="BD155" s="1530"/>
      <c r="BE155" s="1530"/>
      <c r="BF155" s="1530"/>
      <c r="BG155" s="1530"/>
      <c r="BH155" s="1530"/>
      <c r="BI155" s="1530"/>
      <c r="BJ155" s="1530"/>
      <c r="BK155" s="1530"/>
      <c r="BL155" s="1530"/>
      <c r="BM155" s="1530"/>
      <c r="BN155" s="1530"/>
      <c r="BW155" s="1569"/>
      <c r="BX155" s="1530"/>
      <c r="BY155" s="1530"/>
      <c r="BZ155" s="1530"/>
      <c r="CA155" s="1530"/>
      <c r="CB155" s="1530"/>
      <c r="CC155" s="1530"/>
      <c r="CD155" s="1530"/>
      <c r="CE155" s="1530"/>
      <c r="CF155" s="1530"/>
      <c r="CG155" s="1530"/>
      <c r="CH155" s="1530"/>
      <c r="CI155" s="1530"/>
      <c r="CJ155" s="1530"/>
      <c r="CK155" s="1530"/>
      <c r="CL155" s="1530"/>
      <c r="CM155" s="1530"/>
      <c r="CN155" s="1570"/>
      <c r="CO155" s="1530"/>
      <c r="CP155" s="1530"/>
      <c r="CQ155" s="1530"/>
      <c r="CR155" s="1530"/>
      <c r="CS155" s="1530"/>
      <c r="CT155" s="1530"/>
      <c r="CU155" s="1530"/>
      <c r="CV155" s="1530"/>
      <c r="CW155" s="1530"/>
      <c r="CX155" s="1530"/>
      <c r="CY155" s="1530"/>
      <c r="CZ155" s="1530"/>
      <c r="DA155" s="1530"/>
      <c r="DB155" s="1530"/>
      <c r="DC155" s="1530"/>
      <c r="DD155" s="1530"/>
      <c r="DE155" s="1530"/>
      <c r="DF155" s="1530"/>
      <c r="DG155" s="1530"/>
      <c r="DH155" s="1530"/>
      <c r="DI155" s="1530"/>
      <c r="DJ155" s="1530"/>
      <c r="DK155" s="1530"/>
      <c r="DL155" s="1530"/>
      <c r="DM155" s="1530"/>
      <c r="DN155" s="1571"/>
      <c r="DO155" s="1530"/>
      <c r="DP155" s="1530"/>
    </row>
    <row r="156" spans="1:120">
      <c r="A156" s="1451"/>
      <c r="C156" s="1451"/>
      <c r="K156" s="1451"/>
      <c r="L156" s="1451"/>
      <c r="U156" s="1530"/>
      <c r="V156" s="1530"/>
      <c r="W156" s="1530"/>
      <c r="X156" s="1530"/>
      <c r="Y156" s="1530"/>
      <c r="Z156" s="1530"/>
      <c r="AA156" s="1530"/>
      <c r="AB156" s="1530"/>
      <c r="AC156" s="1530"/>
      <c r="AD156" s="1530"/>
      <c r="AE156" s="1530"/>
      <c r="AF156" s="1530"/>
      <c r="AG156" s="1530"/>
      <c r="AH156" s="1530"/>
      <c r="AI156" s="1530"/>
      <c r="AJ156" s="1530"/>
      <c r="AK156" s="1530"/>
      <c r="AL156" s="1530"/>
      <c r="AM156" s="1530"/>
      <c r="AN156" s="1530"/>
      <c r="AO156" s="1530"/>
      <c r="AP156" s="1530"/>
      <c r="AQ156" s="1530"/>
      <c r="AR156" s="1530"/>
      <c r="AS156" s="1530"/>
      <c r="AT156" s="1530"/>
      <c r="AU156" s="1530"/>
      <c r="AV156" s="1530"/>
      <c r="AW156" s="1530"/>
      <c r="AX156" s="1530"/>
      <c r="AY156" s="1530"/>
      <c r="AZ156" s="1530"/>
      <c r="BA156" s="1530"/>
      <c r="BB156" s="1530"/>
      <c r="BC156" s="1530"/>
      <c r="BD156" s="1530"/>
      <c r="BE156" s="1530"/>
      <c r="BF156" s="1530"/>
      <c r="BG156" s="1530"/>
      <c r="BH156" s="1530"/>
      <c r="BI156" s="1530"/>
      <c r="BJ156" s="1530"/>
      <c r="BK156" s="1530"/>
      <c r="BL156" s="1530"/>
      <c r="BM156" s="1530"/>
      <c r="BN156" s="1530"/>
      <c r="BW156" s="1569"/>
      <c r="BX156" s="1530"/>
      <c r="BY156" s="1530"/>
      <c r="BZ156" s="1530"/>
      <c r="CA156" s="1530"/>
      <c r="CB156" s="1530"/>
      <c r="CC156" s="1530"/>
      <c r="CD156" s="1530"/>
      <c r="CE156" s="1530"/>
      <c r="CF156" s="1530"/>
      <c r="CG156" s="1530"/>
      <c r="CH156" s="1530"/>
      <c r="CI156" s="1530"/>
      <c r="CJ156" s="1530"/>
      <c r="CK156" s="1530"/>
      <c r="CL156" s="1530"/>
      <c r="CM156" s="1530"/>
      <c r="CN156" s="1570"/>
      <c r="CO156" s="1530"/>
      <c r="CP156" s="1530"/>
      <c r="CQ156" s="1530"/>
      <c r="CR156" s="1530"/>
      <c r="CS156" s="1530"/>
      <c r="CT156" s="1530"/>
      <c r="CU156" s="1530"/>
      <c r="CV156" s="1530"/>
      <c r="CW156" s="1530"/>
      <c r="CX156" s="1530"/>
      <c r="CY156" s="1530"/>
      <c r="CZ156" s="1530"/>
      <c r="DA156" s="1530"/>
      <c r="DB156" s="1530"/>
      <c r="DC156" s="1530"/>
      <c r="DD156" s="1530"/>
      <c r="DE156" s="1530"/>
      <c r="DF156" s="1530"/>
      <c r="DG156" s="1530"/>
      <c r="DH156" s="1530"/>
      <c r="DI156" s="1530"/>
      <c r="DJ156" s="1530"/>
      <c r="DK156" s="1530"/>
      <c r="DL156" s="1530"/>
      <c r="DM156" s="1530"/>
      <c r="DN156" s="1571"/>
      <c r="DO156" s="1530"/>
      <c r="DP156" s="1530"/>
    </row>
    <row r="157" spans="1:120">
      <c r="A157" s="1451"/>
      <c r="C157" s="1451"/>
      <c r="K157" s="1451"/>
      <c r="L157" s="1451"/>
      <c r="U157" s="1530"/>
      <c r="V157" s="1530"/>
      <c r="W157" s="1530"/>
      <c r="X157" s="1530"/>
      <c r="Y157" s="1530"/>
      <c r="Z157" s="1530"/>
      <c r="AA157" s="1530"/>
      <c r="AB157" s="1530"/>
      <c r="AC157" s="1530"/>
      <c r="AD157" s="1530"/>
      <c r="AE157" s="1530"/>
      <c r="AF157" s="1530"/>
      <c r="AG157" s="1530"/>
      <c r="AH157" s="1530"/>
      <c r="AI157" s="1530"/>
      <c r="AJ157" s="1530"/>
      <c r="AK157" s="1530"/>
      <c r="AL157" s="1530"/>
      <c r="AM157" s="1530"/>
      <c r="AN157" s="1530"/>
      <c r="AO157" s="1530"/>
      <c r="AP157" s="1530"/>
      <c r="AQ157" s="1530"/>
      <c r="AR157" s="1530"/>
      <c r="AS157" s="1530"/>
      <c r="AT157" s="1530"/>
      <c r="AU157" s="1530"/>
      <c r="AV157" s="1530"/>
      <c r="AW157" s="1530"/>
      <c r="AX157" s="1530"/>
      <c r="AY157" s="1530"/>
      <c r="AZ157" s="1530"/>
      <c r="BA157" s="1530"/>
      <c r="BB157" s="1530"/>
      <c r="BC157" s="1530"/>
      <c r="BD157" s="1530"/>
      <c r="BE157" s="1530"/>
      <c r="BF157" s="1530"/>
      <c r="BG157" s="1530"/>
      <c r="BH157" s="1530"/>
      <c r="BI157" s="1530"/>
      <c r="BJ157" s="1530"/>
      <c r="BK157" s="1530"/>
      <c r="BL157" s="1530"/>
      <c r="BM157" s="1530"/>
      <c r="BN157" s="1530"/>
      <c r="BW157" s="1569"/>
      <c r="BX157" s="1530"/>
      <c r="BY157" s="1530"/>
      <c r="BZ157" s="1530"/>
      <c r="CA157" s="1530"/>
      <c r="CB157" s="1530"/>
      <c r="CC157" s="1530"/>
      <c r="CD157" s="1530"/>
      <c r="CE157" s="1530"/>
      <c r="CF157" s="1530"/>
      <c r="CG157" s="1530"/>
      <c r="CH157" s="1530"/>
      <c r="CI157" s="1530"/>
      <c r="CJ157" s="1530"/>
      <c r="CK157" s="1530"/>
      <c r="CL157" s="1530"/>
      <c r="CM157" s="1530"/>
      <c r="CN157" s="1570"/>
      <c r="CO157" s="1530"/>
      <c r="CP157" s="1530"/>
      <c r="CQ157" s="1530"/>
      <c r="CR157" s="1530"/>
      <c r="CS157" s="1530"/>
      <c r="CT157" s="1530"/>
      <c r="CU157" s="1530"/>
      <c r="CV157" s="1530"/>
      <c r="CW157" s="1530"/>
      <c r="CX157" s="1530"/>
      <c r="CY157" s="1530"/>
      <c r="CZ157" s="1530"/>
      <c r="DA157" s="1530"/>
      <c r="DB157" s="1530"/>
      <c r="DC157" s="1530"/>
      <c r="DD157" s="1530"/>
      <c r="DE157" s="1530"/>
      <c r="DF157" s="1530"/>
      <c r="DG157" s="1530"/>
      <c r="DH157" s="1530"/>
      <c r="DI157" s="1530"/>
      <c r="DJ157" s="1530"/>
      <c r="DK157" s="1530"/>
      <c r="DL157" s="1530"/>
      <c r="DM157" s="1530"/>
      <c r="DN157" s="1571"/>
      <c r="DO157" s="1530"/>
      <c r="DP157" s="1530"/>
    </row>
    <row r="158" spans="1:120">
      <c r="A158" s="1451"/>
      <c r="C158" s="1451"/>
      <c r="K158" s="1451"/>
      <c r="L158" s="1451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530"/>
      <c r="AI158" s="1530"/>
      <c r="AJ158" s="1530"/>
      <c r="AK158" s="1530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530"/>
      <c r="BB158" s="1530"/>
      <c r="BC158" s="1530"/>
      <c r="BD158" s="1530"/>
      <c r="BE158" s="1530"/>
      <c r="BF158" s="1530"/>
      <c r="BG158" s="1530"/>
      <c r="BH158" s="1530"/>
      <c r="BI158" s="1530"/>
      <c r="BJ158" s="1530"/>
      <c r="BK158" s="1530"/>
      <c r="BL158" s="1530"/>
      <c r="BM158" s="1530"/>
      <c r="BN158" s="1530"/>
      <c r="BW158" s="1569"/>
      <c r="BX158" s="1530"/>
      <c r="BY158" s="1530"/>
      <c r="BZ158" s="1530"/>
      <c r="CA158" s="1530"/>
      <c r="CB158" s="1530"/>
      <c r="CC158" s="1530"/>
      <c r="CD158" s="1530"/>
      <c r="CE158" s="1530"/>
      <c r="CF158" s="1530"/>
      <c r="CG158" s="1530"/>
      <c r="CH158" s="1530"/>
      <c r="CI158" s="1530"/>
      <c r="CJ158" s="1530"/>
      <c r="CK158" s="1530"/>
      <c r="CL158" s="1530"/>
      <c r="CM158" s="1530"/>
      <c r="CN158" s="1570"/>
      <c r="CO158" s="1530"/>
      <c r="CP158" s="1530"/>
      <c r="CQ158" s="1530"/>
      <c r="CR158" s="1530"/>
      <c r="CS158" s="1530"/>
      <c r="CT158" s="1530"/>
      <c r="CU158" s="1530"/>
      <c r="CV158" s="1530"/>
      <c r="CW158" s="1530"/>
      <c r="CX158" s="1530"/>
      <c r="CY158" s="1530"/>
      <c r="CZ158" s="1530"/>
      <c r="DA158" s="1530"/>
      <c r="DB158" s="1530"/>
      <c r="DC158" s="1530"/>
      <c r="DD158" s="1530"/>
      <c r="DE158" s="1530"/>
      <c r="DF158" s="1530"/>
      <c r="DG158" s="1530"/>
      <c r="DH158" s="1530"/>
      <c r="DI158" s="1530"/>
      <c r="DJ158" s="1530"/>
      <c r="DK158" s="1530"/>
      <c r="DL158" s="1530"/>
      <c r="DM158" s="1530"/>
      <c r="DN158" s="1571"/>
      <c r="DO158" s="1530"/>
      <c r="DP158" s="1530"/>
    </row>
    <row r="159" spans="1:120">
      <c r="A159" s="1451"/>
      <c r="C159" s="1451"/>
      <c r="K159" s="1451"/>
      <c r="L159" s="1451"/>
      <c r="U159" s="1530"/>
      <c r="V159" s="1530"/>
      <c r="W159" s="1530"/>
      <c r="X159" s="1530"/>
      <c r="Y159" s="1530"/>
      <c r="Z159" s="1530"/>
      <c r="AA159" s="1530"/>
      <c r="AB159" s="1530"/>
      <c r="AC159" s="1530"/>
      <c r="AD159" s="1530"/>
      <c r="AE159" s="1530"/>
      <c r="AF159" s="1530"/>
      <c r="AG159" s="1530"/>
      <c r="AH159" s="1530"/>
      <c r="AI159" s="1530"/>
      <c r="AJ159" s="1530"/>
      <c r="AK159" s="1530"/>
      <c r="AL159" s="1530"/>
      <c r="AM159" s="1530"/>
      <c r="AN159" s="1530"/>
      <c r="AO159" s="1530"/>
      <c r="AP159" s="1530"/>
      <c r="AQ159" s="1530"/>
      <c r="AR159" s="1530"/>
      <c r="AS159" s="1530"/>
      <c r="AT159" s="1530"/>
      <c r="AU159" s="1530"/>
      <c r="AV159" s="1530"/>
      <c r="AW159" s="1530"/>
      <c r="AX159" s="1530"/>
      <c r="AY159" s="1530"/>
      <c r="AZ159" s="1530"/>
      <c r="BA159" s="1530"/>
      <c r="BB159" s="1530"/>
      <c r="BC159" s="1530"/>
      <c r="BD159" s="1530"/>
      <c r="BE159" s="1530"/>
      <c r="BF159" s="1530"/>
      <c r="BG159" s="1530"/>
      <c r="BH159" s="1530"/>
      <c r="BI159" s="1530"/>
      <c r="BJ159" s="1530"/>
      <c r="BK159" s="1530"/>
      <c r="BL159" s="1530"/>
      <c r="BM159" s="1530"/>
      <c r="BN159" s="1530"/>
      <c r="BW159" s="1569"/>
      <c r="BX159" s="1530"/>
      <c r="BY159" s="1530"/>
      <c r="BZ159" s="1530"/>
      <c r="CA159" s="1530"/>
      <c r="CB159" s="1530"/>
      <c r="CC159" s="1530"/>
      <c r="CD159" s="1530"/>
      <c r="CE159" s="1530"/>
      <c r="CF159" s="1530"/>
      <c r="CG159" s="1530"/>
      <c r="CH159" s="1530"/>
      <c r="CI159" s="1530"/>
      <c r="CJ159" s="1530"/>
      <c r="CK159" s="1530"/>
      <c r="CL159" s="1530"/>
      <c r="CM159" s="1530"/>
      <c r="CN159" s="1570"/>
      <c r="CO159" s="1530"/>
      <c r="CP159" s="1530"/>
      <c r="CQ159" s="1530"/>
      <c r="CR159" s="1530"/>
      <c r="CS159" s="1530"/>
      <c r="CT159" s="1530"/>
      <c r="CU159" s="1530"/>
      <c r="CV159" s="1530"/>
      <c r="CW159" s="1530"/>
      <c r="CX159" s="1530"/>
      <c r="CY159" s="1530"/>
      <c r="CZ159" s="1530"/>
      <c r="DA159" s="1530"/>
      <c r="DB159" s="1530"/>
      <c r="DC159" s="1530"/>
      <c r="DD159" s="1530"/>
      <c r="DE159" s="1530"/>
      <c r="DF159" s="1530"/>
      <c r="DG159" s="1530"/>
      <c r="DH159" s="1530"/>
      <c r="DI159" s="1530"/>
      <c r="DJ159" s="1530"/>
      <c r="DK159" s="1530"/>
      <c r="DL159" s="1530"/>
      <c r="DM159" s="1530"/>
      <c r="DN159" s="1571"/>
      <c r="DO159" s="1530"/>
      <c r="DP159" s="1530"/>
    </row>
    <row r="160" spans="1:120">
      <c r="A160" s="1451"/>
      <c r="C160" s="1451"/>
      <c r="K160" s="1451"/>
      <c r="L160" s="1451"/>
      <c r="U160" s="1530"/>
      <c r="V160" s="1530"/>
      <c r="W160" s="1530"/>
      <c r="X160" s="1530"/>
      <c r="Y160" s="1530"/>
      <c r="Z160" s="1530"/>
      <c r="AA160" s="1530"/>
      <c r="AB160" s="1530"/>
      <c r="AC160" s="1530"/>
      <c r="AD160" s="1530"/>
      <c r="AE160" s="1530"/>
      <c r="AF160" s="1530"/>
      <c r="AG160" s="1530"/>
      <c r="AH160" s="1530"/>
      <c r="AI160" s="1530"/>
      <c r="AJ160" s="1530"/>
      <c r="AK160" s="1530"/>
      <c r="AL160" s="1530"/>
      <c r="AM160" s="1530"/>
      <c r="AN160" s="1530"/>
      <c r="AO160" s="1530"/>
      <c r="AP160" s="1530"/>
      <c r="AQ160" s="1530"/>
      <c r="AR160" s="1530"/>
      <c r="AS160" s="1530"/>
      <c r="AT160" s="1530"/>
      <c r="AU160" s="1530"/>
      <c r="AV160" s="1530"/>
      <c r="AW160" s="1530"/>
      <c r="AX160" s="1530"/>
      <c r="AY160" s="1530"/>
      <c r="AZ160" s="1530"/>
      <c r="BA160" s="1530"/>
      <c r="BB160" s="1530"/>
      <c r="BC160" s="1530"/>
      <c r="BD160" s="1530"/>
      <c r="BE160" s="1530"/>
      <c r="BF160" s="1530"/>
      <c r="BG160" s="1530"/>
      <c r="BH160" s="1530"/>
      <c r="BI160" s="1530"/>
      <c r="BJ160" s="1530"/>
      <c r="BK160" s="1530"/>
      <c r="BL160" s="1530"/>
      <c r="BM160" s="1530"/>
      <c r="BN160" s="1530"/>
      <c r="BW160" s="1569"/>
      <c r="BX160" s="1530"/>
      <c r="BY160" s="1530"/>
      <c r="BZ160" s="1530"/>
      <c r="CA160" s="1530"/>
      <c r="CB160" s="1530"/>
      <c r="CC160" s="1530"/>
      <c r="CD160" s="1530"/>
      <c r="CE160" s="1530"/>
      <c r="CF160" s="1530"/>
      <c r="CG160" s="1530"/>
      <c r="CH160" s="1530"/>
      <c r="CI160" s="1530"/>
      <c r="CJ160" s="1530"/>
      <c r="CK160" s="1530"/>
      <c r="CL160" s="1530"/>
      <c r="CM160" s="1530"/>
      <c r="CN160" s="1570"/>
      <c r="CO160" s="1530"/>
      <c r="CP160" s="1530"/>
      <c r="CQ160" s="1530"/>
      <c r="CR160" s="1530"/>
      <c r="CS160" s="1530"/>
      <c r="CT160" s="1530"/>
      <c r="CU160" s="1530"/>
      <c r="CV160" s="1530"/>
      <c r="CW160" s="1530"/>
      <c r="CX160" s="1530"/>
      <c r="CY160" s="1530"/>
      <c r="CZ160" s="1530"/>
      <c r="DA160" s="1530"/>
      <c r="DB160" s="1530"/>
      <c r="DC160" s="1530"/>
      <c r="DD160" s="1530"/>
      <c r="DE160" s="1530"/>
      <c r="DF160" s="1530"/>
      <c r="DG160" s="1530"/>
      <c r="DH160" s="1530"/>
      <c r="DI160" s="1530"/>
      <c r="DJ160" s="1530"/>
      <c r="DK160" s="1530"/>
      <c r="DL160" s="1530"/>
      <c r="DM160" s="1530"/>
      <c r="DN160" s="1571"/>
      <c r="DO160" s="1530"/>
      <c r="DP160" s="1530"/>
    </row>
    <row r="161" spans="1:120">
      <c r="A161" s="1451"/>
      <c r="C161" s="1451"/>
      <c r="K161" s="1451"/>
      <c r="L161" s="1451"/>
      <c r="U161" s="1530"/>
      <c r="V161" s="1530"/>
      <c r="W161" s="1530"/>
      <c r="X161" s="1530"/>
      <c r="Y161" s="1530"/>
      <c r="Z161" s="1530"/>
      <c r="AA161" s="1530"/>
      <c r="AB161" s="1530"/>
      <c r="AC161" s="1530"/>
      <c r="AD161" s="1530"/>
      <c r="AE161" s="1530"/>
      <c r="AF161" s="1530"/>
      <c r="AG161" s="1530"/>
      <c r="AH161" s="1530"/>
      <c r="AI161" s="1530"/>
      <c r="AJ161" s="1530"/>
      <c r="AK161" s="1530"/>
      <c r="AL161" s="1530"/>
      <c r="AM161" s="1530"/>
      <c r="AN161" s="1530"/>
      <c r="AO161" s="1530"/>
      <c r="AP161" s="1530"/>
      <c r="AQ161" s="1530"/>
      <c r="AR161" s="1530"/>
      <c r="AS161" s="1530"/>
      <c r="AT161" s="1530"/>
      <c r="AU161" s="1530"/>
      <c r="AV161" s="1530"/>
      <c r="AW161" s="1530"/>
      <c r="AX161" s="1530"/>
      <c r="AY161" s="1530"/>
      <c r="AZ161" s="1530"/>
      <c r="BA161" s="1530"/>
      <c r="BB161" s="1530"/>
      <c r="BC161" s="1530"/>
      <c r="BD161" s="1530"/>
      <c r="BE161" s="1530"/>
      <c r="BF161" s="1530"/>
      <c r="BG161" s="1530"/>
      <c r="BH161" s="1530"/>
      <c r="BI161" s="1530"/>
      <c r="BJ161" s="1530"/>
      <c r="BK161" s="1530"/>
      <c r="BL161" s="1530"/>
      <c r="BM161" s="1530"/>
      <c r="BN161" s="1530"/>
      <c r="BW161" s="1569"/>
      <c r="BX161" s="1530"/>
      <c r="BY161" s="1530"/>
      <c r="BZ161" s="1530"/>
      <c r="CA161" s="1530"/>
      <c r="CB161" s="1530"/>
      <c r="CC161" s="1530"/>
      <c r="CD161" s="1530"/>
      <c r="CE161" s="1530"/>
      <c r="CF161" s="1530"/>
      <c r="CG161" s="1530"/>
      <c r="CH161" s="1530"/>
      <c r="CI161" s="1530"/>
      <c r="CJ161" s="1530"/>
      <c r="CK161" s="1530"/>
      <c r="CL161" s="1530"/>
      <c r="CM161" s="1530"/>
      <c r="CN161" s="1570"/>
      <c r="CO161" s="1530"/>
      <c r="CP161" s="1530"/>
      <c r="CQ161" s="1530"/>
      <c r="CR161" s="1530"/>
      <c r="CS161" s="1530"/>
      <c r="CT161" s="1530"/>
      <c r="CU161" s="1530"/>
      <c r="CV161" s="1530"/>
      <c r="CW161" s="1530"/>
      <c r="CX161" s="1530"/>
      <c r="CY161" s="1530"/>
      <c r="CZ161" s="1530"/>
      <c r="DA161" s="1530"/>
      <c r="DB161" s="1530"/>
      <c r="DC161" s="1530"/>
      <c r="DD161" s="1530"/>
      <c r="DE161" s="1530"/>
      <c r="DF161" s="1530"/>
      <c r="DG161" s="1530"/>
      <c r="DH161" s="1530"/>
      <c r="DI161" s="1530"/>
      <c r="DJ161" s="1530"/>
      <c r="DK161" s="1530"/>
      <c r="DL161" s="1530"/>
      <c r="DM161" s="1530"/>
      <c r="DN161" s="1571"/>
      <c r="DO161" s="1530"/>
      <c r="DP161" s="1530"/>
    </row>
    <row r="162" spans="1:120">
      <c r="A162" s="1451"/>
      <c r="C162" s="1451"/>
      <c r="K162" s="1451"/>
      <c r="L162" s="1451"/>
      <c r="U162" s="1530"/>
      <c r="V162" s="1530"/>
      <c r="W162" s="1530"/>
      <c r="X162" s="1530"/>
      <c r="Y162" s="1530"/>
      <c r="Z162" s="1530"/>
      <c r="AA162" s="1530"/>
      <c r="AB162" s="1530"/>
      <c r="AC162" s="1530"/>
      <c r="AD162" s="1530"/>
      <c r="AE162" s="1530"/>
      <c r="AF162" s="1530"/>
      <c r="AG162" s="1530"/>
      <c r="AH162" s="1530"/>
      <c r="AI162" s="1530"/>
      <c r="AJ162" s="1530"/>
      <c r="AK162" s="1530"/>
      <c r="AL162" s="1530"/>
      <c r="AM162" s="1530"/>
      <c r="AN162" s="1530"/>
      <c r="AO162" s="1530"/>
      <c r="AP162" s="1530"/>
      <c r="AQ162" s="1530"/>
      <c r="AR162" s="1530"/>
      <c r="AS162" s="1530"/>
      <c r="AT162" s="1530"/>
      <c r="AU162" s="1530"/>
      <c r="AV162" s="1530"/>
      <c r="AW162" s="1530"/>
      <c r="AX162" s="1530"/>
      <c r="AY162" s="1530"/>
      <c r="AZ162" s="1530"/>
      <c r="BA162" s="1530"/>
      <c r="BB162" s="1530"/>
      <c r="BC162" s="1530"/>
      <c r="BD162" s="1530"/>
      <c r="BE162" s="1530"/>
      <c r="BF162" s="1530"/>
      <c r="BG162" s="1530"/>
      <c r="BH162" s="1530"/>
      <c r="BI162" s="1530"/>
      <c r="BJ162" s="1530"/>
      <c r="BK162" s="1530"/>
      <c r="BL162" s="1530"/>
      <c r="BM162" s="1530"/>
      <c r="BN162" s="1530"/>
      <c r="BW162" s="1569"/>
      <c r="BX162" s="1530"/>
      <c r="BY162" s="1530"/>
      <c r="BZ162" s="1530"/>
      <c r="CA162" s="1530"/>
      <c r="CB162" s="1530"/>
      <c r="CC162" s="1530"/>
      <c r="CD162" s="1530"/>
      <c r="CE162" s="1530"/>
      <c r="CF162" s="1530"/>
      <c r="CG162" s="1530"/>
      <c r="CH162" s="1530"/>
      <c r="CI162" s="1530"/>
      <c r="CJ162" s="1530"/>
      <c r="CK162" s="1530"/>
      <c r="CL162" s="1530"/>
      <c r="CM162" s="1530"/>
      <c r="CN162" s="1570"/>
      <c r="CO162" s="1530"/>
      <c r="CP162" s="1530"/>
      <c r="CQ162" s="1530"/>
      <c r="CR162" s="1530"/>
      <c r="CS162" s="1530"/>
      <c r="CT162" s="1530"/>
      <c r="CU162" s="1530"/>
      <c r="CV162" s="1530"/>
      <c r="CW162" s="1530"/>
      <c r="CX162" s="1530"/>
      <c r="CY162" s="1530"/>
      <c r="CZ162" s="1530"/>
      <c r="DA162" s="1530"/>
      <c r="DB162" s="1530"/>
      <c r="DC162" s="1530"/>
      <c r="DD162" s="1530"/>
      <c r="DE162" s="1530"/>
      <c r="DF162" s="1530"/>
      <c r="DG162" s="1530"/>
      <c r="DH162" s="1530"/>
      <c r="DI162" s="1530"/>
      <c r="DJ162" s="1530"/>
      <c r="DK162" s="1530"/>
      <c r="DL162" s="1530"/>
      <c r="DM162" s="1530"/>
      <c r="DN162" s="1571"/>
      <c r="DO162" s="1530"/>
      <c r="DP162" s="1530"/>
    </row>
    <row r="163" spans="1:120">
      <c r="A163" s="1451"/>
      <c r="C163" s="1451"/>
      <c r="K163" s="1451"/>
      <c r="L163" s="1451"/>
      <c r="U163" s="1530"/>
      <c r="V163" s="1530"/>
      <c r="W163" s="1530"/>
      <c r="X163" s="1530"/>
      <c r="Y163" s="1530"/>
      <c r="Z163" s="1530"/>
      <c r="AA163" s="1530"/>
      <c r="AB163" s="1530"/>
      <c r="AC163" s="1530"/>
      <c r="AD163" s="1530"/>
      <c r="AE163" s="1530"/>
      <c r="AF163" s="1530"/>
      <c r="AG163" s="1530"/>
      <c r="AH163" s="1530"/>
      <c r="AI163" s="1530"/>
      <c r="AJ163" s="1530"/>
      <c r="AK163" s="1530"/>
      <c r="AL163" s="1530"/>
      <c r="AM163" s="1530"/>
      <c r="AN163" s="1530"/>
      <c r="AO163" s="1530"/>
      <c r="AP163" s="1530"/>
      <c r="AQ163" s="1530"/>
      <c r="AR163" s="1530"/>
      <c r="AS163" s="1530"/>
      <c r="AT163" s="1530"/>
      <c r="AU163" s="1530"/>
      <c r="AV163" s="1530"/>
      <c r="AW163" s="1530"/>
      <c r="AX163" s="1530"/>
      <c r="AY163" s="1530"/>
      <c r="AZ163" s="1530"/>
      <c r="BA163" s="1530"/>
      <c r="BB163" s="1530"/>
      <c r="BC163" s="1530"/>
      <c r="BD163" s="1530"/>
      <c r="BE163" s="1530"/>
      <c r="BF163" s="1530"/>
      <c r="BG163" s="1530"/>
      <c r="BH163" s="1530"/>
      <c r="BI163" s="1530"/>
      <c r="BJ163" s="1530"/>
      <c r="BK163" s="1530"/>
      <c r="BL163" s="1530"/>
      <c r="BM163" s="1530"/>
      <c r="BN163" s="1530"/>
      <c r="BW163" s="1569"/>
      <c r="BX163" s="1530"/>
      <c r="BY163" s="1530"/>
      <c r="BZ163" s="1530"/>
      <c r="CA163" s="1530"/>
      <c r="CB163" s="1530"/>
      <c r="CC163" s="1530"/>
      <c r="CD163" s="1530"/>
      <c r="CE163" s="1530"/>
      <c r="CF163" s="1530"/>
      <c r="CG163" s="1530"/>
      <c r="CH163" s="1530"/>
      <c r="CI163" s="1530"/>
      <c r="CJ163" s="1530"/>
      <c r="CK163" s="1530"/>
      <c r="CL163" s="1530"/>
      <c r="CM163" s="1530"/>
      <c r="CN163" s="1570"/>
      <c r="CO163" s="1530"/>
      <c r="CP163" s="1530"/>
      <c r="CQ163" s="1530"/>
      <c r="CR163" s="1530"/>
      <c r="CS163" s="1530"/>
      <c r="CT163" s="1530"/>
      <c r="CU163" s="1530"/>
      <c r="CV163" s="1530"/>
      <c r="CW163" s="1530"/>
      <c r="CX163" s="1530"/>
      <c r="CY163" s="1530"/>
      <c r="CZ163" s="1530"/>
      <c r="DA163" s="1530"/>
      <c r="DB163" s="1530"/>
      <c r="DC163" s="1530"/>
      <c r="DD163" s="1530"/>
      <c r="DE163" s="1530"/>
      <c r="DF163" s="1530"/>
      <c r="DG163" s="1530"/>
      <c r="DH163" s="1530"/>
      <c r="DI163" s="1530"/>
      <c r="DJ163" s="1530"/>
      <c r="DK163" s="1530"/>
      <c r="DL163" s="1530"/>
      <c r="DM163" s="1530"/>
      <c r="DN163" s="1571"/>
      <c r="DO163" s="1530"/>
      <c r="DP163" s="1530"/>
    </row>
    <row r="164" spans="1:120">
      <c r="A164" s="1451"/>
      <c r="C164" s="1451"/>
      <c r="K164" s="1451"/>
      <c r="L164" s="1451"/>
      <c r="U164" s="1530"/>
      <c r="V164" s="1530"/>
      <c r="W164" s="1530"/>
      <c r="X164" s="1530"/>
      <c r="Y164" s="1530"/>
      <c r="Z164" s="1530"/>
      <c r="AA164" s="1530"/>
      <c r="AB164" s="1530"/>
      <c r="AC164" s="1530"/>
      <c r="AD164" s="1530"/>
      <c r="AE164" s="1530"/>
      <c r="AF164" s="1530"/>
      <c r="AG164" s="1530"/>
      <c r="AH164" s="1530"/>
      <c r="AI164" s="1530"/>
      <c r="AJ164" s="1530"/>
      <c r="AK164" s="1530"/>
      <c r="AL164" s="1530"/>
      <c r="AM164" s="1530"/>
      <c r="AN164" s="1530"/>
      <c r="AO164" s="1530"/>
      <c r="AP164" s="1530"/>
      <c r="AQ164" s="1530"/>
      <c r="AR164" s="1530"/>
      <c r="AS164" s="1530"/>
      <c r="AT164" s="1530"/>
      <c r="AU164" s="1530"/>
      <c r="AV164" s="1530"/>
      <c r="AW164" s="1530"/>
      <c r="AX164" s="1530"/>
      <c r="AY164" s="1530"/>
      <c r="AZ164" s="1530"/>
      <c r="BA164" s="1530"/>
      <c r="BB164" s="1530"/>
      <c r="BC164" s="1530"/>
      <c r="BD164" s="1530"/>
      <c r="BE164" s="1530"/>
      <c r="BF164" s="1530"/>
      <c r="BG164" s="1530"/>
      <c r="BH164" s="1530"/>
      <c r="BI164" s="1530"/>
      <c r="BJ164" s="1530"/>
      <c r="BK164" s="1530"/>
      <c r="BL164" s="1530"/>
      <c r="BM164" s="1530"/>
      <c r="BN164" s="1530"/>
      <c r="BW164" s="1569"/>
      <c r="BX164" s="1530"/>
      <c r="BY164" s="1530"/>
      <c r="BZ164" s="1530"/>
      <c r="CA164" s="1530"/>
      <c r="CB164" s="1530"/>
      <c r="CC164" s="1530"/>
      <c r="CD164" s="1530"/>
      <c r="CE164" s="1530"/>
      <c r="CF164" s="1530"/>
      <c r="CG164" s="1530"/>
      <c r="CH164" s="1530"/>
      <c r="CI164" s="1530"/>
      <c r="CJ164" s="1530"/>
      <c r="CK164" s="1530"/>
      <c r="CL164" s="1530"/>
      <c r="CM164" s="1530"/>
      <c r="CN164" s="1570"/>
      <c r="CO164" s="1530"/>
      <c r="CP164" s="1530"/>
      <c r="CQ164" s="1530"/>
      <c r="CR164" s="1530"/>
      <c r="CS164" s="1530"/>
      <c r="CT164" s="1530"/>
      <c r="CU164" s="1530"/>
      <c r="CV164" s="1530"/>
      <c r="CW164" s="1530"/>
      <c r="CX164" s="1530"/>
      <c r="CY164" s="1530"/>
      <c r="CZ164" s="1530"/>
      <c r="DA164" s="1530"/>
      <c r="DB164" s="1530"/>
      <c r="DC164" s="1530"/>
      <c r="DD164" s="1530"/>
      <c r="DE164" s="1530"/>
      <c r="DF164" s="1530"/>
      <c r="DG164" s="1530"/>
      <c r="DH164" s="1530"/>
      <c r="DI164" s="1530"/>
      <c r="DJ164" s="1530"/>
      <c r="DK164" s="1530"/>
      <c r="DL164" s="1530"/>
      <c r="DM164" s="1530"/>
      <c r="DN164" s="1571"/>
      <c r="DO164" s="1530"/>
      <c r="DP164" s="1530"/>
    </row>
    <row r="165" spans="1:120">
      <c r="A165" s="1451"/>
      <c r="C165" s="1451"/>
      <c r="K165" s="1451"/>
      <c r="L165" s="1451"/>
      <c r="U165" s="1530"/>
      <c r="V165" s="1530"/>
      <c r="W165" s="1530"/>
      <c r="X165" s="1530"/>
      <c r="Y165" s="1530"/>
      <c r="Z165" s="1530"/>
      <c r="AA165" s="1530"/>
      <c r="AB165" s="1530"/>
      <c r="AC165" s="1530"/>
      <c r="AD165" s="1530"/>
      <c r="AE165" s="1530"/>
      <c r="AF165" s="1530"/>
      <c r="AG165" s="1530"/>
      <c r="AH165" s="1530"/>
      <c r="AI165" s="1530"/>
      <c r="AJ165" s="1530"/>
      <c r="AK165" s="1530"/>
      <c r="AL165" s="1530"/>
      <c r="AM165" s="1530"/>
      <c r="AN165" s="1530"/>
      <c r="AO165" s="1530"/>
      <c r="AP165" s="1530"/>
      <c r="AQ165" s="1530"/>
      <c r="AR165" s="1530"/>
      <c r="AS165" s="1530"/>
      <c r="AT165" s="1530"/>
      <c r="AU165" s="1530"/>
      <c r="AV165" s="1530"/>
      <c r="AW165" s="1530"/>
      <c r="AX165" s="1530"/>
      <c r="AY165" s="1530"/>
      <c r="AZ165" s="1530"/>
      <c r="BA165" s="1530"/>
      <c r="BB165" s="1530"/>
      <c r="BC165" s="1530"/>
      <c r="BD165" s="1530"/>
      <c r="BE165" s="1530"/>
      <c r="BF165" s="1530"/>
      <c r="BG165" s="1530"/>
      <c r="BH165" s="1530"/>
      <c r="BI165" s="1530"/>
      <c r="BJ165" s="1530"/>
      <c r="BK165" s="1530"/>
      <c r="BL165" s="1530"/>
      <c r="BM165" s="1530"/>
      <c r="BN165" s="1530"/>
      <c r="BW165" s="1569"/>
      <c r="BX165" s="1530"/>
      <c r="BY165" s="1530"/>
      <c r="BZ165" s="1530"/>
      <c r="CA165" s="1530"/>
      <c r="CB165" s="1530"/>
      <c r="CC165" s="1530"/>
      <c r="CD165" s="1530"/>
      <c r="CE165" s="1530"/>
      <c r="CF165" s="1530"/>
      <c r="CG165" s="1530"/>
      <c r="CH165" s="1530"/>
      <c r="CI165" s="1530"/>
      <c r="CJ165" s="1530"/>
      <c r="CK165" s="1530"/>
      <c r="CL165" s="1530"/>
      <c r="CM165" s="1530"/>
      <c r="CN165" s="1570"/>
      <c r="CO165" s="1530"/>
      <c r="CP165" s="1530"/>
      <c r="CQ165" s="1530"/>
      <c r="CR165" s="1530"/>
      <c r="CS165" s="1530"/>
      <c r="CT165" s="1530"/>
      <c r="CU165" s="1530"/>
      <c r="CV165" s="1530"/>
      <c r="CW165" s="1530"/>
      <c r="CX165" s="1530"/>
      <c r="CY165" s="1530"/>
      <c r="CZ165" s="1530"/>
      <c r="DA165" s="1530"/>
      <c r="DB165" s="1530"/>
      <c r="DC165" s="1530"/>
      <c r="DD165" s="1530"/>
      <c r="DE165" s="1530"/>
      <c r="DF165" s="1530"/>
      <c r="DG165" s="1530"/>
      <c r="DH165" s="1530"/>
      <c r="DI165" s="1530"/>
      <c r="DJ165" s="1530"/>
      <c r="DK165" s="1530"/>
      <c r="DL165" s="1530"/>
      <c r="DM165" s="1530"/>
      <c r="DN165" s="1571"/>
      <c r="DO165" s="1530"/>
      <c r="DP165" s="1530"/>
    </row>
    <row r="166" spans="1:120">
      <c r="A166" s="1451"/>
      <c r="C166" s="1451"/>
      <c r="K166" s="1451"/>
      <c r="L166" s="1451"/>
      <c r="U166" s="1530"/>
      <c r="V166" s="1530"/>
      <c r="W166" s="1530"/>
      <c r="X166" s="1530"/>
      <c r="Y166" s="1530"/>
      <c r="Z166" s="1530"/>
      <c r="AA166" s="1530"/>
      <c r="AB166" s="1530"/>
      <c r="AC166" s="1530"/>
      <c r="AD166" s="1530"/>
      <c r="AE166" s="1530"/>
      <c r="AF166" s="1530"/>
      <c r="AG166" s="1530"/>
      <c r="AH166" s="1530"/>
      <c r="AI166" s="1530"/>
      <c r="AJ166" s="1530"/>
      <c r="AK166" s="1530"/>
      <c r="AL166" s="1530"/>
      <c r="AM166" s="1530"/>
      <c r="AN166" s="1530"/>
      <c r="AO166" s="1530"/>
      <c r="AP166" s="1530"/>
      <c r="AQ166" s="1530"/>
      <c r="AR166" s="1530"/>
      <c r="AS166" s="1530"/>
      <c r="AT166" s="1530"/>
      <c r="AU166" s="1530"/>
      <c r="AV166" s="1530"/>
      <c r="AW166" s="1530"/>
      <c r="AX166" s="1530"/>
      <c r="AY166" s="1530"/>
      <c r="AZ166" s="1530"/>
      <c r="BA166" s="1530"/>
      <c r="BB166" s="1530"/>
      <c r="BC166" s="1530"/>
      <c r="BD166" s="1530"/>
      <c r="BE166" s="1530"/>
      <c r="BF166" s="1530"/>
      <c r="BG166" s="1530"/>
      <c r="BH166" s="1530"/>
      <c r="BI166" s="1530"/>
      <c r="BJ166" s="1530"/>
      <c r="BK166" s="1530"/>
      <c r="BL166" s="1530"/>
      <c r="BM166" s="1530"/>
      <c r="BN166" s="1530"/>
      <c r="BW166" s="1569"/>
      <c r="BX166" s="1530"/>
      <c r="BY166" s="1530"/>
      <c r="BZ166" s="1530"/>
      <c r="CA166" s="1530"/>
      <c r="CB166" s="1530"/>
      <c r="CC166" s="1530"/>
      <c r="CD166" s="1530"/>
      <c r="CE166" s="1530"/>
      <c r="CF166" s="1530"/>
      <c r="CG166" s="1530"/>
      <c r="CH166" s="1530"/>
      <c r="CI166" s="1530"/>
      <c r="CJ166" s="1530"/>
      <c r="CK166" s="1530"/>
      <c r="CL166" s="1530"/>
      <c r="CM166" s="1530"/>
      <c r="CN166" s="1570"/>
      <c r="CO166" s="1530"/>
      <c r="CP166" s="1530"/>
      <c r="CQ166" s="1530"/>
      <c r="CR166" s="1530"/>
      <c r="CS166" s="1530"/>
      <c r="CT166" s="1530"/>
      <c r="CU166" s="1530"/>
      <c r="CV166" s="1530"/>
      <c r="CW166" s="1530"/>
      <c r="CX166" s="1530"/>
      <c r="CY166" s="1530"/>
      <c r="CZ166" s="1530"/>
      <c r="DA166" s="1530"/>
      <c r="DB166" s="1530"/>
      <c r="DC166" s="1530"/>
      <c r="DD166" s="1530"/>
      <c r="DE166" s="1530"/>
      <c r="DF166" s="1530"/>
      <c r="DG166" s="1530"/>
      <c r="DH166" s="1530"/>
      <c r="DI166" s="1530"/>
      <c r="DJ166" s="1530"/>
      <c r="DK166" s="1530"/>
      <c r="DL166" s="1530"/>
      <c r="DM166" s="1530"/>
      <c r="DN166" s="1571"/>
      <c r="DO166" s="1530"/>
      <c r="DP166" s="1530"/>
    </row>
    <row r="167" spans="1:120">
      <c r="A167" s="1451"/>
      <c r="C167" s="1451"/>
      <c r="K167" s="1451"/>
      <c r="L167" s="1451"/>
      <c r="U167" s="1530"/>
      <c r="V167" s="1530"/>
      <c r="W167" s="1530"/>
      <c r="X167" s="1530"/>
      <c r="Y167" s="1530"/>
      <c r="Z167" s="1530"/>
      <c r="AA167" s="1530"/>
      <c r="AB167" s="1530"/>
      <c r="AC167" s="1530"/>
      <c r="AD167" s="1530"/>
      <c r="AE167" s="1530"/>
      <c r="AF167" s="1530"/>
      <c r="AG167" s="1530"/>
      <c r="AH167" s="1530"/>
      <c r="AI167" s="1530"/>
      <c r="AJ167" s="1530"/>
      <c r="AK167" s="1530"/>
      <c r="AL167" s="1530"/>
      <c r="AM167" s="1530"/>
      <c r="AN167" s="1530"/>
      <c r="AO167" s="1530"/>
      <c r="AP167" s="1530"/>
      <c r="AQ167" s="1530"/>
      <c r="AR167" s="1530"/>
      <c r="AS167" s="1530"/>
      <c r="AT167" s="1530"/>
      <c r="AU167" s="1530"/>
      <c r="AV167" s="1530"/>
      <c r="AW167" s="1530"/>
      <c r="AX167" s="1530"/>
      <c r="AY167" s="1530"/>
      <c r="AZ167" s="1530"/>
      <c r="BA167" s="1530"/>
      <c r="BB167" s="1530"/>
      <c r="BC167" s="1530"/>
      <c r="BD167" s="1530"/>
      <c r="BE167" s="1530"/>
      <c r="BF167" s="1530"/>
      <c r="BG167" s="1530"/>
      <c r="BH167" s="1530"/>
      <c r="BI167" s="1530"/>
      <c r="BJ167" s="1530"/>
      <c r="BK167" s="1530"/>
      <c r="BL167" s="1530"/>
      <c r="BM167" s="1530"/>
      <c r="BN167" s="1530"/>
      <c r="BW167" s="1569"/>
      <c r="BX167" s="1530"/>
      <c r="BY167" s="1530"/>
      <c r="BZ167" s="1530"/>
      <c r="CA167" s="1530"/>
      <c r="CB167" s="1530"/>
      <c r="CC167" s="1530"/>
      <c r="CD167" s="1530"/>
      <c r="CE167" s="1530"/>
      <c r="CF167" s="1530"/>
      <c r="CG167" s="1530"/>
      <c r="CH167" s="1530"/>
      <c r="CI167" s="1530"/>
      <c r="CJ167" s="1530"/>
      <c r="CK167" s="1530"/>
      <c r="CL167" s="1530"/>
      <c r="CM167" s="1530"/>
      <c r="CN167" s="1570"/>
      <c r="CO167" s="1530"/>
      <c r="CP167" s="1530"/>
      <c r="CQ167" s="1530"/>
      <c r="CR167" s="1530"/>
      <c r="CS167" s="1530"/>
      <c r="CT167" s="1530"/>
      <c r="CU167" s="1530"/>
      <c r="CV167" s="1530"/>
      <c r="CW167" s="1530"/>
      <c r="CX167" s="1530"/>
      <c r="CY167" s="1530"/>
      <c r="CZ167" s="1530"/>
      <c r="DA167" s="1530"/>
      <c r="DB167" s="1530"/>
      <c r="DC167" s="1530"/>
      <c r="DD167" s="1530"/>
      <c r="DE167" s="1530"/>
      <c r="DF167" s="1530"/>
      <c r="DG167" s="1530"/>
      <c r="DH167" s="1530"/>
      <c r="DI167" s="1530"/>
      <c r="DJ167" s="1530"/>
      <c r="DK167" s="1530"/>
      <c r="DL167" s="1530"/>
      <c r="DM167" s="1530"/>
      <c r="DN167" s="1571"/>
      <c r="DO167" s="1530"/>
      <c r="DP167" s="1530"/>
    </row>
    <row r="168" spans="1:120">
      <c r="A168" s="1451"/>
      <c r="C168" s="1451"/>
      <c r="K168" s="1451"/>
      <c r="L168" s="1451"/>
      <c r="U168" s="1530"/>
      <c r="V168" s="1530"/>
      <c r="W168" s="1530"/>
      <c r="X168" s="1530"/>
      <c r="Y168" s="1530"/>
      <c r="Z168" s="1530"/>
      <c r="AA168" s="1530"/>
      <c r="AB168" s="1530"/>
      <c r="AC168" s="1530"/>
      <c r="AD168" s="1530"/>
      <c r="AE168" s="1530"/>
      <c r="AF168" s="1530"/>
      <c r="AG168" s="1530"/>
      <c r="AH168" s="1530"/>
      <c r="AI168" s="1530"/>
      <c r="AJ168" s="1530"/>
      <c r="AK168" s="1530"/>
      <c r="AL168" s="1530"/>
      <c r="AM168" s="1530"/>
      <c r="AN168" s="1530"/>
      <c r="AO168" s="1530"/>
      <c r="AP168" s="1530"/>
      <c r="AQ168" s="1530"/>
      <c r="AR168" s="1530"/>
      <c r="AS168" s="1530"/>
      <c r="AT168" s="1530"/>
      <c r="AU168" s="1530"/>
      <c r="AV168" s="1530"/>
      <c r="AW168" s="1530"/>
      <c r="AX168" s="1530"/>
      <c r="AY168" s="1530"/>
      <c r="AZ168" s="1530"/>
      <c r="BA168" s="1530"/>
      <c r="BB168" s="1530"/>
      <c r="BC168" s="1530"/>
      <c r="BD168" s="1530"/>
      <c r="BE168" s="1530"/>
      <c r="BF168" s="1530"/>
      <c r="BG168" s="1530"/>
      <c r="BH168" s="1530"/>
      <c r="BI168" s="1530"/>
      <c r="BJ168" s="1530"/>
      <c r="BK168" s="1530"/>
      <c r="BL168" s="1530"/>
      <c r="BM168" s="1530"/>
      <c r="BN168" s="1530"/>
      <c r="BW168" s="1569"/>
      <c r="BX168" s="1530"/>
      <c r="BY168" s="1530"/>
      <c r="BZ168" s="1530"/>
      <c r="CA168" s="1530"/>
      <c r="CB168" s="1530"/>
      <c r="CC168" s="1530"/>
      <c r="CD168" s="1530"/>
      <c r="CE168" s="1530"/>
      <c r="CF168" s="1530"/>
      <c r="CG168" s="1530"/>
      <c r="CH168" s="1530"/>
      <c r="CI168" s="1530"/>
      <c r="CJ168" s="1530"/>
      <c r="CK168" s="1530"/>
      <c r="CL168" s="1530"/>
      <c r="CM168" s="1530"/>
      <c r="CN168" s="1570"/>
      <c r="CO168" s="1530"/>
      <c r="CP168" s="1530"/>
      <c r="CQ168" s="1530"/>
      <c r="CR168" s="1530"/>
      <c r="CS168" s="1530"/>
      <c r="CT168" s="1530"/>
      <c r="CU168" s="1530"/>
      <c r="CV168" s="1530"/>
      <c r="CW168" s="1530"/>
      <c r="CX168" s="1530"/>
      <c r="CY168" s="1530"/>
      <c r="CZ168" s="1530"/>
      <c r="DA168" s="1530"/>
      <c r="DB168" s="1530"/>
      <c r="DC168" s="1530"/>
      <c r="DD168" s="1530"/>
      <c r="DE168" s="1530"/>
      <c r="DF168" s="1530"/>
      <c r="DG168" s="1530"/>
      <c r="DH168" s="1530"/>
      <c r="DI168" s="1530"/>
      <c r="DJ168" s="1530"/>
      <c r="DK168" s="1530"/>
      <c r="DL168" s="1530"/>
      <c r="DM168" s="1530"/>
      <c r="DN168" s="1571"/>
      <c r="DO168" s="1530"/>
      <c r="DP168" s="1530"/>
    </row>
    <row r="169" spans="1:120">
      <c r="A169" s="1451"/>
      <c r="C169" s="1451"/>
      <c r="K169" s="1451"/>
      <c r="L169" s="1451"/>
      <c r="U169" s="1530"/>
      <c r="V169" s="1530"/>
      <c r="W169" s="1530"/>
      <c r="X169" s="1530"/>
      <c r="Y169" s="1530"/>
      <c r="Z169" s="1530"/>
      <c r="AA169" s="1530"/>
      <c r="AB169" s="1530"/>
      <c r="AC169" s="1530"/>
      <c r="AD169" s="1530"/>
      <c r="AE169" s="1530"/>
      <c r="AF169" s="1530"/>
      <c r="AG169" s="1530"/>
      <c r="AH169" s="1530"/>
      <c r="AI169" s="1530"/>
      <c r="AJ169" s="1530"/>
      <c r="AK169" s="1530"/>
      <c r="AL169" s="1530"/>
      <c r="AM169" s="1530"/>
      <c r="AN169" s="1530"/>
      <c r="AO169" s="1530"/>
      <c r="AP169" s="1530"/>
      <c r="AQ169" s="1530"/>
      <c r="AR169" s="1530"/>
      <c r="AS169" s="1530"/>
      <c r="AT169" s="1530"/>
      <c r="AU169" s="1530"/>
      <c r="AV169" s="1530"/>
      <c r="AW169" s="1530"/>
      <c r="AX169" s="1530"/>
      <c r="AY169" s="1530"/>
      <c r="AZ169" s="1530"/>
      <c r="BA169" s="1530"/>
      <c r="BB169" s="1530"/>
      <c r="BC169" s="1530"/>
      <c r="BD169" s="1530"/>
      <c r="BE169" s="1530"/>
      <c r="BF169" s="1530"/>
      <c r="BG169" s="1530"/>
      <c r="BH169" s="1530"/>
      <c r="BI169" s="1530"/>
      <c r="BJ169" s="1530"/>
      <c r="BK169" s="1530"/>
      <c r="BL169" s="1530"/>
      <c r="BM169" s="1530"/>
      <c r="BN169" s="1530"/>
      <c r="BW169" s="1569"/>
      <c r="BX169" s="1530"/>
      <c r="BY169" s="1530"/>
      <c r="BZ169" s="1530"/>
      <c r="CA169" s="1530"/>
      <c r="CB169" s="1530"/>
      <c r="CC169" s="1530"/>
      <c r="CD169" s="1530"/>
      <c r="CE169" s="1530"/>
      <c r="CF169" s="1530"/>
      <c r="CG169" s="1530"/>
      <c r="CH169" s="1530"/>
      <c r="CI169" s="1530"/>
      <c r="CJ169" s="1530"/>
      <c r="CK169" s="1530"/>
      <c r="CL169" s="1530"/>
      <c r="CM169" s="1530"/>
      <c r="CN169" s="1570"/>
      <c r="CO169" s="1530"/>
      <c r="CP169" s="1530"/>
      <c r="CQ169" s="1530"/>
      <c r="CR169" s="1530"/>
      <c r="CS169" s="1530"/>
      <c r="CT169" s="1530"/>
      <c r="CU169" s="1530"/>
      <c r="CV169" s="1530"/>
      <c r="CW169" s="1530"/>
      <c r="CX169" s="1530"/>
      <c r="CY169" s="1530"/>
      <c r="CZ169" s="1530"/>
      <c r="DA169" s="1530"/>
      <c r="DB169" s="1530"/>
      <c r="DC169" s="1530"/>
      <c r="DD169" s="1530"/>
      <c r="DE169" s="1530"/>
      <c r="DF169" s="1530"/>
      <c r="DG169" s="1530"/>
      <c r="DH169" s="1530"/>
      <c r="DI169" s="1530"/>
      <c r="DJ169" s="1530"/>
      <c r="DK169" s="1530"/>
      <c r="DL169" s="1530"/>
      <c r="DM169" s="1530"/>
      <c r="DN169" s="1571"/>
      <c r="DO169" s="1530"/>
      <c r="DP169" s="1530"/>
    </row>
    <row r="170" spans="1:120">
      <c r="A170" s="1451"/>
      <c r="C170" s="1451"/>
      <c r="K170" s="1451"/>
      <c r="L170" s="1451"/>
      <c r="U170" s="1530"/>
      <c r="V170" s="1530"/>
      <c r="W170" s="1530"/>
      <c r="X170" s="1530"/>
      <c r="Y170" s="1530"/>
      <c r="Z170" s="1530"/>
      <c r="AA170" s="1530"/>
      <c r="AB170" s="1530"/>
      <c r="AC170" s="1530"/>
      <c r="AD170" s="1530"/>
      <c r="AE170" s="1530"/>
      <c r="AF170" s="1530"/>
      <c r="AG170" s="1530"/>
      <c r="AH170" s="1530"/>
      <c r="AI170" s="1530"/>
      <c r="AJ170" s="1530"/>
      <c r="AK170" s="1530"/>
      <c r="AL170" s="1530"/>
      <c r="AM170" s="1530"/>
      <c r="AN170" s="1530"/>
      <c r="AO170" s="1530"/>
      <c r="AP170" s="1530"/>
      <c r="AQ170" s="1530"/>
      <c r="AR170" s="1530"/>
      <c r="AS170" s="1530"/>
      <c r="AT170" s="1530"/>
      <c r="AU170" s="1530"/>
      <c r="AV170" s="1530"/>
      <c r="AW170" s="1530"/>
      <c r="AX170" s="1530"/>
      <c r="AY170" s="1530"/>
      <c r="AZ170" s="1530"/>
      <c r="BA170" s="1530"/>
      <c r="BB170" s="1530"/>
      <c r="BC170" s="1530"/>
      <c r="BD170" s="1530"/>
      <c r="BE170" s="1530"/>
      <c r="BF170" s="1530"/>
      <c r="BG170" s="1530"/>
      <c r="BH170" s="1530"/>
      <c r="BI170" s="1530"/>
      <c r="BJ170" s="1530"/>
      <c r="BK170" s="1530"/>
      <c r="BL170" s="1530"/>
      <c r="BM170" s="1530"/>
      <c r="BN170" s="1530"/>
      <c r="BW170" s="1569"/>
      <c r="BX170" s="1530"/>
      <c r="BY170" s="1530"/>
      <c r="BZ170" s="1530"/>
      <c r="CA170" s="1530"/>
      <c r="CB170" s="1530"/>
      <c r="CC170" s="1530"/>
      <c r="CD170" s="1530"/>
      <c r="CE170" s="1530"/>
      <c r="CF170" s="1530"/>
      <c r="CG170" s="1530"/>
      <c r="CH170" s="1530"/>
      <c r="CI170" s="1530"/>
      <c r="CJ170" s="1530"/>
      <c r="CK170" s="1530"/>
      <c r="CL170" s="1530"/>
      <c r="CM170" s="1530"/>
      <c r="CN170" s="1570"/>
      <c r="CO170" s="1530"/>
      <c r="CP170" s="1530"/>
      <c r="CQ170" s="1530"/>
      <c r="CR170" s="1530"/>
      <c r="CS170" s="1530"/>
      <c r="CT170" s="1530"/>
      <c r="CU170" s="1530"/>
      <c r="CV170" s="1530"/>
      <c r="CW170" s="1530"/>
      <c r="CX170" s="1530"/>
      <c r="CY170" s="1530"/>
      <c r="CZ170" s="1530"/>
      <c r="DA170" s="1530"/>
      <c r="DB170" s="1530"/>
      <c r="DC170" s="1530"/>
      <c r="DD170" s="1530"/>
      <c r="DE170" s="1530"/>
      <c r="DF170" s="1530"/>
      <c r="DG170" s="1530"/>
      <c r="DH170" s="1530"/>
      <c r="DI170" s="1530"/>
      <c r="DJ170" s="1530"/>
      <c r="DK170" s="1530"/>
      <c r="DL170" s="1530"/>
      <c r="DM170" s="1530"/>
      <c r="DN170" s="1571"/>
      <c r="DO170" s="1530"/>
      <c r="DP170" s="1530"/>
    </row>
    <row r="171" spans="1:120">
      <c r="A171" s="1451"/>
      <c r="C171" s="1451"/>
      <c r="K171" s="1451"/>
      <c r="L171" s="1451"/>
      <c r="U171" s="1530"/>
      <c r="V171" s="1530"/>
      <c r="W171" s="1530"/>
      <c r="X171" s="1530"/>
      <c r="Y171" s="1530"/>
      <c r="Z171" s="1530"/>
      <c r="AA171" s="1530"/>
      <c r="AB171" s="1530"/>
      <c r="AC171" s="1530"/>
      <c r="AD171" s="1530"/>
      <c r="AE171" s="1530"/>
      <c r="AF171" s="1530"/>
      <c r="AG171" s="1530"/>
      <c r="AH171" s="1530"/>
      <c r="AI171" s="1530"/>
      <c r="AJ171" s="1530"/>
      <c r="AK171" s="1530"/>
      <c r="AL171" s="1530"/>
      <c r="AM171" s="1530"/>
      <c r="AN171" s="1530"/>
      <c r="AO171" s="1530"/>
      <c r="AP171" s="1530"/>
      <c r="AQ171" s="1530"/>
      <c r="AR171" s="1530"/>
      <c r="AS171" s="1530"/>
      <c r="AT171" s="1530"/>
      <c r="AU171" s="1530"/>
      <c r="AV171" s="1530"/>
      <c r="AW171" s="1530"/>
      <c r="AX171" s="1530"/>
      <c r="AY171" s="1530"/>
      <c r="AZ171" s="1530"/>
      <c r="BA171" s="1530"/>
      <c r="BB171" s="1530"/>
      <c r="BC171" s="1530"/>
      <c r="BD171" s="1530"/>
      <c r="BE171" s="1530"/>
      <c r="BF171" s="1530"/>
      <c r="BG171" s="1530"/>
      <c r="BH171" s="1530"/>
      <c r="BI171" s="1530"/>
      <c r="BJ171" s="1530"/>
      <c r="BK171" s="1530"/>
      <c r="BL171" s="1530"/>
      <c r="BM171" s="1530"/>
      <c r="BN171" s="1530"/>
      <c r="BW171" s="1569"/>
      <c r="BX171" s="1530"/>
      <c r="BY171" s="1530"/>
      <c r="BZ171" s="1530"/>
      <c r="CA171" s="1530"/>
      <c r="CB171" s="1530"/>
      <c r="CC171" s="1530"/>
      <c r="CD171" s="1530"/>
      <c r="CE171" s="1530"/>
      <c r="CF171" s="1530"/>
      <c r="CG171" s="1530"/>
      <c r="CH171" s="1530"/>
      <c r="CI171" s="1530"/>
      <c r="CJ171" s="1530"/>
      <c r="CK171" s="1530"/>
      <c r="CL171" s="1530"/>
      <c r="CM171" s="1530"/>
      <c r="CN171" s="1570"/>
      <c r="CO171" s="1530"/>
      <c r="CP171" s="1530"/>
      <c r="CQ171" s="1530"/>
      <c r="CR171" s="1530"/>
      <c r="CS171" s="1530"/>
      <c r="CT171" s="1530"/>
      <c r="CU171" s="1530"/>
      <c r="CV171" s="1530"/>
      <c r="CW171" s="1530"/>
      <c r="CX171" s="1530"/>
      <c r="CY171" s="1530"/>
      <c r="CZ171" s="1530"/>
      <c r="DA171" s="1530"/>
      <c r="DB171" s="1530"/>
      <c r="DC171" s="1530"/>
      <c r="DD171" s="1530"/>
      <c r="DE171" s="1530"/>
      <c r="DF171" s="1530"/>
      <c r="DG171" s="1530"/>
      <c r="DH171" s="1530"/>
      <c r="DI171" s="1530"/>
      <c r="DJ171" s="1530"/>
      <c r="DK171" s="1530"/>
      <c r="DL171" s="1530"/>
      <c r="DM171" s="1530"/>
      <c r="DN171" s="1571"/>
      <c r="DO171" s="1530"/>
      <c r="DP171" s="1530"/>
    </row>
    <row r="172" spans="1:120">
      <c r="A172" s="1451"/>
      <c r="C172" s="1451"/>
      <c r="K172" s="1451"/>
      <c r="L172" s="1451"/>
      <c r="U172" s="1530"/>
      <c r="V172" s="1530"/>
      <c r="W172" s="1530"/>
      <c r="X172" s="1530"/>
      <c r="Y172" s="1530"/>
      <c r="Z172" s="1530"/>
      <c r="AA172" s="1530"/>
      <c r="AB172" s="1530"/>
      <c r="AC172" s="1530"/>
      <c r="AD172" s="1530"/>
      <c r="AE172" s="1530"/>
      <c r="AF172" s="1530"/>
      <c r="AG172" s="1530"/>
      <c r="AH172" s="1530"/>
      <c r="AI172" s="1530"/>
      <c r="AJ172" s="1530"/>
      <c r="AK172" s="1530"/>
      <c r="AL172" s="1530"/>
      <c r="AM172" s="1530"/>
      <c r="AN172" s="1530"/>
      <c r="AO172" s="1530"/>
      <c r="AP172" s="1530"/>
      <c r="AQ172" s="1530"/>
      <c r="AR172" s="1530"/>
      <c r="AS172" s="1530"/>
      <c r="AT172" s="1530"/>
      <c r="AU172" s="1530"/>
      <c r="AV172" s="1530"/>
      <c r="AW172" s="1530"/>
      <c r="AX172" s="1530"/>
      <c r="AY172" s="1530"/>
      <c r="AZ172" s="1530"/>
      <c r="BA172" s="1530"/>
      <c r="BB172" s="1530"/>
      <c r="BC172" s="1530"/>
      <c r="BD172" s="1530"/>
      <c r="BE172" s="1530"/>
      <c r="BF172" s="1530"/>
      <c r="BG172" s="1530"/>
      <c r="BH172" s="1530"/>
      <c r="BI172" s="1530"/>
      <c r="BJ172" s="1530"/>
      <c r="BK172" s="1530"/>
      <c r="BL172" s="1530"/>
      <c r="BM172" s="1530"/>
      <c r="BN172" s="1530"/>
      <c r="BW172" s="1569"/>
      <c r="BX172" s="1530"/>
      <c r="BY172" s="1530"/>
      <c r="BZ172" s="1530"/>
      <c r="CA172" s="1530"/>
      <c r="CB172" s="1530"/>
      <c r="CC172" s="1530"/>
      <c r="CD172" s="1530"/>
      <c r="CE172" s="1530"/>
      <c r="CF172" s="1530"/>
      <c r="CG172" s="1530"/>
      <c r="CH172" s="1530"/>
      <c r="CI172" s="1530"/>
      <c r="CJ172" s="1530"/>
      <c r="CK172" s="1530"/>
      <c r="CL172" s="1530"/>
      <c r="CM172" s="1530"/>
      <c r="CN172" s="1570"/>
      <c r="CO172" s="1530"/>
      <c r="CP172" s="1530"/>
      <c r="CQ172" s="1530"/>
      <c r="CR172" s="1530"/>
      <c r="CS172" s="1530"/>
      <c r="CT172" s="1530"/>
      <c r="CU172" s="1530"/>
      <c r="CV172" s="1530"/>
      <c r="CW172" s="1530"/>
      <c r="CX172" s="1530"/>
      <c r="CY172" s="1530"/>
      <c r="CZ172" s="1530"/>
      <c r="DA172" s="1530"/>
      <c r="DB172" s="1530"/>
      <c r="DC172" s="1530"/>
      <c r="DD172" s="1530"/>
      <c r="DE172" s="1530"/>
      <c r="DF172" s="1530"/>
      <c r="DG172" s="1530"/>
      <c r="DH172" s="1530"/>
      <c r="DI172" s="1530"/>
      <c r="DJ172" s="1530"/>
      <c r="DK172" s="1530"/>
      <c r="DL172" s="1530"/>
      <c r="DM172" s="1530"/>
      <c r="DN172" s="1571"/>
      <c r="DO172" s="1530"/>
      <c r="DP172" s="1530"/>
    </row>
    <row r="173" spans="1:120">
      <c r="A173" s="1451"/>
      <c r="C173" s="1451"/>
      <c r="K173" s="1451"/>
      <c r="L173" s="1451"/>
      <c r="U173" s="1530"/>
      <c r="V173" s="1530"/>
      <c r="W173" s="1530"/>
      <c r="X173" s="1530"/>
      <c r="Y173" s="1530"/>
      <c r="Z173" s="1530"/>
      <c r="AA173" s="1530"/>
      <c r="AB173" s="1530"/>
      <c r="AC173" s="1530"/>
      <c r="AD173" s="1530"/>
      <c r="AE173" s="1530"/>
      <c r="AF173" s="1530"/>
      <c r="AG173" s="1530"/>
      <c r="AH173" s="1530"/>
      <c r="AI173" s="1530"/>
      <c r="AJ173" s="1530"/>
      <c r="AK173" s="1530"/>
      <c r="AL173" s="1530"/>
      <c r="AM173" s="1530"/>
      <c r="AN173" s="1530"/>
      <c r="AO173" s="1530"/>
      <c r="AP173" s="1530"/>
      <c r="AQ173" s="1530"/>
      <c r="AR173" s="1530"/>
      <c r="AS173" s="1530"/>
      <c r="AT173" s="1530"/>
      <c r="AU173" s="1530"/>
      <c r="AV173" s="1530"/>
      <c r="AW173" s="1530"/>
      <c r="AX173" s="1530"/>
      <c r="AY173" s="1530"/>
      <c r="AZ173" s="1530"/>
      <c r="BA173" s="1530"/>
      <c r="BB173" s="1530"/>
      <c r="BC173" s="1530"/>
      <c r="BD173" s="1530"/>
      <c r="BE173" s="1530"/>
      <c r="BF173" s="1530"/>
      <c r="BG173" s="1530"/>
      <c r="BH173" s="1530"/>
      <c r="BI173" s="1530"/>
      <c r="BJ173" s="1530"/>
      <c r="BK173" s="1530"/>
      <c r="BL173" s="1530"/>
      <c r="BM173" s="1530"/>
      <c r="BN173" s="1530"/>
      <c r="BW173" s="1569"/>
      <c r="BX173" s="1530"/>
      <c r="BY173" s="1530"/>
      <c r="BZ173" s="1530"/>
      <c r="CA173" s="1530"/>
      <c r="CB173" s="1530"/>
      <c r="CC173" s="1530"/>
      <c r="CD173" s="1530"/>
      <c r="CE173" s="1530"/>
      <c r="CF173" s="1530"/>
      <c r="CG173" s="1530"/>
      <c r="CH173" s="1530"/>
      <c r="CI173" s="1530"/>
      <c r="CJ173" s="1530"/>
      <c r="CK173" s="1530"/>
      <c r="CL173" s="1530"/>
      <c r="CM173" s="1530"/>
      <c r="CN173" s="1570"/>
      <c r="CO173" s="1530"/>
      <c r="CP173" s="1530"/>
      <c r="CQ173" s="1530"/>
      <c r="CR173" s="1530"/>
      <c r="CS173" s="1530"/>
      <c r="CT173" s="1530"/>
      <c r="CU173" s="1530"/>
      <c r="CV173" s="1530"/>
      <c r="CW173" s="1530"/>
      <c r="CX173" s="1530"/>
      <c r="CY173" s="1530"/>
      <c r="CZ173" s="1530"/>
      <c r="DA173" s="1530"/>
      <c r="DB173" s="1530"/>
      <c r="DC173" s="1530"/>
      <c r="DD173" s="1530"/>
      <c r="DE173" s="1530"/>
      <c r="DF173" s="1530"/>
      <c r="DG173" s="1530"/>
      <c r="DH173" s="1530"/>
      <c r="DI173" s="1530"/>
      <c r="DJ173" s="1530"/>
      <c r="DK173" s="1530"/>
      <c r="DL173" s="1530"/>
      <c r="DM173" s="1530"/>
      <c r="DN173" s="1571"/>
      <c r="DO173" s="1530"/>
      <c r="DP173" s="1530"/>
    </row>
    <row r="174" spans="1:120">
      <c r="A174" s="1451"/>
      <c r="C174" s="1451"/>
      <c r="K174" s="1451"/>
      <c r="L174" s="1451"/>
      <c r="U174" s="1530"/>
      <c r="V174" s="1530"/>
      <c r="W174" s="1530"/>
      <c r="X174" s="1530"/>
      <c r="Y174" s="1530"/>
      <c r="Z174" s="1530"/>
      <c r="AA174" s="1530"/>
      <c r="AB174" s="1530"/>
      <c r="AC174" s="1530"/>
      <c r="AD174" s="1530"/>
      <c r="AE174" s="1530"/>
      <c r="AF174" s="1530"/>
      <c r="AG174" s="1530"/>
      <c r="AH174" s="1530"/>
      <c r="AI174" s="1530"/>
      <c r="AJ174" s="1530"/>
      <c r="AK174" s="1530"/>
      <c r="AL174" s="1530"/>
      <c r="AM174" s="1530"/>
      <c r="AN174" s="1530"/>
      <c r="AO174" s="1530"/>
      <c r="AP174" s="1530"/>
      <c r="AQ174" s="1530"/>
      <c r="AR174" s="1530"/>
      <c r="AS174" s="1530"/>
      <c r="AT174" s="1530"/>
      <c r="AU174" s="1530"/>
      <c r="AV174" s="1530"/>
      <c r="AW174" s="1530"/>
      <c r="AX174" s="1530"/>
      <c r="AY174" s="1530"/>
      <c r="AZ174" s="1530"/>
      <c r="BA174" s="1530"/>
      <c r="BB174" s="1530"/>
      <c r="BC174" s="1530"/>
      <c r="BD174" s="1530"/>
      <c r="BE174" s="1530"/>
      <c r="BF174" s="1530"/>
      <c r="BG174" s="1530"/>
      <c r="BH174" s="1530"/>
      <c r="BI174" s="1530"/>
      <c r="BJ174" s="1530"/>
      <c r="BK174" s="1530"/>
      <c r="BL174" s="1530"/>
      <c r="BM174" s="1530"/>
      <c r="BN174" s="1530"/>
      <c r="BW174" s="1569"/>
      <c r="BX174" s="1530"/>
      <c r="BY174" s="1530"/>
      <c r="BZ174" s="1530"/>
      <c r="CA174" s="1530"/>
      <c r="CB174" s="1530"/>
      <c r="CC174" s="1530"/>
      <c r="CD174" s="1530"/>
      <c r="CE174" s="1530"/>
      <c r="CF174" s="1530"/>
      <c r="CG174" s="1530"/>
      <c r="CH174" s="1530"/>
      <c r="CI174" s="1530"/>
      <c r="CJ174" s="1530"/>
      <c r="CK174" s="1530"/>
      <c r="CL174" s="1530"/>
      <c r="CM174" s="1530"/>
      <c r="CN174" s="1570"/>
      <c r="CO174" s="1530"/>
      <c r="CP174" s="1530"/>
      <c r="CQ174" s="1530"/>
      <c r="CR174" s="1530"/>
      <c r="CS174" s="1530"/>
      <c r="CT174" s="1530"/>
      <c r="CU174" s="1530"/>
      <c r="CV174" s="1530"/>
      <c r="CW174" s="1530"/>
      <c r="CX174" s="1530"/>
      <c r="CY174" s="1530"/>
      <c r="CZ174" s="1530"/>
      <c r="DA174" s="1530"/>
      <c r="DB174" s="1530"/>
      <c r="DC174" s="1530"/>
      <c r="DD174" s="1530"/>
      <c r="DE174" s="1530"/>
      <c r="DF174" s="1530"/>
      <c r="DG174" s="1530"/>
      <c r="DH174" s="1530"/>
      <c r="DI174" s="1530"/>
      <c r="DJ174" s="1530"/>
      <c r="DK174" s="1530"/>
      <c r="DL174" s="1530"/>
      <c r="DM174" s="1530"/>
      <c r="DN174" s="1571"/>
      <c r="DO174" s="1530"/>
      <c r="DP174" s="1530"/>
    </row>
    <row r="175" spans="1:120">
      <c r="A175" s="1451"/>
      <c r="C175" s="1451"/>
      <c r="K175" s="1451"/>
      <c r="L175" s="1451"/>
      <c r="U175" s="1530"/>
      <c r="V175" s="1530"/>
      <c r="W175" s="1530"/>
      <c r="X175" s="1530"/>
      <c r="Y175" s="1530"/>
      <c r="Z175" s="1530"/>
      <c r="AA175" s="1530"/>
      <c r="AB175" s="1530"/>
      <c r="AC175" s="1530"/>
      <c r="AD175" s="1530"/>
      <c r="AE175" s="1530"/>
      <c r="AF175" s="1530"/>
      <c r="AG175" s="1530"/>
      <c r="AH175" s="1530"/>
      <c r="AI175" s="1530"/>
      <c r="AJ175" s="1530"/>
      <c r="AK175" s="1530"/>
      <c r="AL175" s="1530"/>
      <c r="AM175" s="1530"/>
      <c r="AN175" s="1530"/>
      <c r="AO175" s="1530"/>
      <c r="AP175" s="1530"/>
      <c r="AQ175" s="1530"/>
      <c r="AR175" s="1530"/>
      <c r="AS175" s="1530"/>
      <c r="AT175" s="1530"/>
      <c r="AU175" s="1530"/>
      <c r="AV175" s="1530"/>
      <c r="AW175" s="1530"/>
      <c r="AX175" s="1530"/>
      <c r="AY175" s="1530"/>
      <c r="AZ175" s="1530"/>
      <c r="BA175" s="1530"/>
      <c r="BB175" s="1530"/>
      <c r="BC175" s="1530"/>
      <c r="BD175" s="1530"/>
      <c r="BE175" s="1530"/>
      <c r="BF175" s="1530"/>
      <c r="BG175" s="1530"/>
      <c r="BH175" s="1530"/>
      <c r="BI175" s="1530"/>
      <c r="BJ175" s="1530"/>
      <c r="BK175" s="1530"/>
      <c r="BL175" s="1530"/>
      <c r="BM175" s="1530"/>
      <c r="BN175" s="1530"/>
      <c r="BW175" s="1569"/>
      <c r="BX175" s="1530"/>
      <c r="BY175" s="1530"/>
      <c r="BZ175" s="1530"/>
      <c r="CA175" s="1530"/>
      <c r="CB175" s="1530"/>
      <c r="CC175" s="1530"/>
      <c r="CD175" s="1530"/>
      <c r="CE175" s="1530"/>
      <c r="CF175" s="1530"/>
      <c r="CG175" s="1530"/>
      <c r="CH175" s="1530"/>
      <c r="CI175" s="1530"/>
      <c r="CJ175" s="1530"/>
      <c r="CK175" s="1530"/>
      <c r="CL175" s="1530"/>
      <c r="CM175" s="1530"/>
      <c r="CN175" s="1570"/>
      <c r="CO175" s="1530"/>
      <c r="CP175" s="1530"/>
      <c r="CQ175" s="1530"/>
      <c r="CR175" s="1530"/>
      <c r="CS175" s="1530"/>
      <c r="CT175" s="1530"/>
      <c r="CU175" s="1530"/>
      <c r="CV175" s="1530"/>
      <c r="CW175" s="1530"/>
      <c r="CX175" s="1530"/>
      <c r="CY175" s="1530"/>
      <c r="CZ175" s="1530"/>
      <c r="DA175" s="1530"/>
      <c r="DB175" s="1530"/>
      <c r="DC175" s="1530"/>
      <c r="DD175" s="1530"/>
      <c r="DE175" s="1530"/>
      <c r="DF175" s="1530"/>
      <c r="DG175" s="1530"/>
      <c r="DH175" s="1530"/>
      <c r="DI175" s="1530"/>
      <c r="DJ175" s="1530"/>
      <c r="DK175" s="1530"/>
      <c r="DL175" s="1530"/>
      <c r="DM175" s="1530"/>
      <c r="DN175" s="1571"/>
      <c r="DO175" s="1530"/>
      <c r="DP175" s="1530"/>
    </row>
    <row r="176" spans="1:120">
      <c r="A176" s="1451"/>
      <c r="C176" s="1451"/>
      <c r="K176" s="1451"/>
      <c r="L176" s="1451"/>
      <c r="U176" s="1530"/>
      <c r="V176" s="1530"/>
      <c r="W176" s="1530"/>
      <c r="X176" s="1530"/>
      <c r="Y176" s="1530"/>
      <c r="Z176" s="1530"/>
      <c r="AA176" s="1530"/>
      <c r="AB176" s="1530"/>
      <c r="AC176" s="1530"/>
      <c r="AD176" s="1530"/>
      <c r="AE176" s="1530"/>
      <c r="AF176" s="1530"/>
      <c r="AG176" s="1530"/>
      <c r="AH176" s="1530"/>
      <c r="AI176" s="1530"/>
      <c r="AJ176" s="1530"/>
      <c r="AK176" s="1530"/>
      <c r="AL176" s="1530"/>
      <c r="AM176" s="1530"/>
      <c r="AN176" s="1530"/>
      <c r="AO176" s="1530"/>
      <c r="AP176" s="1530"/>
      <c r="AQ176" s="1530"/>
      <c r="AR176" s="1530"/>
      <c r="AS176" s="1530"/>
      <c r="AT176" s="1530"/>
      <c r="AU176" s="1530"/>
      <c r="AV176" s="1530"/>
      <c r="AW176" s="1530"/>
      <c r="AX176" s="1530"/>
      <c r="AY176" s="1530"/>
      <c r="AZ176" s="1530"/>
      <c r="BA176" s="1530"/>
      <c r="BB176" s="1530"/>
      <c r="BC176" s="1530"/>
      <c r="BD176" s="1530"/>
      <c r="BE176" s="1530"/>
      <c r="BF176" s="1530"/>
      <c r="BG176" s="1530"/>
      <c r="BH176" s="1530"/>
      <c r="BI176" s="1530"/>
      <c r="BJ176" s="1530"/>
      <c r="BK176" s="1530"/>
      <c r="BL176" s="1530"/>
      <c r="BM176" s="1530"/>
      <c r="BN176" s="1530"/>
      <c r="BW176" s="1569"/>
      <c r="BX176" s="1530"/>
      <c r="BY176" s="1530"/>
      <c r="BZ176" s="1530"/>
      <c r="CA176" s="1530"/>
      <c r="CB176" s="1530"/>
      <c r="CC176" s="1530"/>
      <c r="CD176" s="1530"/>
      <c r="CE176" s="1530"/>
      <c r="CF176" s="1530"/>
      <c r="CG176" s="1530"/>
      <c r="CH176" s="1530"/>
      <c r="CI176" s="1530"/>
      <c r="CJ176" s="1530"/>
      <c r="CK176" s="1530"/>
      <c r="CL176" s="1530"/>
      <c r="CM176" s="1530"/>
      <c r="CN176" s="1570"/>
      <c r="CO176" s="1530"/>
      <c r="CP176" s="1530"/>
      <c r="CQ176" s="1530"/>
      <c r="CR176" s="1530"/>
      <c r="CS176" s="1530"/>
      <c r="CT176" s="1530"/>
      <c r="CU176" s="1530"/>
      <c r="CV176" s="1530"/>
      <c r="CW176" s="1530"/>
      <c r="CX176" s="1530"/>
      <c r="CY176" s="1530"/>
      <c r="CZ176" s="1530"/>
      <c r="DA176" s="1530"/>
      <c r="DB176" s="1530"/>
      <c r="DC176" s="1530"/>
      <c r="DD176" s="1530"/>
      <c r="DE176" s="1530"/>
      <c r="DF176" s="1530"/>
      <c r="DG176" s="1530"/>
      <c r="DH176" s="1530"/>
      <c r="DI176" s="1530"/>
      <c r="DJ176" s="1530"/>
      <c r="DK176" s="1530"/>
      <c r="DL176" s="1530"/>
      <c r="DM176" s="1530"/>
      <c r="DN176" s="1571"/>
      <c r="DO176" s="1530"/>
      <c r="DP176" s="1530"/>
    </row>
    <row r="177" spans="1:120">
      <c r="A177" s="1451"/>
      <c r="C177" s="1451"/>
      <c r="K177" s="1451"/>
      <c r="L177" s="1451"/>
      <c r="U177" s="1530"/>
      <c r="V177" s="1530"/>
      <c r="W177" s="1530"/>
      <c r="X177" s="1530"/>
      <c r="Y177" s="1530"/>
      <c r="Z177" s="1530"/>
      <c r="AA177" s="1530"/>
      <c r="AB177" s="1530"/>
      <c r="AC177" s="1530"/>
      <c r="AD177" s="1530"/>
      <c r="AE177" s="1530"/>
      <c r="AF177" s="1530"/>
      <c r="AG177" s="1530"/>
      <c r="AH177" s="1530"/>
      <c r="AI177" s="1530"/>
      <c r="AJ177" s="1530"/>
      <c r="AK177" s="1530"/>
      <c r="AL177" s="1530"/>
      <c r="AM177" s="1530"/>
      <c r="AN177" s="1530"/>
      <c r="AO177" s="1530"/>
      <c r="AP177" s="1530"/>
      <c r="AQ177" s="1530"/>
      <c r="AR177" s="1530"/>
      <c r="AS177" s="1530"/>
      <c r="AT177" s="1530"/>
      <c r="AU177" s="1530"/>
      <c r="AV177" s="1530"/>
      <c r="AW177" s="1530"/>
      <c r="AX177" s="1530"/>
      <c r="AY177" s="1530"/>
      <c r="AZ177" s="1530"/>
      <c r="BA177" s="1530"/>
      <c r="BB177" s="1530"/>
      <c r="BC177" s="1530"/>
      <c r="BD177" s="1530"/>
      <c r="BE177" s="1530"/>
      <c r="BF177" s="1530"/>
      <c r="BG177" s="1530"/>
      <c r="BH177" s="1530"/>
      <c r="BI177" s="1530"/>
      <c r="BJ177" s="1530"/>
      <c r="BK177" s="1530"/>
      <c r="BL177" s="1530"/>
      <c r="BM177" s="1530"/>
      <c r="BN177" s="1530"/>
      <c r="BW177" s="1569"/>
      <c r="BX177" s="1530"/>
      <c r="BY177" s="1530"/>
      <c r="BZ177" s="1530"/>
      <c r="CA177" s="1530"/>
      <c r="CB177" s="1530"/>
      <c r="CC177" s="1530"/>
      <c r="CD177" s="1530"/>
      <c r="CE177" s="1530"/>
      <c r="CF177" s="1530"/>
      <c r="CG177" s="1530"/>
      <c r="CH177" s="1530"/>
      <c r="CI177" s="1530"/>
      <c r="CJ177" s="1530"/>
      <c r="CK177" s="1530"/>
      <c r="CL177" s="1530"/>
      <c r="CM177" s="1530"/>
      <c r="CN177" s="1570"/>
      <c r="CO177" s="1530"/>
      <c r="CP177" s="1530"/>
      <c r="CQ177" s="1530"/>
      <c r="CR177" s="1530"/>
      <c r="CS177" s="1530"/>
      <c r="CT177" s="1530"/>
      <c r="CU177" s="1530"/>
      <c r="CV177" s="1530"/>
      <c r="CW177" s="1530"/>
      <c r="CX177" s="1530"/>
      <c r="CY177" s="1530"/>
      <c r="CZ177" s="1530"/>
      <c r="DA177" s="1530"/>
      <c r="DB177" s="1530"/>
      <c r="DC177" s="1530"/>
      <c r="DD177" s="1530"/>
      <c r="DE177" s="1530"/>
      <c r="DF177" s="1530"/>
      <c r="DG177" s="1530"/>
      <c r="DH177" s="1530"/>
      <c r="DI177" s="1530"/>
      <c r="DJ177" s="1530"/>
      <c r="DK177" s="1530"/>
      <c r="DL177" s="1530"/>
      <c r="DM177" s="1530"/>
      <c r="DN177" s="1571"/>
      <c r="DO177" s="1530"/>
      <c r="DP177" s="1530"/>
    </row>
    <row r="178" spans="1:120">
      <c r="A178" s="1451"/>
      <c r="C178" s="1451"/>
      <c r="K178" s="1451"/>
      <c r="L178" s="1451"/>
      <c r="U178" s="1530"/>
      <c r="V178" s="1530"/>
      <c r="W178" s="1530"/>
      <c r="X178" s="1530"/>
      <c r="Y178" s="1530"/>
      <c r="Z178" s="1530"/>
      <c r="AA178" s="1530"/>
      <c r="AB178" s="1530"/>
      <c r="AC178" s="1530"/>
      <c r="AD178" s="1530"/>
      <c r="AE178" s="1530"/>
      <c r="AF178" s="1530"/>
      <c r="AG178" s="1530"/>
      <c r="AH178" s="1530"/>
      <c r="AI178" s="1530"/>
      <c r="AJ178" s="1530"/>
      <c r="AK178" s="1530"/>
      <c r="AL178" s="1530"/>
      <c r="AM178" s="1530"/>
      <c r="AN178" s="1530"/>
      <c r="AO178" s="1530"/>
      <c r="AP178" s="1530"/>
      <c r="AQ178" s="1530"/>
      <c r="AR178" s="1530"/>
      <c r="AS178" s="1530"/>
      <c r="AT178" s="1530"/>
      <c r="AU178" s="1530"/>
      <c r="AV178" s="1530"/>
      <c r="AW178" s="1530"/>
      <c r="AX178" s="1530"/>
      <c r="AY178" s="1530"/>
      <c r="AZ178" s="1530"/>
      <c r="BA178" s="1530"/>
      <c r="BB178" s="1530"/>
      <c r="BC178" s="1530"/>
      <c r="BD178" s="1530"/>
      <c r="BE178" s="1530"/>
      <c r="BF178" s="1530"/>
      <c r="BG178" s="1530"/>
      <c r="BH178" s="1530"/>
      <c r="BI178" s="1530"/>
      <c r="BJ178" s="1530"/>
      <c r="BK178" s="1530"/>
      <c r="BL178" s="1530"/>
      <c r="BM178" s="1530"/>
      <c r="BN178" s="1530"/>
      <c r="BW178" s="1569"/>
      <c r="BX178" s="1530"/>
      <c r="BY178" s="1530"/>
      <c r="BZ178" s="1530"/>
      <c r="CA178" s="1530"/>
      <c r="CB178" s="1530"/>
      <c r="CC178" s="1530"/>
      <c r="CD178" s="1530"/>
      <c r="CE178" s="1530"/>
      <c r="CF178" s="1530"/>
      <c r="CG178" s="1530"/>
      <c r="CH178" s="1530"/>
      <c r="CI178" s="1530"/>
      <c r="CJ178" s="1530"/>
      <c r="CK178" s="1530"/>
      <c r="CL178" s="1530"/>
      <c r="CM178" s="1530"/>
      <c r="CN178" s="1570"/>
      <c r="CO178" s="1530"/>
      <c r="CP178" s="1530"/>
      <c r="CQ178" s="1530"/>
      <c r="CR178" s="1530"/>
      <c r="CS178" s="1530"/>
      <c r="CT178" s="1530"/>
      <c r="CU178" s="1530"/>
      <c r="CV178" s="1530"/>
      <c r="CW178" s="1530"/>
      <c r="CX178" s="1530"/>
      <c r="CY178" s="1530"/>
      <c r="CZ178" s="1530"/>
      <c r="DA178" s="1530"/>
      <c r="DB178" s="1530"/>
      <c r="DC178" s="1530"/>
      <c r="DD178" s="1530"/>
      <c r="DE178" s="1530"/>
      <c r="DF178" s="1530"/>
      <c r="DG178" s="1530"/>
      <c r="DH178" s="1530"/>
      <c r="DI178" s="1530"/>
      <c r="DJ178" s="1530"/>
      <c r="DK178" s="1530"/>
      <c r="DL178" s="1530"/>
      <c r="DM178" s="1530"/>
      <c r="DN178" s="1571"/>
      <c r="DO178" s="1530"/>
      <c r="DP178" s="1530"/>
    </row>
    <row r="179" spans="1:120">
      <c r="A179" s="1451"/>
      <c r="C179" s="1451"/>
      <c r="K179" s="1451"/>
      <c r="L179" s="1451"/>
      <c r="U179" s="1530"/>
      <c r="V179" s="1530"/>
      <c r="W179" s="1530"/>
      <c r="X179" s="1530"/>
      <c r="Y179" s="1530"/>
      <c r="Z179" s="1530"/>
      <c r="AA179" s="1530"/>
      <c r="AB179" s="1530"/>
      <c r="AC179" s="1530"/>
      <c r="AD179" s="1530"/>
      <c r="AE179" s="1530"/>
      <c r="AF179" s="1530"/>
      <c r="AG179" s="1530"/>
      <c r="AH179" s="1530"/>
      <c r="AI179" s="1530"/>
      <c r="AJ179" s="1530"/>
      <c r="AK179" s="1530"/>
      <c r="AL179" s="1530"/>
      <c r="AM179" s="1530"/>
      <c r="AN179" s="1530"/>
      <c r="AO179" s="1530"/>
      <c r="AP179" s="1530"/>
      <c r="AQ179" s="1530"/>
      <c r="AR179" s="1530"/>
      <c r="AS179" s="1530"/>
      <c r="AT179" s="1530"/>
      <c r="AU179" s="1530"/>
      <c r="AV179" s="1530"/>
      <c r="AW179" s="1530"/>
      <c r="AX179" s="1530"/>
      <c r="AY179" s="1530"/>
      <c r="AZ179" s="1530"/>
      <c r="BA179" s="1530"/>
      <c r="BB179" s="1530"/>
      <c r="BC179" s="1530"/>
      <c r="BD179" s="1530"/>
      <c r="BE179" s="1530"/>
      <c r="BF179" s="1530"/>
      <c r="BG179" s="1530"/>
      <c r="BH179" s="1530"/>
      <c r="BI179" s="1530"/>
      <c r="BJ179" s="1530"/>
      <c r="BK179" s="1530"/>
      <c r="BL179" s="1530"/>
      <c r="BM179" s="1530"/>
      <c r="BN179" s="1530"/>
      <c r="BW179" s="1569"/>
      <c r="CO179" s="1530"/>
      <c r="CP179" s="1530"/>
      <c r="CQ179" s="1530"/>
      <c r="CR179" s="1530"/>
      <c r="CS179" s="1530"/>
      <c r="CT179" s="1530"/>
      <c r="CU179" s="1530"/>
      <c r="CV179" s="1530"/>
      <c r="CW179" s="1530"/>
      <c r="CX179" s="1530"/>
      <c r="CY179" s="1530"/>
      <c r="CZ179" s="1530"/>
      <c r="DA179" s="1530"/>
      <c r="DB179" s="1530"/>
      <c r="DC179" s="1530"/>
      <c r="DD179" s="1530"/>
      <c r="DE179" s="1530"/>
      <c r="DF179" s="1530"/>
      <c r="DG179" s="1530"/>
      <c r="DH179" s="1530"/>
      <c r="DI179" s="1530"/>
      <c r="DJ179" s="1530"/>
      <c r="DK179" s="1530"/>
      <c r="DL179" s="1530"/>
      <c r="DM179" s="1530"/>
      <c r="DN179" s="1571"/>
      <c r="DO179" s="1530"/>
      <c r="DP179" s="1530"/>
    </row>
    <row r="180" spans="1:120">
      <c r="A180" s="1451"/>
      <c r="C180" s="1451"/>
      <c r="K180" s="1451"/>
      <c r="L180" s="1451"/>
      <c r="U180" s="1530"/>
      <c r="V180" s="1530"/>
      <c r="W180" s="1530"/>
      <c r="X180" s="1530"/>
      <c r="Y180" s="1530"/>
      <c r="Z180" s="1530"/>
      <c r="AA180" s="1530"/>
      <c r="AB180" s="1530"/>
      <c r="AC180" s="1530"/>
      <c r="AD180" s="1530"/>
      <c r="AE180" s="1530"/>
      <c r="AF180" s="1530"/>
      <c r="AG180" s="1530"/>
      <c r="AH180" s="1530"/>
      <c r="AI180" s="1530"/>
      <c r="AJ180" s="1530"/>
      <c r="AK180" s="1530"/>
      <c r="AL180" s="1530"/>
      <c r="AM180" s="1530"/>
      <c r="AN180" s="1530"/>
      <c r="AO180" s="1530"/>
      <c r="AP180" s="1530"/>
      <c r="AQ180" s="1530"/>
      <c r="AR180" s="1530"/>
      <c r="AS180" s="1530"/>
      <c r="AT180" s="1530"/>
      <c r="AU180" s="1530"/>
      <c r="AV180" s="1530"/>
      <c r="AW180" s="1530"/>
      <c r="AX180" s="1530"/>
      <c r="AY180" s="1530"/>
      <c r="AZ180" s="1530"/>
      <c r="BA180" s="1530"/>
      <c r="BB180" s="1530"/>
      <c r="BC180" s="1530"/>
      <c r="BD180" s="1530"/>
      <c r="BE180" s="1530"/>
      <c r="BF180" s="1530"/>
      <c r="BG180" s="1530"/>
      <c r="BH180" s="1530"/>
      <c r="BI180" s="1530"/>
      <c r="BJ180" s="1530"/>
      <c r="BK180" s="1530"/>
      <c r="BL180" s="1530"/>
      <c r="BM180" s="1530"/>
      <c r="BN180" s="1530"/>
      <c r="BW180" s="1569"/>
      <c r="CO180" s="1530"/>
      <c r="CP180" s="1530"/>
      <c r="CQ180" s="1530"/>
      <c r="CR180" s="1530"/>
      <c r="CS180" s="1530"/>
      <c r="CT180" s="1530"/>
      <c r="CU180" s="1530"/>
      <c r="CV180" s="1530"/>
      <c r="CW180" s="1530"/>
      <c r="CX180" s="1530"/>
      <c r="CY180" s="1530"/>
      <c r="CZ180" s="1530"/>
      <c r="DA180" s="1530"/>
      <c r="DB180" s="1530"/>
      <c r="DC180" s="1530"/>
      <c r="DD180" s="1530"/>
      <c r="DE180" s="1530"/>
      <c r="DF180" s="1530"/>
      <c r="DG180" s="1530"/>
      <c r="DH180" s="1530"/>
      <c r="DI180" s="1530"/>
      <c r="DJ180" s="1530"/>
      <c r="DK180" s="1530"/>
      <c r="DL180" s="1530"/>
      <c r="DM180" s="1530"/>
      <c r="DN180" s="1571"/>
      <c r="DO180" s="1530"/>
      <c r="DP180" s="1530"/>
    </row>
    <row r="181" spans="1:120">
      <c r="A181" s="1451"/>
      <c r="C181" s="1451"/>
      <c r="K181" s="1451"/>
      <c r="L181" s="1451"/>
      <c r="U181" s="1530"/>
      <c r="V181" s="1530"/>
      <c r="W181" s="1530"/>
      <c r="X181" s="1530"/>
      <c r="Y181" s="1530"/>
      <c r="Z181" s="1530"/>
      <c r="AA181" s="1530"/>
      <c r="AB181" s="1530"/>
      <c r="AC181" s="1530"/>
      <c r="AD181" s="1530"/>
      <c r="AE181" s="1530"/>
      <c r="AF181" s="1530"/>
      <c r="AG181" s="1530"/>
      <c r="AH181" s="1530"/>
      <c r="AI181" s="1530"/>
      <c r="AJ181" s="1530"/>
      <c r="AK181" s="1530"/>
      <c r="AL181" s="1530"/>
      <c r="AM181" s="1530"/>
      <c r="AN181" s="1530"/>
      <c r="AO181" s="1530"/>
      <c r="AP181" s="1530"/>
      <c r="AQ181" s="1530"/>
      <c r="AR181" s="1530"/>
      <c r="AS181" s="1530"/>
      <c r="AT181" s="1530"/>
      <c r="AU181" s="1530"/>
      <c r="AV181" s="1530"/>
      <c r="AW181" s="1530"/>
      <c r="AX181" s="1530"/>
      <c r="AY181" s="1530"/>
      <c r="AZ181" s="1530"/>
      <c r="BA181" s="1530"/>
      <c r="BB181" s="1530"/>
      <c r="BC181" s="1530"/>
      <c r="BD181" s="1530"/>
      <c r="BE181" s="1530"/>
      <c r="BF181" s="1530"/>
      <c r="BG181" s="1530"/>
      <c r="BH181" s="1530"/>
      <c r="BI181" s="1530"/>
      <c r="BJ181" s="1530"/>
      <c r="BK181" s="1530"/>
      <c r="BL181" s="1530"/>
      <c r="BM181" s="1530"/>
      <c r="BN181" s="1530"/>
      <c r="BW181" s="1569"/>
      <c r="CO181" s="1530"/>
      <c r="CP181" s="1530"/>
      <c r="CQ181" s="1530"/>
      <c r="CR181" s="1530"/>
      <c r="CS181" s="1530"/>
      <c r="CT181" s="1530"/>
      <c r="CU181" s="1530"/>
      <c r="CV181" s="1530"/>
      <c r="CW181" s="1530"/>
      <c r="CX181" s="1530"/>
      <c r="CY181" s="1530"/>
      <c r="CZ181" s="1530"/>
      <c r="DA181" s="1530"/>
      <c r="DB181" s="1530"/>
      <c r="DC181" s="1530"/>
      <c r="DD181" s="1530"/>
      <c r="DE181" s="1530"/>
      <c r="DF181" s="1530"/>
      <c r="DG181" s="1530"/>
      <c r="DH181" s="1530"/>
      <c r="DI181" s="1530"/>
      <c r="DJ181" s="1530"/>
      <c r="DK181" s="1530"/>
      <c r="DL181" s="1530"/>
      <c r="DM181" s="1530"/>
      <c r="DN181" s="1571"/>
      <c r="DO181" s="1530"/>
      <c r="DP181" s="1530"/>
    </row>
    <row r="182" spans="1:120">
      <c r="A182" s="1451"/>
      <c r="C182" s="1451"/>
      <c r="K182" s="1451"/>
      <c r="L182" s="1451"/>
      <c r="U182" s="1530"/>
      <c r="V182" s="1530"/>
      <c r="W182" s="1530"/>
      <c r="X182" s="1530"/>
      <c r="Y182" s="1530"/>
      <c r="Z182" s="1530"/>
      <c r="AA182" s="1530"/>
      <c r="AB182" s="1530"/>
      <c r="AC182" s="1530"/>
      <c r="AD182" s="1530"/>
      <c r="AE182" s="1530"/>
      <c r="AF182" s="1530"/>
      <c r="AG182" s="1530"/>
      <c r="AH182" s="1530"/>
      <c r="AI182" s="1530"/>
      <c r="AJ182" s="1530"/>
      <c r="AK182" s="1530"/>
      <c r="AL182" s="1530"/>
      <c r="AM182" s="1530"/>
      <c r="AN182" s="1530"/>
      <c r="AO182" s="1530"/>
      <c r="AP182" s="1530"/>
      <c r="AQ182" s="1530"/>
      <c r="AR182" s="1530"/>
      <c r="AS182" s="1530"/>
      <c r="AT182" s="1530"/>
      <c r="AU182" s="1530"/>
      <c r="AV182" s="1530"/>
      <c r="AW182" s="1530"/>
      <c r="AX182" s="1530"/>
      <c r="AY182" s="1530"/>
      <c r="AZ182" s="1530"/>
      <c r="BA182" s="1530"/>
      <c r="BB182" s="1530"/>
      <c r="BC182" s="1530"/>
      <c r="BD182" s="1530"/>
      <c r="BE182" s="1530"/>
      <c r="BF182" s="1530"/>
      <c r="BG182" s="1530"/>
      <c r="BH182" s="1530"/>
      <c r="BI182" s="1530"/>
      <c r="BJ182" s="1530"/>
      <c r="BK182" s="1530"/>
      <c r="BL182" s="1530"/>
      <c r="BM182" s="1530"/>
      <c r="BN182" s="1530"/>
      <c r="BW182" s="1569"/>
      <c r="CO182" s="1530"/>
      <c r="CP182" s="1530"/>
      <c r="CQ182" s="1530"/>
      <c r="CR182" s="1530"/>
      <c r="CS182" s="1530"/>
      <c r="CT182" s="1530"/>
      <c r="CU182" s="1530"/>
      <c r="CV182" s="1530"/>
      <c r="CW182" s="1530"/>
      <c r="CX182" s="1530"/>
      <c r="CY182" s="1530"/>
      <c r="CZ182" s="1530"/>
      <c r="DA182" s="1530"/>
      <c r="DB182" s="1530"/>
      <c r="DC182" s="1530"/>
      <c r="DD182" s="1530"/>
      <c r="DE182" s="1530"/>
      <c r="DF182" s="1530"/>
      <c r="DG182" s="1530"/>
      <c r="DH182" s="1530"/>
      <c r="DI182" s="1530"/>
      <c r="DJ182" s="1530"/>
      <c r="DK182" s="1530"/>
      <c r="DL182" s="1530"/>
      <c r="DM182" s="1530"/>
      <c r="DN182" s="1571"/>
      <c r="DO182" s="1530"/>
      <c r="DP182" s="1530"/>
    </row>
    <row r="183" spans="1:120">
      <c r="A183" s="1451"/>
      <c r="C183" s="1451"/>
      <c r="K183" s="1451"/>
      <c r="L183" s="1451"/>
      <c r="U183" s="1530"/>
      <c r="V183" s="1530"/>
      <c r="W183" s="1530"/>
      <c r="X183" s="1530"/>
      <c r="Y183" s="1530"/>
      <c r="Z183" s="1530"/>
      <c r="AA183" s="1530"/>
      <c r="AB183" s="1530"/>
      <c r="AC183" s="1530"/>
      <c r="AD183" s="1530"/>
      <c r="AE183" s="1530"/>
      <c r="AF183" s="1530"/>
      <c r="AG183" s="1530"/>
      <c r="AH183" s="1530"/>
      <c r="AI183" s="1530"/>
      <c r="AJ183" s="1530"/>
      <c r="AK183" s="1530"/>
      <c r="AL183" s="1530"/>
      <c r="AM183" s="1530"/>
      <c r="AN183" s="1530"/>
      <c r="AO183" s="1530"/>
      <c r="AP183" s="1530"/>
      <c r="AQ183" s="1530"/>
      <c r="AR183" s="1530"/>
      <c r="AS183" s="1530"/>
      <c r="AT183" s="1530"/>
      <c r="AU183" s="1530"/>
      <c r="AV183" s="1530"/>
      <c r="AW183" s="1530"/>
      <c r="AX183" s="1530"/>
      <c r="AY183" s="1530"/>
      <c r="AZ183" s="1530"/>
      <c r="BA183" s="1530"/>
      <c r="BB183" s="1530"/>
      <c r="BC183" s="1530"/>
      <c r="BD183" s="1530"/>
      <c r="BE183" s="1530"/>
      <c r="BF183" s="1530"/>
      <c r="BG183" s="1530"/>
      <c r="BH183" s="1530"/>
      <c r="BI183" s="1530"/>
      <c r="BJ183" s="1530"/>
      <c r="BK183" s="1530"/>
      <c r="BL183" s="1530"/>
      <c r="BM183" s="1530"/>
      <c r="BN183" s="1530"/>
      <c r="BW183" s="1569"/>
      <c r="CO183" s="1530"/>
      <c r="CP183" s="1530"/>
      <c r="CQ183" s="1530"/>
      <c r="CR183" s="1530"/>
      <c r="CS183" s="1530"/>
      <c r="CT183" s="1530"/>
      <c r="CU183" s="1530"/>
      <c r="CV183" s="1530"/>
      <c r="CW183" s="1530"/>
      <c r="CX183" s="1530"/>
      <c r="CY183" s="1530"/>
      <c r="CZ183" s="1530"/>
      <c r="DA183" s="1530"/>
      <c r="DB183" s="1530"/>
      <c r="DC183" s="1530"/>
      <c r="DD183" s="1530"/>
      <c r="DE183" s="1530"/>
      <c r="DF183" s="1530"/>
      <c r="DG183" s="1530"/>
      <c r="DH183" s="1530"/>
      <c r="DI183" s="1530"/>
      <c r="DJ183" s="1530"/>
      <c r="DK183" s="1530"/>
      <c r="DL183" s="1530"/>
      <c r="DM183" s="1530"/>
      <c r="DN183" s="1571"/>
      <c r="DO183" s="1530"/>
      <c r="DP183" s="1530"/>
    </row>
    <row r="184" spans="1:120">
      <c r="A184" s="1451"/>
      <c r="C184" s="1451"/>
      <c r="K184" s="1451"/>
      <c r="L184" s="1451"/>
      <c r="U184" s="1530"/>
      <c r="V184" s="1530"/>
      <c r="W184" s="1530"/>
      <c r="X184" s="1530"/>
      <c r="Y184" s="1530"/>
      <c r="Z184" s="1530"/>
      <c r="AA184" s="1530"/>
      <c r="AB184" s="1530"/>
      <c r="AC184" s="1530"/>
      <c r="AD184" s="1530"/>
      <c r="AE184" s="1530"/>
      <c r="AF184" s="1530"/>
      <c r="AG184" s="1530"/>
      <c r="AH184" s="1530"/>
      <c r="AI184" s="1530"/>
      <c r="AJ184" s="1530"/>
      <c r="AK184" s="1530"/>
      <c r="AL184" s="1530"/>
      <c r="AM184" s="1530"/>
      <c r="AN184" s="1530"/>
      <c r="AO184" s="1530"/>
      <c r="AP184" s="1530"/>
      <c r="AQ184" s="1530"/>
      <c r="AR184" s="1530"/>
      <c r="AS184" s="1530"/>
      <c r="AT184" s="1530"/>
      <c r="AU184" s="1530"/>
      <c r="AV184" s="1530"/>
      <c r="AW184" s="1530"/>
      <c r="AX184" s="1530"/>
      <c r="AY184" s="1530"/>
      <c r="AZ184" s="1530"/>
      <c r="BA184" s="1530"/>
      <c r="BB184" s="1530"/>
      <c r="BC184" s="1530"/>
      <c r="BD184" s="1530"/>
      <c r="BE184" s="1530"/>
      <c r="BF184" s="1530"/>
      <c r="BG184" s="1530"/>
      <c r="BH184" s="1530"/>
      <c r="BI184" s="1530"/>
      <c r="BJ184" s="1530"/>
      <c r="BK184" s="1530"/>
      <c r="BL184" s="1530"/>
      <c r="BM184" s="1530"/>
      <c r="BN184" s="1530"/>
      <c r="BW184" s="1569"/>
      <c r="CO184" s="1530"/>
      <c r="CP184" s="1530"/>
      <c r="CQ184" s="1530"/>
      <c r="CR184" s="1530"/>
      <c r="CS184" s="1530"/>
      <c r="CT184" s="1530"/>
      <c r="CU184" s="1530"/>
      <c r="CV184" s="1530"/>
      <c r="CW184" s="1530"/>
      <c r="CX184" s="1530"/>
      <c r="CY184" s="1530"/>
      <c r="CZ184" s="1530"/>
      <c r="DA184" s="1530"/>
      <c r="DB184" s="1530"/>
      <c r="DC184" s="1530"/>
      <c r="DD184" s="1530"/>
      <c r="DE184" s="1530"/>
      <c r="DF184" s="1530"/>
      <c r="DG184" s="1530"/>
      <c r="DH184" s="1530"/>
      <c r="DI184" s="1530"/>
      <c r="DJ184" s="1530"/>
      <c r="DK184" s="1530"/>
      <c r="DL184" s="1530"/>
      <c r="DM184" s="1530"/>
      <c r="DN184" s="1571"/>
      <c r="DO184" s="1530"/>
      <c r="DP184" s="1530"/>
    </row>
    <row r="185" spans="1:120">
      <c r="A185" s="1451"/>
      <c r="C185" s="1451"/>
      <c r="K185" s="1451"/>
      <c r="L185" s="1451"/>
      <c r="U185" s="1530"/>
      <c r="V185" s="1530"/>
      <c r="W185" s="1530"/>
      <c r="X185" s="1530"/>
      <c r="Y185" s="1530"/>
      <c r="Z185" s="1530"/>
      <c r="AA185" s="1530"/>
      <c r="AB185" s="1530"/>
      <c r="AC185" s="1530"/>
      <c r="AD185" s="1530"/>
      <c r="AE185" s="1530"/>
      <c r="AF185" s="1530"/>
      <c r="AG185" s="1530"/>
      <c r="AH185" s="1530"/>
      <c r="AI185" s="1530"/>
      <c r="AJ185" s="1530"/>
      <c r="AK185" s="1530"/>
      <c r="AL185" s="1530"/>
      <c r="AM185" s="1530"/>
      <c r="AN185" s="1530"/>
      <c r="AO185" s="1530"/>
      <c r="AP185" s="1530"/>
      <c r="AQ185" s="1530"/>
      <c r="AR185" s="1530"/>
      <c r="AS185" s="1530"/>
      <c r="AT185" s="1530"/>
      <c r="AU185" s="1530"/>
      <c r="AV185" s="1530"/>
      <c r="AW185" s="1530"/>
      <c r="AX185" s="1530"/>
      <c r="AY185" s="1530"/>
      <c r="AZ185" s="1530"/>
      <c r="BA185" s="1530"/>
      <c r="BB185" s="1530"/>
      <c r="BC185" s="1530"/>
      <c r="BD185" s="1530"/>
      <c r="BE185" s="1530"/>
      <c r="BF185" s="1530"/>
      <c r="BG185" s="1530"/>
      <c r="BH185" s="1530"/>
      <c r="BI185" s="1530"/>
      <c r="BJ185" s="1530"/>
      <c r="BK185" s="1530"/>
      <c r="BL185" s="1530"/>
      <c r="BM185" s="1530"/>
      <c r="BN185" s="1530"/>
      <c r="BW185" s="1569"/>
      <c r="CO185" s="1530"/>
      <c r="CP185" s="1530"/>
      <c r="CQ185" s="1530"/>
      <c r="CR185" s="1530"/>
      <c r="CS185" s="1530"/>
      <c r="CT185" s="1530"/>
      <c r="CU185" s="1530"/>
      <c r="CV185" s="1530"/>
      <c r="CW185" s="1530"/>
      <c r="CX185" s="1530"/>
      <c r="CY185" s="1530"/>
      <c r="CZ185" s="1530"/>
      <c r="DA185" s="1530"/>
      <c r="DB185" s="1530"/>
      <c r="DC185" s="1530"/>
      <c r="DD185" s="1530"/>
      <c r="DE185" s="1530"/>
      <c r="DF185" s="1530"/>
      <c r="DG185" s="1530"/>
      <c r="DH185" s="1530"/>
      <c r="DI185" s="1530"/>
      <c r="DJ185" s="1530"/>
      <c r="DK185" s="1530"/>
      <c r="DL185" s="1530"/>
      <c r="DM185" s="1530"/>
      <c r="DN185" s="1571"/>
      <c r="DO185" s="1530"/>
      <c r="DP185" s="1530"/>
    </row>
    <row r="186" spans="1:120">
      <c r="A186" s="1451"/>
      <c r="C186" s="1451"/>
      <c r="K186" s="1451"/>
      <c r="L186" s="1451"/>
      <c r="U186" s="1530"/>
      <c r="V186" s="1530"/>
      <c r="W186" s="1530"/>
      <c r="X186" s="1530"/>
      <c r="Y186" s="1530"/>
      <c r="Z186" s="1530"/>
      <c r="AA186" s="1530"/>
      <c r="AB186" s="1530"/>
      <c r="AC186" s="1530"/>
      <c r="AD186" s="1530"/>
      <c r="AE186" s="1530"/>
      <c r="AF186" s="1530"/>
      <c r="AG186" s="1530"/>
      <c r="AH186" s="1530"/>
      <c r="AI186" s="1530"/>
      <c r="AJ186" s="1530"/>
      <c r="AK186" s="1530"/>
      <c r="AL186" s="1530"/>
      <c r="AM186" s="1530"/>
      <c r="AN186" s="1530"/>
      <c r="AO186" s="1530"/>
      <c r="AP186" s="1530"/>
      <c r="AQ186" s="1530"/>
      <c r="AR186" s="1530"/>
      <c r="AS186" s="1530"/>
      <c r="AT186" s="1530"/>
      <c r="AU186" s="1530"/>
      <c r="AV186" s="1530"/>
      <c r="AW186" s="1530"/>
      <c r="AX186" s="1530"/>
      <c r="AY186" s="1530"/>
      <c r="AZ186" s="1530"/>
      <c r="BA186" s="1530"/>
      <c r="BB186" s="1530"/>
      <c r="BC186" s="1530"/>
      <c r="BD186" s="1530"/>
      <c r="BE186" s="1530"/>
      <c r="BF186" s="1530"/>
      <c r="BG186" s="1530"/>
      <c r="BH186" s="1530"/>
      <c r="BI186" s="1530"/>
      <c r="BJ186" s="1530"/>
      <c r="BK186" s="1530"/>
      <c r="BL186" s="1530"/>
      <c r="BM186" s="1530"/>
      <c r="BN186" s="1530"/>
      <c r="BW186" s="1569"/>
      <c r="CO186" s="1530"/>
      <c r="CP186" s="1530"/>
      <c r="CQ186" s="1530"/>
      <c r="CR186" s="1530"/>
      <c r="CS186" s="1530"/>
      <c r="CT186" s="1530"/>
      <c r="CU186" s="1530"/>
      <c r="CV186" s="1530"/>
      <c r="CW186" s="1530"/>
      <c r="CX186" s="1530"/>
      <c r="CY186" s="1530"/>
      <c r="CZ186" s="1530"/>
      <c r="DA186" s="1530"/>
      <c r="DB186" s="1530"/>
      <c r="DC186" s="1530"/>
      <c r="DD186" s="1530"/>
      <c r="DE186" s="1530"/>
      <c r="DF186" s="1530"/>
      <c r="DG186" s="1530"/>
      <c r="DH186" s="1530"/>
      <c r="DI186" s="1530"/>
      <c r="DJ186" s="1530"/>
      <c r="DK186" s="1530"/>
      <c r="DL186" s="1530"/>
      <c r="DM186" s="1530"/>
      <c r="DN186" s="1571"/>
      <c r="DO186" s="1530"/>
      <c r="DP186" s="1530"/>
    </row>
    <row r="187" spans="1:120">
      <c r="A187" s="1451"/>
      <c r="C187" s="1451"/>
      <c r="K187" s="1451"/>
      <c r="L187" s="1451"/>
      <c r="U187" s="1530"/>
      <c r="V187" s="1530"/>
      <c r="W187" s="1530"/>
      <c r="X187" s="1530"/>
      <c r="Y187" s="1530"/>
      <c r="Z187" s="1530"/>
      <c r="AA187" s="1530"/>
      <c r="AB187" s="1530"/>
      <c r="AC187" s="1530"/>
      <c r="AD187" s="1530"/>
      <c r="AE187" s="1530"/>
      <c r="AF187" s="1530"/>
      <c r="AG187" s="1530"/>
      <c r="AH187" s="1530"/>
      <c r="AI187" s="1530"/>
      <c r="AJ187" s="1530"/>
      <c r="AK187" s="1530"/>
      <c r="AL187" s="1530"/>
      <c r="AM187" s="1530"/>
      <c r="AN187" s="1530"/>
      <c r="AO187" s="1530"/>
      <c r="AP187" s="1530"/>
      <c r="AQ187" s="1530"/>
      <c r="AR187" s="1530"/>
      <c r="AS187" s="1530"/>
      <c r="AT187" s="1530"/>
      <c r="AU187" s="1530"/>
      <c r="AV187" s="1530"/>
      <c r="AW187" s="1530"/>
      <c r="AX187" s="1530"/>
      <c r="AY187" s="1530"/>
      <c r="AZ187" s="1530"/>
      <c r="BA187" s="1530"/>
      <c r="BB187" s="1530"/>
      <c r="BC187" s="1530"/>
      <c r="BD187" s="1530"/>
      <c r="BE187" s="1530"/>
      <c r="BF187" s="1530"/>
      <c r="BG187" s="1530"/>
      <c r="BH187" s="1530"/>
      <c r="BI187" s="1530"/>
      <c r="BJ187" s="1530"/>
      <c r="BK187" s="1530"/>
      <c r="BL187" s="1530"/>
      <c r="BM187" s="1530"/>
      <c r="BN187" s="1530"/>
      <c r="BW187" s="1569"/>
      <c r="CO187" s="1530"/>
      <c r="CP187" s="1530"/>
      <c r="CQ187" s="1530"/>
      <c r="CR187" s="1530"/>
      <c r="CS187" s="1530"/>
      <c r="CT187" s="1530"/>
      <c r="CU187" s="1530"/>
      <c r="CV187" s="1530"/>
      <c r="CW187" s="1530"/>
      <c r="CX187" s="1530"/>
      <c r="CY187" s="1530"/>
      <c r="CZ187" s="1530"/>
      <c r="DA187" s="1530"/>
      <c r="DB187" s="1530"/>
      <c r="DC187" s="1530"/>
      <c r="DD187" s="1530"/>
      <c r="DE187" s="1530"/>
      <c r="DF187" s="1530"/>
      <c r="DG187" s="1530"/>
      <c r="DH187" s="1530"/>
      <c r="DI187" s="1530"/>
      <c r="DJ187" s="1530"/>
      <c r="DK187" s="1530"/>
      <c r="DL187" s="1530"/>
      <c r="DM187" s="1530"/>
      <c r="DN187" s="1571"/>
      <c r="DO187" s="1530"/>
      <c r="DP187" s="1530"/>
    </row>
    <row r="188" spans="1:120">
      <c r="A188" s="1451"/>
      <c r="C188" s="1451"/>
      <c r="K188" s="1451"/>
      <c r="L188" s="1451"/>
      <c r="U188" s="1530"/>
      <c r="V188" s="1530"/>
      <c r="W188" s="1530"/>
      <c r="X188" s="1530"/>
      <c r="Y188" s="1530"/>
      <c r="Z188" s="1530"/>
      <c r="AA188" s="1530"/>
      <c r="AB188" s="1530"/>
      <c r="AC188" s="1530"/>
      <c r="AD188" s="1530"/>
      <c r="AE188" s="1530"/>
      <c r="AF188" s="1530"/>
      <c r="AG188" s="1530"/>
      <c r="AH188" s="1530"/>
      <c r="AI188" s="1530"/>
      <c r="AJ188" s="1530"/>
      <c r="AK188" s="1530"/>
      <c r="AL188" s="1530"/>
      <c r="AM188" s="1530"/>
      <c r="AN188" s="1530"/>
      <c r="AO188" s="1530"/>
      <c r="AP188" s="1530"/>
      <c r="AQ188" s="1530"/>
      <c r="AR188" s="1530"/>
      <c r="AS188" s="1530"/>
      <c r="AT188" s="1530"/>
      <c r="AU188" s="1530"/>
      <c r="AV188" s="1530"/>
      <c r="AW188" s="1530"/>
      <c r="AX188" s="1530"/>
      <c r="AY188" s="1530"/>
      <c r="AZ188" s="1530"/>
      <c r="BA188" s="1530"/>
      <c r="BB188" s="1530"/>
      <c r="BC188" s="1530"/>
      <c r="BD188" s="1530"/>
      <c r="BE188" s="1530"/>
      <c r="BF188" s="1530"/>
      <c r="BG188" s="1530"/>
      <c r="BH188" s="1530"/>
      <c r="BI188" s="1530"/>
      <c r="BJ188" s="1530"/>
      <c r="BK188" s="1530"/>
      <c r="BL188" s="1530"/>
      <c r="BM188" s="1530"/>
      <c r="BN188" s="1530"/>
      <c r="BW188" s="1569"/>
      <c r="CO188" s="1530"/>
      <c r="CP188" s="1530"/>
      <c r="CQ188" s="1530"/>
      <c r="CR188" s="1530"/>
      <c r="CS188" s="1530"/>
      <c r="CT188" s="1530"/>
      <c r="CU188" s="1530"/>
      <c r="CV188" s="1530"/>
      <c r="CW188" s="1530"/>
      <c r="CX188" s="1530"/>
      <c r="CY188" s="1530"/>
      <c r="CZ188" s="1530"/>
      <c r="DA188" s="1530"/>
      <c r="DB188" s="1530"/>
      <c r="DC188" s="1530"/>
      <c r="DD188" s="1530"/>
      <c r="DE188" s="1530"/>
      <c r="DF188" s="1530"/>
      <c r="DG188" s="1530"/>
      <c r="DH188" s="1530"/>
      <c r="DI188" s="1530"/>
      <c r="DJ188" s="1530"/>
      <c r="DK188" s="1530"/>
      <c r="DL188" s="1530"/>
      <c r="DM188" s="1530"/>
      <c r="DN188" s="1571"/>
      <c r="DO188" s="1530"/>
      <c r="DP188" s="1530"/>
    </row>
    <row r="189" spans="1:120">
      <c r="A189" s="1451"/>
      <c r="C189" s="1451"/>
      <c r="K189" s="1451"/>
      <c r="L189" s="1451"/>
      <c r="U189" s="1530"/>
      <c r="V189" s="1530"/>
      <c r="W189" s="1530"/>
      <c r="X189" s="1530"/>
      <c r="Y189" s="1530"/>
      <c r="Z189" s="1530"/>
      <c r="AA189" s="1530"/>
      <c r="AB189" s="1530"/>
      <c r="AC189" s="1530"/>
      <c r="AD189" s="1530"/>
      <c r="AE189" s="1530"/>
      <c r="AF189" s="1530"/>
      <c r="AG189" s="1530"/>
      <c r="AH189" s="1530"/>
      <c r="AI189" s="1530"/>
      <c r="AJ189" s="1530"/>
      <c r="AK189" s="1530"/>
      <c r="AL189" s="1530"/>
      <c r="AM189" s="1530"/>
      <c r="AN189" s="1530"/>
      <c r="AO189" s="1530"/>
      <c r="AP189" s="1530"/>
      <c r="AQ189" s="1530"/>
      <c r="AR189" s="1530"/>
      <c r="AS189" s="1530"/>
      <c r="AT189" s="1530"/>
      <c r="AU189" s="1530"/>
      <c r="AV189" s="1530"/>
      <c r="AW189" s="1530"/>
      <c r="AX189" s="1530"/>
      <c r="AY189" s="1530"/>
      <c r="AZ189" s="1530"/>
      <c r="BA189" s="1530"/>
      <c r="BB189" s="1530"/>
      <c r="BC189" s="1530"/>
      <c r="BD189" s="1530"/>
      <c r="BE189" s="1530"/>
      <c r="BF189" s="1530"/>
      <c r="BG189" s="1530"/>
      <c r="BH189" s="1530"/>
      <c r="BI189" s="1530"/>
      <c r="BJ189" s="1530"/>
      <c r="BK189" s="1530"/>
      <c r="BL189" s="1530"/>
      <c r="BM189" s="1530"/>
      <c r="BN189" s="1530"/>
      <c r="BW189" s="1569"/>
      <c r="CO189" s="1530"/>
      <c r="CP189" s="1530"/>
      <c r="CQ189" s="1530"/>
      <c r="CR189" s="1530"/>
      <c r="CS189" s="1530"/>
      <c r="CT189" s="1530"/>
      <c r="CU189" s="1530"/>
      <c r="CV189" s="1530"/>
      <c r="CW189" s="1530"/>
      <c r="CX189" s="1530"/>
      <c r="CY189" s="1530"/>
      <c r="CZ189" s="1530"/>
      <c r="DA189" s="1530"/>
      <c r="DB189" s="1530"/>
      <c r="DC189" s="1530"/>
      <c r="DD189" s="1530"/>
      <c r="DE189" s="1530"/>
      <c r="DF189" s="1530"/>
      <c r="DG189" s="1530"/>
      <c r="DH189" s="1530"/>
      <c r="DI189" s="1530"/>
      <c r="DJ189" s="1530"/>
      <c r="DK189" s="1530"/>
      <c r="DL189" s="1530"/>
      <c r="DM189" s="1530"/>
      <c r="DN189" s="1571"/>
      <c r="DO189" s="1530"/>
      <c r="DP189" s="1530"/>
    </row>
    <row r="190" spans="1:120">
      <c r="A190" s="1451"/>
      <c r="C190" s="1451"/>
      <c r="K190" s="1451"/>
      <c r="L190" s="1451"/>
      <c r="U190" s="1530"/>
      <c r="V190" s="1530"/>
      <c r="W190" s="1530"/>
      <c r="X190" s="1530"/>
      <c r="Y190" s="1530"/>
      <c r="Z190" s="1530"/>
      <c r="AA190" s="1530"/>
      <c r="AB190" s="1530"/>
      <c r="AC190" s="1530"/>
      <c r="AD190" s="1530"/>
      <c r="AE190" s="1530"/>
      <c r="AF190" s="1530"/>
      <c r="AG190" s="1530"/>
      <c r="AH190" s="1530"/>
      <c r="AI190" s="1530"/>
      <c r="AJ190" s="1530"/>
      <c r="AK190" s="1530"/>
      <c r="AL190" s="1530"/>
      <c r="AM190" s="1530"/>
      <c r="AN190" s="1530"/>
      <c r="AO190" s="1530"/>
      <c r="AP190" s="1530"/>
      <c r="AQ190" s="1530"/>
      <c r="AR190" s="1530"/>
      <c r="AS190" s="1530"/>
      <c r="AT190" s="1530"/>
      <c r="AU190" s="1530"/>
      <c r="AV190" s="1530"/>
      <c r="AW190" s="1530"/>
      <c r="AX190" s="1530"/>
      <c r="AY190" s="1530"/>
      <c r="AZ190" s="1530"/>
      <c r="BA190" s="1530"/>
      <c r="BB190" s="1530"/>
      <c r="BC190" s="1530"/>
      <c r="BD190" s="1530"/>
      <c r="BE190" s="1530"/>
      <c r="BF190" s="1530"/>
      <c r="BG190" s="1530"/>
      <c r="BH190" s="1530"/>
      <c r="BI190" s="1530"/>
      <c r="BJ190" s="1530"/>
      <c r="BK190" s="1530"/>
      <c r="BL190" s="1530"/>
      <c r="BM190" s="1530"/>
      <c r="BN190" s="1530"/>
      <c r="BW190" s="1569"/>
      <c r="CO190" s="1530"/>
      <c r="CP190" s="1530"/>
      <c r="CQ190" s="1530"/>
      <c r="CR190" s="1530"/>
      <c r="CS190" s="1530"/>
      <c r="CT190" s="1530"/>
      <c r="CU190" s="1530"/>
      <c r="CV190" s="1530"/>
      <c r="CW190" s="1530"/>
      <c r="CX190" s="1530"/>
      <c r="CY190" s="1530"/>
      <c r="CZ190" s="1530"/>
      <c r="DA190" s="1530"/>
      <c r="DB190" s="1530"/>
      <c r="DC190" s="1530"/>
      <c r="DD190" s="1530"/>
      <c r="DE190" s="1530"/>
      <c r="DF190" s="1530"/>
      <c r="DG190" s="1530"/>
      <c r="DH190" s="1530"/>
      <c r="DI190" s="1530"/>
      <c r="DJ190" s="1530"/>
      <c r="DK190" s="1530"/>
      <c r="DL190" s="1530"/>
      <c r="DM190" s="1530"/>
      <c r="DN190" s="1571"/>
      <c r="DO190" s="1530"/>
      <c r="DP190" s="1530"/>
    </row>
    <row r="191" spans="1:120">
      <c r="A191" s="1451"/>
      <c r="C191" s="1451"/>
      <c r="K191" s="1451"/>
      <c r="L191" s="1451"/>
      <c r="U191" s="1530"/>
      <c r="V191" s="1530"/>
      <c r="W191" s="1530"/>
      <c r="X191" s="1530"/>
      <c r="Y191" s="1530"/>
      <c r="Z191" s="1530"/>
      <c r="AA191" s="1530"/>
      <c r="AB191" s="1530"/>
      <c r="AC191" s="1530"/>
      <c r="AD191" s="1530"/>
      <c r="AE191" s="1530"/>
      <c r="AF191" s="1530"/>
      <c r="AG191" s="1530"/>
      <c r="AH191" s="1530"/>
      <c r="AI191" s="1530"/>
      <c r="AJ191" s="1530"/>
      <c r="AK191" s="1530"/>
      <c r="AL191" s="1530"/>
      <c r="AM191" s="1530"/>
      <c r="AN191" s="1530"/>
      <c r="AO191" s="1530"/>
      <c r="AP191" s="1530"/>
      <c r="AQ191" s="1530"/>
      <c r="AR191" s="1530"/>
      <c r="AS191" s="1530"/>
      <c r="AT191" s="1530"/>
      <c r="AU191" s="1530"/>
      <c r="AV191" s="1530"/>
      <c r="AW191" s="1530"/>
      <c r="AX191" s="1530"/>
      <c r="AY191" s="1530"/>
      <c r="AZ191" s="1530"/>
      <c r="BA191" s="1530"/>
      <c r="BB191" s="1530"/>
      <c r="BC191" s="1530"/>
      <c r="BD191" s="1530"/>
      <c r="BE191" s="1530"/>
      <c r="BF191" s="1530"/>
      <c r="BG191" s="1530"/>
      <c r="BH191" s="1530"/>
      <c r="BI191" s="1530"/>
      <c r="BJ191" s="1530"/>
      <c r="BK191" s="1530"/>
      <c r="BL191" s="1530"/>
      <c r="BM191" s="1530"/>
      <c r="BN191" s="1530"/>
      <c r="BW191" s="1569"/>
      <c r="CO191" s="1530"/>
      <c r="CP191" s="1530"/>
      <c r="CQ191" s="1530"/>
      <c r="CR191" s="1530"/>
      <c r="CS191" s="1530"/>
      <c r="CT191" s="1530"/>
      <c r="CU191" s="1530"/>
      <c r="CV191" s="1530"/>
      <c r="CW191" s="1530"/>
      <c r="CX191" s="1530"/>
      <c r="CY191" s="1530"/>
      <c r="CZ191" s="1530"/>
      <c r="DA191" s="1530"/>
      <c r="DB191" s="1530"/>
      <c r="DC191" s="1530"/>
      <c r="DD191" s="1530"/>
      <c r="DE191" s="1530"/>
      <c r="DF191" s="1530"/>
      <c r="DG191" s="1530"/>
      <c r="DH191" s="1530"/>
      <c r="DI191" s="1530"/>
      <c r="DJ191" s="1530"/>
      <c r="DK191" s="1530"/>
      <c r="DL191" s="1530"/>
      <c r="DM191" s="1530"/>
      <c r="DN191" s="1571"/>
      <c r="DO191" s="1530"/>
      <c r="DP191" s="1530"/>
    </row>
    <row r="192" spans="1:120">
      <c r="A192" s="1451"/>
      <c r="C192" s="1451"/>
      <c r="K192" s="1451"/>
      <c r="L192" s="1451"/>
      <c r="U192" s="1530"/>
      <c r="V192" s="1530"/>
      <c r="W192" s="1530"/>
      <c r="X192" s="1530"/>
      <c r="Y192" s="1530"/>
      <c r="Z192" s="1530"/>
      <c r="AA192" s="1530"/>
      <c r="AB192" s="1530"/>
      <c r="AC192" s="1530"/>
      <c r="AD192" s="1530"/>
      <c r="AE192" s="1530"/>
      <c r="AF192" s="1530"/>
      <c r="AG192" s="1530"/>
      <c r="AH192" s="1530"/>
      <c r="AI192" s="1530"/>
      <c r="AJ192" s="1530"/>
      <c r="AK192" s="1530"/>
      <c r="AL192" s="1530"/>
      <c r="AM192" s="1530"/>
      <c r="AN192" s="1530"/>
      <c r="AO192" s="1530"/>
      <c r="AP192" s="1530"/>
      <c r="AQ192" s="1530"/>
      <c r="AR192" s="1530"/>
      <c r="AS192" s="1530"/>
      <c r="AT192" s="1530"/>
      <c r="AU192" s="1530"/>
      <c r="AV192" s="1530"/>
      <c r="AW192" s="1530"/>
      <c r="AX192" s="1530"/>
      <c r="AY192" s="1530"/>
      <c r="AZ192" s="1530"/>
      <c r="BA192" s="1530"/>
      <c r="BB192" s="1530"/>
      <c r="BC192" s="1530"/>
      <c r="BD192" s="1530"/>
      <c r="BE192" s="1530"/>
      <c r="BF192" s="1530"/>
      <c r="BG192" s="1530"/>
      <c r="BH192" s="1530"/>
      <c r="BI192" s="1530"/>
      <c r="BJ192" s="1530"/>
      <c r="BK192" s="1530"/>
      <c r="BL192" s="1530"/>
      <c r="BM192" s="1530"/>
      <c r="BN192" s="1530"/>
      <c r="BW192" s="1569"/>
      <c r="CO192" s="1530"/>
      <c r="CP192" s="1530"/>
      <c r="CQ192" s="1530"/>
      <c r="CR192" s="1530"/>
      <c r="CS192" s="1530"/>
      <c r="CT192" s="1530"/>
      <c r="CU192" s="1530"/>
      <c r="CV192" s="1530"/>
      <c r="CW192" s="1530"/>
      <c r="CX192" s="1530"/>
      <c r="CY192" s="1530"/>
      <c r="CZ192" s="1530"/>
      <c r="DA192" s="1530"/>
      <c r="DB192" s="1530"/>
      <c r="DC192" s="1530"/>
      <c r="DD192" s="1530"/>
      <c r="DE192" s="1530"/>
      <c r="DF192" s="1530"/>
      <c r="DG192" s="1530"/>
      <c r="DH192" s="1530"/>
      <c r="DI192" s="1530"/>
      <c r="DJ192" s="1530"/>
      <c r="DK192" s="1530"/>
      <c r="DL192" s="1530"/>
      <c r="DM192" s="1530"/>
      <c r="DN192" s="1571"/>
      <c r="DO192" s="1530"/>
      <c r="DP192" s="1530"/>
    </row>
    <row r="193" spans="1:120">
      <c r="A193" s="1451"/>
      <c r="C193" s="1451"/>
      <c r="K193" s="1451"/>
      <c r="L193" s="1451"/>
      <c r="U193" s="1530"/>
      <c r="V193" s="1530"/>
      <c r="W193" s="1530"/>
      <c r="X193" s="1530"/>
      <c r="Y193" s="1530"/>
      <c r="Z193" s="1530"/>
      <c r="AA193" s="1530"/>
      <c r="AB193" s="1530"/>
      <c r="AC193" s="1530"/>
      <c r="AD193" s="1530"/>
      <c r="AE193" s="1530"/>
      <c r="AF193" s="1530"/>
      <c r="AG193" s="1530"/>
      <c r="AH193" s="1530"/>
      <c r="AI193" s="1530"/>
      <c r="AJ193" s="1530"/>
      <c r="AK193" s="1530"/>
      <c r="AL193" s="1530"/>
      <c r="AM193" s="1530"/>
      <c r="AN193" s="1530"/>
      <c r="AO193" s="1530"/>
      <c r="AP193" s="1530"/>
      <c r="AQ193" s="1530"/>
      <c r="AR193" s="1530"/>
      <c r="AS193" s="1530"/>
      <c r="AT193" s="1530"/>
      <c r="AU193" s="1530"/>
      <c r="AV193" s="1530"/>
      <c r="AW193" s="1530"/>
      <c r="AX193" s="1530"/>
      <c r="AY193" s="1530"/>
      <c r="AZ193" s="1530"/>
      <c r="BA193" s="1530"/>
      <c r="BB193" s="1530"/>
      <c r="BC193" s="1530"/>
      <c r="BD193" s="1530"/>
      <c r="BE193" s="1530"/>
      <c r="BF193" s="1530"/>
      <c r="BG193" s="1530"/>
      <c r="BH193" s="1530"/>
      <c r="BI193" s="1530"/>
      <c r="BJ193" s="1530"/>
      <c r="BK193" s="1530"/>
      <c r="BL193" s="1530"/>
      <c r="BM193" s="1530"/>
      <c r="BN193" s="1530"/>
      <c r="BW193" s="1569"/>
      <c r="CO193" s="1530"/>
      <c r="CP193" s="1530"/>
      <c r="CQ193" s="1530"/>
      <c r="CR193" s="1530"/>
      <c r="CS193" s="1530"/>
      <c r="CT193" s="1530"/>
      <c r="CU193" s="1530"/>
      <c r="CV193" s="1530"/>
      <c r="CW193" s="1530"/>
      <c r="CX193" s="1530"/>
      <c r="CY193" s="1530"/>
      <c r="CZ193" s="1530"/>
      <c r="DA193" s="1530"/>
      <c r="DB193" s="1530"/>
      <c r="DC193" s="1530"/>
      <c r="DD193" s="1530"/>
      <c r="DE193" s="1530"/>
      <c r="DF193" s="1530"/>
      <c r="DG193" s="1530"/>
      <c r="DH193" s="1530"/>
      <c r="DI193" s="1530"/>
      <c r="DJ193" s="1530"/>
      <c r="DK193" s="1530"/>
      <c r="DL193" s="1530"/>
      <c r="DM193" s="1530"/>
      <c r="DN193" s="1571"/>
      <c r="DO193" s="1530"/>
      <c r="DP193" s="1530"/>
    </row>
    <row r="194" spans="1:120">
      <c r="A194" s="1451"/>
      <c r="C194" s="1451"/>
      <c r="K194" s="1451"/>
      <c r="L194" s="1451"/>
      <c r="U194" s="1530"/>
      <c r="V194" s="1530"/>
      <c r="W194" s="1530"/>
      <c r="X194" s="1530"/>
      <c r="Y194" s="1530"/>
      <c r="Z194" s="1530"/>
      <c r="AA194" s="1530"/>
      <c r="AB194" s="1530"/>
      <c r="AC194" s="1530"/>
      <c r="AD194" s="1530"/>
      <c r="AE194" s="1530"/>
      <c r="AF194" s="1530"/>
      <c r="AG194" s="1530"/>
      <c r="AH194" s="1530"/>
      <c r="AI194" s="1530"/>
      <c r="AJ194" s="1530"/>
      <c r="AK194" s="1530"/>
      <c r="AL194" s="1530"/>
      <c r="AM194" s="1530"/>
      <c r="AN194" s="1530"/>
      <c r="AO194" s="1530"/>
      <c r="AP194" s="1530"/>
      <c r="AQ194" s="1530"/>
      <c r="AR194" s="1530"/>
      <c r="AS194" s="1530"/>
      <c r="AT194" s="1530"/>
      <c r="AU194" s="1530"/>
      <c r="AV194" s="1530"/>
      <c r="AW194" s="1530"/>
      <c r="AX194" s="1530"/>
      <c r="AY194" s="1530"/>
      <c r="AZ194" s="1530"/>
      <c r="BA194" s="1530"/>
      <c r="BB194" s="1530"/>
      <c r="BC194" s="1530"/>
      <c r="BD194" s="1530"/>
      <c r="BE194" s="1530"/>
      <c r="BF194" s="1530"/>
      <c r="BG194" s="1530"/>
      <c r="BH194" s="1530"/>
      <c r="BI194" s="1530"/>
      <c r="BJ194" s="1530"/>
      <c r="BK194" s="1530"/>
      <c r="BL194" s="1530"/>
      <c r="BM194" s="1530"/>
      <c r="BN194" s="1530"/>
      <c r="BW194" s="1569"/>
      <c r="CO194" s="1530"/>
      <c r="CP194" s="1530"/>
      <c r="CQ194" s="1530"/>
      <c r="CR194" s="1530"/>
      <c r="CS194" s="1530"/>
      <c r="CT194" s="1530"/>
      <c r="CU194" s="1530"/>
      <c r="CV194" s="1530"/>
      <c r="CW194" s="1530"/>
      <c r="CX194" s="1530"/>
      <c r="CY194" s="1530"/>
      <c r="CZ194" s="1530"/>
      <c r="DA194" s="1530"/>
      <c r="DB194" s="1530"/>
      <c r="DC194" s="1530"/>
      <c r="DD194" s="1530"/>
      <c r="DE194" s="1530"/>
      <c r="DF194" s="1530"/>
      <c r="DG194" s="1530"/>
      <c r="DH194" s="1530"/>
      <c r="DI194" s="1530"/>
      <c r="DJ194" s="1530"/>
      <c r="DK194" s="1530"/>
      <c r="DL194" s="1530"/>
      <c r="DM194" s="1530"/>
      <c r="DN194" s="1571"/>
      <c r="DO194" s="1530"/>
      <c r="DP194" s="1530"/>
    </row>
    <row r="195" spans="1:120">
      <c r="A195" s="1451"/>
      <c r="C195" s="1451"/>
      <c r="K195" s="1451"/>
      <c r="L195" s="1451"/>
      <c r="U195" s="1530"/>
      <c r="V195" s="1530"/>
      <c r="W195" s="1530"/>
      <c r="X195" s="1530"/>
      <c r="Y195" s="1530"/>
      <c r="Z195" s="1530"/>
      <c r="AA195" s="1530"/>
      <c r="AB195" s="1530"/>
      <c r="AC195" s="1530"/>
      <c r="AD195" s="1530"/>
      <c r="AE195" s="1530"/>
      <c r="AF195" s="1530"/>
      <c r="AG195" s="1530"/>
      <c r="AH195" s="1530"/>
      <c r="AI195" s="1530"/>
      <c r="AJ195" s="1530"/>
      <c r="AK195" s="1530"/>
      <c r="AL195" s="1530"/>
      <c r="AM195" s="1530"/>
      <c r="AN195" s="1530"/>
      <c r="AO195" s="1530"/>
      <c r="AP195" s="1530"/>
      <c r="AQ195" s="1530"/>
      <c r="AR195" s="1530"/>
      <c r="AS195" s="1530"/>
      <c r="AT195" s="1530"/>
      <c r="AU195" s="1530"/>
      <c r="AV195" s="1530"/>
      <c r="AW195" s="1530"/>
      <c r="AX195" s="1530"/>
      <c r="AY195" s="1530"/>
      <c r="AZ195" s="1530"/>
      <c r="BA195" s="1530"/>
      <c r="BB195" s="1530"/>
      <c r="BC195" s="1530"/>
      <c r="BD195" s="1530"/>
      <c r="BE195" s="1530"/>
      <c r="BF195" s="1530"/>
      <c r="BG195" s="1530"/>
      <c r="BH195" s="1530"/>
      <c r="BI195" s="1530"/>
      <c r="BJ195" s="1530"/>
      <c r="BK195" s="1530"/>
      <c r="BL195" s="1530"/>
      <c r="BM195" s="1530"/>
      <c r="BN195" s="1530"/>
      <c r="BW195" s="1569"/>
      <c r="CO195" s="1530"/>
      <c r="CP195" s="1530"/>
      <c r="CQ195" s="1530"/>
      <c r="CR195" s="1530"/>
      <c r="CS195" s="1530"/>
      <c r="CT195" s="1530"/>
      <c r="CU195" s="1530"/>
      <c r="CV195" s="1530"/>
      <c r="CW195" s="1530"/>
      <c r="CX195" s="1530"/>
      <c r="CY195" s="1530"/>
      <c r="CZ195" s="1530"/>
      <c r="DA195" s="1530"/>
      <c r="DB195" s="1530"/>
      <c r="DC195" s="1530"/>
      <c r="DD195" s="1530"/>
      <c r="DE195" s="1530"/>
      <c r="DF195" s="1530"/>
      <c r="DG195" s="1530"/>
      <c r="DH195" s="1530"/>
      <c r="DI195" s="1530"/>
      <c r="DJ195" s="1530"/>
      <c r="DK195" s="1530"/>
      <c r="DL195" s="1530"/>
      <c r="DM195" s="1530"/>
      <c r="DN195" s="1571"/>
      <c r="DO195" s="1530"/>
      <c r="DP195" s="1530"/>
    </row>
    <row r="196" spans="1:120">
      <c r="A196" s="1451"/>
      <c r="C196" s="1451"/>
      <c r="K196" s="1451"/>
      <c r="L196" s="1451"/>
      <c r="U196" s="1530"/>
      <c r="V196" s="1530"/>
      <c r="W196" s="1530"/>
      <c r="X196" s="1530"/>
      <c r="Y196" s="1530"/>
      <c r="Z196" s="1530"/>
      <c r="AA196" s="1530"/>
      <c r="AB196" s="1530"/>
      <c r="AC196" s="1530"/>
      <c r="AD196" s="1530"/>
      <c r="AE196" s="1530"/>
      <c r="AF196" s="1530"/>
      <c r="AG196" s="1530"/>
      <c r="AH196" s="1530"/>
      <c r="AI196" s="1530"/>
      <c r="AJ196" s="1530"/>
      <c r="AK196" s="1530"/>
      <c r="AL196" s="1530"/>
      <c r="AM196" s="1530"/>
      <c r="AN196" s="1530"/>
      <c r="AO196" s="1530"/>
      <c r="AP196" s="1530"/>
      <c r="AQ196" s="1530"/>
      <c r="AR196" s="1530"/>
      <c r="AS196" s="1530"/>
      <c r="AT196" s="1530"/>
      <c r="AU196" s="1530"/>
      <c r="AV196" s="1530"/>
      <c r="AW196" s="1530"/>
      <c r="AX196" s="1530"/>
      <c r="AY196" s="1530"/>
      <c r="AZ196" s="1530"/>
      <c r="BA196" s="1530"/>
      <c r="BB196" s="1530"/>
      <c r="BC196" s="1530"/>
      <c r="BD196" s="1530"/>
      <c r="BE196" s="1530"/>
      <c r="BF196" s="1530"/>
      <c r="BG196" s="1530"/>
      <c r="BH196" s="1530"/>
      <c r="BI196" s="1530"/>
      <c r="BJ196" s="1530"/>
      <c r="BK196" s="1530"/>
      <c r="BL196" s="1530"/>
      <c r="BM196" s="1530"/>
      <c r="BN196" s="1530"/>
      <c r="BW196" s="1569"/>
      <c r="CO196" s="1530"/>
      <c r="CP196" s="1530"/>
      <c r="CQ196" s="1530"/>
      <c r="CR196" s="1530"/>
      <c r="CS196" s="1530"/>
      <c r="CT196" s="1530"/>
      <c r="CU196" s="1530"/>
      <c r="CV196" s="1530"/>
      <c r="CW196" s="1530"/>
      <c r="CX196" s="1530"/>
      <c r="CY196" s="1530"/>
      <c r="CZ196" s="1530"/>
      <c r="DA196" s="1530"/>
      <c r="DB196" s="1530"/>
      <c r="DC196" s="1530"/>
      <c r="DD196" s="1530"/>
      <c r="DE196" s="1530"/>
      <c r="DF196" s="1530"/>
      <c r="DG196" s="1530"/>
      <c r="DH196" s="1530"/>
      <c r="DI196" s="1530"/>
      <c r="DJ196" s="1530"/>
      <c r="DK196" s="1530"/>
      <c r="DL196" s="1530"/>
      <c r="DM196" s="1530"/>
      <c r="DN196" s="1571"/>
      <c r="DO196" s="1530"/>
      <c r="DP196" s="1530"/>
    </row>
    <row r="197" spans="1:120">
      <c r="A197" s="1451"/>
      <c r="C197" s="1451"/>
      <c r="K197" s="1451"/>
      <c r="L197" s="1451"/>
      <c r="U197" s="1530"/>
      <c r="V197" s="1530"/>
      <c r="W197" s="1530"/>
      <c r="X197" s="1530"/>
      <c r="Y197" s="1530"/>
      <c r="Z197" s="1530"/>
      <c r="AA197" s="1530"/>
      <c r="AB197" s="1530"/>
      <c r="AC197" s="1530"/>
      <c r="AD197" s="1530"/>
      <c r="AE197" s="1530"/>
      <c r="AF197" s="1530"/>
      <c r="AG197" s="1530"/>
      <c r="AH197" s="1530"/>
      <c r="AI197" s="1530"/>
      <c r="AJ197" s="1530"/>
      <c r="AK197" s="1530"/>
      <c r="AL197" s="1530"/>
      <c r="AM197" s="1530"/>
      <c r="AN197" s="1530"/>
      <c r="AO197" s="1530"/>
      <c r="AP197" s="1530"/>
      <c r="AQ197" s="1530"/>
      <c r="AR197" s="1530"/>
      <c r="AS197" s="1530"/>
      <c r="AT197" s="1530"/>
      <c r="AU197" s="1530"/>
      <c r="AV197" s="1530"/>
      <c r="AW197" s="1530"/>
      <c r="AX197" s="1530"/>
      <c r="AY197" s="1530"/>
      <c r="AZ197" s="1530"/>
      <c r="BA197" s="1530"/>
      <c r="BB197" s="1530"/>
      <c r="BC197" s="1530"/>
      <c r="BD197" s="1530"/>
      <c r="BE197" s="1530"/>
      <c r="BF197" s="1530"/>
      <c r="BG197" s="1530"/>
      <c r="BH197" s="1530"/>
      <c r="BI197" s="1530"/>
      <c r="BJ197" s="1530"/>
      <c r="BK197" s="1530"/>
      <c r="BL197" s="1530"/>
      <c r="BM197" s="1530"/>
      <c r="BN197" s="1530"/>
      <c r="BW197" s="1569"/>
      <c r="CO197" s="1530"/>
      <c r="CP197" s="1530"/>
      <c r="CQ197" s="1530"/>
      <c r="CR197" s="1530"/>
      <c r="CS197" s="1530"/>
      <c r="CT197" s="1530"/>
      <c r="CU197" s="1530"/>
      <c r="CV197" s="1530"/>
      <c r="CW197" s="1530"/>
      <c r="CX197" s="1530"/>
      <c r="CY197" s="1530"/>
      <c r="CZ197" s="1530"/>
      <c r="DA197" s="1530"/>
      <c r="DB197" s="1530"/>
      <c r="DC197" s="1530"/>
      <c r="DD197" s="1530"/>
      <c r="DE197" s="1530"/>
      <c r="DF197" s="1530"/>
      <c r="DG197" s="1530"/>
      <c r="DH197" s="1530"/>
      <c r="DI197" s="1530"/>
      <c r="DJ197" s="1530"/>
      <c r="DK197" s="1530"/>
      <c r="DL197" s="1530"/>
      <c r="DM197" s="1530"/>
      <c r="DN197" s="1571"/>
      <c r="DO197" s="1530"/>
      <c r="DP197" s="1530"/>
    </row>
    <row r="198" spans="1:120">
      <c r="A198" s="1451"/>
      <c r="C198" s="1451"/>
      <c r="K198" s="1451"/>
      <c r="L198" s="1451"/>
      <c r="U198" s="1530"/>
      <c r="V198" s="1530"/>
      <c r="W198" s="1530"/>
      <c r="X198" s="1530"/>
      <c r="Y198" s="1530"/>
      <c r="Z198" s="1530"/>
      <c r="AA198" s="1530"/>
      <c r="AB198" s="1530"/>
      <c r="AC198" s="1530"/>
      <c r="AD198" s="1530"/>
      <c r="AE198" s="1530"/>
      <c r="AF198" s="1530"/>
      <c r="AG198" s="1530"/>
      <c r="AH198" s="1530"/>
      <c r="AI198" s="1530"/>
      <c r="AJ198" s="1530"/>
      <c r="AK198" s="1530"/>
      <c r="AL198" s="1530"/>
      <c r="AM198" s="1530"/>
      <c r="AN198" s="1530"/>
      <c r="AO198" s="1530"/>
      <c r="AP198" s="1530"/>
      <c r="AQ198" s="1530"/>
      <c r="AR198" s="1530"/>
      <c r="AS198" s="1530"/>
      <c r="AT198" s="1530"/>
      <c r="AU198" s="1530"/>
      <c r="AV198" s="1530"/>
      <c r="AW198" s="1530"/>
      <c r="AX198" s="1530"/>
      <c r="AY198" s="1530"/>
      <c r="AZ198" s="1530"/>
      <c r="BA198" s="1530"/>
      <c r="BB198" s="1530"/>
      <c r="BC198" s="1530"/>
      <c r="BD198" s="1530"/>
      <c r="BE198" s="1530"/>
      <c r="BF198" s="1530"/>
      <c r="BG198" s="1530"/>
      <c r="BH198" s="1530"/>
      <c r="BI198" s="1530"/>
      <c r="BJ198" s="1530"/>
      <c r="BK198" s="1530"/>
      <c r="BL198" s="1530"/>
      <c r="BM198" s="1530"/>
      <c r="BN198" s="1530"/>
      <c r="BW198" s="1569"/>
      <c r="CO198" s="1530"/>
      <c r="CP198" s="1530"/>
      <c r="CQ198" s="1530"/>
      <c r="CR198" s="1530"/>
      <c r="CS198" s="1530"/>
      <c r="CT198" s="1530"/>
      <c r="CU198" s="1530"/>
      <c r="CV198" s="1530"/>
      <c r="CW198" s="1530"/>
      <c r="CX198" s="1530"/>
      <c r="CY198" s="1530"/>
      <c r="CZ198" s="1530"/>
      <c r="DA198" s="1530"/>
      <c r="DB198" s="1530"/>
      <c r="DC198" s="1530"/>
      <c r="DD198" s="1530"/>
      <c r="DE198" s="1530"/>
      <c r="DF198" s="1530"/>
      <c r="DG198" s="1530"/>
      <c r="DH198" s="1530"/>
      <c r="DI198" s="1530"/>
      <c r="DJ198" s="1530"/>
      <c r="DK198" s="1530"/>
      <c r="DL198" s="1530"/>
      <c r="DM198" s="1530"/>
      <c r="DN198" s="1571"/>
      <c r="DO198" s="1530"/>
      <c r="DP198" s="1530"/>
    </row>
    <row r="199" spans="1:120">
      <c r="A199" s="1451"/>
      <c r="C199" s="1451"/>
      <c r="K199" s="1451"/>
      <c r="L199" s="1451"/>
      <c r="U199" s="1530"/>
      <c r="V199" s="1530"/>
      <c r="W199" s="1530"/>
      <c r="X199" s="1530"/>
      <c r="Y199" s="1530"/>
      <c r="Z199" s="1530"/>
      <c r="AA199" s="1530"/>
      <c r="AB199" s="1530"/>
      <c r="AC199" s="1530"/>
      <c r="AD199" s="1530"/>
      <c r="AE199" s="1530"/>
      <c r="AF199" s="1530"/>
      <c r="AG199" s="1530"/>
      <c r="AH199" s="1530"/>
      <c r="AI199" s="1530"/>
      <c r="AJ199" s="1530"/>
      <c r="AK199" s="1530"/>
      <c r="AL199" s="1530"/>
      <c r="AM199" s="1530"/>
      <c r="AN199" s="1530"/>
      <c r="AO199" s="1530"/>
      <c r="AP199" s="1530"/>
      <c r="AQ199" s="1530"/>
      <c r="AR199" s="1530"/>
      <c r="AS199" s="1530"/>
      <c r="AT199" s="1530"/>
      <c r="AU199" s="1530"/>
      <c r="AV199" s="1530"/>
      <c r="AW199" s="1530"/>
      <c r="AX199" s="1530"/>
      <c r="AY199" s="1530"/>
      <c r="AZ199" s="1530"/>
      <c r="BA199" s="1530"/>
      <c r="BB199" s="1530"/>
      <c r="BC199" s="1530"/>
      <c r="BD199" s="1530"/>
      <c r="BE199" s="1530"/>
      <c r="BF199" s="1530"/>
      <c r="BG199" s="1530"/>
      <c r="BH199" s="1530"/>
      <c r="BI199" s="1530"/>
      <c r="BJ199" s="1530"/>
      <c r="BK199" s="1530"/>
      <c r="BL199" s="1530"/>
      <c r="BM199" s="1530"/>
      <c r="BN199" s="1530"/>
      <c r="BW199" s="1569"/>
      <c r="CO199" s="1530"/>
      <c r="CP199" s="1530"/>
      <c r="CQ199" s="1530"/>
      <c r="CR199" s="1530"/>
      <c r="CS199" s="1530"/>
      <c r="CT199" s="1530"/>
      <c r="CU199" s="1530"/>
      <c r="CV199" s="1530"/>
      <c r="CW199" s="1530"/>
      <c r="CX199" s="1530"/>
      <c r="CY199" s="1530"/>
      <c r="CZ199" s="1530"/>
      <c r="DA199" s="1530"/>
      <c r="DB199" s="1530"/>
      <c r="DC199" s="1530"/>
      <c r="DD199" s="1530"/>
      <c r="DE199" s="1530"/>
      <c r="DF199" s="1530"/>
      <c r="DG199" s="1530"/>
      <c r="DH199" s="1530"/>
      <c r="DI199" s="1530"/>
      <c r="DJ199" s="1530"/>
      <c r="DK199" s="1530"/>
      <c r="DL199" s="1530"/>
      <c r="DM199" s="1530"/>
      <c r="DN199" s="1571"/>
      <c r="DO199" s="1530"/>
      <c r="DP199" s="1530"/>
    </row>
    <row r="200" spans="1:120">
      <c r="A200" s="1451"/>
      <c r="C200" s="1451"/>
      <c r="K200" s="1451"/>
      <c r="L200" s="1451"/>
      <c r="U200" s="1530"/>
      <c r="V200" s="1530"/>
      <c r="W200" s="1530"/>
      <c r="X200" s="1530"/>
      <c r="Y200" s="1530"/>
      <c r="Z200" s="1530"/>
      <c r="AA200" s="1530"/>
      <c r="AB200" s="1530"/>
      <c r="AC200" s="1530"/>
      <c r="AD200" s="1530"/>
      <c r="AE200" s="1530"/>
      <c r="AF200" s="1530"/>
      <c r="AG200" s="1530"/>
      <c r="AH200" s="1530"/>
      <c r="AI200" s="1530"/>
      <c r="AJ200" s="1530"/>
      <c r="AK200" s="1530"/>
      <c r="AL200" s="1530"/>
      <c r="AM200" s="1530"/>
      <c r="AN200" s="1530"/>
      <c r="AO200" s="1530"/>
      <c r="AP200" s="1530"/>
      <c r="AQ200" s="1530"/>
      <c r="AR200" s="1530"/>
      <c r="AS200" s="1530"/>
      <c r="AT200" s="1530"/>
      <c r="AU200" s="1530"/>
      <c r="AV200" s="1530"/>
      <c r="AW200" s="1530"/>
      <c r="AX200" s="1530"/>
      <c r="AY200" s="1530"/>
      <c r="AZ200" s="1530"/>
      <c r="BA200" s="1530"/>
      <c r="BB200" s="1530"/>
      <c r="BC200" s="1530"/>
      <c r="BD200" s="1530"/>
      <c r="BE200" s="1530"/>
      <c r="BF200" s="1530"/>
      <c r="BG200" s="1530"/>
      <c r="BH200" s="1530"/>
      <c r="BI200" s="1530"/>
      <c r="BJ200" s="1530"/>
      <c r="BK200" s="1530"/>
      <c r="BL200" s="1530"/>
      <c r="BM200" s="1530"/>
      <c r="BN200" s="1530"/>
      <c r="BW200" s="1569"/>
      <c r="CO200" s="1530"/>
      <c r="CP200" s="1530"/>
      <c r="CQ200" s="1530"/>
      <c r="CR200" s="1530"/>
      <c r="CS200" s="1530"/>
      <c r="CT200" s="1530"/>
      <c r="CU200" s="1530"/>
      <c r="CV200" s="1530"/>
      <c r="CW200" s="1530"/>
      <c r="CX200" s="1530"/>
      <c r="CY200" s="1530"/>
      <c r="CZ200" s="1530"/>
      <c r="DA200" s="1530"/>
      <c r="DB200" s="1530"/>
      <c r="DC200" s="1530"/>
      <c r="DD200" s="1530"/>
      <c r="DE200" s="1530"/>
      <c r="DF200" s="1530"/>
      <c r="DG200" s="1530"/>
      <c r="DH200" s="1530"/>
      <c r="DI200" s="1530"/>
      <c r="DJ200" s="1530"/>
      <c r="DK200" s="1530"/>
      <c r="DL200" s="1530"/>
      <c r="DM200" s="1530"/>
      <c r="DN200" s="1571"/>
      <c r="DO200" s="1530"/>
      <c r="DP200" s="1530"/>
    </row>
    <row r="201" spans="1:120">
      <c r="A201" s="1451"/>
      <c r="C201" s="1451"/>
      <c r="K201" s="1451"/>
      <c r="L201" s="1451"/>
      <c r="U201" s="1530"/>
      <c r="V201" s="1530"/>
      <c r="W201" s="1530"/>
      <c r="X201" s="1530"/>
      <c r="Y201" s="1530"/>
      <c r="Z201" s="1530"/>
      <c r="AA201" s="1530"/>
      <c r="AB201" s="1530"/>
      <c r="AC201" s="1530"/>
      <c r="AD201" s="1530"/>
      <c r="AE201" s="1530"/>
      <c r="AF201" s="1530"/>
      <c r="AG201" s="1530"/>
      <c r="AH201" s="1530"/>
      <c r="AI201" s="1530"/>
      <c r="AJ201" s="1530"/>
      <c r="AK201" s="1530"/>
      <c r="AL201" s="1530"/>
      <c r="AM201" s="1530"/>
      <c r="AN201" s="1530"/>
      <c r="AO201" s="1530"/>
      <c r="AP201" s="1530"/>
      <c r="AQ201" s="1530"/>
      <c r="AR201" s="1530"/>
      <c r="AS201" s="1530"/>
      <c r="AT201" s="1530"/>
      <c r="AU201" s="1530"/>
      <c r="AV201" s="1530"/>
      <c r="AW201" s="1530"/>
      <c r="AX201" s="1530"/>
      <c r="AY201" s="1530"/>
      <c r="AZ201" s="1530"/>
      <c r="BA201" s="1530"/>
      <c r="BB201" s="1530"/>
      <c r="BC201" s="1530"/>
      <c r="BD201" s="1530"/>
      <c r="BE201" s="1530"/>
      <c r="BF201" s="1530"/>
      <c r="BG201" s="1530"/>
      <c r="BH201" s="1530"/>
      <c r="BI201" s="1530"/>
      <c r="BJ201" s="1530"/>
      <c r="BK201" s="1530"/>
      <c r="BL201" s="1530"/>
      <c r="BM201" s="1530"/>
      <c r="BN201" s="1530"/>
      <c r="BW201" s="1569"/>
      <c r="CO201" s="1530"/>
      <c r="CP201" s="1530"/>
      <c r="CQ201" s="1530"/>
      <c r="CR201" s="1530"/>
      <c r="CS201" s="1530"/>
      <c r="CT201" s="1530"/>
      <c r="CU201" s="1530"/>
      <c r="CV201" s="1530"/>
      <c r="CW201" s="1530"/>
      <c r="CX201" s="1530"/>
      <c r="CY201" s="1530"/>
      <c r="CZ201" s="1530"/>
      <c r="DA201" s="1530"/>
      <c r="DB201" s="1530"/>
      <c r="DC201" s="1530"/>
      <c r="DD201" s="1530"/>
      <c r="DE201" s="1530"/>
      <c r="DF201" s="1530"/>
      <c r="DG201" s="1530"/>
      <c r="DH201" s="1530"/>
      <c r="DI201" s="1530"/>
      <c r="DJ201" s="1530"/>
      <c r="DK201" s="1530"/>
      <c r="DL201" s="1530"/>
      <c r="DM201" s="1530"/>
      <c r="DN201" s="1571"/>
      <c r="DO201" s="1530"/>
      <c r="DP201" s="1530"/>
    </row>
    <row r="202" spans="1:120">
      <c r="A202" s="1451"/>
      <c r="C202" s="1451"/>
      <c r="K202" s="1451"/>
      <c r="L202" s="1451"/>
      <c r="U202" s="1530"/>
      <c r="V202" s="1530"/>
      <c r="W202" s="1530"/>
      <c r="X202" s="1530"/>
      <c r="Y202" s="1530"/>
      <c r="Z202" s="1530"/>
      <c r="AA202" s="1530"/>
      <c r="AB202" s="1530"/>
      <c r="AC202" s="1530"/>
      <c r="AD202" s="1530"/>
      <c r="AE202" s="1530"/>
      <c r="AF202" s="1530"/>
      <c r="AG202" s="1530"/>
      <c r="AH202" s="1530"/>
      <c r="AI202" s="1530"/>
      <c r="AJ202" s="1530"/>
      <c r="AK202" s="1530"/>
      <c r="AL202" s="1530"/>
      <c r="AM202" s="1530"/>
      <c r="AN202" s="1530"/>
      <c r="AO202" s="1530"/>
      <c r="AP202" s="1530"/>
      <c r="AQ202" s="1530"/>
      <c r="AR202" s="1530"/>
      <c r="AS202" s="1530"/>
      <c r="AT202" s="1530"/>
      <c r="AU202" s="1530"/>
      <c r="AV202" s="1530"/>
      <c r="AW202" s="1530"/>
      <c r="AX202" s="1530"/>
      <c r="AY202" s="1530"/>
      <c r="AZ202" s="1530"/>
      <c r="BA202" s="1530"/>
      <c r="BB202" s="1530"/>
      <c r="BC202" s="1530"/>
      <c r="BD202" s="1530"/>
      <c r="BE202" s="1530"/>
      <c r="BF202" s="1530"/>
      <c r="BG202" s="1530"/>
      <c r="BH202" s="1530"/>
      <c r="BI202" s="1530"/>
      <c r="BJ202" s="1530"/>
      <c r="BK202" s="1530"/>
      <c r="BL202" s="1530"/>
      <c r="BM202" s="1530"/>
      <c r="BN202" s="1530"/>
      <c r="BW202" s="1569"/>
      <c r="CO202" s="1530"/>
      <c r="CP202" s="1530"/>
      <c r="CQ202" s="1530"/>
      <c r="CR202" s="1530"/>
      <c r="CS202" s="1530"/>
      <c r="CT202" s="1530"/>
      <c r="CU202" s="1530"/>
      <c r="CV202" s="1530"/>
      <c r="CW202" s="1530"/>
      <c r="CX202" s="1530"/>
      <c r="CY202" s="1530"/>
      <c r="CZ202" s="1530"/>
      <c r="DA202" s="1530"/>
      <c r="DB202" s="1530"/>
      <c r="DC202" s="1530"/>
      <c r="DD202" s="1530"/>
      <c r="DE202" s="1530"/>
      <c r="DF202" s="1530"/>
      <c r="DG202" s="1530"/>
      <c r="DH202" s="1530"/>
      <c r="DI202" s="1530"/>
      <c r="DJ202" s="1530"/>
      <c r="DK202" s="1530"/>
      <c r="DL202" s="1530"/>
      <c r="DM202" s="1530"/>
      <c r="DN202" s="1571"/>
      <c r="DO202" s="1530"/>
      <c r="DP202" s="1530"/>
    </row>
    <row r="203" spans="1:120">
      <c r="A203" s="1451"/>
      <c r="C203" s="1451"/>
      <c r="K203" s="1451"/>
      <c r="L203" s="1451"/>
      <c r="U203" s="1530"/>
      <c r="V203" s="1530"/>
      <c r="W203" s="1530"/>
      <c r="X203" s="1530"/>
      <c r="Y203" s="1530"/>
      <c r="Z203" s="1530"/>
      <c r="AA203" s="1530"/>
      <c r="AB203" s="1530"/>
      <c r="AC203" s="1530"/>
      <c r="AD203" s="1530"/>
      <c r="AE203" s="1530"/>
      <c r="AF203" s="1530"/>
      <c r="AG203" s="1530"/>
      <c r="AH203" s="1530"/>
      <c r="AI203" s="1530"/>
      <c r="AJ203" s="1530"/>
      <c r="AK203" s="1530"/>
      <c r="AL203" s="1530"/>
      <c r="AM203" s="1530"/>
      <c r="AN203" s="1530"/>
      <c r="AO203" s="1530"/>
      <c r="AP203" s="1530"/>
      <c r="AQ203" s="1530"/>
      <c r="AR203" s="1530"/>
      <c r="AS203" s="1530"/>
      <c r="AT203" s="1530"/>
      <c r="AU203" s="1530"/>
      <c r="AV203" s="1530"/>
      <c r="AW203" s="1530"/>
      <c r="AX203" s="1530"/>
      <c r="AY203" s="1530"/>
      <c r="AZ203" s="1530"/>
      <c r="BA203" s="1530"/>
      <c r="BB203" s="1530"/>
      <c r="BC203" s="1530"/>
      <c r="BD203" s="1530"/>
      <c r="BE203" s="1530"/>
      <c r="BF203" s="1530"/>
      <c r="BG203" s="1530"/>
      <c r="BH203" s="1530"/>
      <c r="BI203" s="1530"/>
      <c r="BJ203" s="1530"/>
      <c r="BK203" s="1530"/>
      <c r="BL203" s="1530"/>
      <c r="BM203" s="1530"/>
      <c r="BN203" s="1530"/>
      <c r="BW203" s="1569"/>
      <c r="CO203" s="1530"/>
      <c r="CP203" s="1530"/>
      <c r="CQ203" s="1530"/>
      <c r="CR203" s="1530"/>
      <c r="CS203" s="1530"/>
      <c r="CT203" s="1530"/>
      <c r="CU203" s="1530"/>
      <c r="CV203" s="1530"/>
      <c r="CW203" s="1530"/>
      <c r="CX203" s="1530"/>
      <c r="CY203" s="1530"/>
      <c r="CZ203" s="1530"/>
      <c r="DA203" s="1530"/>
      <c r="DB203" s="1530"/>
      <c r="DC203" s="1530"/>
      <c r="DD203" s="1530"/>
      <c r="DE203" s="1530"/>
      <c r="DF203" s="1530"/>
      <c r="DG203" s="1530"/>
      <c r="DH203" s="1530"/>
      <c r="DI203" s="1530"/>
      <c r="DJ203" s="1530"/>
      <c r="DK203" s="1530"/>
      <c r="DL203" s="1530"/>
      <c r="DM203" s="1530"/>
      <c r="DN203" s="1571"/>
      <c r="DO203" s="1530"/>
      <c r="DP203" s="1530"/>
    </row>
    <row r="204" spans="1:120">
      <c r="A204" s="1451"/>
      <c r="C204" s="1451"/>
      <c r="K204" s="1451"/>
      <c r="L204" s="1451"/>
      <c r="U204" s="1530"/>
      <c r="V204" s="1530"/>
      <c r="W204" s="1530"/>
      <c r="X204" s="1530"/>
      <c r="Y204" s="1530"/>
      <c r="Z204" s="1530"/>
      <c r="AA204" s="1530"/>
      <c r="AB204" s="1530"/>
      <c r="AC204" s="1530"/>
      <c r="AD204" s="1530"/>
      <c r="AE204" s="1530"/>
      <c r="AF204" s="1530"/>
      <c r="AG204" s="1530"/>
      <c r="AH204" s="1530"/>
      <c r="AI204" s="1530"/>
      <c r="AJ204" s="1530"/>
      <c r="AK204" s="1530"/>
      <c r="AL204" s="1530"/>
      <c r="AM204" s="1530"/>
      <c r="AN204" s="1530"/>
      <c r="AO204" s="1530"/>
      <c r="AP204" s="1530"/>
      <c r="AQ204" s="1530"/>
      <c r="AR204" s="1530"/>
      <c r="AS204" s="1530"/>
      <c r="AT204" s="1530"/>
      <c r="AU204" s="1530"/>
      <c r="AV204" s="1530"/>
      <c r="AW204" s="1530"/>
      <c r="AX204" s="1530"/>
      <c r="AY204" s="1530"/>
      <c r="AZ204" s="1530"/>
      <c r="BA204" s="1530"/>
      <c r="BB204" s="1530"/>
      <c r="BC204" s="1530"/>
      <c r="BD204" s="1530"/>
      <c r="BE204" s="1530"/>
      <c r="BF204" s="1530"/>
      <c r="BG204" s="1530"/>
      <c r="BH204" s="1530"/>
      <c r="BI204" s="1530"/>
      <c r="BJ204" s="1530"/>
      <c r="BK204" s="1530"/>
      <c r="BL204" s="1530"/>
      <c r="BM204" s="1530"/>
      <c r="BN204" s="1530"/>
      <c r="BW204" s="1569"/>
      <c r="CO204" s="1530"/>
      <c r="CP204" s="1530"/>
      <c r="CQ204" s="1530"/>
      <c r="CR204" s="1530"/>
      <c r="CS204" s="1530"/>
      <c r="CT204" s="1530"/>
      <c r="CU204" s="1530"/>
      <c r="CV204" s="1530"/>
      <c r="CW204" s="1530"/>
      <c r="CX204" s="1530"/>
      <c r="CY204" s="1530"/>
      <c r="CZ204" s="1530"/>
      <c r="DA204" s="1530"/>
      <c r="DB204" s="1530"/>
      <c r="DC204" s="1530"/>
      <c r="DD204" s="1530"/>
      <c r="DE204" s="1530"/>
      <c r="DF204" s="1530"/>
      <c r="DG204" s="1530"/>
      <c r="DH204" s="1530"/>
      <c r="DI204" s="1530"/>
      <c r="DJ204" s="1530"/>
      <c r="DK204" s="1530"/>
      <c r="DL204" s="1530"/>
      <c r="DM204" s="1530"/>
      <c r="DN204" s="1571"/>
      <c r="DO204" s="1530"/>
      <c r="DP204" s="1530"/>
    </row>
    <row r="205" spans="1:120">
      <c r="A205" s="1451"/>
      <c r="C205" s="1451"/>
      <c r="K205" s="1451"/>
      <c r="L205" s="1451"/>
      <c r="U205" s="1530"/>
      <c r="V205" s="1530"/>
      <c r="W205" s="1530"/>
      <c r="X205" s="1530"/>
      <c r="Y205" s="1530"/>
      <c r="Z205" s="1530"/>
      <c r="AA205" s="1530"/>
      <c r="AB205" s="1530"/>
      <c r="AC205" s="1530"/>
      <c r="AD205" s="1530"/>
      <c r="AE205" s="1530"/>
      <c r="AF205" s="1530"/>
      <c r="AG205" s="1530"/>
      <c r="AH205" s="1530"/>
      <c r="AI205" s="1530"/>
      <c r="AJ205" s="1530"/>
      <c r="AK205" s="1530"/>
      <c r="AL205" s="1530"/>
      <c r="AM205" s="1530"/>
      <c r="AN205" s="1530"/>
      <c r="AO205" s="1530"/>
      <c r="AP205" s="1530"/>
      <c r="AQ205" s="1530"/>
      <c r="AR205" s="1530"/>
      <c r="AS205" s="1530"/>
      <c r="AT205" s="1530"/>
      <c r="AU205" s="1530"/>
      <c r="AV205" s="1530"/>
      <c r="AW205" s="1530"/>
      <c r="AX205" s="1530"/>
      <c r="AY205" s="1530"/>
      <c r="AZ205" s="1530"/>
      <c r="BA205" s="1530"/>
      <c r="BB205" s="1530"/>
      <c r="BC205" s="1530"/>
      <c r="BD205" s="1530"/>
      <c r="BE205" s="1530"/>
      <c r="BF205" s="1530"/>
      <c r="BG205" s="1530"/>
      <c r="BH205" s="1530"/>
      <c r="BI205" s="1530"/>
      <c r="BJ205" s="1530"/>
      <c r="BK205" s="1530"/>
      <c r="BL205" s="1530"/>
      <c r="BM205" s="1530"/>
      <c r="BN205" s="1530"/>
      <c r="BW205" s="1569"/>
      <c r="CO205" s="1530"/>
      <c r="CP205" s="1530"/>
      <c r="CQ205" s="1530"/>
      <c r="CR205" s="1530"/>
      <c r="CS205" s="1530"/>
      <c r="CT205" s="1530"/>
      <c r="CU205" s="1530"/>
      <c r="CV205" s="1530"/>
      <c r="CW205" s="1530"/>
      <c r="CX205" s="1530"/>
      <c r="CY205" s="1530"/>
      <c r="CZ205" s="1530"/>
      <c r="DA205" s="1530"/>
      <c r="DB205" s="1530"/>
      <c r="DC205" s="1530"/>
      <c r="DD205" s="1530"/>
      <c r="DE205" s="1530"/>
      <c r="DF205" s="1530"/>
      <c r="DG205" s="1530"/>
      <c r="DH205" s="1530"/>
      <c r="DI205" s="1530"/>
      <c r="DJ205" s="1530"/>
      <c r="DK205" s="1530"/>
      <c r="DL205" s="1530"/>
      <c r="DM205" s="1530"/>
      <c r="DN205" s="1571"/>
      <c r="DO205" s="1530"/>
      <c r="DP205" s="1530"/>
    </row>
    <row r="206" spans="1:120">
      <c r="A206" s="1451"/>
      <c r="C206" s="1451"/>
      <c r="K206" s="1451"/>
      <c r="L206" s="1451"/>
      <c r="U206" s="1530"/>
      <c r="V206" s="1530"/>
      <c r="W206" s="1530"/>
      <c r="X206" s="1530"/>
      <c r="Y206" s="1530"/>
      <c r="Z206" s="1530"/>
      <c r="AA206" s="1530"/>
      <c r="AB206" s="1530"/>
      <c r="AC206" s="1530"/>
      <c r="AD206" s="1530"/>
      <c r="AE206" s="1530"/>
      <c r="AF206" s="1530"/>
      <c r="AG206" s="1530"/>
      <c r="AH206" s="1530"/>
      <c r="AI206" s="1530"/>
      <c r="AJ206" s="1530"/>
      <c r="AK206" s="1530"/>
      <c r="AL206" s="1530"/>
      <c r="AM206" s="1530"/>
      <c r="AN206" s="1530"/>
      <c r="AO206" s="1530"/>
      <c r="AP206" s="1530"/>
      <c r="AQ206" s="1530"/>
      <c r="AR206" s="1530"/>
      <c r="AS206" s="1530"/>
      <c r="AT206" s="1530"/>
      <c r="AU206" s="1530"/>
      <c r="AV206" s="1530"/>
      <c r="AW206" s="1530"/>
      <c r="AX206" s="1530"/>
      <c r="AY206" s="1530"/>
      <c r="AZ206" s="1530"/>
      <c r="BA206" s="1530"/>
      <c r="BB206" s="1530"/>
      <c r="BC206" s="1530"/>
      <c r="BD206" s="1530"/>
      <c r="BE206" s="1530"/>
      <c r="BF206" s="1530"/>
      <c r="BG206" s="1530"/>
      <c r="BH206" s="1530"/>
      <c r="BI206" s="1530"/>
      <c r="BJ206" s="1530"/>
      <c r="BK206" s="1530"/>
      <c r="BL206" s="1530"/>
      <c r="BM206" s="1530"/>
      <c r="BN206" s="1530"/>
      <c r="BW206" s="1569"/>
      <c r="CO206" s="1530"/>
      <c r="CP206" s="1530"/>
      <c r="CQ206" s="1530"/>
      <c r="CR206" s="1530"/>
      <c r="CS206" s="1530"/>
      <c r="CT206" s="1530"/>
      <c r="CU206" s="1530"/>
      <c r="CV206" s="1530"/>
      <c r="CW206" s="1530"/>
      <c r="CX206" s="1530"/>
      <c r="CY206" s="1530"/>
      <c r="CZ206" s="1530"/>
      <c r="DA206" s="1530"/>
      <c r="DB206" s="1530"/>
      <c r="DC206" s="1530"/>
      <c r="DD206" s="1530"/>
      <c r="DE206" s="1530"/>
      <c r="DF206" s="1530"/>
      <c r="DG206" s="1530"/>
      <c r="DH206" s="1530"/>
      <c r="DI206" s="1530"/>
      <c r="DJ206" s="1530"/>
      <c r="DK206" s="1530"/>
      <c r="DL206" s="1530"/>
      <c r="DM206" s="1530"/>
      <c r="DN206" s="1571"/>
      <c r="DO206" s="1530"/>
      <c r="DP206" s="1530"/>
    </row>
    <row r="207" spans="1:120">
      <c r="A207" s="1451"/>
      <c r="C207" s="1451"/>
      <c r="K207" s="1451"/>
      <c r="L207" s="1451"/>
      <c r="U207" s="1530"/>
      <c r="V207" s="1530"/>
      <c r="W207" s="1530"/>
      <c r="X207" s="1530"/>
      <c r="Y207" s="1530"/>
      <c r="Z207" s="1530"/>
      <c r="AA207" s="1530"/>
      <c r="AB207" s="1530"/>
      <c r="AC207" s="1530"/>
      <c r="AD207" s="1530"/>
      <c r="AE207" s="1530"/>
      <c r="AF207" s="1530"/>
      <c r="AG207" s="1530"/>
      <c r="AH207" s="1530"/>
      <c r="AI207" s="1530"/>
      <c r="AJ207" s="1530"/>
      <c r="AK207" s="1530"/>
      <c r="AL207" s="1530"/>
      <c r="AM207" s="1530"/>
      <c r="AN207" s="1530"/>
      <c r="AO207" s="1530"/>
      <c r="AP207" s="1530"/>
      <c r="AQ207" s="1530"/>
      <c r="AR207" s="1530"/>
      <c r="AS207" s="1530"/>
      <c r="AT207" s="1530"/>
      <c r="AU207" s="1530"/>
      <c r="AV207" s="1530"/>
      <c r="AW207" s="1530"/>
      <c r="AX207" s="1530"/>
      <c r="AY207" s="1530"/>
      <c r="AZ207" s="1530"/>
      <c r="BA207" s="1530"/>
      <c r="BB207" s="1530"/>
      <c r="BC207" s="1530"/>
      <c r="BD207" s="1530"/>
      <c r="BE207" s="1530"/>
      <c r="BF207" s="1530"/>
      <c r="BG207" s="1530"/>
      <c r="BH207" s="1530"/>
      <c r="BI207" s="1530"/>
      <c r="BJ207" s="1530"/>
      <c r="BK207" s="1530"/>
      <c r="BL207" s="1530"/>
      <c r="BM207" s="1530"/>
      <c r="BN207" s="1530"/>
      <c r="BW207" s="1569"/>
      <c r="CO207" s="1530"/>
      <c r="CP207" s="1530"/>
      <c r="CQ207" s="1530"/>
      <c r="CR207" s="1530"/>
      <c r="CS207" s="1530"/>
      <c r="CT207" s="1530"/>
      <c r="CU207" s="1530"/>
      <c r="CV207" s="1530"/>
      <c r="CW207" s="1530"/>
      <c r="CX207" s="1530"/>
      <c r="CY207" s="1530"/>
      <c r="CZ207" s="1530"/>
      <c r="DA207" s="1530"/>
      <c r="DB207" s="1530"/>
      <c r="DC207" s="1530"/>
      <c r="DD207" s="1530"/>
      <c r="DE207" s="1530"/>
      <c r="DF207" s="1530"/>
      <c r="DG207" s="1530"/>
      <c r="DH207" s="1530"/>
      <c r="DI207" s="1530"/>
      <c r="DJ207" s="1530"/>
      <c r="DK207" s="1530"/>
      <c r="DL207" s="1530"/>
      <c r="DM207" s="1530"/>
      <c r="DN207" s="1571"/>
      <c r="DO207" s="1530"/>
      <c r="DP207" s="1530"/>
    </row>
    <row r="208" spans="1:120">
      <c r="A208" s="1451"/>
      <c r="C208" s="1451"/>
      <c r="K208" s="1451"/>
      <c r="L208" s="1451"/>
      <c r="U208" s="1530"/>
      <c r="V208" s="1530"/>
      <c r="W208" s="1530"/>
      <c r="X208" s="1530"/>
      <c r="Y208" s="1530"/>
      <c r="Z208" s="1530"/>
      <c r="AA208" s="1530"/>
      <c r="AB208" s="1530"/>
      <c r="AC208" s="1530"/>
      <c r="AD208" s="1530"/>
      <c r="AE208" s="1530"/>
      <c r="AF208" s="1530"/>
      <c r="AG208" s="1530"/>
      <c r="AH208" s="1530"/>
      <c r="AI208" s="1530"/>
      <c r="AJ208" s="1530"/>
      <c r="AK208" s="1530"/>
      <c r="AL208" s="1530"/>
      <c r="AM208" s="1530"/>
      <c r="AN208" s="1530"/>
      <c r="AO208" s="1530"/>
      <c r="AP208" s="1530"/>
      <c r="AQ208" s="1530"/>
      <c r="AR208" s="1530"/>
      <c r="AS208" s="1530"/>
      <c r="AT208" s="1530"/>
      <c r="AU208" s="1530"/>
      <c r="AV208" s="1530"/>
      <c r="AW208" s="1530"/>
      <c r="AX208" s="1530"/>
      <c r="AY208" s="1530"/>
      <c r="AZ208" s="1530"/>
      <c r="BA208" s="1530"/>
      <c r="BB208" s="1530"/>
      <c r="BC208" s="1530"/>
      <c r="BD208" s="1530"/>
      <c r="BE208" s="1530"/>
      <c r="BF208" s="1530"/>
      <c r="BG208" s="1530"/>
      <c r="BH208" s="1530"/>
      <c r="BI208" s="1530"/>
      <c r="BJ208" s="1530"/>
      <c r="BK208" s="1530"/>
      <c r="BL208" s="1530"/>
      <c r="BM208" s="1530"/>
      <c r="BN208" s="1530"/>
      <c r="BW208" s="1569"/>
      <c r="CO208" s="1530"/>
      <c r="CP208" s="1530"/>
      <c r="CQ208" s="1530"/>
      <c r="CR208" s="1530"/>
      <c r="CS208" s="1530"/>
      <c r="CT208" s="1530"/>
      <c r="CU208" s="1530"/>
      <c r="CV208" s="1530"/>
      <c r="CW208" s="1530"/>
      <c r="CX208" s="1530"/>
      <c r="CY208" s="1530"/>
      <c r="CZ208" s="1530"/>
      <c r="DA208" s="1530"/>
      <c r="DB208" s="1530"/>
      <c r="DC208" s="1530"/>
      <c r="DD208" s="1530"/>
      <c r="DE208" s="1530"/>
      <c r="DF208" s="1530"/>
      <c r="DG208" s="1530"/>
      <c r="DH208" s="1530"/>
      <c r="DI208" s="1530"/>
      <c r="DJ208" s="1530"/>
      <c r="DK208" s="1530"/>
      <c r="DL208" s="1530"/>
      <c r="DM208" s="1530"/>
      <c r="DN208" s="1571"/>
      <c r="DO208" s="1530"/>
      <c r="DP208" s="1530"/>
    </row>
    <row r="209" spans="1:120">
      <c r="A209" s="1451"/>
      <c r="C209" s="1451"/>
      <c r="K209" s="1451"/>
      <c r="L209" s="1451"/>
      <c r="U209" s="1530"/>
      <c r="V209" s="1530"/>
      <c r="W209" s="1530"/>
      <c r="X209" s="1530"/>
      <c r="Y209" s="1530"/>
      <c r="Z209" s="1530"/>
      <c r="AA209" s="1530"/>
      <c r="AB209" s="1530"/>
      <c r="AC209" s="1530"/>
      <c r="AD209" s="1530"/>
      <c r="AE209" s="1530"/>
      <c r="AF209" s="1530"/>
      <c r="AG209" s="1530"/>
      <c r="AH209" s="1530"/>
      <c r="AI209" s="1530"/>
      <c r="AJ209" s="1530"/>
      <c r="AK209" s="1530"/>
      <c r="AL209" s="1530"/>
      <c r="AM209" s="1530"/>
      <c r="AN209" s="1530"/>
      <c r="AO209" s="1530"/>
      <c r="AP209" s="1530"/>
      <c r="AQ209" s="1530"/>
      <c r="AR209" s="1530"/>
      <c r="AS209" s="1530"/>
      <c r="AT209" s="1530"/>
      <c r="AU209" s="1530"/>
      <c r="AV209" s="1530"/>
      <c r="AW209" s="1530"/>
      <c r="AX209" s="1530"/>
      <c r="AY209" s="1530"/>
      <c r="AZ209" s="1530"/>
      <c r="BA209" s="1530"/>
      <c r="BB209" s="1530"/>
      <c r="BC209" s="1530"/>
      <c r="BD209" s="1530"/>
      <c r="BE209" s="1530"/>
      <c r="BF209" s="1530"/>
      <c r="BG209" s="1530"/>
      <c r="BH209" s="1530"/>
      <c r="BI209" s="1530"/>
      <c r="BJ209" s="1530"/>
      <c r="BK209" s="1530"/>
      <c r="BL209" s="1530"/>
      <c r="BM209" s="1530"/>
      <c r="BN209" s="1530"/>
      <c r="BW209" s="1569"/>
      <c r="CO209" s="1530"/>
      <c r="CP209" s="1530"/>
      <c r="CQ209" s="1530"/>
      <c r="CR209" s="1530"/>
      <c r="CS209" s="1530"/>
      <c r="CT209" s="1530"/>
      <c r="CU209" s="1530"/>
      <c r="CV209" s="1530"/>
      <c r="CW209" s="1530"/>
      <c r="CX209" s="1530"/>
      <c r="CY209" s="1530"/>
      <c r="CZ209" s="1530"/>
      <c r="DA209" s="1530"/>
      <c r="DB209" s="1530"/>
      <c r="DC209" s="1530"/>
      <c r="DD209" s="1530"/>
      <c r="DE209" s="1530"/>
      <c r="DF209" s="1530"/>
      <c r="DG209" s="1530"/>
      <c r="DH209" s="1530"/>
      <c r="DI209" s="1530"/>
      <c r="DJ209" s="1530"/>
      <c r="DK209" s="1530"/>
      <c r="DL209" s="1530"/>
      <c r="DM209" s="1530"/>
      <c r="DN209" s="1571"/>
      <c r="DO209" s="1530"/>
      <c r="DP209" s="1530"/>
    </row>
    <row r="210" spans="1:120">
      <c r="A210" s="1451"/>
      <c r="C210" s="1451"/>
      <c r="K210" s="1451"/>
      <c r="L210" s="1451"/>
      <c r="U210" s="1530"/>
      <c r="V210" s="1530"/>
      <c r="W210" s="1530"/>
      <c r="X210" s="1530"/>
      <c r="Y210" s="1530"/>
      <c r="Z210" s="1530"/>
      <c r="AA210" s="1530"/>
      <c r="AB210" s="1530"/>
      <c r="AC210" s="1530"/>
      <c r="AD210" s="1530"/>
      <c r="AE210" s="1530"/>
      <c r="AF210" s="1530"/>
      <c r="AG210" s="1530"/>
      <c r="AH210" s="1530"/>
      <c r="AI210" s="1530"/>
      <c r="AJ210" s="1530"/>
      <c r="AK210" s="1530"/>
      <c r="AL210" s="1530"/>
      <c r="AM210" s="1530"/>
      <c r="AN210" s="1530"/>
      <c r="AO210" s="1530"/>
      <c r="AP210" s="1530"/>
      <c r="AQ210" s="1530"/>
      <c r="AR210" s="1530"/>
      <c r="AS210" s="1530"/>
      <c r="AT210" s="1530"/>
      <c r="AU210" s="1530"/>
      <c r="AV210" s="1530"/>
      <c r="AW210" s="1530"/>
      <c r="AX210" s="1530"/>
      <c r="AY210" s="1530"/>
      <c r="AZ210" s="1530"/>
      <c r="BA210" s="1530"/>
      <c r="BB210" s="1530"/>
      <c r="BC210" s="1530"/>
      <c r="BD210" s="1530"/>
      <c r="BE210" s="1530"/>
      <c r="BF210" s="1530"/>
      <c r="BG210" s="1530"/>
      <c r="BH210" s="1530"/>
      <c r="BI210" s="1530"/>
      <c r="BJ210" s="1530"/>
      <c r="BK210" s="1530"/>
      <c r="BL210" s="1530"/>
      <c r="BM210" s="1530"/>
      <c r="BN210" s="1530"/>
      <c r="BW210" s="1569"/>
      <c r="CO210" s="1530"/>
      <c r="CP210" s="1530"/>
      <c r="CQ210" s="1530"/>
      <c r="CR210" s="1530"/>
      <c r="CS210" s="1530"/>
      <c r="CT210" s="1530"/>
      <c r="CU210" s="1530"/>
      <c r="CV210" s="1530"/>
      <c r="CW210" s="1530"/>
      <c r="CX210" s="1530"/>
      <c r="CY210" s="1530"/>
      <c r="CZ210" s="1530"/>
      <c r="DA210" s="1530"/>
      <c r="DB210" s="1530"/>
      <c r="DC210" s="1530"/>
      <c r="DD210" s="1530"/>
      <c r="DE210" s="1530"/>
      <c r="DF210" s="1530"/>
      <c r="DG210" s="1530"/>
      <c r="DH210" s="1530"/>
      <c r="DI210" s="1530"/>
      <c r="DJ210" s="1530"/>
      <c r="DK210" s="1530"/>
      <c r="DL210" s="1530"/>
      <c r="DM210" s="1530"/>
      <c r="DN210" s="1571"/>
      <c r="DO210" s="1530"/>
      <c r="DP210" s="1530"/>
    </row>
    <row r="211" spans="1:120">
      <c r="A211" s="1451"/>
      <c r="C211" s="1451"/>
      <c r="K211" s="1451"/>
      <c r="L211" s="1451"/>
      <c r="U211" s="1530"/>
      <c r="V211" s="1530"/>
      <c r="W211" s="1530"/>
      <c r="X211" s="1530"/>
      <c r="Y211" s="1530"/>
      <c r="Z211" s="1530"/>
      <c r="AA211" s="1530"/>
      <c r="AB211" s="1530"/>
      <c r="AC211" s="1530"/>
      <c r="AD211" s="1530"/>
      <c r="AE211" s="1530"/>
      <c r="AF211" s="1530"/>
      <c r="AG211" s="1530"/>
      <c r="AH211" s="1530"/>
      <c r="AI211" s="1530"/>
      <c r="AJ211" s="1530"/>
      <c r="AK211" s="1530"/>
      <c r="AL211" s="1530"/>
      <c r="AM211" s="1530"/>
      <c r="AN211" s="1530"/>
      <c r="AO211" s="1530"/>
      <c r="AP211" s="1530"/>
      <c r="AQ211" s="1530"/>
      <c r="AR211" s="1530"/>
      <c r="AS211" s="1530"/>
      <c r="AT211" s="1530"/>
      <c r="AU211" s="1530"/>
      <c r="AV211" s="1530"/>
      <c r="AW211" s="1530"/>
      <c r="AX211" s="1530"/>
      <c r="AY211" s="1530"/>
      <c r="AZ211" s="1530"/>
      <c r="BA211" s="1530"/>
      <c r="BB211" s="1530"/>
      <c r="BC211" s="1530"/>
      <c r="BD211" s="1530"/>
      <c r="BE211" s="1530"/>
      <c r="BF211" s="1530"/>
      <c r="BG211" s="1530"/>
      <c r="BH211" s="1530"/>
      <c r="BI211" s="1530"/>
      <c r="BJ211" s="1530"/>
      <c r="BK211" s="1530"/>
      <c r="BL211" s="1530"/>
      <c r="BM211" s="1530"/>
      <c r="BN211" s="1530"/>
      <c r="BW211" s="1569"/>
      <c r="CO211" s="1530"/>
      <c r="CP211" s="1530"/>
      <c r="CQ211" s="1530"/>
      <c r="CR211" s="1530"/>
      <c r="CS211" s="1530"/>
      <c r="CT211" s="1530"/>
      <c r="CU211" s="1530"/>
      <c r="CV211" s="1530"/>
      <c r="CW211" s="1530"/>
      <c r="CX211" s="1530"/>
      <c r="CY211" s="1530"/>
      <c r="CZ211" s="1530"/>
      <c r="DA211" s="1530"/>
      <c r="DB211" s="1530"/>
      <c r="DC211" s="1530"/>
      <c r="DD211" s="1530"/>
      <c r="DE211" s="1530"/>
      <c r="DF211" s="1530"/>
      <c r="DG211" s="1530"/>
      <c r="DH211" s="1530"/>
      <c r="DI211" s="1530"/>
      <c r="DJ211" s="1530"/>
      <c r="DK211" s="1530"/>
      <c r="DL211" s="1530"/>
      <c r="DM211" s="1530"/>
      <c r="DN211" s="1571"/>
      <c r="DO211" s="1530"/>
      <c r="DP211" s="1530"/>
    </row>
    <row r="212" spans="1:120">
      <c r="A212" s="1451"/>
      <c r="C212" s="1451"/>
      <c r="K212" s="1451"/>
      <c r="L212" s="1451"/>
      <c r="U212" s="1530"/>
      <c r="V212" s="1530"/>
      <c r="W212" s="1530"/>
      <c r="X212" s="1530"/>
      <c r="Y212" s="1530"/>
      <c r="Z212" s="1530"/>
      <c r="AA212" s="1530"/>
      <c r="AB212" s="1530"/>
      <c r="AC212" s="1530"/>
      <c r="AD212" s="1530"/>
      <c r="AE212" s="1530"/>
      <c r="AF212" s="1530"/>
      <c r="AG212" s="1530"/>
      <c r="AH212" s="1530"/>
      <c r="AI212" s="1530"/>
      <c r="AJ212" s="1530"/>
      <c r="AK212" s="1530"/>
      <c r="AL212" s="1530"/>
      <c r="AM212" s="1530"/>
      <c r="AN212" s="1530"/>
      <c r="AO212" s="1530"/>
      <c r="AP212" s="1530"/>
      <c r="AQ212" s="1530"/>
      <c r="AR212" s="1530"/>
      <c r="AS212" s="1530"/>
      <c r="AT212" s="1530"/>
      <c r="AU212" s="1530"/>
      <c r="AV212" s="1530"/>
      <c r="AW212" s="1530"/>
      <c r="AX212" s="1530"/>
      <c r="AY212" s="1530"/>
      <c r="AZ212" s="1530"/>
      <c r="BA212" s="1530"/>
      <c r="BB212" s="1530"/>
      <c r="BC212" s="1530"/>
      <c r="BD212" s="1530"/>
      <c r="BE212" s="1530"/>
      <c r="BF212" s="1530"/>
      <c r="BG212" s="1530"/>
      <c r="BH212" s="1530"/>
      <c r="BI212" s="1530"/>
      <c r="BJ212" s="1530"/>
      <c r="BK212" s="1530"/>
      <c r="BL212" s="1530"/>
      <c r="BM212" s="1530"/>
      <c r="BN212" s="1530"/>
      <c r="BW212" s="1569"/>
      <c r="CO212" s="1530"/>
      <c r="CP212" s="1530"/>
      <c r="CQ212" s="1530"/>
      <c r="CR212" s="1530"/>
      <c r="CS212" s="1530"/>
      <c r="CT212" s="1530"/>
      <c r="CU212" s="1530"/>
      <c r="CV212" s="1530"/>
      <c r="CW212" s="1530"/>
      <c r="CX212" s="1530"/>
      <c r="CY212" s="1530"/>
      <c r="CZ212" s="1530"/>
      <c r="DA212" s="1530"/>
      <c r="DB212" s="1530"/>
      <c r="DC212" s="1530"/>
      <c r="DD212" s="1530"/>
      <c r="DE212" s="1530"/>
      <c r="DF212" s="1530"/>
      <c r="DG212" s="1530"/>
      <c r="DH212" s="1530"/>
      <c r="DI212" s="1530"/>
      <c r="DJ212" s="1530"/>
      <c r="DK212" s="1530"/>
      <c r="DL212" s="1530"/>
      <c r="DM212" s="1530"/>
      <c r="DN212" s="1571"/>
      <c r="DO212" s="1530"/>
      <c r="DP212" s="1530"/>
    </row>
    <row r="213" spans="1:120">
      <c r="A213" s="1451"/>
      <c r="C213" s="1451"/>
      <c r="K213" s="1451"/>
      <c r="L213" s="1451"/>
      <c r="U213" s="1530"/>
      <c r="V213" s="1530"/>
      <c r="W213" s="1530"/>
      <c r="X213" s="1530"/>
      <c r="Y213" s="1530"/>
      <c r="Z213" s="1530"/>
      <c r="AA213" s="1530"/>
      <c r="AB213" s="1530"/>
      <c r="AC213" s="1530"/>
      <c r="AD213" s="1530"/>
      <c r="AE213" s="1530"/>
      <c r="AF213" s="1530"/>
      <c r="AG213" s="1530"/>
      <c r="AH213" s="1530"/>
      <c r="AI213" s="1530"/>
      <c r="AJ213" s="1530"/>
      <c r="AK213" s="1530"/>
      <c r="AL213" s="1530"/>
      <c r="AM213" s="1530"/>
      <c r="AN213" s="1530"/>
      <c r="AO213" s="1530"/>
      <c r="AP213" s="1530"/>
      <c r="AQ213" s="1530"/>
      <c r="AR213" s="1530"/>
      <c r="AS213" s="1530"/>
      <c r="AT213" s="1530"/>
      <c r="AU213" s="1530"/>
      <c r="AV213" s="1530"/>
      <c r="AW213" s="1530"/>
      <c r="AX213" s="1530"/>
      <c r="AY213" s="1530"/>
      <c r="AZ213" s="1530"/>
      <c r="BA213" s="1530"/>
      <c r="BB213" s="1530"/>
      <c r="BC213" s="1530"/>
      <c r="BD213" s="1530"/>
      <c r="BE213" s="1530"/>
      <c r="BF213" s="1530"/>
      <c r="BG213" s="1530"/>
      <c r="BH213" s="1530"/>
      <c r="BI213" s="1530"/>
      <c r="BJ213" s="1530"/>
      <c r="BK213" s="1530"/>
      <c r="BL213" s="1530"/>
      <c r="BM213" s="1530"/>
      <c r="BN213" s="1530"/>
      <c r="BW213" s="1569"/>
      <c r="CO213" s="1530"/>
      <c r="CP213" s="1530"/>
      <c r="CQ213" s="1530"/>
      <c r="CR213" s="1530"/>
      <c r="CS213" s="1530"/>
      <c r="CT213" s="1530"/>
      <c r="CU213" s="1530"/>
      <c r="CV213" s="1530"/>
      <c r="CW213" s="1530"/>
      <c r="CX213" s="1530"/>
      <c r="CY213" s="1530"/>
      <c r="CZ213" s="1530"/>
      <c r="DA213" s="1530"/>
      <c r="DB213" s="1530"/>
      <c r="DC213" s="1530"/>
      <c r="DD213" s="1530"/>
      <c r="DE213" s="1530"/>
      <c r="DF213" s="1530"/>
      <c r="DG213" s="1530"/>
      <c r="DH213" s="1530"/>
      <c r="DI213" s="1530"/>
      <c r="DJ213" s="1530"/>
      <c r="DK213" s="1530"/>
      <c r="DL213" s="1530"/>
      <c r="DM213" s="1530"/>
      <c r="DN213" s="1571"/>
      <c r="DO213" s="1530"/>
      <c r="DP213" s="1530"/>
    </row>
    <row r="214" spans="1:120">
      <c r="A214" s="1451"/>
      <c r="C214" s="1451"/>
      <c r="K214" s="1451"/>
      <c r="L214" s="1451"/>
      <c r="U214" s="1530"/>
      <c r="V214" s="1530"/>
      <c r="W214" s="1530"/>
      <c r="X214" s="1530"/>
      <c r="Y214" s="1530"/>
      <c r="Z214" s="1530"/>
      <c r="AA214" s="1530"/>
      <c r="AB214" s="1530"/>
      <c r="AC214" s="1530"/>
      <c r="AD214" s="1530"/>
      <c r="AE214" s="1530"/>
      <c r="AF214" s="1530"/>
      <c r="AG214" s="1530"/>
      <c r="AH214" s="1530"/>
      <c r="AI214" s="1530"/>
      <c r="AJ214" s="1530"/>
      <c r="AK214" s="1530"/>
      <c r="AL214" s="1530"/>
      <c r="AM214" s="1530"/>
      <c r="AN214" s="1530"/>
      <c r="AO214" s="1530"/>
      <c r="AP214" s="1530"/>
      <c r="AQ214" s="1530"/>
      <c r="AR214" s="1530"/>
      <c r="AS214" s="1530"/>
      <c r="AT214" s="1530"/>
      <c r="AU214" s="1530"/>
      <c r="AV214" s="1530"/>
      <c r="AW214" s="1530"/>
      <c r="AX214" s="1530"/>
      <c r="AY214" s="1530"/>
      <c r="AZ214" s="1530"/>
      <c r="BA214" s="1530"/>
      <c r="BB214" s="1530"/>
      <c r="BC214" s="1530"/>
      <c r="BD214" s="1530"/>
      <c r="BE214" s="1530"/>
      <c r="BF214" s="1530"/>
      <c r="BG214" s="1530"/>
      <c r="BH214" s="1530"/>
      <c r="BI214" s="1530"/>
      <c r="BJ214" s="1530"/>
      <c r="BK214" s="1530"/>
      <c r="BL214" s="1530"/>
      <c r="BM214" s="1530"/>
      <c r="BN214" s="1530"/>
      <c r="BW214" s="1569"/>
      <c r="CO214" s="1530"/>
      <c r="CP214" s="1530"/>
      <c r="CQ214" s="1530"/>
      <c r="CR214" s="1530"/>
      <c r="CS214" s="1530"/>
      <c r="CT214" s="1530"/>
      <c r="CU214" s="1530"/>
      <c r="CV214" s="1530"/>
      <c r="CW214" s="1530"/>
      <c r="CX214" s="1530"/>
      <c r="CY214" s="1530"/>
      <c r="CZ214" s="1530"/>
      <c r="DA214" s="1530"/>
      <c r="DB214" s="1530"/>
      <c r="DC214" s="1530"/>
      <c r="DD214" s="1530"/>
      <c r="DE214" s="1530"/>
      <c r="DF214" s="1530"/>
      <c r="DG214" s="1530"/>
      <c r="DH214" s="1530"/>
      <c r="DI214" s="1530"/>
      <c r="DJ214" s="1530"/>
      <c r="DK214" s="1530"/>
      <c r="DL214" s="1530"/>
      <c r="DM214" s="1530"/>
      <c r="DN214" s="1571"/>
      <c r="DO214" s="1530"/>
      <c r="DP214" s="1530"/>
    </row>
    <row r="215" spans="1:120">
      <c r="A215" s="1451"/>
      <c r="C215" s="1451"/>
      <c r="K215" s="1451"/>
      <c r="L215" s="1451"/>
      <c r="U215" s="1530"/>
      <c r="V215" s="1530"/>
      <c r="W215" s="1530"/>
      <c r="X215" s="1530"/>
      <c r="Y215" s="1530"/>
      <c r="Z215" s="1530"/>
      <c r="AA215" s="1530"/>
      <c r="AB215" s="1530"/>
      <c r="AC215" s="1530"/>
      <c r="AD215" s="1530"/>
      <c r="AE215" s="1530"/>
      <c r="AF215" s="1530"/>
      <c r="AG215" s="1530"/>
      <c r="AH215" s="1530"/>
      <c r="AI215" s="1530"/>
      <c r="AJ215" s="1530"/>
      <c r="AK215" s="1530"/>
      <c r="AL215" s="1530"/>
      <c r="AM215" s="1530"/>
      <c r="AN215" s="1530"/>
      <c r="AO215" s="1530"/>
      <c r="AP215" s="1530"/>
      <c r="AQ215" s="1530"/>
      <c r="AR215" s="1530"/>
      <c r="AS215" s="1530"/>
      <c r="AT215" s="1530"/>
      <c r="AU215" s="1530"/>
      <c r="AV215" s="1530"/>
      <c r="AW215" s="1530"/>
      <c r="AX215" s="1530"/>
      <c r="AY215" s="1530"/>
      <c r="AZ215" s="1530"/>
      <c r="BA215" s="1530"/>
      <c r="BB215" s="1530"/>
      <c r="BC215" s="1530"/>
      <c r="BD215" s="1530"/>
      <c r="BE215" s="1530"/>
      <c r="BF215" s="1530"/>
      <c r="BG215" s="1530"/>
      <c r="BH215" s="1530"/>
      <c r="BI215" s="1530"/>
      <c r="BJ215" s="1530"/>
      <c r="BK215" s="1530"/>
      <c r="BL215" s="1530"/>
      <c r="BM215" s="1530"/>
      <c r="BN215" s="1530"/>
      <c r="BW215" s="1569"/>
      <c r="CO215" s="1530"/>
      <c r="CP215" s="1530"/>
      <c r="CQ215" s="1530"/>
      <c r="CR215" s="1530"/>
      <c r="CS215" s="1530"/>
      <c r="CT215" s="1530"/>
      <c r="CU215" s="1530"/>
      <c r="CV215" s="1530"/>
      <c r="CW215" s="1530"/>
      <c r="CX215" s="1530"/>
      <c r="CY215" s="1530"/>
      <c r="CZ215" s="1530"/>
      <c r="DA215" s="1530"/>
      <c r="DB215" s="1530"/>
      <c r="DC215" s="1530"/>
      <c r="DD215" s="1530"/>
      <c r="DE215" s="1530"/>
      <c r="DF215" s="1530"/>
      <c r="DG215" s="1530"/>
      <c r="DH215" s="1530"/>
      <c r="DI215" s="1530"/>
      <c r="DJ215" s="1530"/>
      <c r="DK215" s="1530"/>
      <c r="DL215" s="1530"/>
      <c r="DM215" s="1530"/>
      <c r="DN215" s="1571"/>
      <c r="DO215" s="1530"/>
      <c r="DP215" s="1530"/>
    </row>
    <row r="216" spans="1:120">
      <c r="A216" s="1451"/>
      <c r="C216" s="1451"/>
      <c r="K216" s="1451"/>
      <c r="L216" s="1451"/>
      <c r="U216" s="1530"/>
      <c r="V216" s="1530"/>
      <c r="W216" s="1530"/>
      <c r="X216" s="1530"/>
      <c r="Y216" s="1530"/>
      <c r="Z216" s="1530"/>
      <c r="AA216" s="1530"/>
      <c r="AB216" s="1530"/>
      <c r="AC216" s="1530"/>
      <c r="AD216" s="1530"/>
      <c r="AE216" s="1530"/>
      <c r="AF216" s="1530"/>
      <c r="AG216" s="1530"/>
      <c r="AH216" s="1530"/>
      <c r="AI216" s="1530"/>
      <c r="AJ216" s="1530"/>
      <c r="AK216" s="1530"/>
      <c r="AL216" s="1530"/>
      <c r="AM216" s="1530"/>
      <c r="AN216" s="1530"/>
      <c r="AO216" s="1530"/>
      <c r="AP216" s="1530"/>
      <c r="AQ216" s="1530"/>
      <c r="AR216" s="1530"/>
      <c r="AS216" s="1530"/>
      <c r="AT216" s="1530"/>
      <c r="AU216" s="1530"/>
      <c r="AV216" s="1530"/>
      <c r="AW216" s="1530"/>
      <c r="AX216" s="1530"/>
      <c r="AY216" s="1530"/>
      <c r="AZ216" s="1530"/>
      <c r="BA216" s="1530"/>
      <c r="BB216" s="1530"/>
      <c r="BC216" s="1530"/>
      <c r="BD216" s="1530"/>
      <c r="BE216" s="1530"/>
      <c r="BF216" s="1530"/>
      <c r="BG216" s="1530"/>
      <c r="BH216" s="1530"/>
      <c r="BI216" s="1530"/>
      <c r="BJ216" s="1530"/>
      <c r="BK216" s="1530"/>
      <c r="BL216" s="1530"/>
      <c r="BM216" s="1530"/>
      <c r="BN216" s="1530"/>
      <c r="BW216" s="1569"/>
      <c r="CO216" s="1530"/>
      <c r="CP216" s="1530"/>
      <c r="CQ216" s="1530"/>
      <c r="CR216" s="1530"/>
      <c r="CS216" s="1530"/>
      <c r="CT216" s="1530"/>
      <c r="CU216" s="1530"/>
      <c r="CV216" s="1530"/>
      <c r="CW216" s="1530"/>
      <c r="CX216" s="1530"/>
      <c r="CY216" s="1530"/>
      <c r="CZ216" s="1530"/>
      <c r="DA216" s="1530"/>
      <c r="DB216" s="1530"/>
      <c r="DC216" s="1530"/>
      <c r="DD216" s="1530"/>
      <c r="DE216" s="1530"/>
      <c r="DF216" s="1530"/>
      <c r="DG216" s="1530"/>
      <c r="DH216" s="1530"/>
      <c r="DI216" s="1530"/>
      <c r="DJ216" s="1530"/>
      <c r="DK216" s="1530"/>
      <c r="DL216" s="1530"/>
      <c r="DM216" s="1530"/>
      <c r="DN216" s="1571"/>
      <c r="DO216" s="1530"/>
      <c r="DP216" s="1530"/>
    </row>
    <row r="217" spans="1:120">
      <c r="A217" s="1451"/>
      <c r="C217" s="1451"/>
      <c r="K217" s="1451"/>
      <c r="L217" s="1451"/>
      <c r="U217" s="1530"/>
      <c r="V217" s="1530"/>
      <c r="W217" s="1530"/>
      <c r="X217" s="1530"/>
      <c r="Y217" s="1530"/>
      <c r="Z217" s="1530"/>
      <c r="AA217" s="1530"/>
      <c r="AB217" s="1530"/>
      <c r="AC217" s="1530"/>
      <c r="AD217" s="1530"/>
      <c r="AE217" s="1530"/>
      <c r="AF217" s="1530"/>
      <c r="AG217" s="1530"/>
      <c r="AH217" s="1530"/>
      <c r="AI217" s="1530"/>
      <c r="AJ217" s="1530"/>
      <c r="AK217" s="1530"/>
      <c r="AL217" s="1530"/>
      <c r="AM217" s="1530"/>
      <c r="AN217" s="1530"/>
      <c r="AO217" s="1530"/>
      <c r="AP217" s="1530"/>
      <c r="AQ217" s="1530"/>
      <c r="AR217" s="1530"/>
      <c r="AS217" s="1530"/>
      <c r="AT217" s="1530"/>
      <c r="AU217" s="1530"/>
      <c r="AV217" s="1530"/>
      <c r="AW217" s="1530"/>
      <c r="AX217" s="1530"/>
      <c r="AY217" s="1530"/>
      <c r="AZ217" s="1530"/>
      <c r="BA217" s="1530"/>
      <c r="BB217" s="1530"/>
      <c r="BC217" s="1530"/>
      <c r="BD217" s="1530"/>
      <c r="BE217" s="1530"/>
      <c r="BF217" s="1530"/>
      <c r="BG217" s="1530"/>
      <c r="BH217" s="1530"/>
      <c r="BI217" s="1530"/>
      <c r="BJ217" s="1530"/>
      <c r="BK217" s="1530"/>
      <c r="BL217" s="1530"/>
      <c r="BM217" s="1530"/>
      <c r="BN217" s="1530"/>
      <c r="BW217" s="1569"/>
      <c r="CO217" s="1530"/>
      <c r="CP217" s="1530"/>
      <c r="CQ217" s="1530"/>
      <c r="CR217" s="1530"/>
      <c r="CS217" s="1530"/>
      <c r="CT217" s="1530"/>
      <c r="CU217" s="1530"/>
      <c r="CV217" s="1530"/>
      <c r="CW217" s="1530"/>
      <c r="CX217" s="1530"/>
      <c r="CY217" s="1530"/>
      <c r="CZ217" s="1530"/>
      <c r="DA217" s="1530"/>
      <c r="DB217" s="1530"/>
      <c r="DC217" s="1530"/>
      <c r="DD217" s="1530"/>
      <c r="DE217" s="1530"/>
      <c r="DF217" s="1530"/>
      <c r="DG217" s="1530"/>
      <c r="DH217" s="1530"/>
      <c r="DI217" s="1530"/>
      <c r="DJ217" s="1530"/>
      <c r="DK217" s="1530"/>
      <c r="DL217" s="1530"/>
      <c r="DM217" s="1530"/>
      <c r="DN217" s="1571"/>
      <c r="DO217" s="1530"/>
      <c r="DP217" s="1530"/>
    </row>
    <row r="218" spans="1:120">
      <c r="A218" s="1451"/>
      <c r="C218" s="1451"/>
      <c r="K218" s="1451"/>
      <c r="L218" s="1451"/>
      <c r="U218" s="1530"/>
      <c r="V218" s="1530"/>
      <c r="W218" s="1530"/>
      <c r="X218" s="1530"/>
      <c r="Y218" s="1530"/>
      <c r="Z218" s="1530"/>
      <c r="AA218" s="1530"/>
      <c r="AB218" s="1530"/>
      <c r="AC218" s="1530"/>
      <c r="AD218" s="1530"/>
      <c r="AE218" s="1530"/>
      <c r="AF218" s="1530"/>
      <c r="AG218" s="1530"/>
      <c r="AH218" s="1530"/>
      <c r="AI218" s="1530"/>
      <c r="AJ218" s="1530"/>
      <c r="AK218" s="1530"/>
      <c r="AL218" s="1530"/>
      <c r="AM218" s="1530"/>
      <c r="AN218" s="1530"/>
      <c r="AO218" s="1530"/>
      <c r="AP218" s="1530"/>
      <c r="AQ218" s="1530"/>
      <c r="AR218" s="1530"/>
      <c r="AS218" s="1530"/>
      <c r="AT218" s="1530"/>
      <c r="AU218" s="1530"/>
      <c r="AV218" s="1530"/>
      <c r="AW218" s="1530"/>
      <c r="AX218" s="1530"/>
      <c r="AY218" s="1530"/>
      <c r="AZ218" s="1530"/>
      <c r="BA218" s="1530"/>
      <c r="BB218" s="1530"/>
      <c r="BC218" s="1530"/>
      <c r="BD218" s="1530"/>
      <c r="BE218" s="1530"/>
      <c r="BF218" s="1530"/>
      <c r="BG218" s="1530"/>
      <c r="BH218" s="1530"/>
      <c r="BI218" s="1530"/>
      <c r="BJ218" s="1530"/>
      <c r="BK218" s="1530"/>
      <c r="BL218" s="1530"/>
      <c r="BM218" s="1530"/>
      <c r="BN218" s="1530"/>
      <c r="BW218" s="1569"/>
      <c r="CO218" s="1530"/>
      <c r="CP218" s="1530"/>
      <c r="CQ218" s="1530"/>
      <c r="CR218" s="1530"/>
      <c r="CS218" s="1530"/>
      <c r="CT218" s="1530"/>
      <c r="CU218" s="1530"/>
      <c r="CV218" s="1530"/>
      <c r="CW218" s="1530"/>
      <c r="CX218" s="1530"/>
      <c r="CY218" s="1530"/>
      <c r="CZ218" s="1530"/>
      <c r="DA218" s="1530"/>
      <c r="DB218" s="1530"/>
      <c r="DC218" s="1530"/>
      <c r="DD218" s="1530"/>
      <c r="DE218" s="1530"/>
      <c r="DF218" s="1530"/>
      <c r="DG218" s="1530"/>
      <c r="DH218" s="1530"/>
      <c r="DI218" s="1530"/>
      <c r="DJ218" s="1530"/>
      <c r="DK218" s="1530"/>
      <c r="DL218" s="1530"/>
      <c r="DM218" s="1530"/>
      <c r="DN218" s="1571"/>
      <c r="DO218" s="1530"/>
      <c r="DP218" s="1530"/>
    </row>
    <row r="219" spans="1:120">
      <c r="A219" s="1451"/>
      <c r="C219" s="1451"/>
      <c r="K219" s="1451"/>
      <c r="L219" s="1451"/>
      <c r="U219" s="1530"/>
      <c r="V219" s="1530"/>
      <c r="W219" s="1530"/>
      <c r="X219" s="1530"/>
      <c r="Y219" s="1530"/>
      <c r="Z219" s="1530"/>
      <c r="AA219" s="1530"/>
      <c r="AB219" s="1530"/>
      <c r="AC219" s="1530"/>
      <c r="AD219" s="1530"/>
      <c r="AE219" s="1530"/>
      <c r="AF219" s="1530"/>
      <c r="AG219" s="1530"/>
      <c r="AH219" s="1530"/>
      <c r="AI219" s="1530"/>
      <c r="AJ219" s="1530"/>
      <c r="AK219" s="1530"/>
      <c r="AL219" s="1530"/>
      <c r="AM219" s="1530"/>
      <c r="AN219" s="1530"/>
      <c r="AO219" s="1530"/>
      <c r="AP219" s="1530"/>
      <c r="AQ219" s="1530"/>
      <c r="AR219" s="1530"/>
      <c r="AS219" s="1530"/>
      <c r="AT219" s="1530"/>
      <c r="AU219" s="1530"/>
      <c r="AV219" s="1530"/>
      <c r="AW219" s="1530"/>
      <c r="AX219" s="1530"/>
      <c r="AY219" s="1530"/>
      <c r="AZ219" s="1530"/>
      <c r="BA219" s="1530"/>
      <c r="BB219" s="1530"/>
      <c r="BC219" s="1530"/>
      <c r="BD219" s="1530"/>
      <c r="BE219" s="1530"/>
      <c r="BF219" s="1530"/>
      <c r="BG219" s="1530"/>
      <c r="BH219" s="1530"/>
      <c r="BI219" s="1530"/>
      <c r="BJ219" s="1530"/>
      <c r="BK219" s="1530"/>
      <c r="BL219" s="1530"/>
      <c r="BM219" s="1530"/>
      <c r="BN219" s="1530"/>
      <c r="BW219" s="1569"/>
      <c r="CO219" s="1530"/>
      <c r="CP219" s="1530"/>
      <c r="CQ219" s="1530"/>
      <c r="CR219" s="1530"/>
      <c r="CS219" s="1530"/>
      <c r="CT219" s="1530"/>
      <c r="CU219" s="1530"/>
      <c r="CV219" s="1530"/>
      <c r="CW219" s="1530"/>
      <c r="CX219" s="1530"/>
      <c r="CY219" s="1530"/>
      <c r="CZ219" s="1530"/>
      <c r="DA219" s="1530"/>
      <c r="DB219" s="1530"/>
      <c r="DC219" s="1530"/>
      <c r="DD219" s="1530"/>
      <c r="DE219" s="1530"/>
      <c r="DF219" s="1530"/>
      <c r="DG219" s="1530"/>
      <c r="DH219" s="1530"/>
      <c r="DI219" s="1530"/>
      <c r="DJ219" s="1530"/>
      <c r="DK219" s="1530"/>
      <c r="DL219" s="1530"/>
      <c r="DM219" s="1530"/>
      <c r="DN219" s="1571"/>
      <c r="DO219" s="1530"/>
      <c r="DP219" s="1530"/>
    </row>
    <row r="220" spans="1:120">
      <c r="A220" s="1451"/>
      <c r="C220" s="1451"/>
      <c r="K220" s="1451"/>
      <c r="L220" s="1451"/>
      <c r="U220" s="1530"/>
      <c r="V220" s="1530"/>
      <c r="W220" s="1530"/>
      <c r="X220" s="1530"/>
      <c r="Y220" s="1530"/>
      <c r="Z220" s="1530"/>
      <c r="AA220" s="1530"/>
      <c r="AB220" s="1530"/>
      <c r="AC220" s="1530"/>
      <c r="AD220" s="1530"/>
      <c r="AE220" s="1530"/>
      <c r="AF220" s="1530"/>
      <c r="AG220" s="1530"/>
      <c r="AH220" s="1530"/>
      <c r="AI220" s="1530"/>
      <c r="AJ220" s="1530"/>
      <c r="AK220" s="1530"/>
      <c r="AL220" s="1530"/>
      <c r="AM220" s="1530"/>
      <c r="AN220" s="1530"/>
      <c r="AO220" s="1530"/>
      <c r="AP220" s="1530"/>
      <c r="AQ220" s="1530"/>
      <c r="AR220" s="1530"/>
      <c r="AS220" s="1530"/>
      <c r="AT220" s="1530"/>
      <c r="AU220" s="1530"/>
      <c r="AV220" s="1530"/>
      <c r="AW220" s="1530"/>
      <c r="AX220" s="1530"/>
      <c r="AY220" s="1530"/>
      <c r="AZ220" s="1530"/>
      <c r="BA220" s="1530"/>
      <c r="BB220" s="1530"/>
      <c r="BC220" s="1530"/>
      <c r="BD220" s="1530"/>
      <c r="BE220" s="1530"/>
      <c r="BF220" s="1530"/>
      <c r="BG220" s="1530"/>
      <c r="BH220" s="1530"/>
      <c r="BI220" s="1530"/>
      <c r="BJ220" s="1530"/>
      <c r="BK220" s="1530"/>
      <c r="BL220" s="1530"/>
      <c r="BM220" s="1530"/>
      <c r="BN220" s="1530"/>
      <c r="BW220" s="1569"/>
      <c r="CO220" s="1530"/>
      <c r="CP220" s="1530"/>
      <c r="CQ220" s="1530"/>
      <c r="CR220" s="1530"/>
      <c r="CS220" s="1530"/>
      <c r="CT220" s="1530"/>
      <c r="CU220" s="1530"/>
      <c r="CV220" s="1530"/>
      <c r="CW220" s="1530"/>
      <c r="CX220" s="1530"/>
      <c r="CY220" s="1530"/>
      <c r="CZ220" s="1530"/>
      <c r="DA220" s="1530"/>
      <c r="DB220" s="1530"/>
      <c r="DC220" s="1530"/>
      <c r="DD220" s="1530"/>
      <c r="DE220" s="1530"/>
      <c r="DF220" s="1530"/>
      <c r="DG220" s="1530"/>
      <c r="DH220" s="1530"/>
      <c r="DI220" s="1530"/>
      <c r="DJ220" s="1530"/>
      <c r="DK220" s="1530"/>
      <c r="DL220" s="1530"/>
      <c r="DM220" s="1530"/>
      <c r="DN220" s="1571"/>
      <c r="DO220" s="1530"/>
      <c r="DP220" s="1530"/>
    </row>
    <row r="221" spans="1:120">
      <c r="A221" s="1451"/>
      <c r="C221" s="1451"/>
      <c r="K221" s="1451"/>
      <c r="L221" s="1451"/>
      <c r="U221" s="1530"/>
      <c r="V221" s="1530"/>
      <c r="W221" s="1530"/>
      <c r="X221" s="1530"/>
      <c r="Y221" s="1530"/>
      <c r="Z221" s="1530"/>
      <c r="AA221" s="1530"/>
      <c r="AB221" s="1530"/>
      <c r="AC221" s="1530"/>
      <c r="AD221" s="1530"/>
      <c r="AE221" s="1530"/>
      <c r="AF221" s="1530"/>
      <c r="AG221" s="1530"/>
      <c r="AH221" s="1530"/>
      <c r="AI221" s="1530"/>
      <c r="AJ221" s="1530"/>
      <c r="AK221" s="1530"/>
      <c r="AL221" s="1530"/>
      <c r="AM221" s="1530"/>
      <c r="AN221" s="1530"/>
      <c r="AO221" s="1530"/>
      <c r="AP221" s="1530"/>
      <c r="AQ221" s="1530"/>
      <c r="AR221" s="1530"/>
      <c r="AS221" s="1530"/>
      <c r="AT221" s="1530"/>
      <c r="AU221" s="1530"/>
      <c r="AV221" s="1530"/>
      <c r="AW221" s="1530"/>
      <c r="AX221" s="1530"/>
      <c r="AY221" s="1530"/>
      <c r="AZ221" s="1530"/>
      <c r="BA221" s="1530"/>
      <c r="BB221" s="1530"/>
      <c r="BC221" s="1530"/>
      <c r="BD221" s="1530"/>
      <c r="BE221" s="1530"/>
      <c r="BF221" s="1530"/>
      <c r="BG221" s="1530"/>
      <c r="BH221" s="1530"/>
      <c r="BI221" s="1530"/>
      <c r="BJ221" s="1530"/>
      <c r="BK221" s="1530"/>
      <c r="BL221" s="1530"/>
      <c r="BM221" s="1530"/>
      <c r="BN221" s="1530"/>
      <c r="BW221" s="1569"/>
      <c r="CO221" s="1530"/>
      <c r="CP221" s="1530"/>
      <c r="CQ221" s="1530"/>
      <c r="CR221" s="1530"/>
      <c r="CS221" s="1530"/>
      <c r="CT221" s="1530"/>
      <c r="CU221" s="1530"/>
      <c r="CV221" s="1530"/>
      <c r="CW221" s="1530"/>
      <c r="CX221" s="1530"/>
      <c r="CY221" s="1530"/>
      <c r="CZ221" s="1530"/>
      <c r="DA221" s="1530"/>
      <c r="DB221" s="1530"/>
      <c r="DC221" s="1530"/>
      <c r="DD221" s="1530"/>
      <c r="DE221" s="1530"/>
      <c r="DF221" s="1530"/>
      <c r="DG221" s="1530"/>
      <c r="DH221" s="1530"/>
      <c r="DI221" s="1530"/>
      <c r="DJ221" s="1530"/>
      <c r="DK221" s="1530"/>
      <c r="DL221" s="1530"/>
      <c r="DM221" s="1530"/>
      <c r="DN221" s="1571"/>
      <c r="DO221" s="1530"/>
      <c r="DP221" s="1530"/>
    </row>
    <row r="222" spans="1:120">
      <c r="A222" s="1451"/>
      <c r="C222" s="1451"/>
      <c r="K222" s="1451"/>
      <c r="L222" s="1451"/>
      <c r="U222" s="1530"/>
      <c r="V222" s="1530"/>
      <c r="W222" s="1530"/>
      <c r="X222" s="1530"/>
      <c r="Y222" s="1530"/>
      <c r="Z222" s="1530"/>
      <c r="AA222" s="1530"/>
      <c r="AB222" s="1530"/>
      <c r="AC222" s="1530"/>
      <c r="AD222" s="1530"/>
      <c r="AE222" s="1530"/>
      <c r="AF222" s="1530"/>
      <c r="AG222" s="1530"/>
      <c r="AH222" s="1530"/>
      <c r="AI222" s="1530"/>
      <c r="AJ222" s="1530"/>
      <c r="AK222" s="1530"/>
      <c r="AL222" s="1530"/>
      <c r="AM222" s="1530"/>
      <c r="AN222" s="1530"/>
      <c r="AO222" s="1530"/>
      <c r="AP222" s="1530"/>
      <c r="AQ222" s="1530"/>
      <c r="AR222" s="1530"/>
      <c r="AS222" s="1530"/>
      <c r="AT222" s="1530"/>
      <c r="AU222" s="1530"/>
      <c r="AV222" s="1530"/>
      <c r="AW222" s="1530"/>
      <c r="AX222" s="1530"/>
      <c r="AY222" s="1530"/>
      <c r="AZ222" s="1530"/>
      <c r="BA222" s="1530"/>
      <c r="BB222" s="1530"/>
      <c r="BC222" s="1530"/>
      <c r="BD222" s="1530"/>
      <c r="BE222" s="1530"/>
      <c r="BF222" s="1530"/>
      <c r="BG222" s="1530"/>
      <c r="BH222" s="1530"/>
      <c r="BI222" s="1530"/>
      <c r="BJ222" s="1530"/>
      <c r="BK222" s="1530"/>
      <c r="BL222" s="1530"/>
      <c r="BM222" s="1530"/>
      <c r="BN222" s="1530"/>
      <c r="BW222" s="1569"/>
      <c r="CO222" s="1530"/>
      <c r="CP222" s="1530"/>
      <c r="CQ222" s="1530"/>
      <c r="CR222" s="1530"/>
      <c r="CS222" s="1530"/>
      <c r="CT222" s="1530"/>
      <c r="CU222" s="1530"/>
      <c r="CV222" s="1530"/>
      <c r="CW222" s="1530"/>
      <c r="CX222" s="1530"/>
      <c r="CY222" s="1530"/>
      <c r="CZ222" s="1530"/>
      <c r="DA222" s="1530"/>
      <c r="DB222" s="1530"/>
      <c r="DC222" s="1530"/>
      <c r="DD222" s="1530"/>
      <c r="DE222" s="1530"/>
      <c r="DF222" s="1530"/>
      <c r="DG222" s="1530"/>
      <c r="DH222" s="1530"/>
      <c r="DI222" s="1530"/>
      <c r="DJ222" s="1530"/>
      <c r="DK222" s="1530"/>
      <c r="DL222" s="1530"/>
      <c r="DM222" s="1530"/>
      <c r="DN222" s="1571"/>
      <c r="DO222" s="1530"/>
      <c r="DP222" s="1530"/>
    </row>
    <row r="223" spans="1:120">
      <c r="A223" s="1451"/>
      <c r="C223" s="1451"/>
      <c r="K223" s="1451"/>
      <c r="L223" s="1451"/>
      <c r="U223" s="1530"/>
      <c r="V223" s="1530"/>
      <c r="W223" s="1530"/>
      <c r="X223" s="1530"/>
      <c r="Y223" s="1530"/>
      <c r="Z223" s="1530"/>
      <c r="AA223" s="1530"/>
      <c r="AB223" s="1530"/>
      <c r="AC223" s="1530"/>
      <c r="AD223" s="1530"/>
      <c r="AE223" s="1530"/>
      <c r="AF223" s="1530"/>
      <c r="AG223" s="1530"/>
      <c r="AH223" s="1530"/>
      <c r="AI223" s="1530"/>
      <c r="AJ223" s="1530"/>
      <c r="AK223" s="1530"/>
      <c r="AL223" s="1530"/>
      <c r="AM223" s="1530"/>
      <c r="AN223" s="1530"/>
      <c r="AO223" s="1530"/>
      <c r="AP223" s="1530"/>
      <c r="AQ223" s="1530"/>
      <c r="AR223" s="1530"/>
      <c r="AS223" s="1530"/>
      <c r="AT223" s="1530"/>
      <c r="AU223" s="1530"/>
      <c r="AV223" s="1530"/>
      <c r="AW223" s="1530"/>
      <c r="AX223" s="1530"/>
      <c r="AY223" s="1530"/>
      <c r="AZ223" s="1530"/>
      <c r="BA223" s="1530"/>
      <c r="BB223" s="1530"/>
      <c r="BC223" s="1530"/>
      <c r="BD223" s="1530"/>
      <c r="BE223" s="1530"/>
      <c r="BF223" s="1530"/>
      <c r="BG223" s="1530"/>
      <c r="BH223" s="1530"/>
      <c r="BI223" s="1530"/>
      <c r="BJ223" s="1530"/>
      <c r="BK223" s="1530"/>
      <c r="BL223" s="1530"/>
      <c r="BM223" s="1530"/>
      <c r="BN223" s="1530"/>
      <c r="BW223" s="1569"/>
      <c r="CO223" s="1530"/>
      <c r="CP223" s="1530"/>
      <c r="CQ223" s="1530"/>
      <c r="CR223" s="1530"/>
      <c r="CS223" s="1530"/>
      <c r="CT223" s="1530"/>
      <c r="CU223" s="1530"/>
      <c r="CV223" s="1530"/>
      <c r="CW223" s="1530"/>
      <c r="CX223" s="1530"/>
      <c r="CY223" s="1530"/>
      <c r="CZ223" s="1530"/>
      <c r="DA223" s="1530"/>
      <c r="DB223" s="1530"/>
      <c r="DC223" s="1530"/>
      <c r="DD223" s="1530"/>
      <c r="DE223" s="1530"/>
      <c r="DF223" s="1530"/>
      <c r="DG223" s="1530"/>
      <c r="DH223" s="1530"/>
      <c r="DI223" s="1530"/>
      <c r="DJ223" s="1530"/>
      <c r="DK223" s="1530"/>
      <c r="DL223" s="1530"/>
      <c r="DM223" s="1530"/>
      <c r="DN223" s="1571"/>
      <c r="DO223" s="1530"/>
      <c r="DP223" s="1530"/>
    </row>
    <row r="224" spans="1:120">
      <c r="A224" s="1451"/>
      <c r="C224" s="1451"/>
      <c r="K224" s="1451"/>
      <c r="L224" s="1451"/>
      <c r="U224" s="1530"/>
      <c r="V224" s="1530"/>
      <c r="W224" s="1530"/>
      <c r="X224" s="1530"/>
      <c r="Y224" s="1530"/>
      <c r="Z224" s="1530"/>
      <c r="AA224" s="1530"/>
      <c r="AB224" s="1530"/>
      <c r="AC224" s="1530"/>
      <c r="AD224" s="1530"/>
      <c r="AE224" s="1530"/>
      <c r="AF224" s="1530"/>
      <c r="AG224" s="1530"/>
      <c r="AH224" s="1530"/>
      <c r="AI224" s="1530"/>
      <c r="AJ224" s="1530"/>
      <c r="AK224" s="1530"/>
      <c r="AL224" s="1530"/>
      <c r="AM224" s="1530"/>
      <c r="AN224" s="1530"/>
      <c r="AO224" s="1530"/>
      <c r="AP224" s="1530"/>
      <c r="AQ224" s="1530"/>
      <c r="AR224" s="1530"/>
      <c r="AS224" s="1530"/>
      <c r="AT224" s="1530"/>
      <c r="AU224" s="1530"/>
      <c r="AV224" s="1530"/>
      <c r="AW224" s="1530"/>
      <c r="AX224" s="1530"/>
      <c r="AY224" s="1530"/>
      <c r="AZ224" s="1530"/>
      <c r="BA224" s="1530"/>
      <c r="BB224" s="1530"/>
      <c r="BC224" s="1530"/>
      <c r="BD224" s="1530"/>
      <c r="BE224" s="1530"/>
      <c r="BF224" s="1530"/>
      <c r="BG224" s="1530"/>
      <c r="BH224" s="1530"/>
      <c r="BI224" s="1530"/>
      <c r="BJ224" s="1530"/>
      <c r="BK224" s="1530"/>
      <c r="BL224" s="1530"/>
      <c r="BM224" s="1530"/>
      <c r="BN224" s="1530"/>
      <c r="BW224" s="1569"/>
      <c r="CO224" s="1530"/>
      <c r="CP224" s="1530"/>
      <c r="CQ224" s="1530"/>
      <c r="CR224" s="1530"/>
      <c r="CS224" s="1530"/>
      <c r="CT224" s="1530"/>
      <c r="CU224" s="1530"/>
      <c r="CV224" s="1530"/>
      <c r="CW224" s="1530"/>
      <c r="CX224" s="1530"/>
      <c r="CY224" s="1530"/>
      <c r="CZ224" s="1530"/>
      <c r="DA224" s="1530"/>
      <c r="DB224" s="1530"/>
      <c r="DC224" s="1530"/>
      <c r="DD224" s="1530"/>
      <c r="DE224" s="1530"/>
      <c r="DF224" s="1530"/>
      <c r="DG224" s="1530"/>
      <c r="DH224" s="1530"/>
      <c r="DI224" s="1530"/>
      <c r="DJ224" s="1530"/>
      <c r="DK224" s="1530"/>
      <c r="DL224" s="1530"/>
      <c r="DM224" s="1530"/>
      <c r="DN224" s="1571"/>
      <c r="DO224" s="1530"/>
      <c r="DP224" s="1530"/>
    </row>
    <row r="225" spans="1:120">
      <c r="A225" s="1451"/>
      <c r="C225" s="1451"/>
      <c r="K225" s="1451"/>
      <c r="L225" s="1451"/>
      <c r="U225" s="1530"/>
      <c r="V225" s="1530"/>
      <c r="W225" s="1530"/>
      <c r="X225" s="1530"/>
      <c r="Y225" s="1530"/>
      <c r="Z225" s="1530"/>
      <c r="AA225" s="1530"/>
      <c r="AB225" s="1530"/>
      <c r="AC225" s="1530"/>
      <c r="AD225" s="1530"/>
      <c r="AE225" s="1530"/>
      <c r="AF225" s="1530"/>
      <c r="AG225" s="1530"/>
      <c r="AH225" s="1530"/>
      <c r="AI225" s="1530"/>
      <c r="AJ225" s="1530"/>
      <c r="AK225" s="1530"/>
      <c r="AL225" s="1530"/>
      <c r="AM225" s="1530"/>
      <c r="AN225" s="1530"/>
      <c r="AO225" s="1530"/>
      <c r="AP225" s="1530"/>
      <c r="AQ225" s="1530"/>
      <c r="AR225" s="1530"/>
      <c r="AS225" s="1530"/>
      <c r="AT225" s="1530"/>
      <c r="AU225" s="1530"/>
      <c r="AV225" s="1530"/>
      <c r="AW225" s="1530"/>
      <c r="AX225" s="1530"/>
      <c r="AY225" s="1530"/>
      <c r="AZ225" s="1530"/>
      <c r="BA225" s="1530"/>
      <c r="BB225" s="1530"/>
      <c r="BC225" s="1530"/>
      <c r="BD225" s="1530"/>
      <c r="BE225" s="1530"/>
      <c r="BF225" s="1530"/>
      <c r="BG225" s="1530"/>
      <c r="BH225" s="1530"/>
      <c r="BI225" s="1530"/>
      <c r="BJ225" s="1530"/>
      <c r="BK225" s="1530"/>
      <c r="BL225" s="1530"/>
      <c r="BM225" s="1530"/>
      <c r="BN225" s="1530"/>
      <c r="BW225" s="1569"/>
      <c r="CO225" s="1530"/>
      <c r="CP225" s="1530"/>
      <c r="CQ225" s="1530"/>
      <c r="CR225" s="1530"/>
      <c r="CS225" s="1530"/>
      <c r="CT225" s="1530"/>
      <c r="CU225" s="1530"/>
      <c r="CV225" s="1530"/>
      <c r="CW225" s="1530"/>
      <c r="CX225" s="1530"/>
      <c r="CY225" s="1530"/>
      <c r="CZ225" s="1530"/>
      <c r="DA225" s="1530"/>
      <c r="DB225" s="1530"/>
      <c r="DC225" s="1530"/>
      <c r="DD225" s="1530"/>
      <c r="DE225" s="1530"/>
      <c r="DF225" s="1530"/>
      <c r="DG225" s="1530"/>
      <c r="DH225" s="1530"/>
      <c r="DI225" s="1530"/>
      <c r="DJ225" s="1530"/>
      <c r="DK225" s="1530"/>
      <c r="DL225" s="1530"/>
      <c r="DM225" s="1530"/>
      <c r="DN225" s="1571"/>
      <c r="DO225" s="1530"/>
      <c r="DP225" s="1530"/>
    </row>
    <row r="226" spans="1:120">
      <c r="A226" s="1451"/>
      <c r="C226" s="1451"/>
      <c r="K226" s="1451"/>
      <c r="L226" s="1451"/>
      <c r="U226" s="1530"/>
      <c r="V226" s="1530"/>
      <c r="W226" s="1530"/>
      <c r="X226" s="1530"/>
      <c r="Y226" s="1530"/>
      <c r="Z226" s="1530"/>
      <c r="AA226" s="1530"/>
      <c r="AB226" s="1530"/>
      <c r="AC226" s="1530"/>
      <c r="AD226" s="1530"/>
      <c r="AE226" s="1530"/>
      <c r="AF226" s="1530"/>
      <c r="AG226" s="1530"/>
      <c r="AH226" s="1530"/>
      <c r="AI226" s="1530"/>
      <c r="AJ226" s="1530"/>
      <c r="AK226" s="1530"/>
      <c r="AL226" s="1530"/>
      <c r="AM226" s="1530"/>
      <c r="AN226" s="1530"/>
      <c r="AO226" s="1530"/>
      <c r="AP226" s="1530"/>
      <c r="AQ226" s="1530"/>
      <c r="AR226" s="1530"/>
      <c r="AS226" s="1530"/>
      <c r="AT226" s="1530"/>
      <c r="AU226" s="1530"/>
      <c r="AV226" s="1530"/>
      <c r="AW226" s="1530"/>
      <c r="AX226" s="1530"/>
      <c r="AY226" s="1530"/>
      <c r="AZ226" s="1530"/>
      <c r="BA226" s="1530"/>
      <c r="BB226" s="1530"/>
      <c r="BC226" s="1530"/>
      <c r="BD226" s="1530"/>
      <c r="BE226" s="1530"/>
      <c r="BF226" s="1530"/>
      <c r="BG226" s="1530"/>
      <c r="BH226" s="1530"/>
      <c r="BI226" s="1530"/>
      <c r="BJ226" s="1530"/>
      <c r="BK226" s="1530"/>
      <c r="BL226" s="1530"/>
      <c r="BM226" s="1530"/>
      <c r="BN226" s="1530"/>
      <c r="BW226" s="1569"/>
      <c r="CO226" s="1530"/>
      <c r="CP226" s="1530"/>
      <c r="CQ226" s="1530"/>
      <c r="CR226" s="1530"/>
      <c r="CS226" s="1530"/>
      <c r="CT226" s="1530"/>
      <c r="CU226" s="1530"/>
      <c r="CV226" s="1530"/>
      <c r="CW226" s="1530"/>
      <c r="CX226" s="1530"/>
      <c r="CY226" s="1530"/>
      <c r="CZ226" s="1530"/>
      <c r="DA226" s="1530"/>
      <c r="DB226" s="1530"/>
      <c r="DC226" s="1530"/>
      <c r="DD226" s="1530"/>
      <c r="DE226" s="1530"/>
      <c r="DF226" s="1530"/>
      <c r="DG226" s="1530"/>
      <c r="DH226" s="1530"/>
      <c r="DI226" s="1530"/>
      <c r="DJ226" s="1530"/>
      <c r="DK226" s="1530"/>
      <c r="DL226" s="1530"/>
      <c r="DM226" s="1530"/>
      <c r="DN226" s="1571"/>
      <c r="DO226" s="1530"/>
      <c r="DP226" s="1530"/>
    </row>
    <row r="227" spans="1:120">
      <c r="A227" s="1451"/>
      <c r="C227" s="1451"/>
      <c r="K227" s="1451"/>
      <c r="L227" s="1451"/>
      <c r="U227" s="1530"/>
      <c r="V227" s="1530"/>
      <c r="W227" s="1530"/>
      <c r="X227" s="1530"/>
      <c r="Y227" s="1530"/>
      <c r="Z227" s="1530"/>
      <c r="AA227" s="1530"/>
      <c r="AB227" s="1530"/>
      <c r="AC227" s="1530"/>
      <c r="AD227" s="1530"/>
      <c r="AE227" s="1530"/>
      <c r="AF227" s="1530"/>
      <c r="AG227" s="1530"/>
      <c r="AH227" s="1530"/>
      <c r="AI227" s="1530"/>
      <c r="AJ227" s="1530"/>
      <c r="AK227" s="1530"/>
      <c r="AL227" s="1530"/>
      <c r="AM227" s="1530"/>
      <c r="AN227" s="1530"/>
      <c r="AO227" s="1530"/>
      <c r="AP227" s="1530"/>
      <c r="AQ227" s="1530"/>
      <c r="AR227" s="1530"/>
      <c r="AS227" s="1530"/>
      <c r="AT227" s="1530"/>
      <c r="AU227" s="1530"/>
      <c r="AV227" s="1530"/>
      <c r="AW227" s="1530"/>
      <c r="AX227" s="1530"/>
      <c r="AY227" s="1530"/>
      <c r="AZ227" s="1530"/>
      <c r="BA227" s="1530"/>
      <c r="BB227" s="1530"/>
      <c r="BC227" s="1530"/>
      <c r="BD227" s="1530"/>
      <c r="BE227" s="1530"/>
      <c r="BF227" s="1530"/>
      <c r="BG227" s="1530"/>
      <c r="BH227" s="1530"/>
      <c r="BI227" s="1530"/>
      <c r="BJ227" s="1530"/>
      <c r="BK227" s="1530"/>
      <c r="BL227" s="1530"/>
      <c r="BM227" s="1530"/>
      <c r="BN227" s="1530"/>
      <c r="BW227" s="1569"/>
      <c r="CO227" s="1530"/>
      <c r="CP227" s="1530"/>
      <c r="CQ227" s="1530"/>
      <c r="CR227" s="1530"/>
      <c r="CS227" s="1530"/>
      <c r="CT227" s="1530"/>
      <c r="CU227" s="1530"/>
      <c r="CV227" s="1530"/>
      <c r="CW227" s="1530"/>
      <c r="CX227" s="1530"/>
      <c r="CY227" s="1530"/>
      <c r="CZ227" s="1530"/>
      <c r="DA227" s="1530"/>
      <c r="DB227" s="1530"/>
      <c r="DC227" s="1530"/>
      <c r="DD227" s="1530"/>
      <c r="DE227" s="1530"/>
      <c r="DF227" s="1530"/>
      <c r="DG227" s="1530"/>
      <c r="DH227" s="1530"/>
      <c r="DI227" s="1530"/>
      <c r="DJ227" s="1530"/>
      <c r="DK227" s="1530"/>
      <c r="DL227" s="1530"/>
      <c r="DM227" s="1530"/>
      <c r="DN227" s="1571"/>
      <c r="DO227" s="1530"/>
      <c r="DP227" s="1530"/>
    </row>
    <row r="228" spans="1:120">
      <c r="A228" s="1451"/>
      <c r="C228" s="1451"/>
      <c r="K228" s="1451"/>
      <c r="L228" s="1451"/>
      <c r="U228" s="1530"/>
      <c r="V228" s="1530"/>
      <c r="W228" s="1530"/>
      <c r="X228" s="1530"/>
      <c r="Y228" s="1530"/>
      <c r="Z228" s="1530"/>
      <c r="AA228" s="1530"/>
      <c r="AB228" s="1530"/>
      <c r="AC228" s="1530"/>
      <c r="AD228" s="1530"/>
      <c r="AE228" s="1530"/>
      <c r="AF228" s="1530"/>
      <c r="AG228" s="1530"/>
      <c r="AH228" s="1530"/>
      <c r="AI228" s="1530"/>
      <c r="AJ228" s="1530"/>
      <c r="AK228" s="1530"/>
      <c r="AL228" s="1530"/>
      <c r="AM228" s="1530"/>
      <c r="AN228" s="1530"/>
      <c r="AO228" s="1530"/>
      <c r="AP228" s="1530"/>
      <c r="AQ228" s="1530"/>
      <c r="AR228" s="1530"/>
      <c r="AS228" s="1530"/>
      <c r="AT228" s="1530"/>
      <c r="AU228" s="1530"/>
      <c r="AV228" s="1530"/>
      <c r="AW228" s="1530"/>
      <c r="AX228" s="1530"/>
      <c r="AY228" s="1530"/>
      <c r="AZ228" s="1530"/>
      <c r="BA228" s="1530"/>
      <c r="BB228" s="1530"/>
      <c r="BC228" s="1530"/>
      <c r="BD228" s="1530"/>
      <c r="BE228" s="1530"/>
      <c r="BF228" s="1530"/>
      <c r="BG228" s="1530"/>
      <c r="BH228" s="1530"/>
      <c r="BI228" s="1530"/>
      <c r="BJ228" s="1530"/>
      <c r="BK228" s="1530"/>
      <c r="BL228" s="1530"/>
      <c r="BM228" s="1530"/>
      <c r="BN228" s="1530"/>
      <c r="BW228" s="1569"/>
      <c r="CO228" s="1530"/>
      <c r="CP228" s="1530"/>
      <c r="CQ228" s="1530"/>
      <c r="CR228" s="1530"/>
      <c r="CS228" s="1530"/>
      <c r="CT228" s="1530"/>
      <c r="CU228" s="1530"/>
      <c r="CV228" s="1530"/>
      <c r="CW228" s="1530"/>
      <c r="CX228" s="1530"/>
      <c r="CY228" s="1530"/>
      <c r="CZ228" s="1530"/>
      <c r="DA228" s="1530"/>
      <c r="DB228" s="1530"/>
      <c r="DC228" s="1530"/>
      <c r="DD228" s="1530"/>
      <c r="DE228" s="1530"/>
      <c r="DF228" s="1530"/>
      <c r="DG228" s="1530"/>
      <c r="DH228" s="1530"/>
      <c r="DI228" s="1530"/>
      <c r="DJ228" s="1530"/>
      <c r="DK228" s="1530"/>
      <c r="DL228" s="1530"/>
      <c r="DM228" s="1530"/>
      <c r="DN228" s="1571"/>
      <c r="DO228" s="1530"/>
      <c r="DP228" s="1530"/>
    </row>
    <row r="229" spans="1:120">
      <c r="A229" s="1451"/>
      <c r="C229" s="1451"/>
      <c r="K229" s="1451"/>
      <c r="L229" s="1451"/>
      <c r="U229" s="1530"/>
      <c r="V229" s="1530"/>
      <c r="W229" s="1530"/>
      <c r="X229" s="1530"/>
      <c r="Y229" s="1530"/>
      <c r="Z229" s="1530"/>
      <c r="AA229" s="1530"/>
      <c r="AB229" s="1530"/>
      <c r="AC229" s="1530"/>
      <c r="AD229" s="1530"/>
      <c r="AE229" s="1530"/>
      <c r="AF229" s="1530"/>
      <c r="AG229" s="1530"/>
      <c r="AH229" s="1530"/>
      <c r="AI229" s="1530"/>
      <c r="AJ229" s="1530"/>
      <c r="AK229" s="1530"/>
      <c r="AL229" s="1530"/>
      <c r="AM229" s="1530"/>
      <c r="AN229" s="1530"/>
      <c r="AO229" s="1530"/>
      <c r="AP229" s="1530"/>
      <c r="AQ229" s="1530"/>
      <c r="AR229" s="1530"/>
      <c r="AS229" s="1530"/>
      <c r="AT229" s="1530"/>
      <c r="AU229" s="1530"/>
      <c r="AV229" s="1530"/>
      <c r="AW229" s="1530"/>
      <c r="AX229" s="1530"/>
      <c r="AY229" s="1530"/>
      <c r="AZ229" s="1530"/>
      <c r="BA229" s="1530"/>
      <c r="BB229" s="1530"/>
      <c r="BC229" s="1530"/>
      <c r="BD229" s="1530"/>
      <c r="BE229" s="1530"/>
      <c r="BF229" s="1530"/>
      <c r="BG229" s="1530"/>
      <c r="BH229" s="1530"/>
      <c r="BI229" s="1530"/>
      <c r="BJ229" s="1530"/>
      <c r="BK229" s="1530"/>
      <c r="BL229" s="1530"/>
      <c r="BM229" s="1530"/>
      <c r="BN229" s="1530"/>
      <c r="BW229" s="1569"/>
      <c r="CO229" s="1530"/>
      <c r="CP229" s="1530"/>
      <c r="CQ229" s="1530"/>
      <c r="CR229" s="1530"/>
      <c r="CS229" s="1530"/>
      <c r="CT229" s="1530"/>
      <c r="CU229" s="1530"/>
      <c r="CV229" s="1530"/>
      <c r="CW229" s="1530"/>
      <c r="CX229" s="1530"/>
      <c r="CY229" s="1530"/>
      <c r="CZ229" s="1530"/>
      <c r="DA229" s="1530"/>
      <c r="DB229" s="1530"/>
      <c r="DC229" s="1530"/>
      <c r="DD229" s="1530"/>
      <c r="DE229" s="1530"/>
      <c r="DF229" s="1530"/>
      <c r="DG229" s="1530"/>
      <c r="DH229" s="1530"/>
      <c r="DI229" s="1530"/>
      <c r="DJ229" s="1530"/>
      <c r="DK229" s="1530"/>
      <c r="DL229" s="1530"/>
      <c r="DM229" s="1530"/>
      <c r="DN229" s="1571"/>
      <c r="DO229" s="1530"/>
      <c r="DP229" s="1530"/>
    </row>
    <row r="230" spans="1:120">
      <c r="A230" s="1451"/>
      <c r="C230" s="1451"/>
      <c r="K230" s="1451"/>
      <c r="L230" s="1451"/>
      <c r="U230" s="1530"/>
      <c r="V230" s="1530"/>
      <c r="W230" s="1530"/>
      <c r="X230" s="1530"/>
      <c r="Y230" s="1530"/>
      <c r="Z230" s="1530"/>
      <c r="AA230" s="1530"/>
      <c r="AB230" s="1530"/>
      <c r="AC230" s="1530"/>
      <c r="AD230" s="1530"/>
      <c r="AE230" s="1530"/>
      <c r="AF230" s="1530"/>
      <c r="AG230" s="1530"/>
      <c r="AH230" s="1530"/>
      <c r="AI230" s="1530"/>
      <c r="AJ230" s="1530"/>
      <c r="AK230" s="1530"/>
      <c r="AL230" s="1530"/>
      <c r="AM230" s="1530"/>
      <c r="AN230" s="1530"/>
      <c r="AO230" s="1530"/>
      <c r="AP230" s="1530"/>
      <c r="AQ230" s="1530"/>
      <c r="AR230" s="1530"/>
      <c r="AS230" s="1530"/>
      <c r="AT230" s="1530"/>
      <c r="AU230" s="1530"/>
      <c r="AV230" s="1530"/>
      <c r="AW230" s="1530"/>
      <c r="AX230" s="1530"/>
      <c r="AY230" s="1530"/>
      <c r="AZ230" s="1530"/>
      <c r="BA230" s="1530"/>
      <c r="BB230" s="1530"/>
      <c r="BC230" s="1530"/>
      <c r="BD230" s="1530"/>
      <c r="BE230" s="1530"/>
      <c r="BF230" s="1530"/>
      <c r="BG230" s="1530"/>
      <c r="BH230" s="1530"/>
      <c r="BI230" s="1530"/>
      <c r="BJ230" s="1530"/>
      <c r="BK230" s="1530"/>
      <c r="BL230" s="1530"/>
      <c r="BM230" s="1530"/>
      <c r="BN230" s="1530"/>
      <c r="BW230" s="1569"/>
      <c r="CO230" s="1530"/>
      <c r="CP230" s="1530"/>
      <c r="CQ230" s="1530"/>
      <c r="CR230" s="1530"/>
      <c r="CS230" s="1530"/>
      <c r="CT230" s="1530"/>
      <c r="CU230" s="1530"/>
      <c r="CV230" s="1530"/>
      <c r="CW230" s="1530"/>
      <c r="CX230" s="1530"/>
      <c r="CY230" s="1530"/>
      <c r="CZ230" s="1530"/>
      <c r="DA230" s="1530"/>
      <c r="DB230" s="1530"/>
      <c r="DC230" s="1530"/>
      <c r="DD230" s="1530"/>
      <c r="DE230" s="1530"/>
      <c r="DF230" s="1530"/>
      <c r="DG230" s="1530"/>
      <c r="DH230" s="1530"/>
      <c r="DI230" s="1530"/>
      <c r="DJ230" s="1530"/>
      <c r="DK230" s="1530"/>
      <c r="DL230" s="1530"/>
      <c r="DM230" s="1530"/>
      <c r="DN230" s="1571"/>
      <c r="DO230" s="1530"/>
      <c r="DP230" s="1530"/>
    </row>
    <row r="231" spans="1:120">
      <c r="A231" s="1451"/>
      <c r="C231" s="1451"/>
      <c r="K231" s="1451"/>
      <c r="L231" s="1451"/>
      <c r="U231" s="1530"/>
      <c r="V231" s="1530"/>
      <c r="W231" s="1530"/>
      <c r="X231" s="1530"/>
      <c r="Y231" s="1530"/>
      <c r="Z231" s="1530"/>
      <c r="AA231" s="1530"/>
      <c r="AB231" s="1530"/>
      <c r="AC231" s="1530"/>
      <c r="AD231" s="1530"/>
      <c r="AE231" s="1530"/>
      <c r="AF231" s="1530"/>
      <c r="AG231" s="1530"/>
      <c r="AH231" s="1530"/>
      <c r="AI231" s="1530"/>
      <c r="AJ231" s="1530"/>
      <c r="AK231" s="1530"/>
      <c r="AL231" s="1530"/>
      <c r="AM231" s="1530"/>
      <c r="AN231" s="1530"/>
      <c r="AO231" s="1530"/>
      <c r="AP231" s="1530"/>
      <c r="AQ231" s="1530"/>
      <c r="AR231" s="1530"/>
      <c r="AS231" s="1530"/>
      <c r="AT231" s="1530"/>
      <c r="AU231" s="1530"/>
      <c r="AV231" s="1530"/>
      <c r="AW231" s="1530"/>
      <c r="AX231" s="1530"/>
      <c r="AY231" s="1530"/>
      <c r="AZ231" s="1530"/>
      <c r="BA231" s="1530"/>
      <c r="BB231" s="1530"/>
      <c r="BC231" s="1530"/>
      <c r="BD231" s="1530"/>
      <c r="BE231" s="1530"/>
      <c r="BF231" s="1530"/>
      <c r="BG231" s="1530"/>
      <c r="BH231" s="1530"/>
      <c r="BI231" s="1530"/>
      <c r="BJ231" s="1530"/>
      <c r="BK231" s="1530"/>
      <c r="BL231" s="1530"/>
      <c r="BM231" s="1530"/>
      <c r="BN231" s="1530"/>
      <c r="BW231" s="1569"/>
      <c r="CO231" s="1530"/>
      <c r="CP231" s="1530"/>
      <c r="CQ231" s="1530"/>
      <c r="CR231" s="1530"/>
      <c r="CS231" s="1530"/>
      <c r="CT231" s="1530"/>
      <c r="CU231" s="1530"/>
      <c r="CV231" s="1530"/>
      <c r="CW231" s="1530"/>
      <c r="CX231" s="1530"/>
      <c r="CY231" s="1530"/>
      <c r="CZ231" s="1530"/>
      <c r="DA231" s="1530"/>
      <c r="DB231" s="1530"/>
      <c r="DC231" s="1530"/>
      <c r="DD231" s="1530"/>
      <c r="DE231" s="1530"/>
      <c r="DF231" s="1530"/>
      <c r="DG231" s="1530"/>
      <c r="DH231" s="1530"/>
      <c r="DI231" s="1530"/>
      <c r="DJ231" s="1530"/>
      <c r="DK231" s="1530"/>
      <c r="DL231" s="1530"/>
      <c r="DM231" s="1530"/>
      <c r="DN231" s="1571"/>
      <c r="DO231" s="1530"/>
      <c r="DP231" s="1530"/>
    </row>
    <row r="232" spans="1:120">
      <c r="A232" s="1451"/>
      <c r="C232" s="1451"/>
      <c r="K232" s="1451"/>
      <c r="L232" s="1451"/>
      <c r="U232" s="1530"/>
      <c r="V232" s="1530"/>
      <c r="W232" s="1530"/>
      <c r="X232" s="1530"/>
      <c r="Y232" s="1530"/>
      <c r="Z232" s="1530"/>
      <c r="AA232" s="1530"/>
      <c r="AB232" s="1530"/>
      <c r="AC232" s="1530"/>
      <c r="AD232" s="1530"/>
      <c r="AE232" s="1530"/>
      <c r="AF232" s="1530"/>
      <c r="AG232" s="1530"/>
      <c r="AH232" s="1530"/>
      <c r="AI232" s="1530"/>
      <c r="AJ232" s="1530"/>
      <c r="AK232" s="1530"/>
      <c r="AL232" s="1530"/>
      <c r="AM232" s="1530"/>
      <c r="AN232" s="1530"/>
      <c r="AO232" s="1530"/>
      <c r="AP232" s="1530"/>
      <c r="AQ232" s="1530"/>
      <c r="AR232" s="1530"/>
      <c r="AS232" s="1530"/>
      <c r="AT232" s="1530"/>
      <c r="AU232" s="1530"/>
      <c r="AV232" s="1530"/>
      <c r="AW232" s="1530"/>
      <c r="AX232" s="1530"/>
      <c r="AY232" s="1530"/>
      <c r="AZ232" s="1530"/>
      <c r="BA232" s="1530"/>
      <c r="BB232" s="1530"/>
      <c r="BC232" s="1530"/>
      <c r="BD232" s="1530"/>
      <c r="BE232" s="1530"/>
      <c r="BF232" s="1530"/>
      <c r="BG232" s="1530"/>
      <c r="BH232" s="1530"/>
      <c r="BI232" s="1530"/>
      <c r="BJ232" s="1530"/>
      <c r="BK232" s="1530"/>
      <c r="BL232" s="1530"/>
      <c r="BM232" s="1530"/>
      <c r="BN232" s="1530"/>
      <c r="BW232" s="1569"/>
      <c r="CO232" s="1530"/>
      <c r="CP232" s="1530"/>
      <c r="CQ232" s="1530"/>
      <c r="CR232" s="1530"/>
      <c r="CS232" s="1530"/>
      <c r="CT232" s="1530"/>
      <c r="CU232" s="1530"/>
      <c r="CV232" s="1530"/>
      <c r="CW232" s="1530"/>
      <c r="CX232" s="1530"/>
      <c r="CY232" s="1530"/>
      <c r="CZ232" s="1530"/>
      <c r="DA232" s="1530"/>
      <c r="DB232" s="1530"/>
      <c r="DC232" s="1530"/>
      <c r="DD232" s="1530"/>
      <c r="DE232" s="1530"/>
      <c r="DF232" s="1530"/>
      <c r="DG232" s="1530"/>
      <c r="DH232" s="1530"/>
      <c r="DI232" s="1530"/>
      <c r="DJ232" s="1530"/>
      <c r="DK232" s="1530"/>
      <c r="DL232" s="1530"/>
      <c r="DM232" s="1530"/>
      <c r="DN232" s="1571"/>
      <c r="DO232" s="1530"/>
      <c r="DP232" s="1530"/>
    </row>
    <row r="233" spans="1:120">
      <c r="A233" s="1451"/>
      <c r="C233" s="1451"/>
      <c r="K233" s="1451"/>
      <c r="L233" s="1451"/>
      <c r="U233" s="1530"/>
      <c r="V233" s="1530"/>
      <c r="W233" s="1530"/>
      <c r="X233" s="1530"/>
      <c r="Y233" s="1530"/>
      <c r="Z233" s="1530"/>
      <c r="AA233" s="1530"/>
      <c r="AB233" s="1530"/>
      <c r="AC233" s="1530"/>
      <c r="AD233" s="1530"/>
      <c r="AE233" s="1530"/>
      <c r="AF233" s="1530"/>
      <c r="AG233" s="1530"/>
      <c r="AH233" s="1530"/>
      <c r="AI233" s="1530"/>
      <c r="AJ233" s="1530"/>
      <c r="AK233" s="1530"/>
      <c r="AL233" s="1530"/>
      <c r="AM233" s="1530"/>
      <c r="AN233" s="1530"/>
      <c r="AO233" s="1530"/>
      <c r="AP233" s="1530"/>
      <c r="AQ233" s="1530"/>
      <c r="AR233" s="1530"/>
      <c r="AS233" s="1530"/>
      <c r="AT233" s="1530"/>
      <c r="AU233" s="1530"/>
      <c r="AV233" s="1530"/>
      <c r="AW233" s="1530"/>
      <c r="AX233" s="1530"/>
      <c r="AY233" s="1530"/>
      <c r="AZ233" s="1530"/>
      <c r="BA233" s="1530"/>
      <c r="BB233" s="1530"/>
      <c r="BC233" s="1530"/>
      <c r="BD233" s="1530"/>
      <c r="BE233" s="1530"/>
      <c r="BF233" s="1530"/>
      <c r="BG233" s="1530"/>
      <c r="BH233" s="1530"/>
      <c r="BI233" s="1530"/>
      <c r="BJ233" s="1530"/>
      <c r="BK233" s="1530"/>
      <c r="BL233" s="1530"/>
      <c r="BM233" s="1530"/>
      <c r="BN233" s="1530"/>
      <c r="BW233" s="1569"/>
      <c r="CO233" s="1530"/>
      <c r="CP233" s="1530"/>
      <c r="CQ233" s="1530"/>
      <c r="CR233" s="1530"/>
      <c r="CS233" s="1530"/>
      <c r="CT233" s="1530"/>
      <c r="CU233" s="1530"/>
      <c r="CV233" s="1530"/>
      <c r="CW233" s="1530"/>
      <c r="CX233" s="1530"/>
      <c r="CY233" s="1530"/>
      <c r="CZ233" s="1530"/>
      <c r="DA233" s="1530"/>
      <c r="DB233" s="1530"/>
      <c r="DC233" s="1530"/>
      <c r="DD233" s="1530"/>
      <c r="DE233" s="1530"/>
      <c r="DF233" s="1530"/>
      <c r="DG233" s="1530"/>
      <c r="DH233" s="1530"/>
      <c r="DI233" s="1530"/>
      <c r="DJ233" s="1530"/>
      <c r="DK233" s="1530"/>
      <c r="DL233" s="1530"/>
      <c r="DM233" s="1530"/>
      <c r="DN233" s="1571"/>
      <c r="DO233" s="1530"/>
      <c r="DP233" s="1530"/>
    </row>
    <row r="234" spans="1:120">
      <c r="A234" s="1451"/>
      <c r="C234" s="1451"/>
      <c r="K234" s="1451"/>
      <c r="L234" s="1451"/>
      <c r="U234" s="1530"/>
      <c r="V234" s="1530"/>
      <c r="W234" s="1530"/>
      <c r="X234" s="1530"/>
      <c r="Y234" s="1530"/>
      <c r="Z234" s="1530"/>
      <c r="AA234" s="1530"/>
      <c r="AB234" s="1530"/>
      <c r="AC234" s="1530"/>
      <c r="AD234" s="1530"/>
      <c r="AE234" s="1530"/>
      <c r="AF234" s="1530"/>
      <c r="AG234" s="1530"/>
      <c r="AH234" s="1530"/>
      <c r="AI234" s="1530"/>
      <c r="AJ234" s="1530"/>
      <c r="AK234" s="1530"/>
      <c r="AL234" s="1530"/>
      <c r="AM234" s="1530"/>
      <c r="AN234" s="1530"/>
      <c r="AO234" s="1530"/>
      <c r="AP234" s="1530"/>
      <c r="AQ234" s="1530"/>
      <c r="AR234" s="1530"/>
      <c r="AS234" s="1530"/>
      <c r="AT234" s="1530"/>
      <c r="AU234" s="1530"/>
      <c r="AV234" s="1530"/>
      <c r="AW234" s="1530"/>
      <c r="AX234" s="1530"/>
      <c r="AY234" s="1530"/>
      <c r="AZ234" s="1530"/>
      <c r="BA234" s="1530"/>
      <c r="BB234" s="1530"/>
      <c r="BC234" s="1530"/>
      <c r="BD234" s="1530"/>
      <c r="BE234" s="1530"/>
      <c r="BF234" s="1530"/>
      <c r="BG234" s="1530"/>
      <c r="BH234" s="1530"/>
      <c r="BI234" s="1530"/>
      <c r="BJ234" s="1530"/>
      <c r="BK234" s="1530"/>
      <c r="BL234" s="1530"/>
      <c r="BM234" s="1530"/>
      <c r="BN234" s="1530"/>
      <c r="BW234" s="1569"/>
      <c r="CO234" s="1530"/>
      <c r="CP234" s="1530"/>
      <c r="CQ234" s="1530"/>
      <c r="CR234" s="1530"/>
      <c r="CS234" s="1530"/>
      <c r="CT234" s="1530"/>
      <c r="CU234" s="1530"/>
      <c r="CV234" s="1530"/>
      <c r="CW234" s="1530"/>
      <c r="CX234" s="1530"/>
      <c r="CY234" s="1530"/>
      <c r="CZ234" s="1530"/>
      <c r="DA234" s="1530"/>
      <c r="DB234" s="1530"/>
      <c r="DC234" s="1530"/>
      <c r="DD234" s="1530"/>
      <c r="DE234" s="1530"/>
      <c r="DF234" s="1530"/>
      <c r="DG234" s="1530"/>
      <c r="DH234" s="1530"/>
      <c r="DI234" s="1530"/>
      <c r="DJ234" s="1530"/>
      <c r="DK234" s="1530"/>
      <c r="DL234" s="1530"/>
      <c r="DM234" s="1530"/>
      <c r="DN234" s="1571"/>
      <c r="DO234" s="1530"/>
      <c r="DP234" s="1530"/>
    </row>
    <row r="235" spans="1:120">
      <c r="A235" s="1451"/>
      <c r="C235" s="1451"/>
      <c r="K235" s="1451"/>
      <c r="L235" s="1451"/>
      <c r="U235" s="1530"/>
      <c r="V235" s="1530"/>
      <c r="W235" s="1530"/>
      <c r="X235" s="1530"/>
      <c r="Y235" s="1530"/>
      <c r="Z235" s="1530"/>
      <c r="AA235" s="1530"/>
      <c r="AB235" s="1530"/>
      <c r="AC235" s="1530"/>
      <c r="AD235" s="1530"/>
      <c r="AE235" s="1530"/>
      <c r="AF235" s="1530"/>
      <c r="AG235" s="1530"/>
      <c r="AH235" s="1530"/>
      <c r="AI235" s="1530"/>
      <c r="AJ235" s="1530"/>
      <c r="AK235" s="1530"/>
      <c r="AL235" s="1530"/>
      <c r="AM235" s="1530"/>
      <c r="AN235" s="1530"/>
      <c r="AO235" s="1530"/>
      <c r="AP235" s="1530"/>
      <c r="AQ235" s="1530"/>
      <c r="AR235" s="1530"/>
      <c r="AS235" s="1530"/>
      <c r="AT235" s="1530"/>
      <c r="AU235" s="1530"/>
      <c r="AV235" s="1530"/>
      <c r="AW235" s="1530"/>
      <c r="AX235" s="1530"/>
      <c r="AY235" s="1530"/>
      <c r="AZ235" s="1530"/>
      <c r="BA235" s="1530"/>
      <c r="BB235" s="1530"/>
      <c r="BC235" s="1530"/>
      <c r="BD235" s="1530"/>
      <c r="BE235" s="1530"/>
      <c r="BF235" s="1530"/>
      <c r="BG235" s="1530"/>
      <c r="BH235" s="1530"/>
      <c r="BI235" s="1530"/>
      <c r="BJ235" s="1530"/>
      <c r="BK235" s="1530"/>
      <c r="BL235" s="1530"/>
      <c r="BM235" s="1530"/>
      <c r="BN235" s="1530"/>
      <c r="BW235" s="1569"/>
      <c r="CO235" s="1530"/>
      <c r="CP235" s="1530"/>
      <c r="CQ235" s="1530"/>
      <c r="CR235" s="1530"/>
      <c r="CS235" s="1530"/>
      <c r="CT235" s="1530"/>
      <c r="CU235" s="1530"/>
      <c r="CV235" s="1530"/>
      <c r="CW235" s="1530"/>
      <c r="CX235" s="1530"/>
      <c r="CY235" s="1530"/>
      <c r="CZ235" s="1530"/>
      <c r="DA235" s="1530"/>
      <c r="DB235" s="1530"/>
      <c r="DC235" s="1530"/>
      <c r="DD235" s="1530"/>
      <c r="DE235" s="1530"/>
      <c r="DF235" s="1530"/>
      <c r="DG235" s="1530"/>
      <c r="DH235" s="1530"/>
      <c r="DI235" s="1530"/>
      <c r="DJ235" s="1530"/>
      <c r="DK235" s="1530"/>
      <c r="DL235" s="1530"/>
      <c r="DM235" s="1530"/>
      <c r="DN235" s="1571"/>
      <c r="DO235" s="1530"/>
      <c r="DP235" s="1530"/>
    </row>
    <row r="236" spans="1:120">
      <c r="A236" s="1451"/>
      <c r="C236" s="1451"/>
      <c r="K236" s="1451"/>
      <c r="L236" s="1451"/>
      <c r="U236" s="1530"/>
      <c r="V236" s="1530"/>
      <c r="W236" s="1530"/>
      <c r="X236" s="1530"/>
      <c r="Y236" s="1530"/>
      <c r="Z236" s="1530"/>
      <c r="AA236" s="1530"/>
      <c r="AB236" s="1530"/>
      <c r="AC236" s="1530"/>
      <c r="AD236" s="1530"/>
      <c r="AE236" s="1530"/>
      <c r="AF236" s="1530"/>
      <c r="AG236" s="1530"/>
      <c r="AH236" s="1530"/>
      <c r="AI236" s="1530"/>
      <c r="AJ236" s="1530"/>
      <c r="AK236" s="1530"/>
      <c r="AL236" s="1530"/>
      <c r="AM236" s="1530"/>
      <c r="AN236" s="1530"/>
      <c r="AO236" s="1530"/>
      <c r="AP236" s="1530"/>
      <c r="AQ236" s="1530"/>
      <c r="AR236" s="1530"/>
      <c r="AS236" s="1530"/>
      <c r="AT236" s="1530"/>
      <c r="AU236" s="1530"/>
      <c r="AV236" s="1530"/>
      <c r="AW236" s="1530"/>
      <c r="AX236" s="1530"/>
      <c r="AY236" s="1530"/>
      <c r="AZ236" s="1530"/>
      <c r="BA236" s="1530"/>
      <c r="BB236" s="1530"/>
      <c r="BC236" s="1530"/>
      <c r="BD236" s="1530"/>
      <c r="BE236" s="1530"/>
      <c r="BF236" s="1530"/>
      <c r="BG236" s="1530"/>
      <c r="BH236" s="1530"/>
      <c r="BI236" s="1530"/>
      <c r="BJ236" s="1530"/>
      <c r="BK236" s="1530"/>
      <c r="BL236" s="1530"/>
      <c r="BM236" s="1530"/>
      <c r="BN236" s="1530"/>
      <c r="BW236" s="1569"/>
      <c r="CO236" s="1530"/>
      <c r="CP236" s="1530"/>
      <c r="CQ236" s="1530"/>
      <c r="CR236" s="1530"/>
      <c r="CS236" s="1530"/>
      <c r="CT236" s="1530"/>
      <c r="CU236" s="1530"/>
      <c r="CV236" s="1530"/>
      <c r="CW236" s="1530"/>
      <c r="CX236" s="1530"/>
      <c r="CY236" s="1530"/>
      <c r="CZ236" s="1530"/>
      <c r="DA236" s="1530"/>
      <c r="DB236" s="1530"/>
      <c r="DC236" s="1530"/>
      <c r="DD236" s="1530"/>
      <c r="DE236" s="1530"/>
      <c r="DF236" s="1530"/>
      <c r="DG236" s="1530"/>
      <c r="DH236" s="1530"/>
      <c r="DI236" s="1530"/>
      <c r="DJ236" s="1530"/>
      <c r="DK236" s="1530"/>
      <c r="DL236" s="1530"/>
      <c r="DM236" s="1530"/>
      <c r="DN236" s="1571"/>
      <c r="DO236" s="1530"/>
      <c r="DP236" s="1530"/>
    </row>
    <row r="237" spans="1:120">
      <c r="A237" s="1451"/>
      <c r="C237" s="1451"/>
      <c r="K237" s="1451"/>
      <c r="L237" s="1451"/>
      <c r="U237" s="1530"/>
      <c r="V237" s="1530"/>
      <c r="W237" s="1530"/>
      <c r="X237" s="1530"/>
      <c r="Y237" s="1530"/>
      <c r="Z237" s="1530"/>
      <c r="AA237" s="1530"/>
      <c r="AB237" s="1530"/>
      <c r="AC237" s="1530"/>
      <c r="AD237" s="1530"/>
      <c r="AE237" s="1530"/>
      <c r="AF237" s="1530"/>
      <c r="AG237" s="1530"/>
      <c r="AH237" s="1530"/>
      <c r="AI237" s="1530"/>
      <c r="AJ237" s="1530"/>
      <c r="AK237" s="1530"/>
      <c r="AL237" s="1530"/>
      <c r="AM237" s="1530"/>
      <c r="AN237" s="1530"/>
      <c r="AO237" s="1530"/>
      <c r="AP237" s="1530"/>
      <c r="AQ237" s="1530"/>
      <c r="AR237" s="1530"/>
      <c r="AS237" s="1530"/>
      <c r="AT237" s="1530"/>
      <c r="AU237" s="1530"/>
      <c r="AV237" s="1530"/>
      <c r="AW237" s="1530"/>
      <c r="AX237" s="1530"/>
      <c r="AY237" s="1530"/>
      <c r="AZ237" s="1530"/>
      <c r="BA237" s="1530"/>
      <c r="BB237" s="1530"/>
      <c r="BC237" s="1530"/>
      <c r="BD237" s="1530"/>
      <c r="BE237" s="1530"/>
      <c r="BF237" s="1530"/>
      <c r="BG237" s="1530"/>
      <c r="BH237" s="1530"/>
      <c r="BI237" s="1530"/>
      <c r="BJ237" s="1530"/>
      <c r="BK237" s="1530"/>
      <c r="BL237" s="1530"/>
      <c r="BM237" s="1530"/>
      <c r="BN237" s="1530"/>
      <c r="BW237" s="1569"/>
      <c r="CO237" s="1530"/>
      <c r="CP237" s="1530"/>
      <c r="CQ237" s="1530"/>
      <c r="CR237" s="1530"/>
      <c r="CS237" s="1530"/>
      <c r="CT237" s="1530"/>
      <c r="CU237" s="1530"/>
      <c r="CV237" s="1530"/>
      <c r="CW237" s="1530"/>
      <c r="CX237" s="1530"/>
      <c r="CY237" s="1530"/>
      <c r="CZ237" s="1530"/>
      <c r="DA237" s="1530"/>
      <c r="DB237" s="1530"/>
      <c r="DC237" s="1530"/>
      <c r="DD237" s="1530"/>
      <c r="DE237" s="1530"/>
      <c r="DF237" s="1530"/>
      <c r="DG237" s="1530"/>
      <c r="DH237" s="1530"/>
      <c r="DI237" s="1530"/>
      <c r="DJ237" s="1530"/>
      <c r="DK237" s="1530"/>
      <c r="DL237" s="1530"/>
      <c r="DM237" s="1530"/>
      <c r="DN237" s="1571"/>
      <c r="DO237" s="1530"/>
      <c r="DP237" s="1530"/>
    </row>
    <row r="238" spans="1:120">
      <c r="A238" s="1451"/>
      <c r="C238" s="1451"/>
      <c r="K238" s="1451"/>
      <c r="L238" s="1451"/>
      <c r="U238" s="1530"/>
      <c r="V238" s="1530"/>
      <c r="W238" s="1530"/>
      <c r="X238" s="1530"/>
      <c r="Y238" s="1530"/>
      <c r="Z238" s="1530"/>
      <c r="AA238" s="1530"/>
      <c r="AB238" s="1530"/>
      <c r="AC238" s="1530"/>
      <c r="AD238" s="1530"/>
      <c r="AE238" s="1530"/>
      <c r="AF238" s="1530"/>
      <c r="AG238" s="1530"/>
      <c r="AH238" s="1530"/>
      <c r="AI238" s="1530"/>
      <c r="AJ238" s="1530"/>
      <c r="AK238" s="1530"/>
      <c r="AL238" s="1530"/>
      <c r="AM238" s="1530"/>
      <c r="AN238" s="1530"/>
      <c r="AO238" s="1530"/>
      <c r="AP238" s="1530"/>
      <c r="AQ238" s="1530"/>
      <c r="AR238" s="1530"/>
      <c r="AS238" s="1530"/>
      <c r="AT238" s="1530"/>
      <c r="AU238" s="1530"/>
      <c r="AV238" s="1530"/>
      <c r="AW238" s="1530"/>
      <c r="AX238" s="1530"/>
      <c r="AY238" s="1530"/>
      <c r="AZ238" s="1530"/>
      <c r="BA238" s="1530"/>
      <c r="BB238" s="1530"/>
      <c r="BC238" s="1530"/>
      <c r="BD238" s="1530"/>
      <c r="BE238" s="1530"/>
      <c r="BF238" s="1530"/>
      <c r="BG238" s="1530"/>
      <c r="BH238" s="1530"/>
      <c r="BI238" s="1530"/>
      <c r="BJ238" s="1530"/>
      <c r="BK238" s="1530"/>
      <c r="BL238" s="1530"/>
      <c r="BM238" s="1530"/>
      <c r="BN238" s="1530"/>
      <c r="BW238" s="1569"/>
      <c r="CO238" s="1530"/>
      <c r="CP238" s="1530"/>
      <c r="CQ238" s="1530"/>
      <c r="CR238" s="1530"/>
      <c r="CS238" s="1530"/>
      <c r="CT238" s="1530"/>
      <c r="CU238" s="1530"/>
      <c r="CV238" s="1530"/>
      <c r="CW238" s="1530"/>
      <c r="CX238" s="1530"/>
      <c r="CY238" s="1530"/>
      <c r="CZ238" s="1530"/>
      <c r="DA238" s="1530"/>
      <c r="DB238" s="1530"/>
      <c r="DC238" s="1530"/>
      <c r="DD238" s="1530"/>
      <c r="DE238" s="1530"/>
      <c r="DF238" s="1530"/>
      <c r="DG238" s="1530"/>
      <c r="DH238" s="1530"/>
      <c r="DI238" s="1530"/>
      <c r="DJ238" s="1530"/>
      <c r="DK238" s="1530"/>
      <c r="DL238" s="1530"/>
      <c r="DM238" s="1530"/>
      <c r="DN238" s="1571"/>
      <c r="DO238" s="1530"/>
      <c r="DP238" s="1530"/>
    </row>
    <row r="239" spans="1:120">
      <c r="A239" s="1451"/>
      <c r="C239" s="1451"/>
      <c r="K239" s="1451"/>
      <c r="L239" s="1451"/>
      <c r="U239" s="1530"/>
      <c r="V239" s="1530"/>
      <c r="W239" s="1530"/>
      <c r="X239" s="1530"/>
      <c r="Y239" s="1530"/>
      <c r="Z239" s="1530"/>
      <c r="AA239" s="1530"/>
      <c r="AB239" s="1530"/>
      <c r="AC239" s="1530"/>
      <c r="AD239" s="1530"/>
      <c r="AE239" s="1530"/>
      <c r="AF239" s="1530"/>
      <c r="AG239" s="1530"/>
      <c r="AH239" s="1530"/>
      <c r="AI239" s="1530"/>
      <c r="AJ239" s="1530"/>
      <c r="AK239" s="1530"/>
      <c r="AL239" s="1530"/>
      <c r="AM239" s="1530"/>
      <c r="AN239" s="1530"/>
      <c r="AO239" s="1530"/>
      <c r="AP239" s="1530"/>
      <c r="AQ239" s="1530"/>
      <c r="AR239" s="1530"/>
      <c r="AS239" s="1530"/>
      <c r="AT239" s="1530"/>
      <c r="AU239" s="1530"/>
      <c r="AV239" s="1530"/>
      <c r="AW239" s="1530"/>
      <c r="AX239" s="1530"/>
      <c r="AY239" s="1530"/>
      <c r="AZ239" s="1530"/>
      <c r="BA239" s="1530"/>
      <c r="BB239" s="1530"/>
      <c r="BC239" s="1530"/>
      <c r="BD239" s="1530"/>
      <c r="BE239" s="1530"/>
      <c r="BF239" s="1530"/>
      <c r="BG239" s="1530"/>
      <c r="BH239" s="1530"/>
      <c r="BI239" s="1530"/>
      <c r="BJ239" s="1530"/>
      <c r="BK239" s="1530"/>
      <c r="BL239" s="1530"/>
      <c r="BM239" s="1530"/>
      <c r="BN239" s="1530"/>
      <c r="BW239" s="1569"/>
      <c r="CO239" s="1530"/>
      <c r="CP239" s="1530"/>
      <c r="CQ239" s="1530"/>
      <c r="CR239" s="1530"/>
      <c r="CS239" s="1530"/>
      <c r="CT239" s="1530"/>
      <c r="CU239" s="1530"/>
      <c r="CV239" s="1530"/>
      <c r="CW239" s="1530"/>
      <c r="CX239" s="1530"/>
      <c r="CY239" s="1530"/>
      <c r="CZ239" s="1530"/>
      <c r="DA239" s="1530"/>
      <c r="DB239" s="1530"/>
      <c r="DC239" s="1530"/>
      <c r="DD239" s="1530"/>
      <c r="DE239" s="1530"/>
      <c r="DF239" s="1530"/>
      <c r="DG239" s="1530"/>
      <c r="DH239" s="1530"/>
      <c r="DI239" s="1530"/>
      <c r="DJ239" s="1530"/>
      <c r="DK239" s="1530"/>
      <c r="DL239" s="1530"/>
      <c r="DM239" s="1530"/>
      <c r="DN239" s="1571"/>
      <c r="DO239" s="1530"/>
      <c r="DP239" s="1530"/>
    </row>
    <row r="240" spans="1:120">
      <c r="A240" s="1451"/>
      <c r="C240" s="1451"/>
      <c r="K240" s="1451"/>
      <c r="L240" s="1451"/>
      <c r="U240" s="1530"/>
      <c r="V240" s="1530"/>
      <c r="W240" s="1530"/>
      <c r="X240" s="1530"/>
      <c r="Y240" s="1530"/>
      <c r="Z240" s="1530"/>
      <c r="AA240" s="1530"/>
      <c r="AB240" s="1530"/>
      <c r="AC240" s="1530"/>
      <c r="AD240" s="1530"/>
      <c r="AE240" s="1530"/>
      <c r="AF240" s="1530"/>
      <c r="AG240" s="1530"/>
      <c r="AH240" s="1530"/>
      <c r="AI240" s="1530"/>
      <c r="AJ240" s="1530"/>
      <c r="AK240" s="1530"/>
      <c r="AL240" s="1530"/>
      <c r="AM240" s="1530"/>
      <c r="AN240" s="1530"/>
      <c r="AO240" s="1530"/>
      <c r="AP240" s="1530"/>
      <c r="AQ240" s="1530"/>
      <c r="AR240" s="1530"/>
      <c r="AS240" s="1530"/>
      <c r="AT240" s="1530"/>
      <c r="AU240" s="1530"/>
      <c r="AV240" s="1530"/>
      <c r="AW240" s="1530"/>
      <c r="AX240" s="1530"/>
      <c r="AY240" s="1530"/>
      <c r="AZ240" s="1530"/>
      <c r="BA240" s="1530"/>
      <c r="BB240" s="1530"/>
      <c r="BC240" s="1530"/>
      <c r="BD240" s="1530"/>
      <c r="BE240" s="1530"/>
      <c r="BF240" s="1530"/>
      <c r="BG240" s="1530"/>
      <c r="BH240" s="1530"/>
      <c r="BI240" s="1530"/>
      <c r="BJ240" s="1530"/>
      <c r="BK240" s="1530"/>
      <c r="BL240" s="1530"/>
      <c r="BM240" s="1530"/>
      <c r="BN240" s="1530"/>
      <c r="BW240" s="1569"/>
      <c r="CO240" s="1530"/>
      <c r="CP240" s="1530"/>
      <c r="CQ240" s="1530"/>
      <c r="CR240" s="1530"/>
      <c r="CS240" s="1530"/>
      <c r="CT240" s="1530"/>
      <c r="CU240" s="1530"/>
      <c r="CV240" s="1530"/>
      <c r="CW240" s="1530"/>
      <c r="CX240" s="1530"/>
      <c r="CY240" s="1530"/>
      <c r="CZ240" s="1530"/>
      <c r="DA240" s="1530"/>
      <c r="DB240" s="1530"/>
      <c r="DC240" s="1530"/>
      <c r="DD240" s="1530"/>
      <c r="DE240" s="1530"/>
      <c r="DF240" s="1530"/>
      <c r="DG240" s="1530"/>
      <c r="DH240" s="1530"/>
      <c r="DI240" s="1530"/>
      <c r="DJ240" s="1530"/>
      <c r="DK240" s="1530"/>
      <c r="DL240" s="1530"/>
      <c r="DM240" s="1530"/>
      <c r="DN240" s="1571"/>
      <c r="DO240" s="1530"/>
      <c r="DP240" s="1530"/>
    </row>
    <row r="241" spans="1:120">
      <c r="A241" s="1451"/>
      <c r="C241" s="1451"/>
      <c r="K241" s="1451"/>
      <c r="L241" s="1451"/>
      <c r="U241" s="1530"/>
      <c r="V241" s="1530"/>
      <c r="W241" s="1530"/>
      <c r="X241" s="1530"/>
      <c r="Y241" s="1530"/>
      <c r="Z241" s="1530"/>
      <c r="AA241" s="1530"/>
      <c r="AB241" s="1530"/>
      <c r="AC241" s="1530"/>
      <c r="AD241" s="1530"/>
      <c r="AE241" s="1530"/>
      <c r="AF241" s="1530"/>
      <c r="AG241" s="1530"/>
      <c r="AH241" s="1530"/>
      <c r="AI241" s="1530"/>
      <c r="AJ241" s="1530"/>
      <c r="AK241" s="1530"/>
      <c r="AL241" s="1530"/>
      <c r="AM241" s="1530"/>
      <c r="AN241" s="1530"/>
      <c r="AO241" s="1530"/>
      <c r="AP241" s="1530"/>
      <c r="AQ241" s="1530"/>
      <c r="AR241" s="1530"/>
      <c r="AS241" s="1530"/>
      <c r="AT241" s="1530"/>
      <c r="AU241" s="1530"/>
      <c r="AV241" s="1530"/>
      <c r="AW241" s="1530"/>
      <c r="AX241" s="1530"/>
      <c r="AY241" s="1530"/>
      <c r="AZ241" s="1530"/>
      <c r="BA241" s="1530"/>
      <c r="BB241" s="1530"/>
      <c r="BC241" s="1530"/>
      <c r="BD241" s="1530"/>
      <c r="BE241" s="1530"/>
      <c r="BF241" s="1530"/>
      <c r="BG241" s="1530"/>
      <c r="BH241" s="1530"/>
      <c r="BI241" s="1530"/>
      <c r="BJ241" s="1530"/>
      <c r="BK241" s="1530"/>
      <c r="BL241" s="1530"/>
      <c r="BM241" s="1530"/>
      <c r="BN241" s="1530"/>
      <c r="BW241" s="1569"/>
      <c r="CO241" s="1530"/>
      <c r="CP241" s="1530"/>
      <c r="CQ241" s="1530"/>
      <c r="CR241" s="1530"/>
      <c r="CS241" s="1530"/>
      <c r="CT241" s="1530"/>
      <c r="CU241" s="1530"/>
      <c r="CV241" s="1530"/>
      <c r="CW241" s="1530"/>
      <c r="CX241" s="1530"/>
      <c r="CY241" s="1530"/>
      <c r="CZ241" s="1530"/>
      <c r="DA241" s="1530"/>
      <c r="DB241" s="1530"/>
      <c r="DC241" s="1530"/>
      <c r="DD241" s="1530"/>
      <c r="DE241" s="1530"/>
      <c r="DF241" s="1530"/>
      <c r="DG241" s="1530"/>
      <c r="DH241" s="1530"/>
      <c r="DI241" s="1530"/>
      <c r="DJ241" s="1530"/>
      <c r="DK241" s="1530"/>
      <c r="DL241" s="1530"/>
      <c r="DM241" s="1530"/>
      <c r="DN241" s="1571"/>
      <c r="DO241" s="1530"/>
      <c r="DP241" s="1530"/>
    </row>
    <row r="242" spans="1:120">
      <c r="A242" s="1451"/>
      <c r="C242" s="1451"/>
      <c r="K242" s="1451"/>
      <c r="L242" s="1451"/>
      <c r="U242" s="1530"/>
      <c r="V242" s="1530"/>
      <c r="W242" s="1530"/>
      <c r="X242" s="1530"/>
      <c r="Y242" s="1530"/>
      <c r="Z242" s="1530"/>
      <c r="AA242" s="1530"/>
      <c r="AB242" s="1530"/>
      <c r="AC242" s="1530"/>
      <c r="AD242" s="1530"/>
      <c r="AE242" s="1530"/>
      <c r="AF242" s="1530"/>
      <c r="AG242" s="1530"/>
      <c r="AH242" s="1530"/>
      <c r="AI242" s="1530"/>
      <c r="AJ242" s="1530"/>
      <c r="AK242" s="1530"/>
      <c r="AL242" s="1530"/>
      <c r="AM242" s="1530"/>
      <c r="AN242" s="1530"/>
      <c r="AO242" s="1530"/>
      <c r="AP242" s="1530"/>
      <c r="AQ242" s="1530"/>
      <c r="AR242" s="1530"/>
      <c r="AS242" s="1530"/>
      <c r="AT242" s="1530"/>
      <c r="AU242" s="1530"/>
      <c r="AV242" s="1530"/>
      <c r="AW242" s="1530"/>
      <c r="AX242" s="1530"/>
      <c r="AY242" s="1530"/>
      <c r="AZ242" s="1530"/>
      <c r="BA242" s="1530"/>
      <c r="BB242" s="1530"/>
      <c r="BC242" s="1530"/>
      <c r="BD242" s="1530"/>
      <c r="BE242" s="1530"/>
      <c r="BF242" s="1530"/>
      <c r="BG242" s="1530"/>
      <c r="BH242" s="1530"/>
      <c r="BI242" s="1530"/>
      <c r="BJ242" s="1530"/>
      <c r="BK242" s="1530"/>
      <c r="BL242" s="1530"/>
      <c r="BM242" s="1530"/>
      <c r="BN242" s="1530"/>
      <c r="BW242" s="1569"/>
      <c r="CO242" s="1530"/>
      <c r="CP242" s="1530"/>
      <c r="CQ242" s="1530"/>
      <c r="CR242" s="1530"/>
      <c r="CS242" s="1530"/>
      <c r="CT242" s="1530"/>
      <c r="CU242" s="1530"/>
      <c r="CV242" s="1530"/>
      <c r="CW242" s="1530"/>
      <c r="CX242" s="1530"/>
      <c r="CY242" s="1530"/>
      <c r="CZ242" s="1530"/>
      <c r="DA242" s="1530"/>
      <c r="DB242" s="1530"/>
      <c r="DC242" s="1530"/>
      <c r="DD242" s="1530"/>
      <c r="DE242" s="1530"/>
      <c r="DF242" s="1530"/>
      <c r="DG242" s="1530"/>
      <c r="DH242" s="1530"/>
      <c r="DI242" s="1530"/>
      <c r="DJ242" s="1530"/>
      <c r="DK242" s="1530"/>
      <c r="DL242" s="1530"/>
      <c r="DM242" s="1530"/>
      <c r="DN242" s="1571"/>
      <c r="DO242" s="1530"/>
      <c r="DP242" s="1530"/>
    </row>
    <row r="243" spans="1:120">
      <c r="A243" s="1451"/>
      <c r="C243" s="1451"/>
      <c r="K243" s="1451"/>
      <c r="L243" s="1451"/>
      <c r="U243" s="1530"/>
      <c r="V243" s="1530"/>
      <c r="W243" s="1530"/>
      <c r="X243" s="1530"/>
      <c r="Y243" s="1530"/>
      <c r="Z243" s="1530"/>
      <c r="AA243" s="1530"/>
      <c r="AB243" s="1530"/>
      <c r="AC243" s="1530"/>
      <c r="AD243" s="1530"/>
      <c r="AE243" s="1530"/>
      <c r="AF243" s="1530"/>
      <c r="AG243" s="1530"/>
      <c r="AH243" s="1530"/>
      <c r="AI243" s="1530"/>
      <c r="AJ243" s="1530"/>
      <c r="AK243" s="1530"/>
      <c r="AL243" s="1530"/>
      <c r="AM243" s="1530"/>
      <c r="AN243" s="1530"/>
      <c r="AO243" s="1530"/>
      <c r="AP243" s="1530"/>
      <c r="AQ243" s="1530"/>
      <c r="AR243" s="1530"/>
      <c r="AS243" s="1530"/>
      <c r="AT243" s="1530"/>
      <c r="AU243" s="1530"/>
      <c r="AV243" s="1530"/>
      <c r="AW243" s="1530"/>
      <c r="AX243" s="1530"/>
      <c r="AY243" s="1530"/>
      <c r="AZ243" s="1530"/>
      <c r="BA243" s="1530"/>
      <c r="BB243" s="1530"/>
      <c r="BC243" s="1530"/>
      <c r="BD243" s="1530"/>
      <c r="BE243" s="1530"/>
      <c r="BF243" s="1530"/>
      <c r="BG243" s="1530"/>
      <c r="BH243" s="1530"/>
      <c r="BI243" s="1530"/>
      <c r="BJ243" s="1530"/>
      <c r="BK243" s="1530"/>
      <c r="BL243" s="1530"/>
      <c r="BM243" s="1530"/>
      <c r="BN243" s="1530"/>
      <c r="BW243" s="1569"/>
      <c r="CO243" s="1530"/>
      <c r="CP243" s="1530"/>
      <c r="CQ243" s="1530"/>
      <c r="CR243" s="1530"/>
      <c r="CS243" s="1530"/>
      <c r="CT243" s="1530"/>
      <c r="CU243" s="1530"/>
      <c r="CV243" s="1530"/>
      <c r="CW243" s="1530"/>
      <c r="CX243" s="1530"/>
      <c r="CY243" s="1530"/>
      <c r="CZ243" s="1530"/>
      <c r="DA243" s="1530"/>
      <c r="DB243" s="1530"/>
      <c r="DC243" s="1530"/>
      <c r="DD243" s="1530"/>
      <c r="DE243" s="1530"/>
      <c r="DF243" s="1530"/>
      <c r="DG243" s="1530"/>
      <c r="DH243" s="1530"/>
      <c r="DI243" s="1530"/>
      <c r="DJ243" s="1530"/>
      <c r="DK243" s="1530"/>
      <c r="DL243" s="1530"/>
      <c r="DM243" s="1530"/>
      <c r="DN243" s="1571"/>
      <c r="DO243" s="1530"/>
      <c r="DP243" s="1530"/>
    </row>
    <row r="244" spans="1:120">
      <c r="A244" s="1451"/>
      <c r="C244" s="1451"/>
      <c r="K244" s="1451"/>
      <c r="L244" s="1451"/>
      <c r="U244" s="1530"/>
      <c r="V244" s="1530"/>
      <c r="W244" s="1530"/>
      <c r="X244" s="1530"/>
      <c r="Y244" s="1530"/>
      <c r="Z244" s="1530"/>
      <c r="AA244" s="1530"/>
      <c r="AB244" s="1530"/>
      <c r="AC244" s="1530"/>
      <c r="AD244" s="1530"/>
      <c r="AE244" s="1530"/>
      <c r="AF244" s="1530"/>
      <c r="AG244" s="1530"/>
      <c r="AH244" s="1530"/>
      <c r="AI244" s="1530"/>
      <c r="AJ244" s="1530"/>
      <c r="AK244" s="1530"/>
      <c r="AL244" s="1530"/>
      <c r="AM244" s="1530"/>
      <c r="AN244" s="1530"/>
      <c r="AO244" s="1530"/>
      <c r="AP244" s="1530"/>
      <c r="AQ244" s="1530"/>
      <c r="AR244" s="1530"/>
      <c r="AS244" s="1530"/>
      <c r="AT244" s="1530"/>
      <c r="AU244" s="1530"/>
      <c r="AV244" s="1530"/>
      <c r="AW244" s="1530"/>
      <c r="AX244" s="1530"/>
      <c r="AY244" s="1530"/>
      <c r="AZ244" s="1530"/>
      <c r="BA244" s="1530"/>
      <c r="BB244" s="1530"/>
      <c r="BC244" s="1530"/>
      <c r="BD244" s="1530"/>
      <c r="BE244" s="1530"/>
      <c r="BF244" s="1530"/>
      <c r="BG244" s="1530"/>
      <c r="BH244" s="1530"/>
      <c r="BI244" s="1530"/>
      <c r="BJ244" s="1530"/>
      <c r="BK244" s="1530"/>
      <c r="BL244" s="1530"/>
      <c r="BM244" s="1530"/>
      <c r="BN244" s="1530"/>
      <c r="BW244" s="1569"/>
      <c r="CO244" s="1530"/>
      <c r="CP244" s="1530"/>
      <c r="CQ244" s="1530"/>
      <c r="CR244" s="1530"/>
      <c r="CS244" s="1530"/>
      <c r="CT244" s="1530"/>
      <c r="CU244" s="1530"/>
      <c r="CV244" s="1530"/>
      <c r="CW244" s="1530"/>
      <c r="CX244" s="1530"/>
      <c r="CY244" s="1530"/>
      <c r="CZ244" s="1530"/>
      <c r="DA244" s="1530"/>
      <c r="DB244" s="1530"/>
      <c r="DC244" s="1530"/>
      <c r="DD244" s="1530"/>
      <c r="DE244" s="1530"/>
      <c r="DF244" s="1530"/>
      <c r="DG244" s="1530"/>
      <c r="DH244" s="1530"/>
      <c r="DI244" s="1530"/>
      <c r="DJ244" s="1530"/>
      <c r="DK244" s="1530"/>
      <c r="DL244" s="1530"/>
      <c r="DM244" s="1530"/>
      <c r="DN244" s="1571"/>
      <c r="DO244" s="1530"/>
      <c r="DP244" s="1530"/>
    </row>
    <row r="245" spans="1:120">
      <c r="A245" s="1451"/>
      <c r="C245" s="1451"/>
      <c r="K245" s="1451"/>
      <c r="L245" s="1451"/>
      <c r="U245" s="1530"/>
      <c r="V245" s="1530"/>
      <c r="W245" s="1530"/>
      <c r="X245" s="1530"/>
      <c r="Y245" s="1530"/>
      <c r="Z245" s="1530"/>
      <c r="AA245" s="1530"/>
      <c r="AB245" s="1530"/>
      <c r="AC245" s="1530"/>
      <c r="AD245" s="1530"/>
      <c r="AE245" s="1530"/>
      <c r="AF245" s="1530"/>
      <c r="AG245" s="1530"/>
      <c r="AH245" s="1530"/>
      <c r="AI245" s="1530"/>
      <c r="AJ245" s="1530"/>
      <c r="AK245" s="1530"/>
      <c r="AL245" s="1530"/>
      <c r="AM245" s="1530"/>
      <c r="AN245" s="1530"/>
      <c r="AO245" s="1530"/>
      <c r="AP245" s="1530"/>
      <c r="AQ245" s="1530"/>
      <c r="AR245" s="1530"/>
      <c r="AS245" s="1530"/>
      <c r="AT245" s="1530"/>
      <c r="AU245" s="1530"/>
      <c r="AV245" s="1530"/>
      <c r="AW245" s="1530"/>
      <c r="AX245" s="1530"/>
      <c r="AY245" s="1530"/>
      <c r="AZ245" s="1530"/>
      <c r="BA245" s="1530"/>
      <c r="BB245" s="1530"/>
      <c r="BC245" s="1530"/>
      <c r="BD245" s="1530"/>
      <c r="BE245" s="1530"/>
      <c r="BF245" s="1530"/>
      <c r="BG245" s="1530"/>
      <c r="BH245" s="1530"/>
      <c r="BI245" s="1530"/>
      <c r="BJ245" s="1530"/>
      <c r="BK245" s="1530"/>
      <c r="BL245" s="1530"/>
      <c r="BM245" s="1530"/>
      <c r="BN245" s="1530"/>
      <c r="BW245" s="1569"/>
      <c r="CO245" s="1530"/>
      <c r="CP245" s="1530"/>
      <c r="CQ245" s="1530"/>
      <c r="CR245" s="1530"/>
      <c r="CS245" s="1530"/>
      <c r="CT245" s="1530"/>
      <c r="CU245" s="1530"/>
      <c r="CV245" s="1530"/>
      <c r="CW245" s="1530"/>
      <c r="CX245" s="1530"/>
      <c r="CY245" s="1530"/>
      <c r="CZ245" s="1530"/>
      <c r="DA245" s="1530"/>
      <c r="DB245" s="1530"/>
      <c r="DC245" s="1530"/>
      <c r="DD245" s="1530"/>
      <c r="DE245" s="1530"/>
      <c r="DF245" s="1530"/>
      <c r="DG245" s="1530"/>
      <c r="DH245" s="1530"/>
      <c r="DI245" s="1530"/>
      <c r="DJ245" s="1530"/>
      <c r="DK245" s="1530"/>
      <c r="DL245" s="1530"/>
      <c r="DM245" s="1530"/>
      <c r="DN245" s="1571"/>
      <c r="DO245" s="1530"/>
      <c r="DP245" s="1530"/>
    </row>
    <row r="246" spans="1:120">
      <c r="A246" s="1451"/>
      <c r="C246" s="1451"/>
      <c r="K246" s="1451"/>
      <c r="L246" s="1451"/>
      <c r="U246" s="1530"/>
      <c r="V246" s="1530"/>
      <c r="W246" s="1530"/>
      <c r="X246" s="1530"/>
      <c r="Y246" s="1530"/>
      <c r="Z246" s="1530"/>
      <c r="AA246" s="1530"/>
      <c r="AB246" s="1530"/>
      <c r="AC246" s="1530"/>
      <c r="AD246" s="1530"/>
      <c r="AE246" s="1530"/>
      <c r="AF246" s="1530"/>
      <c r="AG246" s="1530"/>
      <c r="AH246" s="1530"/>
      <c r="AI246" s="1530"/>
      <c r="AJ246" s="1530"/>
      <c r="AK246" s="1530"/>
      <c r="AL246" s="1530"/>
      <c r="AM246" s="1530"/>
      <c r="AN246" s="1530"/>
      <c r="AO246" s="1530"/>
      <c r="AP246" s="1530"/>
      <c r="AQ246" s="1530"/>
      <c r="AR246" s="1530"/>
      <c r="AS246" s="1530"/>
      <c r="AT246" s="1530"/>
      <c r="AU246" s="1530"/>
      <c r="AV246" s="1530"/>
      <c r="AW246" s="1530"/>
      <c r="AX246" s="1530"/>
      <c r="AY246" s="1530"/>
      <c r="AZ246" s="1530"/>
      <c r="BA246" s="1530"/>
      <c r="BB246" s="1530"/>
      <c r="BC246" s="1530"/>
      <c r="BD246" s="1530"/>
      <c r="BE246" s="1530"/>
      <c r="BF246" s="1530"/>
      <c r="BG246" s="1530"/>
      <c r="BH246" s="1530"/>
      <c r="BI246" s="1530"/>
      <c r="BJ246" s="1530"/>
      <c r="BK246" s="1530"/>
      <c r="BL246" s="1530"/>
      <c r="BM246" s="1530"/>
      <c r="BN246" s="1530"/>
      <c r="BW246" s="1569"/>
      <c r="CO246" s="1530"/>
      <c r="CP246" s="1530"/>
      <c r="CQ246" s="1530"/>
      <c r="CR246" s="1530"/>
      <c r="CS246" s="1530"/>
      <c r="CT246" s="1530"/>
      <c r="CU246" s="1530"/>
      <c r="CV246" s="1530"/>
      <c r="CW246" s="1530"/>
      <c r="CX246" s="1530"/>
      <c r="CY246" s="1530"/>
      <c r="CZ246" s="1530"/>
      <c r="DA246" s="1530"/>
      <c r="DB246" s="1530"/>
      <c r="DC246" s="1530"/>
      <c r="DD246" s="1530"/>
      <c r="DE246" s="1530"/>
      <c r="DF246" s="1530"/>
      <c r="DG246" s="1530"/>
      <c r="DH246" s="1530"/>
      <c r="DI246" s="1530"/>
      <c r="DJ246" s="1530"/>
      <c r="DK246" s="1530"/>
      <c r="DL246" s="1530"/>
      <c r="DM246" s="1530"/>
      <c r="DN246" s="1571"/>
      <c r="DO246" s="1530"/>
      <c r="DP246" s="1530"/>
    </row>
    <row r="247" spans="1:120">
      <c r="A247" s="1451"/>
      <c r="C247" s="1451"/>
      <c r="K247" s="1451"/>
      <c r="L247" s="1451"/>
      <c r="U247" s="1530"/>
      <c r="V247" s="1530"/>
      <c r="W247" s="1530"/>
      <c r="X247" s="1530"/>
      <c r="Y247" s="1530"/>
      <c r="Z247" s="1530"/>
      <c r="AA247" s="1530"/>
      <c r="AB247" s="1530"/>
      <c r="AC247" s="1530"/>
      <c r="AD247" s="1530"/>
      <c r="AE247" s="1530"/>
      <c r="AF247" s="1530"/>
      <c r="AG247" s="1530"/>
      <c r="AH247" s="1530"/>
      <c r="AI247" s="1530"/>
      <c r="AJ247" s="1530"/>
      <c r="AK247" s="1530"/>
      <c r="AL247" s="1530"/>
      <c r="AM247" s="1530"/>
      <c r="AN247" s="1530"/>
      <c r="AO247" s="1530"/>
      <c r="AP247" s="1530"/>
      <c r="AQ247" s="1530"/>
      <c r="AR247" s="1530"/>
      <c r="AS247" s="1530"/>
      <c r="AT247" s="1530"/>
      <c r="AU247" s="1530"/>
      <c r="AV247" s="1530"/>
      <c r="AW247" s="1530"/>
      <c r="AX247" s="1530"/>
      <c r="AY247" s="1530"/>
      <c r="AZ247" s="1530"/>
      <c r="BA247" s="1530"/>
      <c r="BB247" s="1530"/>
      <c r="BC247" s="1530"/>
      <c r="BD247" s="1530"/>
      <c r="BE247" s="1530"/>
      <c r="BF247" s="1530"/>
      <c r="BG247" s="1530"/>
      <c r="BH247" s="1530"/>
      <c r="BI247" s="1530"/>
      <c r="BJ247" s="1530"/>
      <c r="BK247" s="1530"/>
      <c r="BL247" s="1530"/>
      <c r="BM247" s="1530"/>
      <c r="BN247" s="1530"/>
      <c r="BW247" s="1569"/>
      <c r="CO247" s="1530"/>
      <c r="CP247" s="1530"/>
      <c r="CQ247" s="1530"/>
      <c r="CR247" s="1530"/>
      <c r="CS247" s="1530"/>
      <c r="CT247" s="1530"/>
      <c r="CU247" s="1530"/>
      <c r="CV247" s="1530"/>
      <c r="CW247" s="1530"/>
      <c r="CX247" s="1530"/>
      <c r="CY247" s="1530"/>
      <c r="CZ247" s="1530"/>
      <c r="DA247" s="1530"/>
      <c r="DB247" s="1530"/>
      <c r="DC247" s="1530"/>
      <c r="DD247" s="1530"/>
      <c r="DE247" s="1530"/>
      <c r="DF247" s="1530"/>
      <c r="DG247" s="1530"/>
      <c r="DH247" s="1530"/>
      <c r="DI247" s="1530"/>
      <c r="DJ247" s="1530"/>
      <c r="DK247" s="1530"/>
      <c r="DL247" s="1530"/>
      <c r="DM247" s="1530"/>
      <c r="DN247" s="1571"/>
      <c r="DO247" s="1530"/>
      <c r="DP247" s="1530"/>
    </row>
    <row r="248" spans="1:120">
      <c r="A248" s="1451"/>
      <c r="C248" s="1451"/>
      <c r="K248" s="1451"/>
      <c r="L248" s="1451"/>
      <c r="U248" s="1530"/>
      <c r="V248" s="1530"/>
      <c r="W248" s="1530"/>
      <c r="X248" s="1530"/>
      <c r="Y248" s="1530"/>
      <c r="Z248" s="1530"/>
      <c r="AA248" s="1530"/>
      <c r="AB248" s="1530"/>
      <c r="AC248" s="1530"/>
      <c r="AD248" s="1530"/>
      <c r="AE248" s="1530"/>
      <c r="AF248" s="1530"/>
      <c r="AG248" s="1530"/>
      <c r="AH248" s="1530"/>
      <c r="AI248" s="1530"/>
      <c r="AJ248" s="1530"/>
      <c r="AK248" s="1530"/>
      <c r="AL248" s="1530"/>
      <c r="AM248" s="1530"/>
      <c r="AN248" s="1530"/>
      <c r="AO248" s="1530"/>
      <c r="AP248" s="1530"/>
      <c r="AQ248" s="1530"/>
      <c r="AR248" s="1530"/>
      <c r="AS248" s="1530"/>
      <c r="AT248" s="1530"/>
      <c r="AU248" s="1530"/>
      <c r="AV248" s="1530"/>
      <c r="AW248" s="1530"/>
      <c r="AX248" s="1530"/>
      <c r="AY248" s="1530"/>
      <c r="AZ248" s="1530"/>
      <c r="BA248" s="1530"/>
      <c r="BB248" s="1530"/>
      <c r="BC248" s="1530"/>
      <c r="BD248" s="1530"/>
      <c r="BE248" s="1530"/>
      <c r="BF248" s="1530"/>
      <c r="BG248" s="1530"/>
      <c r="BH248" s="1530"/>
      <c r="BI248" s="1530"/>
      <c r="BJ248" s="1530"/>
      <c r="BK248" s="1530"/>
      <c r="BL248" s="1530"/>
      <c r="BM248" s="1530"/>
      <c r="BN248" s="1530"/>
      <c r="BW248" s="1569"/>
      <c r="CO248" s="1530"/>
      <c r="CP248" s="1530"/>
      <c r="CQ248" s="1530"/>
      <c r="CR248" s="1530"/>
      <c r="CS248" s="1530"/>
      <c r="CT248" s="1530"/>
      <c r="CU248" s="1530"/>
      <c r="CV248" s="1530"/>
      <c r="CW248" s="1530"/>
      <c r="CX248" s="1530"/>
      <c r="CY248" s="1530"/>
      <c r="CZ248" s="1530"/>
      <c r="DA248" s="1530"/>
      <c r="DB248" s="1530"/>
      <c r="DC248" s="1530"/>
      <c r="DD248" s="1530"/>
      <c r="DE248" s="1530"/>
      <c r="DF248" s="1530"/>
      <c r="DG248" s="1530"/>
      <c r="DH248" s="1530"/>
      <c r="DI248" s="1530"/>
      <c r="DJ248" s="1530"/>
      <c r="DK248" s="1530"/>
      <c r="DL248" s="1530"/>
      <c r="DM248" s="1530"/>
      <c r="DN248" s="1571"/>
      <c r="DO248" s="1530"/>
      <c r="DP248" s="1530"/>
    </row>
    <row r="249" spans="1:120">
      <c r="A249" s="1451"/>
      <c r="C249" s="1451"/>
      <c r="K249" s="1451"/>
      <c r="L249" s="1451"/>
      <c r="U249" s="1530"/>
      <c r="V249" s="1530"/>
      <c r="W249" s="1530"/>
      <c r="X249" s="1530"/>
      <c r="Y249" s="1530"/>
      <c r="Z249" s="1530"/>
      <c r="AA249" s="1530"/>
      <c r="AB249" s="1530"/>
      <c r="AC249" s="1530"/>
      <c r="AD249" s="1530"/>
      <c r="AE249" s="1530"/>
      <c r="AF249" s="1530"/>
      <c r="AG249" s="1530"/>
      <c r="AH249" s="1530"/>
      <c r="AI249" s="1530"/>
      <c r="AJ249" s="1530"/>
      <c r="AK249" s="1530"/>
      <c r="AL249" s="1530"/>
      <c r="AM249" s="1530"/>
      <c r="AN249" s="1530"/>
      <c r="AO249" s="1530"/>
      <c r="AP249" s="1530"/>
      <c r="AQ249" s="1530"/>
      <c r="AR249" s="1530"/>
      <c r="AS249" s="1530"/>
      <c r="AT249" s="1530"/>
      <c r="AU249" s="1530"/>
      <c r="AV249" s="1530"/>
      <c r="AW249" s="1530"/>
      <c r="AX249" s="1530"/>
      <c r="AY249" s="1530"/>
      <c r="AZ249" s="1530"/>
      <c r="BA249" s="1530"/>
      <c r="BB249" s="1530"/>
      <c r="BC249" s="1530"/>
      <c r="BD249" s="1530"/>
      <c r="BE249" s="1530"/>
      <c r="BF249" s="1530"/>
      <c r="BG249" s="1530"/>
      <c r="BH249" s="1530"/>
      <c r="BI249" s="1530"/>
      <c r="BJ249" s="1530"/>
      <c r="BK249" s="1530"/>
      <c r="BL249" s="1530"/>
      <c r="BM249" s="1530"/>
      <c r="BN249" s="1530"/>
      <c r="BW249" s="1569"/>
      <c r="CO249" s="1530"/>
      <c r="CP249" s="1530"/>
      <c r="CQ249" s="1530"/>
      <c r="CR249" s="1530"/>
      <c r="CS249" s="1530"/>
      <c r="CT249" s="1530"/>
      <c r="CU249" s="1530"/>
      <c r="CV249" s="1530"/>
      <c r="CW249" s="1530"/>
      <c r="CX249" s="1530"/>
      <c r="CY249" s="1530"/>
      <c r="CZ249" s="1530"/>
      <c r="DA249" s="1530"/>
      <c r="DB249" s="1530"/>
      <c r="DC249" s="1530"/>
      <c r="DD249" s="1530"/>
      <c r="DE249" s="1530"/>
      <c r="DF249" s="1530"/>
      <c r="DG249" s="1530"/>
      <c r="DH249" s="1530"/>
      <c r="DI249" s="1530"/>
      <c r="DJ249" s="1530"/>
      <c r="DK249" s="1530"/>
      <c r="DL249" s="1530"/>
      <c r="DM249" s="1530"/>
      <c r="DN249" s="1571"/>
      <c r="DO249" s="1530"/>
      <c r="DP249" s="1530"/>
    </row>
    <row r="250" spans="1:120">
      <c r="A250" s="1451"/>
      <c r="C250" s="1451"/>
      <c r="K250" s="1451"/>
      <c r="L250" s="1451"/>
      <c r="U250" s="1530"/>
      <c r="V250" s="1530"/>
      <c r="W250" s="1530"/>
      <c r="X250" s="1530"/>
      <c r="Y250" s="1530"/>
      <c r="Z250" s="1530"/>
      <c r="AA250" s="1530"/>
      <c r="AB250" s="1530"/>
      <c r="AC250" s="1530"/>
      <c r="AD250" s="1530"/>
      <c r="AE250" s="1530"/>
      <c r="AF250" s="1530"/>
      <c r="AG250" s="1530"/>
      <c r="AH250" s="1530"/>
      <c r="AI250" s="1530"/>
      <c r="AJ250" s="1530"/>
      <c r="AK250" s="1530"/>
      <c r="AL250" s="1530"/>
      <c r="AM250" s="1530"/>
      <c r="AN250" s="1530"/>
      <c r="AO250" s="1530"/>
      <c r="AP250" s="1530"/>
      <c r="AQ250" s="1530"/>
      <c r="AR250" s="1530"/>
      <c r="AS250" s="1530"/>
      <c r="AT250" s="1530"/>
      <c r="AU250" s="1530"/>
      <c r="AV250" s="1530"/>
      <c r="AW250" s="1530"/>
      <c r="AX250" s="1530"/>
      <c r="AY250" s="1530"/>
      <c r="AZ250" s="1530"/>
      <c r="BA250" s="1530"/>
      <c r="BB250" s="1530"/>
      <c r="BC250" s="1530"/>
      <c r="BD250" s="1530"/>
      <c r="BE250" s="1530"/>
      <c r="BF250" s="1530"/>
      <c r="BG250" s="1530"/>
      <c r="BH250" s="1530"/>
      <c r="BI250" s="1530"/>
      <c r="BJ250" s="1530"/>
      <c r="BK250" s="1530"/>
      <c r="BL250" s="1530"/>
      <c r="BM250" s="1530"/>
      <c r="BN250" s="1530"/>
      <c r="BW250" s="1569"/>
      <c r="CO250" s="1530"/>
      <c r="CP250" s="1530"/>
      <c r="CQ250" s="1530"/>
      <c r="CR250" s="1530"/>
      <c r="CS250" s="1530"/>
      <c r="CT250" s="1530"/>
      <c r="CU250" s="1530"/>
      <c r="CV250" s="1530"/>
      <c r="CW250" s="1530"/>
      <c r="CX250" s="1530"/>
      <c r="CY250" s="1530"/>
      <c r="CZ250" s="1530"/>
      <c r="DA250" s="1530"/>
      <c r="DB250" s="1530"/>
      <c r="DC250" s="1530"/>
      <c r="DD250" s="1530"/>
      <c r="DE250" s="1530"/>
      <c r="DF250" s="1530"/>
      <c r="DG250" s="1530"/>
      <c r="DH250" s="1530"/>
      <c r="DI250" s="1530"/>
      <c r="DJ250" s="1530"/>
      <c r="DK250" s="1530"/>
      <c r="DL250" s="1530"/>
      <c r="DM250" s="1530"/>
      <c r="DN250" s="1571"/>
      <c r="DO250" s="1530"/>
      <c r="DP250" s="1530"/>
    </row>
    <row r="251" spans="1:120">
      <c r="A251" s="1451"/>
      <c r="C251" s="1451"/>
      <c r="K251" s="1451"/>
      <c r="L251" s="1451"/>
      <c r="U251" s="1530"/>
      <c r="V251" s="1530"/>
      <c r="W251" s="1530"/>
      <c r="X251" s="1530"/>
      <c r="Y251" s="1530"/>
      <c r="Z251" s="1530"/>
      <c r="AA251" s="1530"/>
      <c r="AB251" s="1530"/>
      <c r="AC251" s="1530"/>
      <c r="AD251" s="1530"/>
      <c r="AE251" s="1530"/>
      <c r="AF251" s="1530"/>
      <c r="AG251" s="1530"/>
      <c r="AH251" s="1530"/>
      <c r="AI251" s="1530"/>
      <c r="AJ251" s="1530"/>
      <c r="AK251" s="1530"/>
      <c r="AL251" s="1530"/>
      <c r="AM251" s="1530"/>
      <c r="AN251" s="1530"/>
      <c r="AO251" s="1530"/>
      <c r="AP251" s="1530"/>
      <c r="AQ251" s="1530"/>
      <c r="AR251" s="1530"/>
      <c r="AS251" s="1530"/>
      <c r="AT251" s="1530"/>
      <c r="AU251" s="1530"/>
      <c r="AV251" s="1530"/>
      <c r="AW251" s="1530"/>
      <c r="AX251" s="1530"/>
      <c r="AY251" s="1530"/>
      <c r="AZ251" s="1530"/>
      <c r="BA251" s="1530"/>
      <c r="BB251" s="1530"/>
      <c r="BC251" s="1530"/>
      <c r="BD251" s="1530"/>
      <c r="BE251" s="1530"/>
      <c r="BF251" s="1530"/>
      <c r="BG251" s="1530"/>
      <c r="BH251" s="1530"/>
      <c r="BI251" s="1530"/>
      <c r="BJ251" s="1530"/>
      <c r="BK251" s="1530"/>
      <c r="BL251" s="1530"/>
      <c r="BM251" s="1530"/>
      <c r="BN251" s="1530"/>
      <c r="BW251" s="1569"/>
      <c r="CO251" s="1530"/>
      <c r="CP251" s="1530"/>
      <c r="CQ251" s="1530"/>
      <c r="CR251" s="1530"/>
      <c r="CS251" s="1530"/>
      <c r="CT251" s="1530"/>
      <c r="CU251" s="1530"/>
      <c r="CV251" s="1530"/>
      <c r="CW251" s="1530"/>
      <c r="CX251" s="1530"/>
      <c r="CY251" s="1530"/>
      <c r="CZ251" s="1530"/>
      <c r="DA251" s="1530"/>
      <c r="DB251" s="1530"/>
      <c r="DC251" s="1530"/>
      <c r="DD251" s="1530"/>
      <c r="DE251" s="1530"/>
      <c r="DF251" s="1530"/>
      <c r="DG251" s="1530"/>
      <c r="DH251" s="1530"/>
      <c r="DI251" s="1530"/>
      <c r="DJ251" s="1530"/>
      <c r="DK251" s="1530"/>
      <c r="DL251" s="1530"/>
      <c r="DM251" s="1530"/>
      <c r="DN251" s="1571"/>
      <c r="DO251" s="1530"/>
      <c r="DP251" s="1530"/>
    </row>
    <row r="252" spans="1:120">
      <c r="A252" s="1451"/>
      <c r="C252" s="1451"/>
      <c r="K252" s="1451"/>
      <c r="L252" s="1451"/>
      <c r="U252" s="1530"/>
      <c r="V252" s="1530"/>
      <c r="W252" s="1530"/>
      <c r="X252" s="1530"/>
      <c r="Y252" s="1530"/>
      <c r="Z252" s="1530"/>
      <c r="AA252" s="1530"/>
      <c r="AB252" s="1530"/>
      <c r="AC252" s="1530"/>
      <c r="AD252" s="1530"/>
      <c r="AE252" s="1530"/>
      <c r="AF252" s="1530"/>
      <c r="AG252" s="1530"/>
      <c r="AH252" s="1530"/>
      <c r="AI252" s="1530"/>
      <c r="AJ252" s="1530"/>
      <c r="AK252" s="1530"/>
      <c r="AL252" s="1530"/>
      <c r="AM252" s="1530"/>
      <c r="AN252" s="1530"/>
      <c r="AO252" s="1530"/>
      <c r="AP252" s="1530"/>
      <c r="AQ252" s="1530"/>
      <c r="AR252" s="1530"/>
      <c r="AS252" s="1530"/>
      <c r="AT252" s="1530"/>
      <c r="AU252" s="1530"/>
      <c r="AV252" s="1530"/>
      <c r="AW252" s="1530"/>
      <c r="AX252" s="1530"/>
      <c r="AY252" s="1530"/>
      <c r="AZ252" s="1530"/>
      <c r="BA252" s="1530"/>
      <c r="BB252" s="1530"/>
      <c r="BC252" s="1530"/>
      <c r="BD252" s="1530"/>
      <c r="BE252" s="1530"/>
      <c r="BF252" s="1530"/>
      <c r="BG252" s="1530"/>
      <c r="BH252" s="1530"/>
      <c r="BI252" s="1530"/>
      <c r="BJ252" s="1530"/>
      <c r="BK252" s="1530"/>
      <c r="BL252" s="1530"/>
      <c r="BM252" s="1530"/>
      <c r="BN252" s="1530"/>
      <c r="BW252" s="1569"/>
      <c r="CO252" s="1530"/>
      <c r="CP252" s="1530"/>
      <c r="CQ252" s="1530"/>
      <c r="CR252" s="1530"/>
      <c r="CS252" s="1530"/>
      <c r="CT252" s="1530"/>
      <c r="CU252" s="1530"/>
      <c r="CV252" s="1530"/>
      <c r="CW252" s="1530"/>
      <c r="CX252" s="1530"/>
      <c r="CY252" s="1530"/>
      <c r="CZ252" s="1530"/>
      <c r="DA252" s="1530"/>
      <c r="DB252" s="1530"/>
      <c r="DC252" s="1530"/>
      <c r="DD252" s="1530"/>
      <c r="DE252" s="1530"/>
      <c r="DF252" s="1530"/>
      <c r="DG252" s="1530"/>
      <c r="DH252" s="1530"/>
      <c r="DI252" s="1530"/>
      <c r="DJ252" s="1530"/>
      <c r="DK252" s="1530"/>
      <c r="DL252" s="1530"/>
      <c r="DM252" s="1530"/>
      <c r="DN252" s="1571"/>
      <c r="DO252" s="1530"/>
      <c r="DP252" s="1530"/>
    </row>
    <row r="253" spans="1:120">
      <c r="A253" s="1451"/>
      <c r="C253" s="1451"/>
      <c r="K253" s="1451"/>
      <c r="L253" s="1451"/>
      <c r="U253" s="1530"/>
      <c r="V253" s="1530"/>
      <c r="W253" s="1530"/>
      <c r="X253" s="1530"/>
      <c r="Y253" s="1530"/>
      <c r="Z253" s="1530"/>
      <c r="AA253" s="1530"/>
      <c r="AB253" s="1530"/>
      <c r="AC253" s="1530"/>
      <c r="AD253" s="1530"/>
      <c r="AE253" s="1530"/>
      <c r="AF253" s="1530"/>
      <c r="AG253" s="1530"/>
      <c r="AH253" s="1530"/>
      <c r="AI253" s="1530"/>
      <c r="AJ253" s="1530"/>
      <c r="AK253" s="1530"/>
      <c r="AL253" s="1530"/>
      <c r="AM253" s="1530"/>
      <c r="AN253" s="1530"/>
      <c r="AO253" s="1530"/>
      <c r="AP253" s="1530"/>
      <c r="AQ253" s="1530"/>
      <c r="AR253" s="1530"/>
      <c r="AS253" s="1530"/>
      <c r="AT253" s="1530"/>
      <c r="AU253" s="1530"/>
      <c r="AV253" s="1530"/>
      <c r="AW253" s="1530"/>
      <c r="AX253" s="1530"/>
      <c r="AY253" s="1530"/>
      <c r="AZ253" s="1530"/>
      <c r="BA253" s="1530"/>
      <c r="BB253" s="1530"/>
      <c r="BC253" s="1530"/>
      <c r="BD253" s="1530"/>
      <c r="BE253" s="1530"/>
      <c r="BF253" s="1530"/>
      <c r="BG253" s="1530"/>
      <c r="BH253" s="1530"/>
      <c r="BI253" s="1530"/>
      <c r="BJ253" s="1530"/>
      <c r="BK253" s="1530"/>
      <c r="BL253" s="1530"/>
      <c r="BM253" s="1530"/>
      <c r="BN253" s="1530"/>
      <c r="BW253" s="1569"/>
      <c r="CO253" s="1530"/>
      <c r="CP253" s="1530"/>
      <c r="CQ253" s="1530"/>
      <c r="CR253" s="1530"/>
      <c r="CS253" s="1530"/>
      <c r="CT253" s="1530"/>
      <c r="CU253" s="1530"/>
      <c r="CV253" s="1530"/>
      <c r="CW253" s="1530"/>
      <c r="CX253" s="1530"/>
      <c r="CY253" s="1530"/>
      <c r="CZ253" s="1530"/>
      <c r="DA253" s="1530"/>
      <c r="DB253" s="1530"/>
      <c r="DC253" s="1530"/>
      <c r="DD253" s="1530"/>
      <c r="DE253" s="1530"/>
      <c r="DF253" s="1530"/>
      <c r="DG253" s="1530"/>
      <c r="DH253" s="1530"/>
      <c r="DI253" s="1530"/>
      <c r="DJ253" s="1530"/>
      <c r="DK253" s="1530"/>
      <c r="DL253" s="1530"/>
      <c r="DM253" s="1530"/>
      <c r="DN253" s="1571"/>
      <c r="DO253" s="1530"/>
      <c r="DP253" s="1530"/>
    </row>
    <row r="254" spans="1:120">
      <c r="A254" s="1451"/>
      <c r="C254" s="1451"/>
      <c r="K254" s="1451"/>
      <c r="L254" s="1451"/>
      <c r="U254" s="1530"/>
      <c r="V254" s="1530"/>
      <c r="W254" s="1530"/>
      <c r="X254" s="1530"/>
      <c r="Y254" s="1530"/>
      <c r="Z254" s="1530"/>
      <c r="AA254" s="1530"/>
      <c r="AB254" s="1530"/>
      <c r="AC254" s="1530"/>
      <c r="AD254" s="1530"/>
      <c r="AE254" s="1530"/>
      <c r="AF254" s="1530"/>
      <c r="AG254" s="1530"/>
      <c r="AH254" s="1530"/>
      <c r="AI254" s="1530"/>
      <c r="AJ254" s="1530"/>
      <c r="AK254" s="1530"/>
      <c r="AL254" s="1530"/>
      <c r="AM254" s="1530"/>
      <c r="AN254" s="1530"/>
      <c r="AO254" s="1530"/>
      <c r="AP254" s="1530"/>
      <c r="AQ254" s="1530"/>
      <c r="AR254" s="1530"/>
      <c r="AS254" s="1530"/>
      <c r="AT254" s="1530"/>
      <c r="AU254" s="1530"/>
      <c r="AV254" s="1530"/>
      <c r="AW254" s="1530"/>
      <c r="AX254" s="1530"/>
      <c r="AY254" s="1530"/>
      <c r="AZ254" s="1530"/>
      <c r="BA254" s="1530"/>
      <c r="BB254" s="1530"/>
      <c r="BC254" s="1530"/>
      <c r="BD254" s="1530"/>
      <c r="BE254" s="1530"/>
      <c r="BF254" s="1530"/>
      <c r="BG254" s="1530"/>
      <c r="BH254" s="1530"/>
      <c r="BI254" s="1530"/>
      <c r="BJ254" s="1530"/>
      <c r="BK254" s="1530"/>
      <c r="BL254" s="1530"/>
      <c r="BM254" s="1530"/>
      <c r="BN254" s="1530"/>
      <c r="BW254" s="1569"/>
      <c r="CO254" s="1530"/>
      <c r="CP254" s="1530"/>
      <c r="CQ254" s="1530"/>
      <c r="CR254" s="1530"/>
      <c r="CS254" s="1530"/>
      <c r="CT254" s="1530"/>
      <c r="CU254" s="1530"/>
      <c r="CV254" s="1530"/>
      <c r="CW254" s="1530"/>
      <c r="CX254" s="1530"/>
      <c r="CY254" s="1530"/>
      <c r="CZ254" s="1530"/>
      <c r="DA254" s="1530"/>
      <c r="DB254" s="1530"/>
      <c r="DC254" s="1530"/>
      <c r="DD254" s="1530"/>
      <c r="DE254" s="1530"/>
      <c r="DF254" s="1530"/>
      <c r="DG254" s="1530"/>
      <c r="DH254" s="1530"/>
      <c r="DI254" s="1530"/>
      <c r="DJ254" s="1530"/>
      <c r="DK254" s="1530"/>
      <c r="DL254" s="1530"/>
      <c r="DM254" s="1530"/>
      <c r="DN254" s="1571"/>
      <c r="DO254" s="1530"/>
      <c r="DP254" s="1530"/>
    </row>
    <row r="255" spans="1:120">
      <c r="A255" s="1451"/>
      <c r="C255" s="1451"/>
      <c r="K255" s="1451"/>
      <c r="L255" s="1451"/>
      <c r="U255" s="1530"/>
      <c r="V255" s="1530"/>
      <c r="W255" s="1530"/>
      <c r="X255" s="1530"/>
      <c r="Y255" s="1530"/>
      <c r="Z255" s="1530"/>
      <c r="AA255" s="1530"/>
      <c r="AB255" s="1530"/>
      <c r="AC255" s="1530"/>
      <c r="AD255" s="1530"/>
      <c r="AE255" s="1530"/>
      <c r="AF255" s="1530"/>
      <c r="AG255" s="1530"/>
      <c r="AH255" s="1530"/>
      <c r="AI255" s="1530"/>
      <c r="AJ255" s="1530"/>
      <c r="AK255" s="1530"/>
      <c r="AL255" s="1530"/>
      <c r="AM255" s="1530"/>
      <c r="AN255" s="1530"/>
      <c r="AO255" s="1530"/>
      <c r="AP255" s="1530"/>
      <c r="AQ255" s="1530"/>
      <c r="AR255" s="1530"/>
      <c r="AS255" s="1530"/>
      <c r="AT255" s="1530"/>
      <c r="AU255" s="1530"/>
      <c r="AV255" s="1530"/>
      <c r="AW255" s="1530"/>
      <c r="AX255" s="1530"/>
      <c r="AY255" s="1530"/>
      <c r="AZ255" s="1530"/>
      <c r="BA255" s="1530"/>
      <c r="BB255" s="1530"/>
      <c r="BC255" s="1530"/>
      <c r="BD255" s="1530"/>
      <c r="BE255" s="1530"/>
      <c r="BF255" s="1530"/>
      <c r="BG255" s="1530"/>
      <c r="BH255" s="1530"/>
      <c r="BI255" s="1530"/>
      <c r="BJ255" s="1530"/>
      <c r="BK255" s="1530"/>
      <c r="BL255" s="1530"/>
      <c r="BM255" s="1530"/>
      <c r="BN255" s="1530"/>
      <c r="BW255" s="1569"/>
      <c r="CO255" s="1530"/>
      <c r="CP255" s="1530"/>
      <c r="CQ255" s="1530"/>
      <c r="CR255" s="1530"/>
      <c r="CS255" s="1530"/>
      <c r="CT255" s="1530"/>
      <c r="CU255" s="1530"/>
      <c r="CV255" s="1530"/>
      <c r="CW255" s="1530"/>
      <c r="CX255" s="1530"/>
      <c r="CY255" s="1530"/>
      <c r="CZ255" s="1530"/>
      <c r="DA255" s="1530"/>
      <c r="DB255" s="1530"/>
      <c r="DC255" s="1530"/>
      <c r="DD255" s="1530"/>
      <c r="DE255" s="1530"/>
      <c r="DF255" s="1530"/>
      <c r="DG255" s="1530"/>
      <c r="DH255" s="1530"/>
      <c r="DI255" s="1530"/>
      <c r="DJ255" s="1530"/>
      <c r="DK255" s="1530"/>
      <c r="DL255" s="1530"/>
      <c r="DM255" s="1530"/>
      <c r="DN255" s="1571"/>
      <c r="DO255" s="1530"/>
      <c r="DP255" s="1530"/>
    </row>
    <row r="256" spans="1:120">
      <c r="A256" s="1451"/>
      <c r="C256" s="1451"/>
      <c r="K256" s="1451"/>
      <c r="L256" s="1451"/>
      <c r="U256" s="1530"/>
      <c r="V256" s="1530"/>
      <c r="W256" s="1530"/>
      <c r="X256" s="1530"/>
      <c r="Y256" s="1530"/>
      <c r="Z256" s="1530"/>
      <c r="AA256" s="1530"/>
      <c r="AB256" s="1530"/>
      <c r="AC256" s="1530"/>
      <c r="AD256" s="1530"/>
      <c r="AE256" s="1530"/>
      <c r="AF256" s="1530"/>
      <c r="AG256" s="1530"/>
      <c r="AH256" s="1530"/>
      <c r="AI256" s="1530"/>
      <c r="AJ256" s="1530"/>
      <c r="AK256" s="1530"/>
      <c r="AL256" s="1530"/>
      <c r="AM256" s="1530"/>
      <c r="AN256" s="1530"/>
      <c r="AO256" s="1530"/>
      <c r="AP256" s="1530"/>
      <c r="AQ256" s="1530"/>
      <c r="AR256" s="1530"/>
      <c r="AS256" s="1530"/>
      <c r="AT256" s="1530"/>
      <c r="AU256" s="1530"/>
      <c r="AV256" s="1530"/>
      <c r="AW256" s="1530"/>
      <c r="AX256" s="1530"/>
      <c r="AY256" s="1530"/>
      <c r="AZ256" s="1530"/>
      <c r="BA256" s="1530"/>
      <c r="BB256" s="1530"/>
      <c r="BC256" s="1530"/>
      <c r="BD256" s="1530"/>
      <c r="BE256" s="1530"/>
      <c r="BF256" s="1530"/>
      <c r="BG256" s="1530"/>
      <c r="BH256" s="1530"/>
      <c r="BI256" s="1530"/>
      <c r="BJ256" s="1530"/>
      <c r="BK256" s="1530"/>
      <c r="BL256" s="1530"/>
      <c r="BM256" s="1530"/>
      <c r="BN256" s="1530"/>
      <c r="BW256" s="1569"/>
      <c r="CO256" s="1530"/>
      <c r="CP256" s="1530"/>
      <c r="CQ256" s="1530"/>
      <c r="CR256" s="1530"/>
      <c r="CS256" s="1530"/>
      <c r="CT256" s="1530"/>
      <c r="CU256" s="1530"/>
      <c r="CV256" s="1530"/>
      <c r="CW256" s="1530"/>
      <c r="CX256" s="1530"/>
      <c r="CY256" s="1530"/>
      <c r="CZ256" s="1530"/>
      <c r="DA256" s="1530"/>
      <c r="DB256" s="1530"/>
      <c r="DC256" s="1530"/>
      <c r="DD256" s="1530"/>
      <c r="DE256" s="1530"/>
      <c r="DF256" s="1530"/>
      <c r="DG256" s="1530"/>
      <c r="DH256" s="1530"/>
      <c r="DI256" s="1530"/>
      <c r="DJ256" s="1530"/>
      <c r="DK256" s="1530"/>
      <c r="DL256" s="1530"/>
      <c r="DM256" s="1530"/>
      <c r="DN256" s="1571"/>
      <c r="DO256" s="1530"/>
      <c r="DP256" s="1530"/>
    </row>
    <row r="257" spans="1:120">
      <c r="A257" s="1451"/>
      <c r="C257" s="1451"/>
      <c r="K257" s="1451"/>
      <c r="L257" s="1451"/>
      <c r="U257" s="1530"/>
      <c r="V257" s="1530"/>
      <c r="W257" s="1530"/>
      <c r="X257" s="1530"/>
      <c r="Y257" s="1530"/>
      <c r="Z257" s="1530"/>
      <c r="AA257" s="1530"/>
      <c r="AB257" s="1530"/>
      <c r="AC257" s="1530"/>
      <c r="AD257" s="1530"/>
      <c r="AE257" s="1530"/>
      <c r="AF257" s="1530"/>
      <c r="AG257" s="1530"/>
      <c r="AH257" s="1530"/>
      <c r="AI257" s="1530"/>
      <c r="AJ257" s="1530"/>
      <c r="AK257" s="1530"/>
      <c r="AL257" s="1530"/>
      <c r="AM257" s="1530"/>
      <c r="AN257" s="1530"/>
      <c r="AO257" s="1530"/>
      <c r="AP257" s="1530"/>
      <c r="AQ257" s="1530"/>
      <c r="AR257" s="1530"/>
      <c r="AS257" s="1530"/>
      <c r="AT257" s="1530"/>
      <c r="AU257" s="1530"/>
      <c r="AV257" s="1530"/>
      <c r="AW257" s="1530"/>
      <c r="AX257" s="1530"/>
      <c r="AY257" s="1530"/>
      <c r="AZ257" s="1530"/>
      <c r="BA257" s="1530"/>
      <c r="BB257" s="1530"/>
      <c r="BC257" s="1530"/>
      <c r="BD257" s="1530"/>
      <c r="BE257" s="1530"/>
      <c r="BF257" s="1530"/>
      <c r="BG257" s="1530"/>
      <c r="BH257" s="1530"/>
      <c r="BI257" s="1530"/>
      <c r="BJ257" s="1530"/>
      <c r="BK257" s="1530"/>
      <c r="BL257" s="1530"/>
      <c r="BM257" s="1530"/>
      <c r="BN257" s="1530"/>
      <c r="BW257" s="1569"/>
      <c r="CO257" s="1530"/>
      <c r="CP257" s="1530"/>
      <c r="CQ257" s="1530"/>
      <c r="CR257" s="1530"/>
      <c r="CS257" s="1530"/>
      <c r="CT257" s="1530"/>
      <c r="CU257" s="1530"/>
      <c r="CV257" s="1530"/>
      <c r="CW257" s="1530"/>
      <c r="CX257" s="1530"/>
      <c r="CY257" s="1530"/>
      <c r="CZ257" s="1530"/>
      <c r="DA257" s="1530"/>
      <c r="DB257" s="1530"/>
      <c r="DC257" s="1530"/>
      <c r="DD257" s="1530"/>
      <c r="DE257" s="1530"/>
      <c r="DF257" s="1530"/>
      <c r="DG257" s="1530"/>
      <c r="DH257" s="1530"/>
      <c r="DI257" s="1530"/>
      <c r="DJ257" s="1530"/>
      <c r="DK257" s="1530"/>
      <c r="DL257" s="1530"/>
      <c r="DM257" s="1530"/>
      <c r="DN257" s="1571"/>
      <c r="DO257" s="1530"/>
      <c r="DP257" s="1530"/>
    </row>
    <row r="258" spans="1:120">
      <c r="A258" s="1451"/>
      <c r="C258" s="1451"/>
      <c r="K258" s="1451"/>
      <c r="L258" s="1451"/>
      <c r="U258" s="1530"/>
      <c r="V258" s="1530"/>
      <c r="W258" s="1530"/>
      <c r="X258" s="1530"/>
      <c r="Y258" s="1530"/>
      <c r="Z258" s="1530"/>
      <c r="AA258" s="1530"/>
      <c r="AB258" s="1530"/>
      <c r="AC258" s="1530"/>
      <c r="AD258" s="1530"/>
      <c r="AE258" s="1530"/>
      <c r="AF258" s="1530"/>
      <c r="AG258" s="1530"/>
      <c r="AH258" s="1530"/>
      <c r="AI258" s="1530"/>
      <c r="AJ258" s="1530"/>
      <c r="AK258" s="1530"/>
      <c r="AL258" s="1530"/>
      <c r="AM258" s="1530"/>
      <c r="AN258" s="1530"/>
      <c r="AO258" s="1530"/>
      <c r="AP258" s="1530"/>
      <c r="AQ258" s="1530"/>
      <c r="AR258" s="1530"/>
      <c r="AS258" s="1530"/>
      <c r="AT258" s="1530"/>
      <c r="AU258" s="1530"/>
      <c r="AV258" s="1530"/>
      <c r="AW258" s="1530"/>
      <c r="AX258" s="1530"/>
      <c r="AY258" s="1530"/>
      <c r="AZ258" s="1530"/>
      <c r="BA258" s="1530"/>
      <c r="BB258" s="1530"/>
      <c r="BC258" s="1530"/>
      <c r="BD258" s="1530"/>
      <c r="BE258" s="1530"/>
      <c r="BF258" s="1530"/>
      <c r="BG258" s="1530"/>
      <c r="BH258" s="1530"/>
      <c r="BI258" s="1530"/>
      <c r="BJ258" s="1530"/>
      <c r="BK258" s="1530"/>
      <c r="BL258" s="1530"/>
      <c r="BM258" s="1530"/>
      <c r="BN258" s="1530"/>
      <c r="BW258" s="1569"/>
      <c r="CO258" s="1530"/>
      <c r="CP258" s="1530"/>
      <c r="CQ258" s="1530"/>
      <c r="CR258" s="1530"/>
      <c r="CS258" s="1530"/>
      <c r="CT258" s="1530"/>
      <c r="CU258" s="1530"/>
      <c r="CV258" s="1530"/>
      <c r="CW258" s="1530"/>
      <c r="CX258" s="1530"/>
      <c r="CY258" s="1530"/>
      <c r="CZ258" s="1530"/>
      <c r="DA258" s="1530"/>
      <c r="DB258" s="1530"/>
      <c r="DC258" s="1530"/>
      <c r="DD258" s="1530"/>
      <c r="DE258" s="1530"/>
      <c r="DF258" s="1530"/>
      <c r="DG258" s="1530"/>
      <c r="DH258" s="1530"/>
      <c r="DI258" s="1530"/>
      <c r="DJ258" s="1530"/>
      <c r="DK258" s="1530"/>
      <c r="DL258" s="1530"/>
      <c r="DM258" s="1530"/>
      <c r="DN258" s="1571"/>
      <c r="DO258" s="1530"/>
      <c r="DP258" s="1530"/>
    </row>
    <row r="259" spans="1:120">
      <c r="A259" s="1451"/>
      <c r="C259" s="1451"/>
      <c r="K259" s="1451"/>
      <c r="L259" s="1451"/>
      <c r="U259" s="1530"/>
      <c r="V259" s="1530"/>
      <c r="W259" s="1530"/>
      <c r="X259" s="1530"/>
      <c r="Y259" s="1530"/>
      <c r="Z259" s="1530"/>
      <c r="AA259" s="1530"/>
      <c r="AB259" s="1530"/>
      <c r="AC259" s="1530"/>
      <c r="AD259" s="1530"/>
      <c r="AE259" s="1530"/>
      <c r="AF259" s="1530"/>
      <c r="AG259" s="1530"/>
      <c r="AH259" s="1530"/>
      <c r="AI259" s="1530"/>
      <c r="AJ259" s="1530"/>
      <c r="AK259" s="1530"/>
      <c r="AL259" s="1530"/>
      <c r="AM259" s="1530"/>
      <c r="AN259" s="1530"/>
      <c r="AO259" s="1530"/>
      <c r="AP259" s="1530"/>
      <c r="AQ259" s="1530"/>
      <c r="AR259" s="1530"/>
      <c r="AS259" s="1530"/>
      <c r="AT259" s="1530"/>
      <c r="AU259" s="1530"/>
      <c r="AV259" s="1530"/>
      <c r="AW259" s="1530"/>
      <c r="AX259" s="1530"/>
      <c r="AY259" s="1530"/>
      <c r="AZ259" s="1530"/>
      <c r="BA259" s="1530"/>
      <c r="BB259" s="1530"/>
      <c r="BC259" s="1530"/>
      <c r="BD259" s="1530"/>
      <c r="BE259" s="1530"/>
      <c r="BF259" s="1530"/>
      <c r="BG259" s="1530"/>
      <c r="BH259" s="1530"/>
      <c r="BI259" s="1530"/>
      <c r="BJ259" s="1530"/>
      <c r="BK259" s="1530"/>
      <c r="BL259" s="1530"/>
      <c r="BM259" s="1530"/>
      <c r="BN259" s="1530"/>
      <c r="BW259" s="1569"/>
      <c r="CO259" s="1530"/>
      <c r="CP259" s="1530"/>
      <c r="CQ259" s="1530"/>
      <c r="CR259" s="1530"/>
      <c r="CS259" s="1530"/>
      <c r="CT259" s="1530"/>
      <c r="CU259" s="1530"/>
      <c r="CV259" s="1530"/>
      <c r="CW259" s="1530"/>
      <c r="CX259" s="1530"/>
      <c r="CY259" s="1530"/>
      <c r="CZ259" s="1530"/>
      <c r="DA259" s="1530"/>
      <c r="DB259" s="1530"/>
      <c r="DC259" s="1530"/>
      <c r="DD259" s="1530"/>
      <c r="DE259" s="1530"/>
      <c r="DF259" s="1530"/>
      <c r="DG259" s="1530"/>
      <c r="DH259" s="1530"/>
      <c r="DI259" s="1530"/>
      <c r="DJ259" s="1530"/>
      <c r="DK259" s="1530"/>
      <c r="DL259" s="1530"/>
      <c r="DM259" s="1530"/>
      <c r="DN259" s="1571"/>
      <c r="DO259" s="1530"/>
      <c r="DP259" s="1530"/>
    </row>
    <row r="260" spans="1:120">
      <c r="A260" s="1451"/>
      <c r="C260" s="1451"/>
      <c r="K260" s="1451"/>
      <c r="L260" s="1451"/>
      <c r="U260" s="1530"/>
      <c r="V260" s="1530"/>
      <c r="W260" s="1530"/>
      <c r="X260" s="1530"/>
      <c r="Y260" s="1530"/>
      <c r="Z260" s="1530"/>
      <c r="AA260" s="1530"/>
      <c r="AB260" s="1530"/>
      <c r="AC260" s="1530"/>
      <c r="AD260" s="1530"/>
      <c r="AE260" s="1530"/>
      <c r="AF260" s="1530"/>
      <c r="AG260" s="1530"/>
      <c r="AH260" s="1530"/>
      <c r="AI260" s="1530"/>
      <c r="AJ260" s="1530"/>
      <c r="AK260" s="1530"/>
      <c r="AL260" s="1530"/>
      <c r="AM260" s="1530"/>
      <c r="AN260" s="1530"/>
      <c r="AO260" s="1530"/>
      <c r="AP260" s="1530"/>
      <c r="AQ260" s="1530"/>
      <c r="AR260" s="1530"/>
      <c r="AS260" s="1530"/>
      <c r="AT260" s="1530"/>
      <c r="AU260" s="1530"/>
      <c r="AV260" s="1530"/>
      <c r="AW260" s="1530"/>
      <c r="AX260" s="1530"/>
      <c r="AY260" s="1530"/>
      <c r="AZ260" s="1530"/>
      <c r="BA260" s="1530"/>
      <c r="BB260" s="1530"/>
      <c r="BC260" s="1530"/>
      <c r="BD260" s="1530"/>
      <c r="BE260" s="1530"/>
      <c r="BF260" s="1530"/>
      <c r="BG260" s="1530"/>
      <c r="BH260" s="1530"/>
      <c r="BI260" s="1530"/>
      <c r="BJ260" s="1530"/>
      <c r="BK260" s="1530"/>
      <c r="BL260" s="1530"/>
      <c r="BM260" s="1530"/>
      <c r="BN260" s="1530"/>
      <c r="BW260" s="1569"/>
      <c r="CO260" s="1530"/>
      <c r="CP260" s="1530"/>
      <c r="CQ260" s="1530"/>
      <c r="CR260" s="1530"/>
      <c r="CS260" s="1530"/>
      <c r="CT260" s="1530"/>
      <c r="CU260" s="1530"/>
      <c r="CV260" s="1530"/>
      <c r="CW260" s="1530"/>
      <c r="CX260" s="1530"/>
      <c r="CY260" s="1530"/>
      <c r="CZ260" s="1530"/>
      <c r="DA260" s="1530"/>
      <c r="DB260" s="1530"/>
      <c r="DC260" s="1530"/>
      <c r="DD260" s="1530"/>
      <c r="DE260" s="1530"/>
      <c r="DF260" s="1530"/>
      <c r="DG260" s="1530"/>
      <c r="DH260" s="1530"/>
      <c r="DI260" s="1530"/>
      <c r="DJ260" s="1530"/>
      <c r="DK260" s="1530"/>
      <c r="DL260" s="1530"/>
      <c r="DM260" s="1530"/>
      <c r="DN260" s="1571"/>
      <c r="DO260" s="1530"/>
      <c r="DP260" s="1530"/>
    </row>
    <row r="261" spans="1:120">
      <c r="A261" s="1451"/>
      <c r="C261" s="1451"/>
      <c r="K261" s="1451"/>
      <c r="L261" s="1451"/>
      <c r="U261" s="1530"/>
      <c r="V261" s="1530"/>
      <c r="W261" s="1530"/>
      <c r="X261" s="1530"/>
      <c r="Y261" s="1530"/>
      <c r="Z261" s="1530"/>
      <c r="AA261" s="1530"/>
      <c r="AB261" s="1530"/>
      <c r="AC261" s="1530"/>
      <c r="AD261" s="1530"/>
      <c r="AE261" s="1530"/>
      <c r="AF261" s="1530"/>
      <c r="AG261" s="1530"/>
      <c r="AH261" s="1530"/>
      <c r="AI261" s="1530"/>
      <c r="AJ261" s="1530"/>
      <c r="AK261" s="1530"/>
      <c r="AL261" s="1530"/>
      <c r="AM261" s="1530"/>
      <c r="AN261" s="1530"/>
      <c r="AO261" s="1530"/>
      <c r="AP261" s="1530"/>
      <c r="AQ261" s="1530"/>
      <c r="AR261" s="1530"/>
      <c r="AS261" s="1530"/>
      <c r="AT261" s="1530"/>
      <c r="AU261" s="1530"/>
      <c r="AV261" s="1530"/>
      <c r="AW261" s="1530"/>
      <c r="AX261" s="1530"/>
      <c r="AY261" s="1530"/>
      <c r="AZ261" s="1530"/>
      <c r="BA261" s="1530"/>
      <c r="BB261" s="1530"/>
      <c r="BC261" s="1530"/>
      <c r="BD261" s="1530"/>
      <c r="BE261" s="1530"/>
      <c r="BF261" s="1530"/>
      <c r="BG261" s="1530"/>
      <c r="BH261" s="1530"/>
      <c r="BI261" s="1530"/>
      <c r="BJ261" s="1530"/>
      <c r="BK261" s="1530"/>
      <c r="BL261" s="1530"/>
      <c r="BM261" s="1530"/>
      <c r="BN261" s="1530"/>
      <c r="BW261" s="1569"/>
      <c r="CO261" s="1530"/>
      <c r="CP261" s="1530"/>
      <c r="CQ261" s="1530"/>
      <c r="CR261" s="1530"/>
      <c r="CS261" s="1530"/>
      <c r="CT261" s="1530"/>
      <c r="CU261" s="1530"/>
      <c r="CV261" s="1530"/>
      <c r="CW261" s="1530"/>
      <c r="CX261" s="1530"/>
      <c r="CY261" s="1530"/>
      <c r="CZ261" s="1530"/>
      <c r="DA261" s="1530"/>
      <c r="DB261" s="1530"/>
      <c r="DC261" s="1530"/>
      <c r="DD261" s="1530"/>
      <c r="DE261" s="1530"/>
      <c r="DF261" s="1530"/>
      <c r="DG261" s="1530"/>
      <c r="DH261" s="1530"/>
      <c r="DI261" s="1530"/>
      <c r="DJ261" s="1530"/>
      <c r="DK261" s="1530"/>
      <c r="DL261" s="1530"/>
      <c r="DM261" s="1530"/>
      <c r="DN261" s="1571"/>
      <c r="DO261" s="1530"/>
      <c r="DP261" s="1530"/>
    </row>
    <row r="262" spans="1:120">
      <c r="A262" s="1451"/>
      <c r="C262" s="1451"/>
      <c r="K262" s="1451"/>
      <c r="L262" s="1451"/>
      <c r="U262" s="1530"/>
      <c r="V262" s="1530"/>
      <c r="W262" s="1530"/>
      <c r="X262" s="1530"/>
      <c r="Y262" s="1530"/>
      <c r="Z262" s="1530"/>
      <c r="AA262" s="1530"/>
      <c r="AB262" s="1530"/>
      <c r="AC262" s="1530"/>
      <c r="AD262" s="1530"/>
      <c r="AE262" s="1530"/>
      <c r="AF262" s="1530"/>
      <c r="AG262" s="1530"/>
      <c r="AH262" s="1530"/>
      <c r="AI262" s="1530"/>
      <c r="AJ262" s="1530"/>
      <c r="AK262" s="1530"/>
      <c r="AL262" s="1530"/>
      <c r="AM262" s="1530"/>
      <c r="AN262" s="1530"/>
      <c r="AO262" s="1530"/>
      <c r="AP262" s="1530"/>
      <c r="AQ262" s="1530"/>
      <c r="AR262" s="1530"/>
      <c r="AS262" s="1530"/>
      <c r="AT262" s="1530"/>
      <c r="AU262" s="1530"/>
      <c r="AV262" s="1530"/>
      <c r="AW262" s="1530"/>
      <c r="AX262" s="1530"/>
      <c r="AY262" s="1530"/>
      <c r="AZ262" s="1530"/>
      <c r="BA262" s="1530"/>
      <c r="BB262" s="1530"/>
      <c r="BC262" s="1530"/>
      <c r="BD262" s="1530"/>
      <c r="BE262" s="1530"/>
      <c r="BF262" s="1530"/>
      <c r="BG262" s="1530"/>
      <c r="BH262" s="1530"/>
      <c r="BI262" s="1530"/>
      <c r="BJ262" s="1530"/>
      <c r="BK262" s="1530"/>
      <c r="BL262" s="1530"/>
      <c r="BM262" s="1530"/>
      <c r="BN262" s="1530"/>
      <c r="BW262" s="1569"/>
      <c r="CO262" s="1530"/>
      <c r="CP262" s="1530"/>
      <c r="CQ262" s="1530"/>
      <c r="CR262" s="1530"/>
      <c r="CS262" s="1530"/>
      <c r="CT262" s="1530"/>
      <c r="CU262" s="1530"/>
      <c r="CV262" s="1530"/>
      <c r="CW262" s="1530"/>
      <c r="CX262" s="1530"/>
      <c r="CY262" s="1530"/>
      <c r="CZ262" s="1530"/>
      <c r="DA262" s="1530"/>
      <c r="DB262" s="1530"/>
      <c r="DC262" s="1530"/>
      <c r="DD262" s="1530"/>
      <c r="DE262" s="1530"/>
      <c r="DF262" s="1530"/>
      <c r="DG262" s="1530"/>
      <c r="DH262" s="1530"/>
      <c r="DI262" s="1530"/>
      <c r="DJ262" s="1530"/>
      <c r="DK262" s="1530"/>
      <c r="DL262" s="1530"/>
      <c r="DM262" s="1530"/>
      <c r="DN262" s="1571"/>
      <c r="DO262" s="1530"/>
      <c r="DP262" s="1530"/>
    </row>
    <row r="263" spans="1:120">
      <c r="A263" s="1451"/>
      <c r="C263" s="1451"/>
      <c r="K263" s="1451"/>
      <c r="L263" s="1451"/>
      <c r="U263" s="1530"/>
      <c r="V263" s="1530"/>
      <c r="W263" s="1530"/>
      <c r="X263" s="1530"/>
      <c r="Y263" s="1530"/>
      <c r="Z263" s="1530"/>
      <c r="AA263" s="1530"/>
      <c r="AB263" s="1530"/>
      <c r="AC263" s="1530"/>
      <c r="AD263" s="1530"/>
      <c r="AE263" s="1530"/>
      <c r="AF263" s="1530"/>
      <c r="AG263" s="1530"/>
      <c r="AH263" s="1530"/>
      <c r="AI263" s="1530"/>
      <c r="AJ263" s="1530"/>
      <c r="AK263" s="1530"/>
      <c r="AL263" s="1530"/>
      <c r="AM263" s="1530"/>
      <c r="AN263" s="1530"/>
      <c r="AO263" s="1530"/>
      <c r="AP263" s="1530"/>
      <c r="AQ263" s="1530"/>
      <c r="AR263" s="1530"/>
      <c r="AS263" s="1530"/>
      <c r="AT263" s="1530"/>
      <c r="AU263" s="1530"/>
      <c r="AV263" s="1530"/>
      <c r="AW263" s="1530"/>
      <c r="AX263" s="1530"/>
      <c r="AY263" s="1530"/>
      <c r="AZ263" s="1530"/>
      <c r="BA263" s="1530"/>
      <c r="BB263" s="1530"/>
      <c r="BC263" s="1530"/>
      <c r="BD263" s="1530"/>
      <c r="BE263" s="1530"/>
      <c r="BF263" s="1530"/>
      <c r="BG263" s="1530"/>
      <c r="BH263" s="1530"/>
      <c r="BI263" s="1530"/>
      <c r="BJ263" s="1530"/>
      <c r="BK263" s="1530"/>
      <c r="BL263" s="1530"/>
      <c r="BM263" s="1530"/>
      <c r="BN263" s="1530"/>
      <c r="BW263" s="1569"/>
      <c r="CO263" s="1530"/>
      <c r="CP263" s="1530"/>
      <c r="CQ263" s="1530"/>
      <c r="CR263" s="1530"/>
      <c r="CS263" s="1530"/>
      <c r="CT263" s="1530"/>
      <c r="CU263" s="1530"/>
      <c r="CV263" s="1530"/>
      <c r="CW263" s="1530"/>
      <c r="CX263" s="1530"/>
      <c r="CY263" s="1530"/>
      <c r="CZ263" s="1530"/>
      <c r="DA263" s="1530"/>
      <c r="DB263" s="1530"/>
      <c r="DC263" s="1530"/>
      <c r="DD263" s="1530"/>
      <c r="DE263" s="1530"/>
      <c r="DF263" s="1530"/>
      <c r="DG263" s="1530"/>
      <c r="DH263" s="1530"/>
      <c r="DI263" s="1530"/>
      <c r="DJ263" s="1530"/>
      <c r="DK263" s="1530"/>
      <c r="DL263" s="1530"/>
      <c r="DM263" s="1530"/>
      <c r="DN263" s="1571"/>
      <c r="DO263" s="1530"/>
      <c r="DP263" s="1530"/>
    </row>
    <row r="264" spans="1:120">
      <c r="A264" s="1451"/>
      <c r="C264" s="1451"/>
      <c r="K264" s="1451"/>
      <c r="L264" s="1451"/>
      <c r="U264" s="1530"/>
      <c r="V264" s="1530"/>
      <c r="W264" s="1530"/>
      <c r="X264" s="1530"/>
      <c r="Y264" s="1530"/>
      <c r="Z264" s="1530"/>
      <c r="AA264" s="1530"/>
      <c r="AB264" s="1530"/>
      <c r="AC264" s="1530"/>
      <c r="AD264" s="1530"/>
      <c r="AE264" s="1530"/>
      <c r="AF264" s="1530"/>
      <c r="AG264" s="1530"/>
      <c r="AH264" s="1530"/>
      <c r="AI264" s="1530"/>
      <c r="AJ264" s="1530"/>
      <c r="AK264" s="1530"/>
      <c r="AL264" s="1530"/>
      <c r="AM264" s="1530"/>
      <c r="AN264" s="1530"/>
      <c r="AO264" s="1530"/>
      <c r="AP264" s="1530"/>
      <c r="AQ264" s="1530"/>
      <c r="AR264" s="1530"/>
      <c r="AS264" s="1530"/>
      <c r="AT264" s="1530"/>
      <c r="AU264" s="1530"/>
      <c r="AV264" s="1530"/>
      <c r="AW264" s="1530"/>
      <c r="AX264" s="1530"/>
      <c r="AY264" s="1530"/>
      <c r="AZ264" s="1530"/>
      <c r="BA264" s="1530"/>
      <c r="BB264" s="1530"/>
      <c r="BC264" s="1530"/>
      <c r="BD264" s="1530"/>
      <c r="BE264" s="1530"/>
      <c r="BF264" s="1530"/>
      <c r="BG264" s="1530"/>
      <c r="BH264" s="1530"/>
      <c r="BI264" s="1530"/>
      <c r="BJ264" s="1530"/>
      <c r="BK264" s="1530"/>
      <c r="BL264" s="1530"/>
      <c r="BM264" s="1530"/>
      <c r="BN264" s="1530"/>
      <c r="BW264" s="1569"/>
      <c r="CO264" s="1530"/>
      <c r="CP264" s="1530"/>
      <c r="CQ264" s="1530"/>
      <c r="CR264" s="1530"/>
      <c r="CS264" s="1530"/>
      <c r="CT264" s="1530"/>
      <c r="CU264" s="1530"/>
      <c r="CV264" s="1530"/>
      <c r="CW264" s="1530"/>
      <c r="CX264" s="1530"/>
      <c r="CY264" s="1530"/>
      <c r="CZ264" s="1530"/>
      <c r="DA264" s="1530"/>
      <c r="DB264" s="1530"/>
      <c r="DC264" s="1530"/>
      <c r="DD264" s="1530"/>
      <c r="DE264" s="1530"/>
      <c r="DF264" s="1530"/>
      <c r="DG264" s="1530"/>
      <c r="DH264" s="1530"/>
      <c r="DI264" s="1530"/>
      <c r="DJ264" s="1530"/>
      <c r="DK264" s="1530"/>
      <c r="DL264" s="1530"/>
      <c r="DM264" s="1530"/>
      <c r="DN264" s="1571"/>
      <c r="DO264" s="1530"/>
      <c r="DP264" s="1530"/>
    </row>
    <row r="265" spans="1:120">
      <c r="A265" s="1451"/>
      <c r="C265" s="1451"/>
      <c r="K265" s="1451"/>
      <c r="L265" s="1451"/>
      <c r="U265" s="1530"/>
      <c r="V265" s="1530"/>
      <c r="W265" s="1530"/>
      <c r="X265" s="1530"/>
      <c r="Y265" s="1530"/>
      <c r="Z265" s="1530"/>
      <c r="AA265" s="1530"/>
      <c r="AB265" s="1530"/>
      <c r="AC265" s="1530"/>
      <c r="AD265" s="1530"/>
      <c r="AE265" s="1530"/>
      <c r="AF265" s="1530"/>
      <c r="AG265" s="1530"/>
      <c r="AH265" s="1530"/>
      <c r="AI265" s="1530"/>
      <c r="AJ265" s="1530"/>
      <c r="AK265" s="1530"/>
      <c r="AL265" s="1530"/>
      <c r="AM265" s="1530"/>
      <c r="AN265" s="1530"/>
      <c r="AO265" s="1530"/>
      <c r="AP265" s="1530"/>
      <c r="AQ265" s="1530"/>
      <c r="AR265" s="1530"/>
      <c r="AS265" s="1530"/>
      <c r="AT265" s="1530"/>
      <c r="AU265" s="1530"/>
      <c r="AV265" s="1530"/>
      <c r="AW265" s="1530"/>
      <c r="AX265" s="1530"/>
      <c r="AY265" s="1530"/>
      <c r="AZ265" s="1530"/>
      <c r="BA265" s="1530"/>
      <c r="BB265" s="1530"/>
      <c r="BC265" s="1530"/>
      <c r="BD265" s="1530"/>
      <c r="BE265" s="1530"/>
      <c r="BF265" s="1530"/>
      <c r="BG265" s="1530"/>
      <c r="BH265" s="1530"/>
      <c r="BI265" s="1530"/>
      <c r="BJ265" s="1530"/>
      <c r="BK265" s="1530"/>
      <c r="BL265" s="1530"/>
      <c r="BM265" s="1530"/>
      <c r="BN265" s="1530"/>
      <c r="BW265" s="1569"/>
      <c r="CO265" s="1530"/>
      <c r="CP265" s="1530"/>
      <c r="CQ265" s="1530"/>
      <c r="CR265" s="1530"/>
      <c r="CS265" s="1530"/>
      <c r="CT265" s="1530"/>
      <c r="CU265" s="1530"/>
      <c r="CV265" s="1530"/>
      <c r="CW265" s="1530"/>
      <c r="CX265" s="1530"/>
      <c r="CY265" s="1530"/>
      <c r="CZ265" s="1530"/>
      <c r="DA265" s="1530"/>
      <c r="DB265" s="1530"/>
      <c r="DC265" s="1530"/>
      <c r="DD265" s="1530"/>
      <c r="DE265" s="1530"/>
      <c r="DF265" s="1530"/>
      <c r="DG265" s="1530"/>
      <c r="DH265" s="1530"/>
      <c r="DI265" s="1530"/>
      <c r="DJ265" s="1530"/>
      <c r="DK265" s="1530"/>
      <c r="DL265" s="1530"/>
      <c r="DM265" s="1530"/>
      <c r="DN265" s="1571"/>
      <c r="DO265" s="1530"/>
      <c r="DP265" s="1530"/>
    </row>
    <row r="266" spans="1:120">
      <c r="A266" s="1451"/>
      <c r="C266" s="1451"/>
      <c r="K266" s="1451"/>
      <c r="L266" s="1451"/>
      <c r="U266" s="1530"/>
      <c r="V266" s="1530"/>
      <c r="W266" s="1530"/>
      <c r="X266" s="1530"/>
      <c r="Y266" s="1530"/>
      <c r="Z266" s="1530"/>
      <c r="AA266" s="1530"/>
      <c r="AB266" s="1530"/>
      <c r="AC266" s="1530"/>
      <c r="AD266" s="1530"/>
      <c r="AE266" s="1530"/>
      <c r="AF266" s="1530"/>
      <c r="AG266" s="1530"/>
      <c r="AH266" s="1530"/>
      <c r="AI266" s="1530"/>
      <c r="AJ266" s="1530"/>
      <c r="AK266" s="1530"/>
      <c r="AL266" s="1530"/>
      <c r="AM266" s="1530"/>
      <c r="AN266" s="1530"/>
      <c r="AO266" s="1530"/>
      <c r="AP266" s="1530"/>
      <c r="AQ266" s="1530"/>
      <c r="AR266" s="1530"/>
      <c r="AS266" s="1530"/>
      <c r="AT266" s="1530"/>
      <c r="AU266" s="1530"/>
      <c r="AV266" s="1530"/>
      <c r="AW266" s="1530"/>
      <c r="AX266" s="1530"/>
      <c r="AY266" s="1530"/>
      <c r="AZ266" s="1530"/>
      <c r="BA266" s="1530"/>
      <c r="BB266" s="1530"/>
      <c r="BC266" s="1530"/>
      <c r="BD266" s="1530"/>
      <c r="BE266" s="1530"/>
      <c r="BF266" s="1530"/>
      <c r="BG266" s="1530"/>
      <c r="BH266" s="1530"/>
      <c r="BI266" s="1530"/>
      <c r="BJ266" s="1530"/>
      <c r="BK266" s="1530"/>
      <c r="BL266" s="1530"/>
      <c r="BM266" s="1530"/>
      <c r="BN266" s="1530"/>
      <c r="BW266" s="1569"/>
      <c r="CO266" s="1530"/>
      <c r="CP266" s="1530"/>
      <c r="CQ266" s="1530"/>
      <c r="CR266" s="1530"/>
      <c r="CS266" s="1530"/>
      <c r="CT266" s="1530"/>
      <c r="CU266" s="1530"/>
      <c r="CV266" s="1530"/>
      <c r="CW266" s="1530"/>
      <c r="CX266" s="1530"/>
      <c r="CY266" s="1530"/>
      <c r="CZ266" s="1530"/>
      <c r="DA266" s="1530"/>
      <c r="DB266" s="1530"/>
      <c r="DC266" s="1530"/>
      <c r="DD266" s="1530"/>
      <c r="DE266" s="1530"/>
      <c r="DF266" s="1530"/>
      <c r="DG266" s="1530"/>
      <c r="DH266" s="1530"/>
      <c r="DI266" s="1530"/>
      <c r="DJ266" s="1530"/>
      <c r="DK266" s="1530"/>
      <c r="DL266" s="1530"/>
      <c r="DM266" s="1530"/>
      <c r="DN266" s="1571"/>
      <c r="DO266" s="1530"/>
      <c r="DP266" s="1530"/>
    </row>
    <row r="267" spans="1:120">
      <c r="A267" s="1451"/>
      <c r="C267" s="1451"/>
      <c r="K267" s="1451"/>
      <c r="L267" s="1451"/>
      <c r="U267" s="1530"/>
      <c r="V267" s="1530"/>
      <c r="W267" s="1530"/>
      <c r="X267" s="1530"/>
      <c r="Y267" s="1530"/>
      <c r="Z267" s="1530"/>
      <c r="AA267" s="1530"/>
      <c r="AB267" s="1530"/>
      <c r="AC267" s="1530"/>
      <c r="AD267" s="1530"/>
      <c r="AE267" s="1530"/>
      <c r="AF267" s="1530"/>
      <c r="AG267" s="1530"/>
      <c r="AH267" s="1530"/>
      <c r="AI267" s="1530"/>
      <c r="AJ267" s="1530"/>
      <c r="AK267" s="1530"/>
      <c r="AL267" s="1530"/>
      <c r="AM267" s="1530"/>
      <c r="AN267" s="1530"/>
      <c r="AO267" s="1530"/>
      <c r="AP267" s="1530"/>
      <c r="AQ267" s="1530"/>
      <c r="AR267" s="1530"/>
      <c r="AS267" s="1530"/>
      <c r="AT267" s="1530"/>
      <c r="AU267" s="1530"/>
      <c r="AV267" s="1530"/>
      <c r="AW267" s="1530"/>
      <c r="AX267" s="1530"/>
      <c r="AY267" s="1530"/>
      <c r="AZ267" s="1530"/>
      <c r="BA267" s="1530"/>
      <c r="BB267" s="1530"/>
      <c r="BC267" s="1530"/>
      <c r="BD267" s="1530"/>
      <c r="BE267" s="1530"/>
      <c r="BF267" s="1530"/>
      <c r="BG267" s="1530"/>
      <c r="BH267" s="1530"/>
      <c r="BI267" s="1530"/>
      <c r="BJ267" s="1530"/>
      <c r="BK267" s="1530"/>
      <c r="BL267" s="1530"/>
      <c r="BM267" s="1530"/>
      <c r="BN267" s="1530"/>
      <c r="BW267" s="1569"/>
      <c r="CO267" s="1530"/>
      <c r="CP267" s="1530"/>
      <c r="CQ267" s="1530"/>
      <c r="CR267" s="1530"/>
      <c r="CS267" s="1530"/>
      <c r="CT267" s="1530"/>
      <c r="CU267" s="1530"/>
      <c r="CV267" s="1530"/>
      <c r="CW267" s="1530"/>
      <c r="CX267" s="1530"/>
      <c r="CY267" s="1530"/>
      <c r="CZ267" s="1530"/>
      <c r="DA267" s="1530"/>
      <c r="DB267" s="1530"/>
      <c r="DC267" s="1530"/>
      <c r="DD267" s="1530"/>
      <c r="DE267" s="1530"/>
      <c r="DF267" s="1530"/>
      <c r="DG267" s="1530"/>
      <c r="DH267" s="1530"/>
      <c r="DI267" s="1530"/>
      <c r="DJ267" s="1530"/>
      <c r="DK267" s="1530"/>
      <c r="DL267" s="1530"/>
      <c r="DM267" s="1530"/>
      <c r="DN267" s="1571"/>
      <c r="DO267" s="1530"/>
      <c r="DP267" s="1530"/>
    </row>
    <row r="268" spans="1:120">
      <c r="A268" s="1451"/>
      <c r="C268" s="1451"/>
      <c r="K268" s="1451"/>
      <c r="L268" s="1451"/>
      <c r="U268" s="1530"/>
      <c r="V268" s="1530"/>
      <c r="W268" s="1530"/>
      <c r="X268" s="1530"/>
      <c r="Y268" s="1530"/>
      <c r="Z268" s="1530"/>
      <c r="AA268" s="1530"/>
      <c r="AB268" s="1530"/>
      <c r="AC268" s="1530"/>
      <c r="AD268" s="1530"/>
      <c r="AE268" s="1530"/>
      <c r="AF268" s="1530"/>
      <c r="AG268" s="1530"/>
      <c r="AH268" s="1530"/>
      <c r="AI268" s="1530"/>
      <c r="AJ268" s="1530"/>
      <c r="AK268" s="1530"/>
      <c r="AL268" s="1530"/>
      <c r="AM268" s="1530"/>
      <c r="AN268" s="1530"/>
      <c r="AO268" s="1530"/>
      <c r="AP268" s="1530"/>
      <c r="AQ268" s="1530"/>
      <c r="AR268" s="1530"/>
      <c r="AS268" s="1530"/>
      <c r="AT268" s="1530"/>
      <c r="AU268" s="1530"/>
      <c r="AV268" s="1530"/>
      <c r="AW268" s="1530"/>
      <c r="AX268" s="1530"/>
      <c r="AY268" s="1530"/>
      <c r="AZ268" s="1530"/>
      <c r="BA268" s="1530"/>
      <c r="BB268" s="1530"/>
      <c r="BC268" s="1530"/>
      <c r="BD268" s="1530"/>
      <c r="BE268" s="1530"/>
      <c r="BF268" s="1530"/>
      <c r="BG268" s="1530"/>
      <c r="BH268" s="1530"/>
      <c r="BI268" s="1530"/>
      <c r="BJ268" s="1530"/>
      <c r="BK268" s="1530"/>
      <c r="BL268" s="1530"/>
      <c r="BM268" s="1530"/>
      <c r="BN268" s="1530"/>
      <c r="BW268" s="1569"/>
      <c r="CO268" s="1530"/>
      <c r="CP268" s="1530"/>
      <c r="CQ268" s="1530"/>
      <c r="CR268" s="1530"/>
      <c r="CS268" s="1530"/>
      <c r="CT268" s="1530"/>
      <c r="CU268" s="1530"/>
      <c r="CV268" s="1530"/>
      <c r="CW268" s="1530"/>
      <c r="CX268" s="1530"/>
      <c r="CY268" s="1530"/>
      <c r="CZ268" s="1530"/>
      <c r="DA268" s="1530"/>
      <c r="DB268" s="1530"/>
      <c r="DC268" s="1530"/>
      <c r="DD268" s="1530"/>
      <c r="DE268" s="1530"/>
      <c r="DF268" s="1530"/>
      <c r="DG268" s="1530"/>
      <c r="DH268" s="1530"/>
      <c r="DI268" s="1530"/>
      <c r="DJ268" s="1530"/>
      <c r="DK268" s="1530"/>
      <c r="DL268" s="1530"/>
      <c r="DM268" s="1530"/>
      <c r="DN268" s="1571"/>
      <c r="DO268" s="1530"/>
      <c r="DP268" s="1530"/>
    </row>
    <row r="269" spans="1:120">
      <c r="A269" s="1451"/>
      <c r="C269" s="1451"/>
      <c r="K269" s="1451"/>
      <c r="L269" s="1451"/>
      <c r="U269" s="1530"/>
      <c r="V269" s="1530"/>
      <c r="W269" s="1530"/>
      <c r="X269" s="1530"/>
      <c r="Y269" s="1530"/>
      <c r="Z269" s="1530"/>
      <c r="AA269" s="1530"/>
      <c r="AB269" s="1530"/>
      <c r="AC269" s="1530"/>
      <c r="AD269" s="1530"/>
      <c r="AE269" s="1530"/>
      <c r="AF269" s="1530"/>
      <c r="AG269" s="1530"/>
      <c r="AH269" s="1530"/>
      <c r="AI269" s="1530"/>
      <c r="AJ269" s="1530"/>
      <c r="AK269" s="1530"/>
      <c r="AL269" s="1530"/>
      <c r="AM269" s="1530"/>
      <c r="AN269" s="1530"/>
      <c r="AO269" s="1530"/>
      <c r="AP269" s="1530"/>
      <c r="AQ269" s="1530"/>
      <c r="AR269" s="1530"/>
      <c r="AS269" s="1530"/>
      <c r="AT269" s="1530"/>
      <c r="AU269" s="1530"/>
      <c r="AV269" s="1530"/>
      <c r="AW269" s="1530"/>
      <c r="AX269" s="1530"/>
      <c r="AY269" s="1530"/>
      <c r="AZ269" s="1530"/>
      <c r="BA269" s="1530"/>
      <c r="BB269" s="1530"/>
      <c r="BC269" s="1530"/>
      <c r="BD269" s="1530"/>
      <c r="BE269" s="1530"/>
      <c r="BF269" s="1530"/>
      <c r="BG269" s="1530"/>
      <c r="BH269" s="1530"/>
      <c r="BI269" s="1530"/>
      <c r="BJ269" s="1530"/>
      <c r="BK269" s="1530"/>
      <c r="BL269" s="1530"/>
      <c r="BM269" s="1530"/>
      <c r="BN269" s="1530"/>
      <c r="BW269" s="1569"/>
      <c r="CO269" s="1530"/>
      <c r="CP269" s="1530"/>
      <c r="CQ269" s="1530"/>
      <c r="CR269" s="1530"/>
      <c r="CS269" s="1530"/>
      <c r="CT269" s="1530"/>
      <c r="CU269" s="1530"/>
      <c r="CV269" s="1530"/>
      <c r="CW269" s="1530"/>
      <c r="CX269" s="1530"/>
      <c r="CY269" s="1530"/>
      <c r="CZ269" s="1530"/>
      <c r="DA269" s="1530"/>
      <c r="DB269" s="1530"/>
      <c r="DC269" s="1530"/>
      <c r="DD269" s="1530"/>
      <c r="DE269" s="1530"/>
      <c r="DF269" s="1530"/>
      <c r="DG269" s="1530"/>
      <c r="DH269" s="1530"/>
      <c r="DI269" s="1530"/>
      <c r="DJ269" s="1530"/>
      <c r="DK269" s="1530"/>
      <c r="DL269" s="1530"/>
      <c r="DM269" s="1530"/>
      <c r="DN269" s="1571"/>
      <c r="DO269" s="1530"/>
      <c r="DP269" s="1530"/>
    </row>
    <row r="270" spans="1:120">
      <c r="A270" s="1451"/>
      <c r="C270" s="1451"/>
      <c r="K270" s="1451"/>
      <c r="L270" s="1451"/>
      <c r="U270" s="1530"/>
      <c r="V270" s="1530"/>
      <c r="W270" s="1530"/>
      <c r="X270" s="1530"/>
      <c r="Y270" s="1530"/>
      <c r="Z270" s="1530"/>
      <c r="AA270" s="1530"/>
      <c r="AB270" s="1530"/>
      <c r="AC270" s="1530"/>
      <c r="AD270" s="1530"/>
      <c r="AE270" s="1530"/>
      <c r="AF270" s="1530"/>
      <c r="AG270" s="1530"/>
      <c r="AH270" s="1530"/>
      <c r="AI270" s="1530"/>
      <c r="AJ270" s="1530"/>
      <c r="AK270" s="1530"/>
      <c r="AL270" s="1530"/>
      <c r="AM270" s="1530"/>
      <c r="AN270" s="1530"/>
      <c r="AO270" s="1530"/>
      <c r="AP270" s="1530"/>
      <c r="AQ270" s="1530"/>
      <c r="AR270" s="1530"/>
      <c r="AS270" s="1530"/>
      <c r="AT270" s="1530"/>
      <c r="AU270" s="1530"/>
      <c r="AV270" s="1530"/>
      <c r="AW270" s="1530"/>
      <c r="AX270" s="1530"/>
      <c r="AY270" s="1530"/>
      <c r="AZ270" s="1530"/>
      <c r="BA270" s="1530"/>
      <c r="BB270" s="1530"/>
      <c r="BC270" s="1530"/>
      <c r="BD270" s="1530"/>
      <c r="BE270" s="1530"/>
      <c r="BF270" s="1530"/>
      <c r="BG270" s="1530"/>
      <c r="BH270" s="1530"/>
      <c r="BI270" s="1530"/>
      <c r="BJ270" s="1530"/>
      <c r="BK270" s="1530"/>
      <c r="BL270" s="1530"/>
      <c r="BM270" s="1530"/>
      <c r="BN270" s="1530"/>
      <c r="BW270" s="1569"/>
      <c r="CO270" s="1530"/>
      <c r="CP270" s="1530"/>
      <c r="CQ270" s="1530"/>
      <c r="CR270" s="1530"/>
      <c r="CS270" s="1530"/>
      <c r="CT270" s="1530"/>
      <c r="CU270" s="1530"/>
      <c r="CV270" s="1530"/>
      <c r="CW270" s="1530"/>
      <c r="CX270" s="1530"/>
      <c r="CY270" s="1530"/>
      <c r="CZ270" s="1530"/>
      <c r="DA270" s="1530"/>
      <c r="DB270" s="1530"/>
      <c r="DC270" s="1530"/>
      <c r="DD270" s="1530"/>
      <c r="DE270" s="1530"/>
      <c r="DF270" s="1530"/>
      <c r="DG270" s="1530"/>
      <c r="DH270" s="1530"/>
      <c r="DI270" s="1530"/>
      <c r="DJ270" s="1530"/>
      <c r="DK270" s="1530"/>
      <c r="DL270" s="1530"/>
      <c r="DM270" s="1530"/>
      <c r="DN270" s="1571"/>
      <c r="DO270" s="1530"/>
      <c r="DP270" s="1530"/>
    </row>
    <row r="271" spans="1:120">
      <c r="A271" s="1451"/>
      <c r="C271" s="1451"/>
      <c r="K271" s="1451"/>
      <c r="L271" s="1451"/>
      <c r="U271" s="1530"/>
      <c r="V271" s="1530"/>
      <c r="W271" s="1530"/>
      <c r="X271" s="1530"/>
      <c r="Y271" s="1530"/>
      <c r="Z271" s="1530"/>
      <c r="AA271" s="1530"/>
      <c r="AB271" s="1530"/>
      <c r="AC271" s="1530"/>
      <c r="AD271" s="1530"/>
      <c r="AE271" s="1530"/>
      <c r="AF271" s="1530"/>
      <c r="AG271" s="1530"/>
      <c r="AH271" s="1530"/>
      <c r="AI271" s="1530"/>
      <c r="AJ271" s="1530"/>
      <c r="AK271" s="1530"/>
      <c r="AL271" s="1530"/>
      <c r="AM271" s="1530"/>
      <c r="AN271" s="1530"/>
      <c r="AO271" s="1530"/>
      <c r="AP271" s="1530"/>
      <c r="AQ271" s="1530"/>
      <c r="AR271" s="1530"/>
      <c r="AS271" s="1530"/>
      <c r="AT271" s="1530"/>
      <c r="AU271" s="1530"/>
      <c r="AV271" s="1530"/>
      <c r="AW271" s="1530"/>
      <c r="AX271" s="1530"/>
      <c r="AY271" s="1530"/>
      <c r="AZ271" s="1530"/>
      <c r="BA271" s="1530"/>
      <c r="BB271" s="1530"/>
      <c r="BC271" s="1530"/>
      <c r="BD271" s="1530"/>
      <c r="BE271" s="1530"/>
      <c r="BF271" s="1530"/>
      <c r="BG271" s="1530"/>
      <c r="BH271" s="1530"/>
      <c r="BI271" s="1530"/>
      <c r="BJ271" s="1530"/>
      <c r="BK271" s="1530"/>
      <c r="BL271" s="1530"/>
      <c r="BM271" s="1530"/>
      <c r="BN271" s="1530"/>
      <c r="BW271" s="1569"/>
      <c r="CO271" s="1530"/>
      <c r="CP271" s="1530"/>
      <c r="CQ271" s="1530"/>
      <c r="CR271" s="1530"/>
      <c r="CS271" s="1530"/>
      <c r="CT271" s="1530"/>
      <c r="CU271" s="1530"/>
      <c r="CV271" s="1530"/>
      <c r="CW271" s="1530"/>
      <c r="CX271" s="1530"/>
      <c r="CY271" s="1530"/>
      <c r="CZ271" s="1530"/>
      <c r="DA271" s="1530"/>
      <c r="DB271" s="1530"/>
      <c r="DC271" s="1530"/>
      <c r="DD271" s="1530"/>
      <c r="DE271" s="1530"/>
      <c r="DF271" s="1530"/>
      <c r="DG271" s="1530"/>
      <c r="DH271" s="1530"/>
      <c r="DI271" s="1530"/>
      <c r="DJ271" s="1530"/>
      <c r="DK271" s="1530"/>
      <c r="DL271" s="1530"/>
      <c r="DM271" s="1530"/>
      <c r="DN271" s="1571"/>
      <c r="DO271" s="1530"/>
      <c r="DP271" s="1530"/>
    </row>
    <row r="272" spans="1:120">
      <c r="A272" s="1451"/>
      <c r="C272" s="1451"/>
      <c r="K272" s="1451"/>
      <c r="L272" s="1451"/>
      <c r="U272" s="1530"/>
      <c r="V272" s="1530"/>
      <c r="W272" s="1530"/>
      <c r="X272" s="1530"/>
      <c r="Y272" s="1530"/>
      <c r="Z272" s="1530"/>
      <c r="AA272" s="1530"/>
      <c r="AB272" s="1530"/>
      <c r="AC272" s="1530"/>
      <c r="AD272" s="1530"/>
      <c r="AE272" s="1530"/>
      <c r="AF272" s="1530"/>
      <c r="AG272" s="1530"/>
      <c r="AH272" s="1530"/>
      <c r="AI272" s="1530"/>
      <c r="AJ272" s="1530"/>
      <c r="AK272" s="1530"/>
      <c r="AL272" s="1530"/>
      <c r="AM272" s="1530"/>
      <c r="AN272" s="1530"/>
      <c r="AO272" s="1530"/>
      <c r="AP272" s="1530"/>
      <c r="AQ272" s="1530"/>
      <c r="AR272" s="1530"/>
      <c r="AS272" s="1530"/>
      <c r="AT272" s="1530"/>
      <c r="AU272" s="1530"/>
      <c r="AV272" s="1530"/>
      <c r="AW272" s="1530"/>
      <c r="AX272" s="1530"/>
      <c r="AY272" s="1530"/>
      <c r="AZ272" s="1530"/>
      <c r="BA272" s="1530"/>
      <c r="BB272" s="1530"/>
      <c r="BC272" s="1530"/>
      <c r="BD272" s="1530"/>
      <c r="BE272" s="1530"/>
      <c r="BF272" s="1530"/>
      <c r="BG272" s="1530"/>
      <c r="BH272" s="1530"/>
      <c r="BI272" s="1530"/>
      <c r="BJ272" s="1530"/>
      <c r="BK272" s="1530"/>
      <c r="BL272" s="1530"/>
      <c r="BM272" s="1530"/>
      <c r="BN272" s="1530"/>
      <c r="BW272" s="1569"/>
      <c r="CO272" s="1530"/>
      <c r="CP272" s="1530"/>
      <c r="CQ272" s="1530"/>
      <c r="CR272" s="1530"/>
      <c r="CS272" s="1530"/>
      <c r="CT272" s="1530"/>
      <c r="CU272" s="1530"/>
      <c r="CV272" s="1530"/>
      <c r="CW272" s="1530"/>
      <c r="CX272" s="1530"/>
      <c r="CY272" s="1530"/>
      <c r="CZ272" s="1530"/>
      <c r="DA272" s="1530"/>
      <c r="DB272" s="1530"/>
      <c r="DC272" s="1530"/>
      <c r="DD272" s="1530"/>
      <c r="DE272" s="1530"/>
      <c r="DF272" s="1530"/>
      <c r="DG272" s="1530"/>
      <c r="DH272" s="1530"/>
      <c r="DI272" s="1530"/>
      <c r="DJ272" s="1530"/>
      <c r="DK272" s="1530"/>
      <c r="DL272" s="1530"/>
      <c r="DM272" s="1530"/>
      <c r="DN272" s="1571"/>
      <c r="DO272" s="1530"/>
      <c r="DP272" s="1530"/>
    </row>
    <row r="273" spans="1:120">
      <c r="A273" s="1451"/>
      <c r="C273" s="1451"/>
      <c r="K273" s="1451"/>
      <c r="L273" s="1451"/>
      <c r="U273" s="1530"/>
      <c r="V273" s="1530"/>
      <c r="W273" s="1530"/>
      <c r="X273" s="1530"/>
      <c r="Y273" s="1530"/>
      <c r="Z273" s="1530"/>
      <c r="AA273" s="1530"/>
      <c r="AB273" s="1530"/>
      <c r="AC273" s="1530"/>
      <c r="AD273" s="1530"/>
      <c r="AE273" s="1530"/>
      <c r="AF273" s="1530"/>
      <c r="AG273" s="1530"/>
      <c r="AH273" s="1530"/>
      <c r="AI273" s="1530"/>
      <c r="AJ273" s="1530"/>
      <c r="AK273" s="1530"/>
      <c r="AL273" s="1530"/>
      <c r="AM273" s="1530"/>
      <c r="AN273" s="1530"/>
      <c r="AO273" s="1530"/>
      <c r="AP273" s="1530"/>
      <c r="AQ273" s="1530"/>
      <c r="AR273" s="1530"/>
      <c r="AS273" s="1530"/>
      <c r="AT273" s="1530"/>
      <c r="AU273" s="1530"/>
      <c r="AV273" s="1530"/>
      <c r="AW273" s="1530"/>
      <c r="AX273" s="1530"/>
      <c r="AY273" s="1530"/>
      <c r="AZ273" s="1530"/>
      <c r="BA273" s="1530"/>
      <c r="BB273" s="1530"/>
      <c r="BC273" s="1530"/>
      <c r="BD273" s="1530"/>
      <c r="BE273" s="1530"/>
      <c r="BF273" s="1530"/>
      <c r="BG273" s="1530"/>
      <c r="BH273" s="1530"/>
      <c r="BI273" s="1530"/>
      <c r="BJ273" s="1530"/>
      <c r="BK273" s="1530"/>
      <c r="BL273" s="1530"/>
      <c r="BM273" s="1530"/>
      <c r="BN273" s="1530"/>
      <c r="BW273" s="1569"/>
      <c r="CO273" s="1530"/>
      <c r="CP273" s="1530"/>
      <c r="CQ273" s="1530"/>
      <c r="CR273" s="1530"/>
      <c r="CS273" s="1530"/>
      <c r="CT273" s="1530"/>
      <c r="CU273" s="1530"/>
      <c r="CV273" s="1530"/>
      <c r="CW273" s="1530"/>
      <c r="CX273" s="1530"/>
      <c r="CY273" s="1530"/>
      <c r="CZ273" s="1530"/>
      <c r="DA273" s="1530"/>
      <c r="DB273" s="1530"/>
      <c r="DC273" s="1530"/>
      <c r="DD273" s="1530"/>
      <c r="DE273" s="1530"/>
      <c r="DF273" s="1530"/>
      <c r="DG273" s="1530"/>
      <c r="DH273" s="1530"/>
      <c r="DI273" s="1530"/>
      <c r="DJ273" s="1530"/>
      <c r="DK273" s="1530"/>
      <c r="DL273" s="1530"/>
      <c r="DM273" s="1530"/>
      <c r="DN273" s="1571"/>
      <c r="DO273" s="1530"/>
      <c r="DP273" s="1530"/>
    </row>
    <row r="274" spans="1:120">
      <c r="A274" s="1451"/>
      <c r="C274" s="1451"/>
      <c r="K274" s="1451"/>
      <c r="L274" s="1451"/>
      <c r="U274" s="1530"/>
      <c r="V274" s="1530"/>
      <c r="W274" s="1530"/>
      <c r="X274" s="1530"/>
      <c r="Y274" s="1530"/>
      <c r="Z274" s="1530"/>
      <c r="AA274" s="1530"/>
      <c r="AB274" s="1530"/>
      <c r="AC274" s="1530"/>
      <c r="AD274" s="1530"/>
      <c r="AE274" s="1530"/>
      <c r="AF274" s="1530"/>
      <c r="AG274" s="1530"/>
      <c r="AH274" s="1530"/>
      <c r="AI274" s="1530"/>
      <c r="AJ274" s="1530"/>
      <c r="AK274" s="1530"/>
      <c r="AL274" s="1530"/>
      <c r="AM274" s="1530"/>
      <c r="AN274" s="1530"/>
      <c r="AO274" s="1530"/>
      <c r="AP274" s="1530"/>
      <c r="AQ274" s="1530"/>
      <c r="AR274" s="1530"/>
      <c r="AS274" s="1530"/>
      <c r="AT274" s="1530"/>
      <c r="AU274" s="1530"/>
      <c r="AV274" s="1530"/>
      <c r="AW274" s="1530"/>
      <c r="AX274" s="1530"/>
      <c r="AY274" s="1530"/>
      <c r="AZ274" s="1530"/>
      <c r="BA274" s="1530"/>
      <c r="BB274" s="1530"/>
      <c r="BC274" s="1530"/>
      <c r="BD274" s="1530"/>
      <c r="BE274" s="1530"/>
      <c r="BF274" s="1530"/>
      <c r="BG274" s="1530"/>
      <c r="BH274" s="1530"/>
      <c r="BI274" s="1530"/>
      <c r="BJ274" s="1530"/>
      <c r="BK274" s="1530"/>
      <c r="BL274" s="1530"/>
      <c r="BM274" s="1530"/>
      <c r="BN274" s="1530"/>
      <c r="BW274" s="1569"/>
      <c r="CO274" s="1530"/>
      <c r="CP274" s="1530"/>
      <c r="CQ274" s="1530"/>
      <c r="CR274" s="1530"/>
      <c r="CS274" s="1530"/>
      <c r="CT274" s="1530"/>
      <c r="CU274" s="1530"/>
      <c r="CV274" s="1530"/>
      <c r="CW274" s="1530"/>
      <c r="CX274" s="1530"/>
      <c r="CY274" s="1530"/>
      <c r="CZ274" s="1530"/>
      <c r="DA274" s="1530"/>
      <c r="DB274" s="1530"/>
      <c r="DC274" s="1530"/>
      <c r="DD274" s="1530"/>
      <c r="DE274" s="1530"/>
      <c r="DF274" s="1530"/>
      <c r="DG274" s="1530"/>
      <c r="DH274" s="1530"/>
      <c r="DI274" s="1530"/>
      <c r="DJ274" s="1530"/>
      <c r="DK274" s="1530"/>
      <c r="DL274" s="1530"/>
      <c r="DM274" s="1530"/>
      <c r="DN274" s="1571"/>
      <c r="DO274" s="1530"/>
      <c r="DP274" s="1530"/>
    </row>
    <row r="275" spans="1:120">
      <c r="A275" s="1451"/>
      <c r="C275" s="1451"/>
      <c r="K275" s="1451"/>
      <c r="L275" s="1451"/>
      <c r="U275" s="1530"/>
      <c r="V275" s="1530"/>
      <c r="W275" s="1530"/>
      <c r="X275" s="1530"/>
      <c r="Y275" s="1530"/>
      <c r="Z275" s="1530"/>
      <c r="AA275" s="1530"/>
      <c r="AB275" s="1530"/>
      <c r="AC275" s="1530"/>
      <c r="AD275" s="1530"/>
      <c r="AE275" s="1530"/>
      <c r="AF275" s="1530"/>
      <c r="AG275" s="1530"/>
      <c r="AH275" s="1530"/>
      <c r="AI275" s="1530"/>
      <c r="AJ275" s="1530"/>
      <c r="AK275" s="1530"/>
      <c r="AL275" s="1530"/>
      <c r="AM275" s="1530"/>
      <c r="AN275" s="1530"/>
      <c r="AO275" s="1530"/>
      <c r="AP275" s="1530"/>
      <c r="AQ275" s="1530"/>
      <c r="AR275" s="1530"/>
      <c r="AS275" s="1530"/>
      <c r="AT275" s="1530"/>
      <c r="AU275" s="1530"/>
      <c r="AV275" s="1530"/>
      <c r="AW275" s="1530"/>
      <c r="AX275" s="1530"/>
      <c r="AY275" s="1530"/>
      <c r="AZ275" s="1530"/>
      <c r="BA275" s="1530"/>
      <c r="BB275" s="1530"/>
      <c r="BC275" s="1530"/>
      <c r="BD275" s="1530"/>
      <c r="BE275" s="1530"/>
      <c r="BF275" s="1530"/>
      <c r="BG275" s="1530"/>
      <c r="BH275" s="1530"/>
      <c r="BI275" s="1530"/>
      <c r="BJ275" s="1530"/>
      <c r="BK275" s="1530"/>
      <c r="BL275" s="1530"/>
      <c r="BM275" s="1530"/>
      <c r="BN275" s="1530"/>
      <c r="BW275" s="1569"/>
      <c r="CO275" s="1530"/>
      <c r="CP275" s="1530"/>
      <c r="CQ275" s="1530"/>
      <c r="CR275" s="1530"/>
      <c r="CS275" s="1530"/>
      <c r="CT275" s="1530"/>
      <c r="CU275" s="1530"/>
      <c r="CV275" s="1530"/>
      <c r="CW275" s="1530"/>
      <c r="CX275" s="1530"/>
      <c r="CY275" s="1530"/>
      <c r="CZ275" s="1530"/>
      <c r="DA275" s="1530"/>
      <c r="DB275" s="1530"/>
      <c r="DC275" s="1530"/>
      <c r="DD275" s="1530"/>
      <c r="DE275" s="1530"/>
      <c r="DF275" s="1530"/>
      <c r="DG275" s="1530"/>
      <c r="DH275" s="1530"/>
      <c r="DI275" s="1530"/>
      <c r="DJ275" s="1530"/>
      <c r="DK275" s="1530"/>
      <c r="DL275" s="1530"/>
      <c r="DM275" s="1530"/>
      <c r="DN275" s="1571"/>
      <c r="DO275" s="1530"/>
      <c r="DP275" s="1530"/>
    </row>
    <row r="276" spans="1:120">
      <c r="A276" s="1451"/>
      <c r="C276" s="1451"/>
      <c r="K276" s="1451"/>
      <c r="L276" s="1451"/>
      <c r="U276" s="1530"/>
      <c r="V276" s="1530"/>
      <c r="W276" s="1530"/>
      <c r="X276" s="1530"/>
      <c r="Y276" s="1530"/>
      <c r="Z276" s="1530"/>
      <c r="AA276" s="1530"/>
      <c r="AB276" s="1530"/>
      <c r="AC276" s="1530"/>
      <c r="AD276" s="1530"/>
      <c r="AE276" s="1530"/>
      <c r="AF276" s="1530"/>
      <c r="AG276" s="1530"/>
      <c r="AH276" s="1530"/>
      <c r="AI276" s="1530"/>
      <c r="AJ276" s="1530"/>
      <c r="AK276" s="1530"/>
      <c r="AL276" s="1530"/>
      <c r="AM276" s="1530"/>
      <c r="AN276" s="1530"/>
      <c r="AO276" s="1530"/>
      <c r="AP276" s="1530"/>
      <c r="AQ276" s="1530"/>
      <c r="AR276" s="1530"/>
      <c r="AS276" s="1530"/>
      <c r="AT276" s="1530"/>
      <c r="AU276" s="1530"/>
      <c r="AV276" s="1530"/>
      <c r="AW276" s="1530"/>
      <c r="AX276" s="1530"/>
      <c r="AY276" s="1530"/>
      <c r="AZ276" s="1530"/>
      <c r="BA276" s="1530"/>
      <c r="BB276" s="1530"/>
      <c r="BC276" s="1530"/>
      <c r="BD276" s="1530"/>
      <c r="BE276" s="1530"/>
      <c r="BF276" s="1530"/>
      <c r="BG276" s="1530"/>
      <c r="BH276" s="1530"/>
      <c r="BI276" s="1530"/>
      <c r="BJ276" s="1530"/>
      <c r="BK276" s="1530"/>
      <c r="BL276" s="1530"/>
      <c r="BM276" s="1530"/>
      <c r="BN276" s="1530"/>
      <c r="BW276" s="1569"/>
      <c r="CO276" s="1530"/>
      <c r="CP276" s="1530"/>
      <c r="CQ276" s="1530"/>
      <c r="CR276" s="1530"/>
      <c r="CS276" s="1530"/>
      <c r="CT276" s="1530"/>
      <c r="CU276" s="1530"/>
      <c r="CV276" s="1530"/>
      <c r="CW276" s="1530"/>
      <c r="CX276" s="1530"/>
      <c r="CY276" s="1530"/>
      <c r="CZ276" s="1530"/>
      <c r="DA276" s="1530"/>
      <c r="DB276" s="1530"/>
      <c r="DC276" s="1530"/>
      <c r="DD276" s="1530"/>
      <c r="DE276" s="1530"/>
      <c r="DF276" s="1530"/>
      <c r="DG276" s="1530"/>
      <c r="DH276" s="1530"/>
      <c r="DI276" s="1530"/>
      <c r="DJ276" s="1530"/>
      <c r="DK276" s="1530"/>
      <c r="DL276" s="1530"/>
      <c r="DM276" s="1530"/>
      <c r="DN276" s="1571"/>
      <c r="DO276" s="1530"/>
      <c r="DP276" s="1530"/>
    </row>
    <row r="277" spans="1:120">
      <c r="A277" s="1451"/>
      <c r="C277" s="1451"/>
      <c r="K277" s="1451"/>
      <c r="L277" s="1451"/>
      <c r="U277" s="1530"/>
      <c r="V277" s="1530"/>
      <c r="W277" s="1530"/>
      <c r="X277" s="1530"/>
      <c r="Y277" s="1530"/>
      <c r="Z277" s="1530"/>
      <c r="AA277" s="1530"/>
      <c r="AB277" s="1530"/>
      <c r="AC277" s="1530"/>
      <c r="AD277" s="1530"/>
      <c r="AE277" s="1530"/>
      <c r="AF277" s="1530"/>
      <c r="AG277" s="1530"/>
      <c r="AH277" s="1530"/>
      <c r="AI277" s="1530"/>
      <c r="AJ277" s="1530"/>
      <c r="AK277" s="1530"/>
      <c r="AL277" s="1530"/>
      <c r="AM277" s="1530"/>
      <c r="AN277" s="1530"/>
      <c r="AO277" s="1530"/>
      <c r="AP277" s="1530"/>
      <c r="AQ277" s="1530"/>
      <c r="AR277" s="1530"/>
      <c r="AS277" s="1530"/>
      <c r="AT277" s="1530"/>
      <c r="AU277" s="1530"/>
      <c r="AV277" s="1530"/>
      <c r="AW277" s="1530"/>
      <c r="AX277" s="1530"/>
      <c r="AY277" s="1530"/>
      <c r="AZ277" s="1530"/>
      <c r="BA277" s="1530"/>
      <c r="BB277" s="1530"/>
      <c r="BC277" s="1530"/>
      <c r="BD277" s="1530"/>
      <c r="BE277" s="1530"/>
      <c r="BF277" s="1530"/>
      <c r="BG277" s="1530"/>
      <c r="BH277" s="1530"/>
      <c r="BI277" s="1530"/>
      <c r="BJ277" s="1530"/>
      <c r="BK277" s="1530"/>
      <c r="BL277" s="1530"/>
      <c r="BM277" s="1530"/>
      <c r="BN277" s="1530"/>
      <c r="BW277" s="1569"/>
      <c r="CO277" s="1530"/>
      <c r="CP277" s="1530"/>
      <c r="CQ277" s="1530"/>
      <c r="CR277" s="1530"/>
      <c r="CS277" s="1530"/>
      <c r="CT277" s="1530"/>
      <c r="CU277" s="1530"/>
      <c r="CV277" s="1530"/>
      <c r="CW277" s="1530"/>
      <c r="CX277" s="1530"/>
      <c r="CY277" s="1530"/>
      <c r="CZ277" s="1530"/>
      <c r="DA277" s="1530"/>
      <c r="DB277" s="1530"/>
      <c r="DC277" s="1530"/>
      <c r="DD277" s="1530"/>
      <c r="DE277" s="1530"/>
      <c r="DF277" s="1530"/>
      <c r="DG277" s="1530"/>
      <c r="DH277" s="1530"/>
      <c r="DI277" s="1530"/>
      <c r="DJ277" s="1530"/>
      <c r="DK277" s="1530"/>
      <c r="DL277" s="1530"/>
      <c r="DM277" s="1530"/>
      <c r="DN277" s="1571"/>
      <c r="DO277" s="1530"/>
      <c r="DP277" s="1530"/>
    </row>
    <row r="278" spans="1:120">
      <c r="A278" s="1451"/>
      <c r="C278" s="1451"/>
      <c r="K278" s="1451"/>
      <c r="L278" s="1451"/>
      <c r="U278" s="1530"/>
      <c r="V278" s="1530"/>
      <c r="W278" s="1530"/>
      <c r="X278" s="1530"/>
      <c r="Y278" s="1530"/>
      <c r="Z278" s="1530"/>
      <c r="AA278" s="1530"/>
      <c r="AB278" s="1530"/>
      <c r="AC278" s="1530"/>
      <c r="AD278" s="1530"/>
      <c r="AE278" s="1530"/>
      <c r="AF278" s="1530"/>
      <c r="AG278" s="1530"/>
      <c r="AH278" s="1530"/>
      <c r="AI278" s="1530"/>
      <c r="AJ278" s="1530"/>
      <c r="AK278" s="1530"/>
      <c r="AL278" s="1530"/>
      <c r="AM278" s="1530"/>
      <c r="AN278" s="1530"/>
      <c r="AO278" s="1530"/>
      <c r="AP278" s="1530"/>
      <c r="AQ278" s="1530"/>
      <c r="AR278" s="1530"/>
      <c r="AS278" s="1530"/>
      <c r="AT278" s="1530"/>
      <c r="AU278" s="1530"/>
      <c r="AV278" s="1530"/>
      <c r="AW278" s="1530"/>
      <c r="AX278" s="1530"/>
      <c r="AY278" s="1530"/>
      <c r="AZ278" s="1530"/>
      <c r="BA278" s="1530"/>
      <c r="BB278" s="1530"/>
      <c r="BC278" s="1530"/>
      <c r="BD278" s="1530"/>
      <c r="BE278" s="1530"/>
      <c r="BF278" s="1530"/>
      <c r="BG278" s="1530"/>
      <c r="BH278" s="1530"/>
      <c r="BI278" s="1530"/>
      <c r="BJ278" s="1530"/>
      <c r="BK278" s="1530"/>
      <c r="BL278" s="1530"/>
      <c r="BM278" s="1530"/>
      <c r="BN278" s="1530"/>
      <c r="BW278" s="1569"/>
      <c r="CO278" s="1530"/>
      <c r="CP278" s="1530"/>
      <c r="CQ278" s="1530"/>
      <c r="CR278" s="1530"/>
      <c r="CS278" s="1530"/>
      <c r="CT278" s="1530"/>
      <c r="CU278" s="1530"/>
      <c r="CV278" s="1530"/>
      <c r="CW278" s="1530"/>
      <c r="CX278" s="1530"/>
      <c r="CY278" s="1530"/>
      <c r="CZ278" s="1530"/>
      <c r="DA278" s="1530"/>
      <c r="DB278" s="1530"/>
      <c r="DC278" s="1530"/>
      <c r="DD278" s="1530"/>
      <c r="DE278" s="1530"/>
      <c r="DF278" s="1530"/>
      <c r="DG278" s="1530"/>
      <c r="DH278" s="1530"/>
      <c r="DI278" s="1530"/>
      <c r="DJ278" s="1530"/>
      <c r="DK278" s="1530"/>
      <c r="DL278" s="1530"/>
      <c r="DM278" s="1530"/>
      <c r="DN278" s="1571"/>
      <c r="DO278" s="1530"/>
      <c r="DP278" s="1530"/>
    </row>
    <row r="279" spans="1:120">
      <c r="A279" s="1451"/>
      <c r="C279" s="1451"/>
      <c r="K279" s="1451"/>
      <c r="L279" s="1451"/>
      <c r="U279" s="1530"/>
      <c r="V279" s="1530"/>
      <c r="W279" s="1530"/>
      <c r="X279" s="1530"/>
      <c r="Y279" s="1530"/>
      <c r="Z279" s="1530"/>
      <c r="AA279" s="1530"/>
      <c r="AB279" s="1530"/>
      <c r="AC279" s="1530"/>
      <c r="AD279" s="1530"/>
      <c r="AE279" s="1530"/>
      <c r="AF279" s="1530"/>
      <c r="AG279" s="1530"/>
      <c r="AH279" s="1530"/>
      <c r="AI279" s="1530"/>
      <c r="AJ279" s="1530"/>
      <c r="AK279" s="1530"/>
      <c r="AL279" s="1530"/>
      <c r="AM279" s="1530"/>
      <c r="AN279" s="1530"/>
      <c r="AO279" s="1530"/>
      <c r="AP279" s="1530"/>
      <c r="AQ279" s="1530"/>
      <c r="AR279" s="1530"/>
      <c r="AS279" s="1530"/>
      <c r="AT279" s="1530"/>
      <c r="AU279" s="1530"/>
      <c r="AV279" s="1530"/>
      <c r="AW279" s="1530"/>
      <c r="AX279" s="1530"/>
      <c r="AY279" s="1530"/>
      <c r="AZ279" s="1530"/>
      <c r="BA279" s="1530"/>
      <c r="BB279" s="1530"/>
      <c r="BC279" s="1530"/>
      <c r="BD279" s="1530"/>
      <c r="BE279" s="1530"/>
      <c r="BF279" s="1530"/>
      <c r="BG279" s="1530"/>
      <c r="BH279" s="1530"/>
      <c r="BI279" s="1530"/>
      <c r="BJ279" s="1530"/>
      <c r="BK279" s="1530"/>
      <c r="BL279" s="1530"/>
      <c r="BM279" s="1530"/>
      <c r="BN279" s="1530"/>
      <c r="BW279" s="1569"/>
      <c r="CO279" s="1530"/>
      <c r="CP279" s="1530"/>
      <c r="CQ279" s="1530"/>
      <c r="CR279" s="1530"/>
      <c r="CS279" s="1530"/>
      <c r="CT279" s="1530"/>
      <c r="CU279" s="1530"/>
      <c r="CV279" s="1530"/>
      <c r="CW279" s="1530"/>
      <c r="CX279" s="1530"/>
      <c r="CY279" s="1530"/>
      <c r="CZ279" s="1530"/>
      <c r="DA279" s="1530"/>
      <c r="DB279" s="1530"/>
      <c r="DC279" s="1530"/>
      <c r="DD279" s="1530"/>
      <c r="DE279" s="1530"/>
      <c r="DF279" s="1530"/>
      <c r="DG279" s="1530"/>
      <c r="DH279" s="1530"/>
      <c r="DI279" s="1530"/>
      <c r="DJ279" s="1530"/>
      <c r="DK279" s="1530"/>
      <c r="DL279" s="1530"/>
      <c r="DM279" s="1530"/>
      <c r="DN279" s="1571"/>
      <c r="DO279" s="1530"/>
      <c r="DP279" s="1530"/>
    </row>
    <row r="280" spans="1:120">
      <c r="A280" s="1451"/>
      <c r="C280" s="1451"/>
      <c r="K280" s="1451"/>
      <c r="L280" s="1451"/>
      <c r="U280" s="1530"/>
      <c r="V280" s="1530"/>
      <c r="W280" s="1530"/>
      <c r="X280" s="1530"/>
      <c r="Y280" s="1530"/>
      <c r="Z280" s="1530"/>
      <c r="AA280" s="1530"/>
      <c r="AB280" s="1530"/>
      <c r="AC280" s="1530"/>
      <c r="AD280" s="1530"/>
      <c r="AE280" s="1530"/>
      <c r="AF280" s="1530"/>
      <c r="AG280" s="1530"/>
      <c r="AH280" s="1530"/>
      <c r="AI280" s="1530"/>
      <c r="AJ280" s="1530"/>
      <c r="AK280" s="1530"/>
      <c r="AL280" s="1530"/>
      <c r="AM280" s="1530"/>
      <c r="AN280" s="1530"/>
      <c r="AO280" s="1530"/>
      <c r="AP280" s="1530"/>
      <c r="AQ280" s="1530"/>
      <c r="AR280" s="1530"/>
      <c r="AS280" s="1530"/>
      <c r="AT280" s="1530"/>
      <c r="AU280" s="1530"/>
      <c r="AV280" s="1530"/>
      <c r="AW280" s="1530"/>
      <c r="AX280" s="1530"/>
      <c r="AY280" s="1530"/>
      <c r="AZ280" s="1530"/>
      <c r="BA280" s="1530"/>
      <c r="BB280" s="1530"/>
      <c r="BC280" s="1530"/>
      <c r="BD280" s="1530"/>
      <c r="BE280" s="1530"/>
      <c r="BF280" s="1530"/>
      <c r="BG280" s="1530"/>
      <c r="BH280" s="1530"/>
      <c r="BI280" s="1530"/>
      <c r="BJ280" s="1530"/>
      <c r="BK280" s="1530"/>
      <c r="BL280" s="1530"/>
      <c r="BM280" s="1530"/>
      <c r="BN280" s="1530"/>
      <c r="BW280" s="1569"/>
      <c r="CO280" s="1530"/>
      <c r="CP280" s="1530"/>
      <c r="CQ280" s="1530"/>
      <c r="CR280" s="1530"/>
      <c r="CS280" s="1530"/>
      <c r="CT280" s="1530"/>
      <c r="CU280" s="1530"/>
      <c r="CV280" s="1530"/>
      <c r="CW280" s="1530"/>
      <c r="CX280" s="1530"/>
      <c r="CY280" s="1530"/>
      <c r="CZ280" s="1530"/>
      <c r="DA280" s="1530"/>
      <c r="DB280" s="1530"/>
      <c r="DC280" s="1530"/>
      <c r="DD280" s="1530"/>
      <c r="DE280" s="1530"/>
      <c r="DF280" s="1530"/>
      <c r="DG280" s="1530"/>
      <c r="DH280" s="1530"/>
      <c r="DI280" s="1530"/>
      <c r="DJ280" s="1530"/>
      <c r="DK280" s="1530"/>
      <c r="DL280" s="1530"/>
      <c r="DM280" s="1530"/>
      <c r="DN280" s="1571"/>
      <c r="DO280" s="1530"/>
      <c r="DP280" s="1530"/>
    </row>
    <row r="281" spans="1:120">
      <c r="A281" s="1451"/>
      <c r="C281" s="1451"/>
      <c r="K281" s="1451"/>
      <c r="L281" s="1451"/>
      <c r="U281" s="1530"/>
      <c r="V281" s="1530"/>
      <c r="W281" s="1530"/>
      <c r="X281" s="1530"/>
      <c r="Y281" s="1530"/>
      <c r="Z281" s="1530"/>
      <c r="AA281" s="1530"/>
      <c r="AB281" s="1530"/>
      <c r="AC281" s="1530"/>
      <c r="AD281" s="1530"/>
      <c r="AE281" s="1530"/>
      <c r="AF281" s="1530"/>
      <c r="AG281" s="1530"/>
      <c r="AH281" s="1530"/>
      <c r="AI281" s="1530"/>
      <c r="AJ281" s="1530"/>
      <c r="AK281" s="1530"/>
      <c r="AL281" s="1530"/>
      <c r="AM281" s="1530"/>
      <c r="AN281" s="1530"/>
      <c r="AO281" s="1530"/>
      <c r="AP281" s="1530"/>
      <c r="AQ281" s="1530"/>
      <c r="AR281" s="1530"/>
      <c r="AS281" s="1530"/>
      <c r="AT281" s="1530"/>
      <c r="AU281" s="1530"/>
      <c r="AV281" s="1530"/>
      <c r="AW281" s="1530"/>
      <c r="AX281" s="1530"/>
      <c r="AY281" s="1530"/>
      <c r="AZ281" s="1530"/>
      <c r="BA281" s="1530"/>
      <c r="BB281" s="1530"/>
      <c r="BC281" s="1530"/>
      <c r="BD281" s="1530"/>
      <c r="BE281" s="1530"/>
      <c r="BF281" s="1530"/>
      <c r="BG281" s="1530"/>
      <c r="BH281" s="1530"/>
      <c r="BI281" s="1530"/>
      <c r="BJ281" s="1530"/>
      <c r="BK281" s="1530"/>
      <c r="BL281" s="1530"/>
      <c r="BM281" s="1530"/>
      <c r="BN281" s="1530"/>
      <c r="BW281" s="1569"/>
      <c r="CO281" s="1530"/>
      <c r="CP281" s="1530"/>
      <c r="CQ281" s="1530"/>
      <c r="CR281" s="1530"/>
      <c r="CS281" s="1530"/>
      <c r="CT281" s="1530"/>
      <c r="CU281" s="1530"/>
      <c r="CV281" s="1530"/>
      <c r="CW281" s="1530"/>
      <c r="CX281" s="1530"/>
      <c r="CY281" s="1530"/>
      <c r="CZ281" s="1530"/>
      <c r="DA281" s="1530"/>
      <c r="DB281" s="1530"/>
      <c r="DC281" s="1530"/>
      <c r="DD281" s="1530"/>
      <c r="DE281" s="1530"/>
      <c r="DF281" s="1530"/>
      <c r="DG281" s="1530"/>
      <c r="DH281" s="1530"/>
      <c r="DI281" s="1530"/>
      <c r="DJ281" s="1530"/>
      <c r="DK281" s="1530"/>
      <c r="DL281" s="1530"/>
      <c r="DM281" s="1530"/>
      <c r="DN281" s="1571"/>
      <c r="DO281" s="1530"/>
      <c r="DP281" s="1530"/>
    </row>
    <row r="282" spans="1:120">
      <c r="A282" s="1451"/>
      <c r="C282" s="1451"/>
      <c r="K282" s="1451"/>
      <c r="L282" s="1451"/>
      <c r="U282" s="1530"/>
      <c r="V282" s="1530"/>
      <c r="W282" s="1530"/>
      <c r="X282" s="1530"/>
      <c r="Y282" s="1530"/>
      <c r="Z282" s="1530"/>
      <c r="AA282" s="1530"/>
      <c r="AB282" s="1530"/>
      <c r="AC282" s="1530"/>
      <c r="AD282" s="1530"/>
      <c r="AE282" s="1530"/>
      <c r="AF282" s="1530"/>
      <c r="AG282" s="1530"/>
      <c r="AH282" s="1530"/>
      <c r="AI282" s="1530"/>
      <c r="AJ282" s="1530"/>
      <c r="AK282" s="1530"/>
      <c r="AL282" s="1530"/>
      <c r="AM282" s="1530"/>
      <c r="AN282" s="1530"/>
      <c r="AO282" s="1530"/>
      <c r="AP282" s="1530"/>
      <c r="AQ282" s="1530"/>
      <c r="AR282" s="1530"/>
      <c r="AS282" s="1530"/>
      <c r="AT282" s="1530"/>
      <c r="AU282" s="1530"/>
      <c r="AV282" s="1530"/>
      <c r="AW282" s="1530"/>
      <c r="AX282" s="1530"/>
      <c r="AY282" s="1530"/>
      <c r="AZ282" s="1530"/>
      <c r="BA282" s="1530"/>
      <c r="BB282" s="1530"/>
      <c r="BC282" s="1530"/>
      <c r="BD282" s="1530"/>
      <c r="BE282" s="1530"/>
      <c r="BF282" s="1530"/>
      <c r="BG282" s="1530"/>
      <c r="BH282" s="1530"/>
      <c r="BI282" s="1530"/>
      <c r="BJ282" s="1530"/>
      <c r="BK282" s="1530"/>
      <c r="BL282" s="1530"/>
      <c r="BM282" s="1530"/>
      <c r="BN282" s="1530"/>
      <c r="BW282" s="1569"/>
      <c r="CO282" s="1530"/>
      <c r="CP282" s="1530"/>
      <c r="CQ282" s="1530"/>
      <c r="CR282" s="1530"/>
      <c r="CS282" s="1530"/>
      <c r="CT282" s="1530"/>
      <c r="CU282" s="1530"/>
      <c r="CV282" s="1530"/>
      <c r="CW282" s="1530"/>
      <c r="CX282" s="1530"/>
      <c r="CY282" s="1530"/>
      <c r="CZ282" s="1530"/>
      <c r="DA282" s="1530"/>
      <c r="DB282" s="1530"/>
      <c r="DC282" s="1530"/>
      <c r="DD282" s="1530"/>
      <c r="DE282" s="1530"/>
      <c r="DF282" s="1530"/>
      <c r="DG282" s="1530"/>
      <c r="DH282" s="1530"/>
      <c r="DI282" s="1530"/>
      <c r="DJ282" s="1530"/>
      <c r="DK282" s="1530"/>
      <c r="DL282" s="1530"/>
      <c r="DM282" s="1530"/>
      <c r="DN282" s="1571"/>
      <c r="DO282" s="1530"/>
      <c r="DP282" s="1530"/>
    </row>
    <row r="283" spans="1:120">
      <c r="A283" s="1451"/>
      <c r="C283" s="1451"/>
      <c r="K283" s="1451"/>
      <c r="L283" s="1451"/>
      <c r="U283" s="1530"/>
      <c r="V283" s="1530"/>
      <c r="W283" s="1530"/>
      <c r="X283" s="1530"/>
      <c r="Y283" s="1530"/>
      <c r="Z283" s="1530"/>
      <c r="AA283" s="1530"/>
      <c r="AB283" s="1530"/>
      <c r="AC283" s="1530"/>
      <c r="AD283" s="1530"/>
      <c r="AE283" s="1530"/>
      <c r="AF283" s="1530"/>
      <c r="AG283" s="1530"/>
      <c r="AH283" s="1530"/>
      <c r="AI283" s="1530"/>
      <c r="AJ283" s="1530"/>
      <c r="AK283" s="1530"/>
      <c r="AL283" s="1530"/>
      <c r="AM283" s="1530"/>
      <c r="AN283" s="1530"/>
      <c r="AO283" s="1530"/>
      <c r="AP283" s="1530"/>
      <c r="AQ283" s="1530"/>
      <c r="AR283" s="1530"/>
      <c r="AS283" s="1530"/>
      <c r="AT283" s="1530"/>
      <c r="AU283" s="1530"/>
      <c r="AV283" s="1530"/>
      <c r="AW283" s="1530"/>
      <c r="AX283" s="1530"/>
      <c r="AY283" s="1530"/>
      <c r="AZ283" s="1530"/>
      <c r="BA283" s="1530"/>
      <c r="BB283" s="1530"/>
      <c r="BC283" s="1530"/>
      <c r="BD283" s="1530"/>
      <c r="BE283" s="1530"/>
      <c r="BF283" s="1530"/>
      <c r="BG283" s="1530"/>
      <c r="BH283" s="1530"/>
      <c r="BI283" s="1530"/>
      <c r="BJ283" s="1530"/>
      <c r="BK283" s="1530"/>
      <c r="BL283" s="1530"/>
      <c r="BM283" s="1530"/>
      <c r="BN283" s="1530"/>
      <c r="BW283" s="1569"/>
      <c r="CO283" s="1530"/>
      <c r="CP283" s="1530"/>
      <c r="CQ283" s="1530"/>
      <c r="CR283" s="1530"/>
      <c r="CS283" s="1530"/>
      <c r="CT283" s="1530"/>
      <c r="CU283" s="1530"/>
      <c r="CV283" s="1530"/>
      <c r="CW283" s="1530"/>
      <c r="CX283" s="1530"/>
      <c r="CY283" s="1530"/>
      <c r="CZ283" s="1530"/>
      <c r="DA283" s="1530"/>
      <c r="DB283" s="1530"/>
      <c r="DC283" s="1530"/>
      <c r="DD283" s="1530"/>
      <c r="DE283" s="1530"/>
      <c r="DF283" s="1530"/>
      <c r="DG283" s="1530"/>
      <c r="DH283" s="1530"/>
      <c r="DI283" s="1530"/>
      <c r="DJ283" s="1530"/>
      <c r="DK283" s="1530"/>
      <c r="DL283" s="1530"/>
      <c r="DM283" s="1530"/>
      <c r="DN283" s="1571"/>
      <c r="DO283" s="1530"/>
      <c r="DP283" s="1530"/>
    </row>
    <row r="284" spans="1:120">
      <c r="A284" s="1451"/>
      <c r="C284" s="1451"/>
      <c r="K284" s="1451"/>
      <c r="L284" s="1451"/>
      <c r="U284" s="1530"/>
      <c r="V284" s="1530"/>
      <c r="W284" s="1530"/>
      <c r="X284" s="1530"/>
      <c r="Y284" s="1530"/>
      <c r="Z284" s="1530"/>
      <c r="AA284" s="1530"/>
      <c r="AB284" s="1530"/>
      <c r="AC284" s="1530"/>
      <c r="AD284" s="1530"/>
      <c r="AE284" s="1530"/>
      <c r="AF284" s="1530"/>
      <c r="AG284" s="1530"/>
      <c r="AH284" s="1530"/>
      <c r="AI284" s="1530"/>
      <c r="AJ284" s="1530"/>
      <c r="AK284" s="1530"/>
      <c r="AL284" s="1530"/>
      <c r="AM284" s="1530"/>
      <c r="AN284" s="1530"/>
      <c r="AO284" s="1530"/>
      <c r="AP284" s="1530"/>
      <c r="AQ284" s="1530"/>
      <c r="AR284" s="1530"/>
      <c r="AS284" s="1530"/>
      <c r="AT284" s="1530"/>
      <c r="AU284" s="1530"/>
      <c r="AV284" s="1530"/>
      <c r="AW284" s="1530"/>
      <c r="AX284" s="1530"/>
      <c r="AY284" s="1530"/>
      <c r="AZ284" s="1530"/>
      <c r="BA284" s="1530"/>
      <c r="BB284" s="1530"/>
      <c r="BC284" s="1530"/>
      <c r="BD284" s="1530"/>
      <c r="BE284" s="1530"/>
      <c r="BF284" s="1530"/>
      <c r="BG284" s="1530"/>
      <c r="BH284" s="1530"/>
      <c r="BI284" s="1530"/>
      <c r="BJ284" s="1530"/>
      <c r="BK284" s="1530"/>
      <c r="BL284" s="1530"/>
      <c r="BM284" s="1530"/>
      <c r="BN284" s="1530"/>
      <c r="BW284" s="1569"/>
      <c r="CO284" s="1530"/>
      <c r="CP284" s="1530"/>
      <c r="CQ284" s="1530"/>
      <c r="CR284" s="1530"/>
      <c r="CS284" s="1530"/>
      <c r="CT284" s="1530"/>
      <c r="CU284" s="1530"/>
      <c r="CV284" s="1530"/>
      <c r="CW284" s="1530"/>
      <c r="CX284" s="1530"/>
      <c r="CY284" s="1530"/>
      <c r="CZ284" s="1530"/>
      <c r="DA284" s="1530"/>
      <c r="DB284" s="1530"/>
      <c r="DC284" s="1530"/>
      <c r="DD284" s="1530"/>
      <c r="DE284" s="1530"/>
      <c r="DF284" s="1530"/>
      <c r="DG284" s="1530"/>
      <c r="DH284" s="1530"/>
      <c r="DI284" s="1530"/>
      <c r="DJ284" s="1530"/>
      <c r="DK284" s="1530"/>
      <c r="DL284" s="1530"/>
      <c r="DM284" s="1530"/>
      <c r="DN284" s="1571"/>
      <c r="DO284" s="1530"/>
      <c r="DP284" s="1530"/>
    </row>
    <row r="285" spans="1:120">
      <c r="A285" s="1451"/>
      <c r="C285" s="1451"/>
      <c r="K285" s="1451"/>
      <c r="L285" s="1451"/>
      <c r="U285" s="1530"/>
      <c r="V285" s="1530"/>
      <c r="W285" s="1530"/>
      <c r="X285" s="1530"/>
      <c r="Y285" s="1530"/>
      <c r="Z285" s="1530"/>
      <c r="AA285" s="1530"/>
      <c r="AB285" s="1530"/>
      <c r="AC285" s="1530"/>
      <c r="AD285" s="1530"/>
      <c r="AE285" s="1530"/>
      <c r="AF285" s="1530"/>
      <c r="AG285" s="1530"/>
      <c r="AH285" s="1530"/>
      <c r="AI285" s="1530"/>
      <c r="AJ285" s="1530"/>
      <c r="AK285" s="1530"/>
      <c r="AL285" s="1530"/>
      <c r="AM285" s="1530"/>
      <c r="AN285" s="1530"/>
      <c r="AO285" s="1530"/>
      <c r="AP285" s="1530"/>
      <c r="AQ285" s="1530"/>
      <c r="AR285" s="1530"/>
      <c r="AS285" s="1530"/>
      <c r="AT285" s="1530"/>
      <c r="AU285" s="1530"/>
      <c r="AV285" s="1530"/>
      <c r="AW285" s="1530"/>
      <c r="AX285" s="1530"/>
      <c r="AY285" s="1530"/>
      <c r="AZ285" s="1530"/>
      <c r="BA285" s="1530"/>
      <c r="BB285" s="1530"/>
      <c r="BC285" s="1530"/>
      <c r="BD285" s="1530"/>
      <c r="BE285" s="1530"/>
      <c r="BF285" s="1530"/>
      <c r="BG285" s="1530"/>
      <c r="BH285" s="1530"/>
      <c r="BI285" s="1530"/>
      <c r="BJ285" s="1530"/>
      <c r="BK285" s="1530"/>
      <c r="BL285" s="1530"/>
      <c r="BM285" s="1530"/>
      <c r="BN285" s="1530"/>
      <c r="BW285" s="1569"/>
      <c r="CO285" s="1530"/>
      <c r="CP285" s="1530"/>
      <c r="CQ285" s="1530"/>
      <c r="CR285" s="1530"/>
      <c r="CS285" s="1530"/>
      <c r="CT285" s="1530"/>
      <c r="CU285" s="1530"/>
      <c r="CV285" s="1530"/>
      <c r="CW285" s="1530"/>
      <c r="CX285" s="1530"/>
      <c r="CY285" s="1530"/>
      <c r="CZ285" s="1530"/>
      <c r="DA285" s="1530"/>
      <c r="DB285" s="1530"/>
      <c r="DC285" s="1530"/>
      <c r="DD285" s="1530"/>
      <c r="DE285" s="1530"/>
      <c r="DF285" s="1530"/>
      <c r="DG285" s="1530"/>
      <c r="DH285" s="1530"/>
      <c r="DI285" s="1530"/>
      <c r="DJ285" s="1530"/>
      <c r="DK285" s="1530"/>
      <c r="DL285" s="1530"/>
      <c r="DM285" s="1530"/>
      <c r="DN285" s="1571"/>
      <c r="DO285" s="1530"/>
      <c r="DP285" s="1530"/>
    </row>
    <row r="286" spans="1:120">
      <c r="A286" s="1451"/>
      <c r="C286" s="1451"/>
      <c r="K286" s="1451"/>
      <c r="L286" s="1451"/>
      <c r="U286" s="1530"/>
      <c r="V286" s="1530"/>
      <c r="W286" s="1530"/>
      <c r="X286" s="1530"/>
      <c r="Y286" s="1530"/>
      <c r="Z286" s="1530"/>
      <c r="AA286" s="1530"/>
      <c r="AB286" s="1530"/>
      <c r="AC286" s="1530"/>
      <c r="AD286" s="1530"/>
      <c r="AE286" s="1530"/>
      <c r="AF286" s="1530"/>
      <c r="AG286" s="1530"/>
      <c r="AH286" s="1530"/>
      <c r="AI286" s="1530"/>
      <c r="AJ286" s="1530"/>
      <c r="AK286" s="1530"/>
      <c r="AL286" s="1530"/>
      <c r="AM286" s="1530"/>
      <c r="AN286" s="1530"/>
      <c r="AO286" s="1530"/>
      <c r="AP286" s="1530"/>
      <c r="AQ286" s="1530"/>
      <c r="AR286" s="1530"/>
      <c r="AS286" s="1530"/>
      <c r="AT286" s="1530"/>
      <c r="AU286" s="1530"/>
      <c r="AV286" s="1530"/>
      <c r="AW286" s="1530"/>
      <c r="AX286" s="1530"/>
      <c r="AY286" s="1530"/>
      <c r="AZ286" s="1530"/>
      <c r="BA286" s="1530"/>
      <c r="BB286" s="1530"/>
      <c r="BC286" s="1530"/>
      <c r="BD286" s="1530"/>
      <c r="BE286" s="1530"/>
      <c r="BF286" s="1530"/>
      <c r="BG286" s="1530"/>
      <c r="BH286" s="1530"/>
      <c r="BI286" s="1530"/>
      <c r="BJ286" s="1530"/>
      <c r="BK286" s="1530"/>
      <c r="BL286" s="1530"/>
      <c r="BM286" s="1530"/>
      <c r="BN286" s="1530"/>
      <c r="BW286" s="1569"/>
      <c r="CO286" s="1530"/>
      <c r="CP286" s="1530"/>
      <c r="CQ286" s="1530"/>
      <c r="CR286" s="1530"/>
      <c r="CS286" s="1530"/>
      <c r="CT286" s="1530"/>
      <c r="CU286" s="1530"/>
      <c r="CV286" s="1530"/>
      <c r="CW286" s="1530"/>
      <c r="CX286" s="1530"/>
      <c r="CY286" s="1530"/>
      <c r="CZ286" s="1530"/>
      <c r="DA286" s="1530"/>
      <c r="DB286" s="1530"/>
      <c r="DC286" s="1530"/>
      <c r="DD286" s="1530"/>
      <c r="DE286" s="1530"/>
      <c r="DF286" s="1530"/>
      <c r="DG286" s="1530"/>
      <c r="DH286" s="1530"/>
      <c r="DI286" s="1530"/>
      <c r="DJ286" s="1530"/>
      <c r="DK286" s="1530"/>
      <c r="DL286" s="1530"/>
      <c r="DM286" s="1530"/>
      <c r="DN286" s="1571"/>
      <c r="DO286" s="1530"/>
      <c r="DP286" s="1530"/>
    </row>
    <row r="287" spans="1:120">
      <c r="A287" s="1451"/>
      <c r="C287" s="1451"/>
      <c r="K287" s="1451"/>
      <c r="L287" s="1451"/>
      <c r="U287" s="1530"/>
      <c r="V287" s="1530"/>
      <c r="W287" s="1530"/>
      <c r="X287" s="1530"/>
      <c r="Y287" s="1530"/>
      <c r="Z287" s="1530"/>
      <c r="AA287" s="1530"/>
      <c r="AB287" s="1530"/>
      <c r="AC287" s="1530"/>
      <c r="AD287" s="1530"/>
      <c r="AE287" s="1530"/>
      <c r="AF287" s="1530"/>
      <c r="AG287" s="1530"/>
      <c r="AH287" s="1530"/>
      <c r="AI287" s="1530"/>
      <c r="AJ287" s="1530"/>
      <c r="AK287" s="1530"/>
      <c r="AL287" s="1530"/>
      <c r="AM287" s="1530"/>
      <c r="AN287" s="1530"/>
      <c r="AO287" s="1530"/>
      <c r="AP287" s="1530"/>
      <c r="AQ287" s="1530"/>
      <c r="AR287" s="1530"/>
      <c r="AS287" s="1530"/>
      <c r="AT287" s="1530"/>
      <c r="AU287" s="1530"/>
      <c r="AV287" s="1530"/>
      <c r="AW287" s="1530"/>
      <c r="AX287" s="1530"/>
      <c r="AY287" s="1530"/>
      <c r="AZ287" s="1530"/>
      <c r="BA287" s="1530"/>
      <c r="BB287" s="1530"/>
      <c r="BC287" s="1530"/>
      <c r="BD287" s="1530"/>
      <c r="BE287" s="1530"/>
      <c r="BF287" s="1530"/>
      <c r="BG287" s="1530"/>
      <c r="BH287" s="1530"/>
      <c r="BI287" s="1530"/>
      <c r="BJ287" s="1530"/>
      <c r="BK287" s="1530"/>
      <c r="BL287" s="1530"/>
      <c r="BM287" s="1530"/>
      <c r="BN287" s="1530"/>
      <c r="BW287" s="1569"/>
      <c r="CO287" s="1530"/>
      <c r="CP287" s="1530"/>
      <c r="CQ287" s="1530"/>
      <c r="CR287" s="1530"/>
      <c r="CS287" s="1530"/>
      <c r="CT287" s="1530"/>
      <c r="CU287" s="1530"/>
      <c r="CV287" s="1530"/>
      <c r="CW287" s="1530"/>
      <c r="CX287" s="1530"/>
      <c r="CY287" s="1530"/>
      <c r="CZ287" s="1530"/>
      <c r="DA287" s="1530"/>
      <c r="DB287" s="1530"/>
      <c r="DC287" s="1530"/>
      <c r="DD287" s="1530"/>
      <c r="DE287" s="1530"/>
      <c r="DF287" s="1530"/>
      <c r="DG287" s="1530"/>
      <c r="DH287" s="1530"/>
      <c r="DI287" s="1530"/>
      <c r="DJ287" s="1530"/>
      <c r="DK287" s="1530"/>
      <c r="DL287" s="1530"/>
      <c r="DM287" s="1530"/>
      <c r="DN287" s="1571"/>
      <c r="DO287" s="1530"/>
      <c r="DP287" s="1530"/>
    </row>
    <row r="288" spans="1:120">
      <c r="A288" s="1451"/>
      <c r="C288" s="1451"/>
      <c r="K288" s="1451"/>
      <c r="L288" s="1451"/>
      <c r="U288" s="1530"/>
      <c r="V288" s="1530"/>
      <c r="W288" s="1530"/>
      <c r="X288" s="1530"/>
      <c r="Y288" s="1530"/>
      <c r="Z288" s="1530"/>
      <c r="AA288" s="1530"/>
      <c r="AB288" s="1530"/>
      <c r="AC288" s="1530"/>
      <c r="AD288" s="1530"/>
      <c r="AE288" s="1530"/>
      <c r="AF288" s="1530"/>
      <c r="AG288" s="1530"/>
      <c r="AH288" s="1530"/>
      <c r="AI288" s="1530"/>
      <c r="AJ288" s="1530"/>
      <c r="AK288" s="1530"/>
      <c r="AL288" s="1530"/>
      <c r="AM288" s="1530"/>
      <c r="AN288" s="1530"/>
      <c r="AO288" s="1530"/>
      <c r="AP288" s="1530"/>
      <c r="AQ288" s="1530"/>
      <c r="AR288" s="1530"/>
      <c r="AS288" s="1530"/>
      <c r="AT288" s="1530"/>
      <c r="AU288" s="1530"/>
      <c r="AV288" s="1530"/>
      <c r="AW288" s="1530"/>
      <c r="AX288" s="1530"/>
      <c r="AY288" s="1530"/>
      <c r="AZ288" s="1530"/>
      <c r="BA288" s="1530"/>
      <c r="BB288" s="1530"/>
      <c r="BC288" s="1530"/>
      <c r="BD288" s="1530"/>
      <c r="BE288" s="1530"/>
      <c r="BF288" s="1530"/>
      <c r="BG288" s="1530"/>
      <c r="BH288" s="1530"/>
      <c r="BI288" s="1530"/>
      <c r="BJ288" s="1530"/>
      <c r="BK288" s="1530"/>
      <c r="BL288" s="1530"/>
      <c r="BM288" s="1530"/>
      <c r="BN288" s="1530"/>
      <c r="BW288" s="1569"/>
      <c r="CO288" s="1530"/>
      <c r="CP288" s="1530"/>
      <c r="CQ288" s="1530"/>
      <c r="CR288" s="1530"/>
      <c r="CS288" s="1530"/>
      <c r="CT288" s="1530"/>
      <c r="CU288" s="1530"/>
      <c r="CV288" s="1530"/>
      <c r="CW288" s="1530"/>
      <c r="CX288" s="1530"/>
      <c r="CY288" s="1530"/>
      <c r="CZ288" s="1530"/>
      <c r="DA288" s="1530"/>
      <c r="DB288" s="1530"/>
      <c r="DC288" s="1530"/>
      <c r="DD288" s="1530"/>
      <c r="DE288" s="1530"/>
      <c r="DF288" s="1530"/>
      <c r="DG288" s="1530"/>
      <c r="DH288" s="1530"/>
      <c r="DI288" s="1530"/>
      <c r="DJ288" s="1530"/>
      <c r="DK288" s="1530"/>
      <c r="DL288" s="1530"/>
      <c r="DM288" s="1530"/>
      <c r="DN288" s="1571"/>
      <c r="DO288" s="1530"/>
      <c r="DP288" s="1530"/>
    </row>
    <row r="289" spans="1:120">
      <c r="A289" s="1451"/>
      <c r="C289" s="1451"/>
      <c r="K289" s="1451"/>
      <c r="L289" s="1451"/>
      <c r="U289" s="1530"/>
      <c r="V289" s="1530"/>
      <c r="W289" s="1530"/>
      <c r="X289" s="1530"/>
      <c r="Y289" s="1530"/>
      <c r="Z289" s="1530"/>
      <c r="AA289" s="1530"/>
      <c r="AB289" s="1530"/>
      <c r="AC289" s="1530"/>
      <c r="AD289" s="1530"/>
      <c r="AE289" s="1530"/>
      <c r="AF289" s="1530"/>
      <c r="AG289" s="1530"/>
      <c r="AH289" s="1530"/>
      <c r="AI289" s="1530"/>
      <c r="AJ289" s="1530"/>
      <c r="AK289" s="1530"/>
      <c r="AL289" s="1530"/>
      <c r="AM289" s="1530"/>
      <c r="AN289" s="1530"/>
      <c r="AO289" s="1530"/>
      <c r="AP289" s="1530"/>
      <c r="AQ289" s="1530"/>
      <c r="AR289" s="1530"/>
      <c r="AS289" s="1530"/>
      <c r="AT289" s="1530"/>
      <c r="AU289" s="1530"/>
      <c r="AV289" s="1530"/>
      <c r="AW289" s="1530"/>
      <c r="AX289" s="1530"/>
      <c r="AY289" s="1530"/>
      <c r="AZ289" s="1530"/>
      <c r="BA289" s="1530"/>
      <c r="BB289" s="1530"/>
      <c r="BC289" s="1530"/>
      <c r="BD289" s="1530"/>
      <c r="BE289" s="1530"/>
      <c r="BF289" s="1530"/>
      <c r="BG289" s="1530"/>
      <c r="BH289" s="1530"/>
      <c r="BI289" s="1530"/>
      <c r="BJ289" s="1530"/>
      <c r="BK289" s="1530"/>
      <c r="BL289" s="1530"/>
      <c r="BM289" s="1530"/>
      <c r="BN289" s="1530"/>
      <c r="BW289" s="1569"/>
      <c r="CO289" s="1530"/>
      <c r="CP289" s="1530"/>
      <c r="CQ289" s="1530"/>
      <c r="CR289" s="1530"/>
      <c r="CS289" s="1530"/>
      <c r="CT289" s="1530"/>
      <c r="CU289" s="1530"/>
      <c r="CV289" s="1530"/>
      <c r="CW289" s="1530"/>
      <c r="CX289" s="1530"/>
      <c r="CY289" s="1530"/>
      <c r="CZ289" s="1530"/>
      <c r="DA289" s="1530"/>
      <c r="DB289" s="1530"/>
      <c r="DC289" s="1530"/>
      <c r="DD289" s="1530"/>
      <c r="DE289" s="1530"/>
      <c r="DF289" s="1530"/>
      <c r="DG289" s="1530"/>
      <c r="DH289" s="1530"/>
      <c r="DI289" s="1530"/>
      <c r="DJ289" s="1530"/>
      <c r="DK289" s="1530"/>
      <c r="DL289" s="1530"/>
      <c r="DM289" s="1530"/>
      <c r="DN289" s="1571"/>
      <c r="DO289" s="1530"/>
      <c r="DP289" s="1530"/>
    </row>
    <row r="290" spans="1:120">
      <c r="A290" s="1451"/>
      <c r="C290" s="1451"/>
      <c r="K290" s="1451"/>
      <c r="L290" s="1451"/>
      <c r="U290" s="1530"/>
      <c r="V290" s="1530"/>
      <c r="W290" s="1530"/>
      <c r="X290" s="1530"/>
      <c r="Y290" s="1530"/>
      <c r="Z290" s="1530"/>
      <c r="AA290" s="1530"/>
      <c r="AB290" s="1530"/>
      <c r="AC290" s="1530"/>
      <c r="AD290" s="1530"/>
      <c r="AE290" s="1530"/>
      <c r="AF290" s="1530"/>
      <c r="AG290" s="1530"/>
      <c r="AH290" s="1530"/>
      <c r="AI290" s="1530"/>
      <c r="AJ290" s="1530"/>
      <c r="AK290" s="1530"/>
      <c r="AL290" s="1530"/>
      <c r="AM290" s="1530"/>
      <c r="AN290" s="1530"/>
      <c r="AO290" s="1530"/>
      <c r="AP290" s="1530"/>
      <c r="AQ290" s="1530"/>
      <c r="AR290" s="1530"/>
      <c r="AS290" s="1530"/>
      <c r="AT290" s="1530"/>
      <c r="AU290" s="1530"/>
      <c r="AV290" s="1530"/>
      <c r="AW290" s="1530"/>
      <c r="AX290" s="1530"/>
      <c r="AY290" s="1530"/>
      <c r="AZ290" s="1530"/>
      <c r="BA290" s="1530"/>
      <c r="BB290" s="1530"/>
      <c r="BC290" s="1530"/>
      <c r="BD290" s="1530"/>
      <c r="BE290" s="1530"/>
      <c r="BF290" s="1530"/>
      <c r="BG290" s="1530"/>
      <c r="BH290" s="1530"/>
      <c r="BI290" s="1530"/>
      <c r="BJ290" s="1530"/>
      <c r="BK290" s="1530"/>
      <c r="BL290" s="1530"/>
      <c r="BM290" s="1530"/>
      <c r="BN290" s="1530"/>
      <c r="BW290" s="1569"/>
      <c r="CO290" s="1530"/>
      <c r="CP290" s="1530"/>
      <c r="CQ290" s="1530"/>
      <c r="CR290" s="1530"/>
      <c r="CS290" s="1530"/>
      <c r="CT290" s="1530"/>
      <c r="CU290" s="1530"/>
      <c r="CV290" s="1530"/>
      <c r="CW290" s="1530"/>
      <c r="CX290" s="1530"/>
      <c r="CY290" s="1530"/>
      <c r="CZ290" s="1530"/>
      <c r="DA290" s="1530"/>
      <c r="DB290" s="1530"/>
      <c r="DC290" s="1530"/>
      <c r="DD290" s="1530"/>
      <c r="DE290" s="1530"/>
      <c r="DF290" s="1530"/>
      <c r="DG290" s="1530"/>
      <c r="DH290" s="1530"/>
      <c r="DI290" s="1530"/>
      <c r="DJ290" s="1530"/>
      <c r="DK290" s="1530"/>
      <c r="DL290" s="1530"/>
      <c r="DM290" s="1530"/>
      <c r="DN290" s="1571"/>
      <c r="DO290" s="1530"/>
      <c r="DP290" s="1530"/>
    </row>
    <row r="291" spans="1:120">
      <c r="A291" s="1451"/>
      <c r="C291" s="1451"/>
      <c r="K291" s="1451"/>
      <c r="L291" s="1451"/>
      <c r="U291" s="1530"/>
      <c r="V291" s="1530"/>
      <c r="W291" s="1530"/>
      <c r="X291" s="1530"/>
      <c r="Y291" s="1530"/>
      <c r="Z291" s="1530"/>
      <c r="AA291" s="1530"/>
      <c r="AB291" s="1530"/>
      <c r="AC291" s="1530"/>
      <c r="AD291" s="1530"/>
      <c r="AE291" s="1530"/>
      <c r="AF291" s="1530"/>
      <c r="AG291" s="1530"/>
      <c r="AH291" s="1530"/>
      <c r="AI291" s="1530"/>
      <c r="AJ291" s="1530"/>
      <c r="AK291" s="1530"/>
      <c r="AL291" s="1530"/>
      <c r="AM291" s="1530"/>
      <c r="AN291" s="1530"/>
      <c r="AO291" s="1530"/>
      <c r="AP291" s="1530"/>
      <c r="AQ291" s="1530"/>
      <c r="AR291" s="1530"/>
      <c r="AS291" s="1530"/>
      <c r="AT291" s="1530"/>
      <c r="AU291" s="1530"/>
      <c r="AV291" s="1530"/>
      <c r="AW291" s="1530"/>
      <c r="AX291" s="1530"/>
      <c r="AY291" s="1530"/>
      <c r="AZ291" s="1530"/>
      <c r="BA291" s="1530"/>
      <c r="BB291" s="1530"/>
      <c r="BC291" s="1530"/>
      <c r="BD291" s="1530"/>
      <c r="BE291" s="1530"/>
      <c r="BF291" s="1530"/>
      <c r="BG291" s="1530"/>
      <c r="BH291" s="1530"/>
      <c r="BI291" s="1530"/>
      <c r="BJ291" s="1530"/>
      <c r="BK291" s="1530"/>
      <c r="BL291" s="1530"/>
      <c r="BM291" s="1530"/>
      <c r="BN291" s="1530"/>
      <c r="BW291" s="1569"/>
      <c r="CO291" s="1530"/>
      <c r="CP291" s="1530"/>
      <c r="CQ291" s="1530"/>
      <c r="CR291" s="1530"/>
      <c r="CS291" s="1530"/>
      <c r="CT291" s="1530"/>
      <c r="CU291" s="1530"/>
      <c r="CV291" s="1530"/>
      <c r="CW291" s="1530"/>
      <c r="CX291" s="1530"/>
      <c r="CY291" s="1530"/>
      <c r="CZ291" s="1530"/>
      <c r="DA291" s="1530"/>
      <c r="DB291" s="1530"/>
      <c r="DC291" s="1530"/>
      <c r="DD291" s="1530"/>
      <c r="DE291" s="1530"/>
      <c r="DF291" s="1530"/>
      <c r="DG291" s="1530"/>
      <c r="DH291" s="1530"/>
      <c r="DI291" s="1530"/>
      <c r="DJ291" s="1530"/>
      <c r="DK291" s="1530"/>
      <c r="DL291" s="1530"/>
      <c r="DM291" s="1530"/>
      <c r="DN291" s="1571"/>
      <c r="DO291" s="1530"/>
      <c r="DP291" s="1530"/>
    </row>
    <row r="292" spans="1:120">
      <c r="A292" s="1451"/>
      <c r="C292" s="1451"/>
      <c r="K292" s="1451"/>
      <c r="L292" s="1451"/>
      <c r="U292" s="1530"/>
      <c r="V292" s="1530"/>
      <c r="W292" s="1530"/>
      <c r="X292" s="1530"/>
      <c r="Y292" s="1530"/>
      <c r="Z292" s="1530"/>
      <c r="AA292" s="1530"/>
      <c r="AB292" s="1530"/>
      <c r="AC292" s="1530"/>
      <c r="AD292" s="1530"/>
      <c r="AE292" s="1530"/>
      <c r="AF292" s="1530"/>
      <c r="AG292" s="1530"/>
      <c r="AH292" s="1530"/>
      <c r="AI292" s="1530"/>
      <c r="AJ292" s="1530"/>
      <c r="AK292" s="1530"/>
      <c r="AL292" s="1530"/>
      <c r="AM292" s="1530"/>
      <c r="AN292" s="1530"/>
      <c r="AO292" s="1530"/>
      <c r="AP292" s="1530"/>
      <c r="AQ292" s="1530"/>
      <c r="AR292" s="1530"/>
      <c r="AS292" s="1530"/>
      <c r="AT292" s="1530"/>
      <c r="AU292" s="1530"/>
      <c r="AV292" s="1530"/>
      <c r="AW292" s="1530"/>
      <c r="AX292" s="1530"/>
      <c r="AY292" s="1530"/>
      <c r="AZ292" s="1530"/>
      <c r="BA292" s="1530"/>
      <c r="BB292" s="1530"/>
      <c r="BC292" s="1530"/>
      <c r="BD292" s="1530"/>
      <c r="BE292" s="1530"/>
      <c r="BF292" s="1530"/>
      <c r="BG292" s="1530"/>
      <c r="BH292" s="1530"/>
      <c r="BI292" s="1530"/>
      <c r="BJ292" s="1530"/>
      <c r="BK292" s="1530"/>
      <c r="BL292" s="1530"/>
      <c r="BM292" s="1530"/>
      <c r="BN292" s="1530"/>
      <c r="BW292" s="1569"/>
      <c r="CO292" s="1530"/>
      <c r="CP292" s="1530"/>
      <c r="CQ292" s="1530"/>
      <c r="CR292" s="1530"/>
      <c r="CS292" s="1530"/>
      <c r="CT292" s="1530"/>
      <c r="CU292" s="1530"/>
      <c r="CV292" s="1530"/>
      <c r="CW292" s="1530"/>
      <c r="CX292" s="1530"/>
      <c r="CY292" s="1530"/>
      <c r="CZ292" s="1530"/>
      <c r="DA292" s="1530"/>
      <c r="DB292" s="1530"/>
      <c r="DC292" s="1530"/>
      <c r="DD292" s="1530"/>
      <c r="DE292" s="1530"/>
      <c r="DF292" s="1530"/>
      <c r="DG292" s="1530"/>
      <c r="DH292" s="1530"/>
      <c r="DI292" s="1530"/>
      <c r="DJ292" s="1530"/>
      <c r="DK292" s="1530"/>
      <c r="DL292" s="1530"/>
      <c r="DM292" s="1530"/>
      <c r="DN292" s="1571"/>
      <c r="DO292" s="1530"/>
      <c r="DP292" s="1530"/>
    </row>
    <row r="293" spans="1:120">
      <c r="A293" s="1451"/>
      <c r="C293" s="1451"/>
      <c r="K293" s="1451"/>
      <c r="L293" s="1451"/>
      <c r="U293" s="1530"/>
      <c r="V293" s="1530"/>
      <c r="W293" s="1530"/>
      <c r="X293" s="1530"/>
      <c r="Y293" s="1530"/>
      <c r="Z293" s="1530"/>
      <c r="AA293" s="1530"/>
      <c r="AB293" s="1530"/>
      <c r="AC293" s="1530"/>
      <c r="AD293" s="1530"/>
      <c r="AE293" s="1530"/>
      <c r="AF293" s="1530"/>
      <c r="AG293" s="1530"/>
      <c r="AH293" s="1530"/>
      <c r="AI293" s="1530"/>
      <c r="AJ293" s="1530"/>
      <c r="AK293" s="1530"/>
      <c r="AL293" s="1530"/>
      <c r="AM293" s="1530"/>
      <c r="AN293" s="1530"/>
      <c r="AO293" s="1530"/>
      <c r="AP293" s="1530"/>
      <c r="AQ293" s="1530"/>
      <c r="AR293" s="1530"/>
      <c r="AS293" s="1530"/>
      <c r="AT293" s="1530"/>
      <c r="AU293" s="1530"/>
      <c r="AV293" s="1530"/>
      <c r="AW293" s="1530"/>
      <c r="AX293" s="1530"/>
      <c r="AY293" s="1530"/>
      <c r="AZ293" s="1530"/>
      <c r="BA293" s="1530"/>
      <c r="BB293" s="1530"/>
      <c r="BC293" s="1530"/>
      <c r="BD293" s="1530"/>
      <c r="BE293" s="1530"/>
      <c r="BF293" s="1530"/>
      <c r="BG293" s="1530"/>
      <c r="BH293" s="1530"/>
      <c r="BI293" s="1530"/>
      <c r="BJ293" s="1530"/>
      <c r="BK293" s="1530"/>
      <c r="BL293" s="1530"/>
      <c r="BM293" s="1530"/>
      <c r="BN293" s="1530"/>
      <c r="BW293" s="1569"/>
      <c r="CO293" s="1530"/>
      <c r="CP293" s="1530"/>
      <c r="CQ293" s="1530"/>
      <c r="CR293" s="1530"/>
      <c r="CS293" s="1530"/>
      <c r="CT293" s="1530"/>
      <c r="CU293" s="1530"/>
      <c r="CV293" s="1530"/>
      <c r="CW293" s="1530"/>
      <c r="CX293" s="1530"/>
      <c r="CY293" s="1530"/>
      <c r="CZ293" s="1530"/>
      <c r="DA293" s="1530"/>
      <c r="DB293" s="1530"/>
      <c r="DC293" s="1530"/>
      <c r="DD293" s="1530"/>
      <c r="DE293" s="1530"/>
      <c r="DF293" s="1530"/>
      <c r="DG293" s="1530"/>
      <c r="DH293" s="1530"/>
      <c r="DI293" s="1530"/>
      <c r="DJ293" s="1530"/>
      <c r="DK293" s="1530"/>
      <c r="DL293" s="1530"/>
      <c r="DM293" s="1530"/>
      <c r="DN293" s="1571"/>
      <c r="DO293" s="1530"/>
      <c r="DP293" s="1530"/>
    </row>
    <row r="294" spans="1:120">
      <c r="A294" s="1451"/>
      <c r="C294" s="1451"/>
      <c r="K294" s="1451"/>
      <c r="L294" s="1451"/>
      <c r="U294" s="1530"/>
      <c r="V294" s="1530"/>
      <c r="W294" s="1530"/>
      <c r="X294" s="1530"/>
      <c r="Y294" s="1530"/>
      <c r="Z294" s="1530"/>
      <c r="AA294" s="1530"/>
      <c r="AB294" s="1530"/>
      <c r="AC294" s="1530"/>
      <c r="AD294" s="1530"/>
      <c r="AE294" s="1530"/>
      <c r="AF294" s="1530"/>
      <c r="AG294" s="1530"/>
      <c r="AH294" s="1530"/>
      <c r="AI294" s="1530"/>
      <c r="AJ294" s="1530"/>
      <c r="AK294" s="1530"/>
      <c r="AL294" s="1530"/>
      <c r="AM294" s="1530"/>
      <c r="AN294" s="1530"/>
      <c r="AO294" s="1530"/>
      <c r="AP294" s="1530"/>
      <c r="AQ294" s="1530"/>
      <c r="AR294" s="1530"/>
      <c r="AS294" s="1530"/>
      <c r="AT294" s="1530"/>
      <c r="AU294" s="1530"/>
      <c r="AV294" s="1530"/>
      <c r="AW294" s="1530"/>
      <c r="AX294" s="1530"/>
      <c r="AY294" s="1530"/>
      <c r="AZ294" s="1530"/>
      <c r="BA294" s="1530"/>
      <c r="BB294" s="1530"/>
      <c r="BC294" s="1530"/>
      <c r="BD294" s="1530"/>
      <c r="BE294" s="1530"/>
      <c r="BF294" s="1530"/>
      <c r="BG294" s="1530"/>
      <c r="BH294" s="1530"/>
      <c r="BI294" s="1530"/>
      <c r="BJ294" s="1530"/>
      <c r="BK294" s="1530"/>
      <c r="BL294" s="1530"/>
      <c r="BM294" s="1530"/>
      <c r="BN294" s="1530"/>
      <c r="BW294" s="1569"/>
      <c r="CO294" s="1530"/>
      <c r="CP294" s="1530"/>
      <c r="CQ294" s="1530"/>
      <c r="CR294" s="1530"/>
      <c r="CS294" s="1530"/>
      <c r="CT294" s="1530"/>
      <c r="CU294" s="1530"/>
      <c r="CV294" s="1530"/>
      <c r="CW294" s="1530"/>
      <c r="CX294" s="1530"/>
      <c r="CY294" s="1530"/>
      <c r="CZ294" s="1530"/>
      <c r="DA294" s="1530"/>
      <c r="DB294" s="1530"/>
      <c r="DC294" s="1530"/>
      <c r="DD294" s="1530"/>
      <c r="DE294" s="1530"/>
      <c r="DF294" s="1530"/>
      <c r="DG294" s="1530"/>
      <c r="DH294" s="1530"/>
      <c r="DI294" s="1530"/>
      <c r="DJ294" s="1530"/>
      <c r="DK294" s="1530"/>
      <c r="DL294" s="1530"/>
      <c r="DM294" s="1530"/>
      <c r="DN294" s="1571"/>
      <c r="DO294" s="1530"/>
      <c r="DP294" s="1530"/>
    </row>
    <row r="295" spans="1:120">
      <c r="A295" s="1451"/>
      <c r="C295" s="1451"/>
      <c r="K295" s="1451"/>
      <c r="L295" s="1451"/>
      <c r="U295" s="1530"/>
      <c r="V295" s="1530"/>
      <c r="W295" s="1530"/>
      <c r="X295" s="1530"/>
      <c r="Y295" s="1530"/>
      <c r="Z295" s="1530"/>
      <c r="AA295" s="1530"/>
      <c r="AB295" s="1530"/>
      <c r="AC295" s="1530"/>
      <c r="AD295" s="1530"/>
      <c r="AE295" s="1530"/>
      <c r="AF295" s="1530"/>
      <c r="AG295" s="1530"/>
      <c r="AH295" s="1530"/>
      <c r="AI295" s="1530"/>
      <c r="AJ295" s="1530"/>
      <c r="AK295" s="1530"/>
      <c r="AL295" s="1530"/>
      <c r="AM295" s="1530"/>
      <c r="AN295" s="1530"/>
      <c r="AO295" s="1530"/>
      <c r="AP295" s="1530"/>
      <c r="AQ295" s="1530"/>
      <c r="AR295" s="1530"/>
      <c r="AS295" s="1530"/>
      <c r="AT295" s="1530"/>
      <c r="AU295" s="1530"/>
      <c r="AV295" s="1530"/>
      <c r="AW295" s="1530"/>
      <c r="AX295" s="1530"/>
      <c r="AY295" s="1530"/>
      <c r="AZ295" s="1530"/>
      <c r="BA295" s="1530"/>
      <c r="BB295" s="1530"/>
      <c r="BC295" s="1530"/>
      <c r="BD295" s="1530"/>
      <c r="BE295" s="1530"/>
      <c r="BF295" s="1530"/>
      <c r="BG295" s="1530"/>
      <c r="BH295" s="1530"/>
      <c r="BI295" s="1530"/>
      <c r="BJ295" s="1530"/>
      <c r="BK295" s="1530"/>
      <c r="BL295" s="1530"/>
      <c r="BM295" s="1530"/>
      <c r="BN295" s="1530"/>
      <c r="BW295" s="1569"/>
      <c r="CO295" s="1530"/>
      <c r="CP295" s="1530"/>
      <c r="CQ295" s="1530"/>
      <c r="CR295" s="1530"/>
      <c r="CS295" s="1530"/>
      <c r="CT295" s="1530"/>
      <c r="CU295" s="1530"/>
      <c r="CV295" s="1530"/>
      <c r="CW295" s="1530"/>
      <c r="CX295" s="1530"/>
      <c r="CY295" s="1530"/>
      <c r="CZ295" s="1530"/>
      <c r="DA295" s="1530"/>
      <c r="DB295" s="1530"/>
      <c r="DC295" s="1530"/>
      <c r="DD295" s="1530"/>
      <c r="DE295" s="1530"/>
      <c r="DF295" s="1530"/>
      <c r="DG295" s="1530"/>
      <c r="DH295" s="1530"/>
      <c r="DI295" s="1530"/>
      <c r="DJ295" s="1530"/>
      <c r="DK295" s="1530"/>
      <c r="DL295" s="1530"/>
      <c r="DM295" s="1530"/>
      <c r="DN295" s="1571"/>
      <c r="DO295" s="1530"/>
      <c r="DP295" s="1530"/>
    </row>
    <row r="296" spans="1:120">
      <c r="A296" s="1451"/>
      <c r="C296" s="1451"/>
      <c r="K296" s="1451"/>
      <c r="L296" s="1451"/>
      <c r="U296" s="1530"/>
      <c r="V296" s="1530"/>
      <c r="W296" s="1530"/>
      <c r="X296" s="1530"/>
      <c r="Y296" s="1530"/>
      <c r="Z296" s="1530"/>
      <c r="AA296" s="1530"/>
      <c r="AB296" s="1530"/>
      <c r="AC296" s="1530"/>
      <c r="AD296" s="1530"/>
      <c r="AE296" s="1530"/>
      <c r="AF296" s="1530"/>
      <c r="AG296" s="1530"/>
      <c r="AH296" s="1530"/>
      <c r="AI296" s="1530"/>
      <c r="AJ296" s="1530"/>
      <c r="AK296" s="1530"/>
      <c r="AL296" s="1530"/>
      <c r="AM296" s="1530"/>
      <c r="AN296" s="1530"/>
      <c r="AO296" s="1530"/>
      <c r="AP296" s="1530"/>
      <c r="AQ296" s="1530"/>
      <c r="AR296" s="1530"/>
      <c r="AS296" s="1530"/>
      <c r="AT296" s="1530"/>
      <c r="AU296" s="1530"/>
      <c r="AV296" s="1530"/>
      <c r="AW296" s="1530"/>
      <c r="AX296" s="1530"/>
      <c r="AY296" s="1530"/>
      <c r="AZ296" s="1530"/>
      <c r="BA296" s="1530"/>
      <c r="BB296" s="1530"/>
      <c r="BC296" s="1530"/>
      <c r="BD296" s="1530"/>
      <c r="BE296" s="1530"/>
      <c r="BF296" s="1530"/>
      <c r="BG296" s="1530"/>
      <c r="BH296" s="1530"/>
      <c r="BI296" s="1530"/>
      <c r="BJ296" s="1530"/>
      <c r="BK296" s="1530"/>
      <c r="BL296" s="1530"/>
      <c r="BM296" s="1530"/>
      <c r="BN296" s="1530"/>
      <c r="BW296" s="1569"/>
      <c r="CO296" s="1530"/>
      <c r="CP296" s="1530"/>
      <c r="CQ296" s="1530"/>
      <c r="CR296" s="1530"/>
      <c r="CS296" s="1530"/>
      <c r="CT296" s="1530"/>
      <c r="CU296" s="1530"/>
      <c r="CV296" s="1530"/>
      <c r="CW296" s="1530"/>
      <c r="CX296" s="1530"/>
      <c r="CY296" s="1530"/>
      <c r="CZ296" s="1530"/>
      <c r="DA296" s="1530"/>
      <c r="DB296" s="1530"/>
      <c r="DC296" s="1530"/>
      <c r="DD296" s="1530"/>
      <c r="DE296" s="1530"/>
      <c r="DF296" s="1530"/>
      <c r="DG296" s="1530"/>
      <c r="DH296" s="1530"/>
      <c r="DI296" s="1530"/>
      <c r="DJ296" s="1530"/>
      <c r="DK296" s="1530"/>
      <c r="DL296" s="1530"/>
      <c r="DM296" s="1530"/>
      <c r="DN296" s="1571"/>
      <c r="DO296" s="1530"/>
      <c r="DP296" s="1530"/>
    </row>
    <row r="297" spans="1:120">
      <c r="A297" s="1451"/>
      <c r="C297" s="1451"/>
      <c r="K297" s="1451"/>
      <c r="L297" s="1451"/>
      <c r="U297" s="1530"/>
      <c r="V297" s="1530"/>
      <c r="W297" s="1530"/>
      <c r="X297" s="1530"/>
      <c r="Y297" s="1530"/>
      <c r="Z297" s="1530"/>
      <c r="AA297" s="1530"/>
      <c r="AB297" s="1530"/>
      <c r="AC297" s="1530"/>
      <c r="AD297" s="1530"/>
      <c r="AE297" s="1530"/>
      <c r="AF297" s="1530"/>
      <c r="AG297" s="1530"/>
      <c r="AH297" s="1530"/>
      <c r="AI297" s="1530"/>
      <c r="AJ297" s="1530"/>
      <c r="AK297" s="1530"/>
      <c r="AL297" s="1530"/>
      <c r="AM297" s="1530"/>
      <c r="AN297" s="1530"/>
      <c r="AO297" s="1530"/>
      <c r="AP297" s="1530"/>
      <c r="AQ297" s="1530"/>
      <c r="AR297" s="1530"/>
      <c r="AS297" s="1530"/>
      <c r="AT297" s="1530"/>
      <c r="AU297" s="1530"/>
      <c r="AV297" s="1530"/>
      <c r="AW297" s="1530"/>
      <c r="AX297" s="1530"/>
      <c r="AY297" s="1530"/>
      <c r="AZ297" s="1530"/>
      <c r="BA297" s="1530"/>
      <c r="BB297" s="1530"/>
      <c r="BC297" s="1530"/>
      <c r="BD297" s="1530"/>
      <c r="BE297" s="1530"/>
      <c r="BF297" s="1530"/>
      <c r="BG297" s="1530"/>
      <c r="BH297" s="1530"/>
      <c r="BI297" s="1530"/>
      <c r="BJ297" s="1530"/>
      <c r="BK297" s="1530"/>
      <c r="BL297" s="1530"/>
      <c r="BM297" s="1530"/>
      <c r="BN297" s="1530"/>
      <c r="BW297" s="1569"/>
      <c r="CO297" s="1530"/>
      <c r="CP297" s="1530"/>
      <c r="CQ297" s="1530"/>
      <c r="CR297" s="1530"/>
      <c r="CS297" s="1530"/>
      <c r="CT297" s="1530"/>
      <c r="CU297" s="1530"/>
      <c r="CV297" s="1530"/>
      <c r="CW297" s="1530"/>
      <c r="CX297" s="1530"/>
      <c r="CY297" s="1530"/>
      <c r="CZ297" s="1530"/>
      <c r="DA297" s="1530"/>
      <c r="DB297" s="1530"/>
      <c r="DC297" s="1530"/>
      <c r="DD297" s="1530"/>
      <c r="DE297" s="1530"/>
      <c r="DF297" s="1530"/>
      <c r="DG297" s="1530"/>
      <c r="DH297" s="1530"/>
      <c r="DI297" s="1530"/>
      <c r="DJ297" s="1530"/>
      <c r="DK297" s="1530"/>
      <c r="DL297" s="1530"/>
      <c r="DM297" s="1530"/>
      <c r="DN297" s="1571"/>
      <c r="DO297" s="1530"/>
      <c r="DP297" s="1530"/>
    </row>
    <row r="298" spans="1:120">
      <c r="A298" s="1451"/>
      <c r="C298" s="1451"/>
      <c r="K298" s="1451"/>
      <c r="L298" s="1451"/>
      <c r="U298" s="1530"/>
      <c r="V298" s="1530"/>
      <c r="W298" s="1530"/>
      <c r="X298" s="1530"/>
      <c r="Y298" s="1530"/>
      <c r="Z298" s="1530"/>
      <c r="AA298" s="1530"/>
      <c r="AB298" s="1530"/>
      <c r="AC298" s="1530"/>
      <c r="AD298" s="1530"/>
      <c r="AE298" s="1530"/>
      <c r="AF298" s="1530"/>
      <c r="AG298" s="1530"/>
      <c r="AH298" s="1530"/>
      <c r="AI298" s="1530"/>
      <c r="AJ298" s="1530"/>
      <c r="AK298" s="1530"/>
      <c r="AL298" s="1530"/>
      <c r="AM298" s="1530"/>
      <c r="AN298" s="1530"/>
      <c r="AO298" s="1530"/>
      <c r="AP298" s="1530"/>
      <c r="AQ298" s="1530"/>
      <c r="AR298" s="1530"/>
      <c r="AS298" s="1530"/>
      <c r="AT298" s="1530"/>
      <c r="AU298" s="1530"/>
      <c r="AV298" s="1530"/>
      <c r="AW298" s="1530"/>
      <c r="AX298" s="1530"/>
      <c r="AY298" s="1530"/>
      <c r="AZ298" s="1530"/>
      <c r="BA298" s="1530"/>
      <c r="BB298" s="1530"/>
      <c r="BC298" s="1530"/>
      <c r="BD298" s="1530"/>
      <c r="BE298" s="1530"/>
      <c r="BF298" s="1530"/>
      <c r="BG298" s="1530"/>
      <c r="BH298" s="1530"/>
      <c r="BI298" s="1530"/>
      <c r="BJ298" s="1530"/>
      <c r="BK298" s="1530"/>
      <c r="BL298" s="1530"/>
      <c r="BM298" s="1530"/>
      <c r="BN298" s="1530"/>
      <c r="BW298" s="1569"/>
      <c r="CO298" s="1530"/>
      <c r="CP298" s="1530"/>
      <c r="CQ298" s="1530"/>
      <c r="CR298" s="1530"/>
      <c r="CS298" s="1530"/>
      <c r="CT298" s="1530"/>
      <c r="CU298" s="1530"/>
      <c r="CV298" s="1530"/>
      <c r="CW298" s="1530"/>
      <c r="CX298" s="1530"/>
      <c r="CY298" s="1530"/>
      <c r="CZ298" s="1530"/>
      <c r="DA298" s="1530"/>
      <c r="DB298" s="1530"/>
      <c r="DC298" s="1530"/>
      <c r="DD298" s="1530"/>
      <c r="DE298" s="1530"/>
      <c r="DF298" s="1530"/>
      <c r="DG298" s="1530"/>
      <c r="DH298" s="1530"/>
      <c r="DI298" s="1530"/>
      <c r="DJ298" s="1530"/>
      <c r="DK298" s="1530"/>
      <c r="DL298" s="1530"/>
      <c r="DM298" s="1530"/>
      <c r="DN298" s="1571"/>
      <c r="DO298" s="1530"/>
      <c r="DP298" s="1530"/>
    </row>
    <row r="299" spans="1:120">
      <c r="A299" s="1451"/>
      <c r="C299" s="1451"/>
      <c r="K299" s="1451"/>
      <c r="L299" s="1451"/>
      <c r="U299" s="1530"/>
      <c r="V299" s="1530"/>
      <c r="W299" s="1530"/>
      <c r="X299" s="1530"/>
      <c r="Y299" s="1530"/>
      <c r="Z299" s="1530"/>
      <c r="AA299" s="1530"/>
      <c r="AB299" s="1530"/>
      <c r="AC299" s="1530"/>
      <c r="AD299" s="1530"/>
      <c r="AE299" s="1530"/>
      <c r="AF299" s="1530"/>
      <c r="AG299" s="1530"/>
      <c r="AH299" s="1530"/>
      <c r="AI299" s="1530"/>
      <c r="AJ299" s="1530"/>
      <c r="AK299" s="1530"/>
      <c r="AL299" s="1530"/>
      <c r="AM299" s="1530"/>
      <c r="AN299" s="1530"/>
      <c r="AO299" s="1530"/>
      <c r="AP299" s="1530"/>
      <c r="AQ299" s="1530"/>
      <c r="AR299" s="1530"/>
      <c r="AS299" s="1530"/>
      <c r="AT299" s="1530"/>
      <c r="AU299" s="1530"/>
      <c r="AV299" s="1530"/>
      <c r="AW299" s="1530"/>
      <c r="AX299" s="1530"/>
      <c r="AY299" s="1530"/>
      <c r="AZ299" s="1530"/>
      <c r="BA299" s="1530"/>
      <c r="BB299" s="1530"/>
      <c r="BC299" s="1530"/>
      <c r="BD299" s="1530"/>
      <c r="BE299" s="1530"/>
      <c r="BF299" s="1530"/>
      <c r="BG299" s="1530"/>
      <c r="BH299" s="1530"/>
      <c r="BI299" s="1530"/>
      <c r="BJ299" s="1530"/>
      <c r="BK299" s="1530"/>
      <c r="BL299" s="1530"/>
      <c r="BM299" s="1530"/>
      <c r="BN299" s="1530"/>
      <c r="BW299" s="1569"/>
      <c r="CO299" s="1530"/>
      <c r="CP299" s="1530"/>
      <c r="CQ299" s="1530"/>
      <c r="CR299" s="1530"/>
      <c r="CS299" s="1530"/>
      <c r="CT299" s="1530"/>
      <c r="CU299" s="1530"/>
      <c r="CV299" s="1530"/>
      <c r="CW299" s="1530"/>
      <c r="CX299" s="1530"/>
      <c r="CY299" s="1530"/>
      <c r="CZ299" s="1530"/>
      <c r="DA299" s="1530"/>
      <c r="DB299" s="1530"/>
      <c r="DC299" s="1530"/>
      <c r="DD299" s="1530"/>
      <c r="DE299" s="1530"/>
      <c r="DF299" s="1530"/>
      <c r="DG299" s="1530"/>
      <c r="DH299" s="1530"/>
      <c r="DI299" s="1530"/>
      <c r="DJ299" s="1530"/>
      <c r="DK299" s="1530"/>
      <c r="DL299" s="1530"/>
      <c r="DM299" s="1530"/>
      <c r="DN299" s="1571"/>
      <c r="DO299" s="1530"/>
      <c r="DP299" s="1530"/>
    </row>
    <row r="300" spans="1:120">
      <c r="A300" s="1451"/>
      <c r="C300" s="1451"/>
      <c r="K300" s="1451"/>
      <c r="L300" s="1451"/>
      <c r="U300" s="1530"/>
      <c r="V300" s="1530"/>
      <c r="W300" s="1530"/>
      <c r="X300" s="1530"/>
      <c r="Y300" s="1530"/>
      <c r="Z300" s="1530"/>
      <c r="AA300" s="1530"/>
      <c r="AB300" s="1530"/>
      <c r="AC300" s="1530"/>
      <c r="AD300" s="1530"/>
      <c r="AE300" s="1530"/>
      <c r="AF300" s="1530"/>
      <c r="AG300" s="1530"/>
      <c r="AH300" s="1530"/>
      <c r="AI300" s="1530"/>
      <c r="AJ300" s="1530"/>
      <c r="AK300" s="1530"/>
      <c r="AL300" s="1530"/>
      <c r="AM300" s="1530"/>
      <c r="AN300" s="1530"/>
      <c r="AO300" s="1530"/>
      <c r="AP300" s="1530"/>
      <c r="AQ300" s="1530"/>
      <c r="AR300" s="1530"/>
      <c r="AS300" s="1530"/>
      <c r="AT300" s="1530"/>
      <c r="AU300" s="1530"/>
      <c r="AV300" s="1530"/>
      <c r="AW300" s="1530"/>
      <c r="AX300" s="1530"/>
      <c r="AY300" s="1530"/>
      <c r="AZ300" s="1530"/>
      <c r="BA300" s="1530"/>
      <c r="BB300" s="1530"/>
      <c r="BC300" s="1530"/>
      <c r="BD300" s="1530"/>
      <c r="BE300" s="1530"/>
      <c r="BF300" s="1530"/>
      <c r="BG300" s="1530"/>
      <c r="BH300" s="1530"/>
      <c r="BI300" s="1530"/>
      <c r="BJ300" s="1530"/>
      <c r="BK300" s="1530"/>
      <c r="BL300" s="1530"/>
      <c r="BM300" s="1530"/>
      <c r="BN300" s="1530"/>
      <c r="BW300" s="1569"/>
      <c r="CO300" s="1530"/>
      <c r="CP300" s="1530"/>
      <c r="CQ300" s="1530"/>
      <c r="CR300" s="1530"/>
      <c r="CS300" s="1530"/>
      <c r="CT300" s="1530"/>
      <c r="CU300" s="1530"/>
      <c r="CV300" s="1530"/>
      <c r="CW300" s="1530"/>
      <c r="CX300" s="1530"/>
      <c r="CY300" s="1530"/>
      <c r="CZ300" s="1530"/>
      <c r="DA300" s="1530"/>
      <c r="DB300" s="1530"/>
      <c r="DC300" s="1530"/>
      <c r="DD300" s="1530"/>
      <c r="DE300" s="1530"/>
      <c r="DF300" s="1530"/>
      <c r="DG300" s="1530"/>
      <c r="DH300" s="1530"/>
      <c r="DI300" s="1530"/>
      <c r="DJ300" s="1530"/>
      <c r="DK300" s="1530"/>
      <c r="DL300" s="1530"/>
      <c r="DM300" s="1530"/>
      <c r="DN300" s="1571"/>
      <c r="DO300" s="1530"/>
      <c r="DP300" s="1530"/>
    </row>
    <row r="301" spans="1:120">
      <c r="A301" s="1451"/>
      <c r="C301" s="1451"/>
      <c r="K301" s="1451"/>
      <c r="L301" s="1451"/>
      <c r="U301" s="1530"/>
      <c r="V301" s="1530"/>
      <c r="W301" s="1530"/>
      <c r="X301" s="1530"/>
      <c r="Y301" s="1530"/>
      <c r="Z301" s="1530"/>
      <c r="AA301" s="1530"/>
      <c r="AB301" s="1530"/>
      <c r="AC301" s="1530"/>
      <c r="AD301" s="1530"/>
      <c r="AE301" s="1530"/>
      <c r="AF301" s="1530"/>
      <c r="AG301" s="1530"/>
      <c r="AH301" s="1530"/>
      <c r="AI301" s="1530"/>
      <c r="AJ301" s="1530"/>
      <c r="AK301" s="1530"/>
      <c r="AL301" s="1530"/>
      <c r="AM301" s="1530"/>
      <c r="AN301" s="1530"/>
      <c r="AO301" s="1530"/>
      <c r="AP301" s="1530"/>
      <c r="AQ301" s="1530"/>
      <c r="AR301" s="1530"/>
      <c r="AS301" s="1530"/>
      <c r="AT301" s="1530"/>
      <c r="AU301" s="1530"/>
      <c r="AV301" s="1530"/>
      <c r="AW301" s="1530"/>
      <c r="AX301" s="1530"/>
      <c r="AY301" s="1530"/>
      <c r="AZ301" s="1530"/>
      <c r="BA301" s="1530"/>
      <c r="BB301" s="1530"/>
      <c r="BC301" s="1530"/>
      <c r="BD301" s="1530"/>
      <c r="BE301" s="1530"/>
      <c r="BF301" s="1530"/>
      <c r="BG301" s="1530"/>
      <c r="BH301" s="1530"/>
      <c r="BI301" s="1530"/>
      <c r="BJ301" s="1530"/>
      <c r="BK301" s="1530"/>
      <c r="BL301" s="1530"/>
      <c r="BM301" s="1530"/>
      <c r="BN301" s="1530"/>
      <c r="BW301" s="1569"/>
      <c r="CO301" s="1530"/>
      <c r="CP301" s="1530"/>
      <c r="CQ301" s="1530"/>
      <c r="CR301" s="1530"/>
      <c r="CS301" s="1530"/>
      <c r="CT301" s="1530"/>
      <c r="CU301" s="1530"/>
      <c r="CV301" s="1530"/>
      <c r="CW301" s="1530"/>
      <c r="CX301" s="1530"/>
      <c r="CY301" s="1530"/>
      <c r="CZ301" s="1530"/>
      <c r="DA301" s="1530"/>
      <c r="DB301" s="1530"/>
      <c r="DC301" s="1530"/>
      <c r="DD301" s="1530"/>
      <c r="DE301" s="1530"/>
      <c r="DF301" s="1530"/>
      <c r="DG301" s="1530"/>
      <c r="DH301" s="1530"/>
      <c r="DI301" s="1530"/>
      <c r="DJ301" s="1530"/>
      <c r="DK301" s="1530"/>
      <c r="DL301" s="1530"/>
      <c r="DM301" s="1530"/>
      <c r="DN301" s="1571"/>
      <c r="DO301" s="1530"/>
      <c r="DP301" s="1530"/>
    </row>
    <row r="302" spans="1:120">
      <c r="A302" s="1451"/>
      <c r="C302" s="1451"/>
      <c r="K302" s="1451"/>
      <c r="L302" s="1451"/>
      <c r="U302" s="1530"/>
      <c r="V302" s="1530"/>
      <c r="W302" s="1530"/>
      <c r="X302" s="1530"/>
      <c r="Y302" s="1530"/>
      <c r="Z302" s="1530"/>
      <c r="AA302" s="1530"/>
      <c r="AB302" s="1530"/>
      <c r="AC302" s="1530"/>
      <c r="AD302" s="1530"/>
      <c r="AE302" s="1530"/>
      <c r="AF302" s="1530"/>
      <c r="AG302" s="1530"/>
      <c r="AH302" s="1530"/>
      <c r="AI302" s="1530"/>
      <c r="AJ302" s="1530"/>
      <c r="AK302" s="1530"/>
      <c r="AL302" s="1530"/>
      <c r="AM302" s="1530"/>
      <c r="AN302" s="1530"/>
      <c r="AO302" s="1530"/>
      <c r="AP302" s="1530"/>
      <c r="AQ302" s="1530"/>
      <c r="AR302" s="1530"/>
      <c r="AS302" s="1530"/>
      <c r="AT302" s="1530"/>
      <c r="AU302" s="1530"/>
      <c r="AV302" s="1530"/>
      <c r="AW302" s="1530"/>
      <c r="AX302" s="1530"/>
      <c r="AY302" s="1530"/>
      <c r="AZ302" s="1530"/>
      <c r="BA302" s="1530"/>
      <c r="BB302" s="1530"/>
      <c r="BC302" s="1530"/>
      <c r="BD302" s="1530"/>
      <c r="BE302" s="1530"/>
      <c r="BF302" s="1530"/>
      <c r="BG302" s="1530"/>
      <c r="BH302" s="1530"/>
      <c r="BI302" s="1530"/>
      <c r="BJ302" s="1530"/>
      <c r="BK302" s="1530"/>
      <c r="BL302" s="1530"/>
      <c r="BM302" s="1530"/>
      <c r="BN302" s="1530"/>
      <c r="BW302" s="1569"/>
      <c r="CO302" s="1530"/>
      <c r="CP302" s="1530"/>
      <c r="CQ302" s="1530"/>
      <c r="CR302" s="1530"/>
      <c r="CS302" s="1530"/>
      <c r="CT302" s="1530"/>
      <c r="CU302" s="1530"/>
      <c r="CV302" s="1530"/>
      <c r="CW302" s="1530"/>
      <c r="CX302" s="1530"/>
      <c r="CY302" s="1530"/>
      <c r="CZ302" s="1530"/>
      <c r="DA302" s="1530"/>
      <c r="DB302" s="1530"/>
      <c r="DC302" s="1530"/>
      <c r="DD302" s="1530"/>
      <c r="DE302" s="1530"/>
      <c r="DF302" s="1530"/>
      <c r="DG302" s="1530"/>
      <c r="DH302" s="1530"/>
      <c r="DI302" s="1530"/>
      <c r="DJ302" s="1530"/>
      <c r="DK302" s="1530"/>
      <c r="DL302" s="1530"/>
      <c r="DM302" s="1530"/>
      <c r="DN302" s="1571"/>
      <c r="DO302" s="1530"/>
      <c r="DP302" s="1530"/>
    </row>
    <row r="303" spans="1:120">
      <c r="A303" s="1451"/>
      <c r="C303" s="1451"/>
      <c r="K303" s="1451"/>
      <c r="L303" s="1451"/>
      <c r="U303" s="1530"/>
      <c r="V303" s="1530"/>
      <c r="W303" s="1530"/>
      <c r="X303" s="1530"/>
      <c r="Y303" s="1530"/>
      <c r="Z303" s="1530"/>
      <c r="AA303" s="1530"/>
      <c r="AB303" s="1530"/>
      <c r="AC303" s="1530"/>
      <c r="AD303" s="1530"/>
      <c r="AE303" s="1530"/>
      <c r="AF303" s="1530"/>
      <c r="AG303" s="1530"/>
      <c r="AH303" s="1530"/>
      <c r="AI303" s="1530"/>
      <c r="AJ303" s="1530"/>
      <c r="AK303" s="1530"/>
      <c r="AL303" s="1530"/>
      <c r="AM303" s="1530"/>
      <c r="AN303" s="1530"/>
      <c r="AO303" s="1530"/>
      <c r="AP303" s="1530"/>
      <c r="AQ303" s="1530"/>
      <c r="AR303" s="1530"/>
      <c r="AS303" s="1530"/>
      <c r="AT303" s="1530"/>
      <c r="AU303" s="1530"/>
      <c r="AV303" s="1530"/>
      <c r="AW303" s="1530"/>
      <c r="AX303" s="1530"/>
      <c r="AY303" s="1530"/>
      <c r="AZ303" s="1530"/>
      <c r="BA303" s="1530"/>
      <c r="BB303" s="1530"/>
      <c r="BC303" s="1530"/>
      <c r="BD303" s="1530"/>
      <c r="BE303" s="1530"/>
      <c r="BF303" s="1530"/>
      <c r="BG303" s="1530"/>
      <c r="BH303" s="1530"/>
      <c r="BI303" s="1530"/>
      <c r="BJ303" s="1530"/>
      <c r="BK303" s="1530"/>
      <c r="BL303" s="1530"/>
      <c r="BM303" s="1530"/>
      <c r="BN303" s="1530"/>
      <c r="BW303" s="1569"/>
      <c r="CO303" s="1530"/>
      <c r="CP303" s="1530"/>
      <c r="CQ303" s="1530"/>
      <c r="CR303" s="1530"/>
      <c r="CS303" s="1530"/>
      <c r="CT303" s="1530"/>
      <c r="CU303" s="1530"/>
      <c r="CV303" s="1530"/>
      <c r="CW303" s="1530"/>
      <c r="CX303" s="1530"/>
      <c r="CY303" s="1530"/>
      <c r="CZ303" s="1530"/>
      <c r="DA303" s="1530"/>
      <c r="DB303" s="1530"/>
      <c r="DC303" s="1530"/>
      <c r="DD303" s="1530"/>
      <c r="DE303" s="1530"/>
      <c r="DF303" s="1530"/>
      <c r="DG303" s="1530"/>
      <c r="DH303" s="1530"/>
      <c r="DI303" s="1530"/>
      <c r="DJ303" s="1530"/>
      <c r="DK303" s="1530"/>
      <c r="DL303" s="1530"/>
      <c r="DM303" s="1530"/>
      <c r="DN303" s="1571"/>
      <c r="DO303" s="1530"/>
      <c r="DP303" s="1530"/>
    </row>
    <row r="304" spans="1:120">
      <c r="A304" s="1451"/>
      <c r="C304" s="1451"/>
      <c r="K304" s="1451"/>
      <c r="L304" s="1451"/>
      <c r="U304" s="1530"/>
      <c r="V304" s="1530"/>
      <c r="W304" s="1530"/>
      <c r="X304" s="1530"/>
      <c r="Y304" s="1530"/>
      <c r="Z304" s="1530"/>
      <c r="AA304" s="1530"/>
      <c r="AB304" s="1530"/>
      <c r="AC304" s="1530"/>
      <c r="AD304" s="1530"/>
      <c r="AE304" s="1530"/>
      <c r="AF304" s="1530"/>
      <c r="AG304" s="1530"/>
      <c r="AH304" s="1530"/>
      <c r="AI304" s="1530"/>
      <c r="AJ304" s="1530"/>
      <c r="AK304" s="1530"/>
      <c r="AL304" s="1530"/>
      <c r="AM304" s="1530"/>
      <c r="AN304" s="1530"/>
      <c r="AO304" s="1530"/>
      <c r="AP304" s="1530"/>
      <c r="AQ304" s="1530"/>
      <c r="AR304" s="1530"/>
      <c r="AS304" s="1530"/>
      <c r="AT304" s="1530"/>
      <c r="AU304" s="1530"/>
      <c r="AV304" s="1530"/>
      <c r="AW304" s="1530"/>
      <c r="AX304" s="1530"/>
      <c r="AY304" s="1530"/>
      <c r="AZ304" s="1530"/>
      <c r="BA304" s="1530"/>
      <c r="BB304" s="1530"/>
      <c r="BC304" s="1530"/>
      <c r="BD304" s="1530"/>
      <c r="BE304" s="1530"/>
      <c r="BF304" s="1530"/>
      <c r="BG304" s="1530"/>
      <c r="BH304" s="1530"/>
      <c r="BI304" s="1530"/>
      <c r="BJ304" s="1530"/>
      <c r="BK304" s="1530"/>
      <c r="BL304" s="1530"/>
      <c r="BM304" s="1530"/>
      <c r="BN304" s="1530"/>
      <c r="BW304" s="1569"/>
      <c r="CO304" s="1530"/>
      <c r="CP304" s="1530"/>
      <c r="CQ304" s="1530"/>
      <c r="CR304" s="1530"/>
      <c r="CS304" s="1530"/>
      <c r="CT304" s="1530"/>
      <c r="CU304" s="1530"/>
      <c r="CV304" s="1530"/>
      <c r="CW304" s="1530"/>
      <c r="CX304" s="1530"/>
      <c r="CY304" s="1530"/>
      <c r="CZ304" s="1530"/>
      <c r="DA304" s="1530"/>
      <c r="DB304" s="1530"/>
      <c r="DC304" s="1530"/>
      <c r="DD304" s="1530"/>
      <c r="DE304" s="1530"/>
      <c r="DF304" s="1530"/>
      <c r="DG304" s="1530"/>
      <c r="DH304" s="1530"/>
      <c r="DI304" s="1530"/>
      <c r="DJ304" s="1530"/>
      <c r="DK304" s="1530"/>
      <c r="DL304" s="1530"/>
      <c r="DM304" s="1530"/>
      <c r="DN304" s="1571"/>
      <c r="DO304" s="1530"/>
      <c r="DP304" s="1530"/>
    </row>
    <row r="305" spans="1:120">
      <c r="A305" s="1451"/>
      <c r="C305" s="1451"/>
      <c r="K305" s="1451"/>
      <c r="L305" s="1451"/>
      <c r="U305" s="1530"/>
      <c r="V305" s="1530"/>
      <c r="W305" s="1530"/>
      <c r="X305" s="1530"/>
      <c r="Y305" s="1530"/>
      <c r="Z305" s="1530"/>
      <c r="AA305" s="1530"/>
      <c r="AB305" s="1530"/>
      <c r="AC305" s="1530"/>
      <c r="AD305" s="1530"/>
      <c r="AE305" s="1530"/>
      <c r="AF305" s="1530"/>
      <c r="AG305" s="1530"/>
      <c r="AH305" s="1530"/>
      <c r="AI305" s="1530"/>
      <c r="AJ305" s="1530"/>
      <c r="AK305" s="1530"/>
      <c r="AL305" s="1530"/>
      <c r="AM305" s="1530"/>
      <c r="AN305" s="1530"/>
      <c r="AO305" s="1530"/>
      <c r="AP305" s="1530"/>
      <c r="AQ305" s="1530"/>
      <c r="AR305" s="1530"/>
      <c r="AS305" s="1530"/>
      <c r="AT305" s="1530"/>
      <c r="AU305" s="1530"/>
      <c r="AV305" s="1530"/>
      <c r="AW305" s="1530"/>
      <c r="AX305" s="1530"/>
      <c r="AY305" s="1530"/>
      <c r="AZ305" s="1530"/>
      <c r="BA305" s="1530"/>
      <c r="BB305" s="1530"/>
      <c r="BC305" s="1530"/>
      <c r="BD305" s="1530"/>
      <c r="BE305" s="1530"/>
      <c r="BF305" s="1530"/>
      <c r="BG305" s="1530"/>
      <c r="BH305" s="1530"/>
      <c r="BI305" s="1530"/>
      <c r="BJ305" s="1530"/>
      <c r="BK305" s="1530"/>
      <c r="BL305" s="1530"/>
      <c r="BM305" s="1530"/>
      <c r="BN305" s="1530"/>
      <c r="BW305" s="1569"/>
      <c r="CO305" s="1530"/>
      <c r="CP305" s="1530"/>
      <c r="CQ305" s="1530"/>
      <c r="CR305" s="1530"/>
      <c r="CS305" s="1530"/>
      <c r="CT305" s="1530"/>
      <c r="CU305" s="1530"/>
      <c r="CV305" s="1530"/>
      <c r="CW305" s="1530"/>
      <c r="CX305" s="1530"/>
      <c r="CY305" s="1530"/>
      <c r="CZ305" s="1530"/>
      <c r="DA305" s="1530"/>
      <c r="DB305" s="1530"/>
      <c r="DC305" s="1530"/>
      <c r="DD305" s="1530"/>
      <c r="DE305" s="1530"/>
      <c r="DF305" s="1530"/>
      <c r="DG305" s="1530"/>
      <c r="DH305" s="1530"/>
      <c r="DI305" s="1530"/>
      <c r="DJ305" s="1530"/>
      <c r="DK305" s="1530"/>
      <c r="DL305" s="1530"/>
      <c r="DM305" s="1530"/>
      <c r="DN305" s="1571"/>
      <c r="DO305" s="1530"/>
      <c r="DP305" s="1530"/>
    </row>
    <row r="306" spans="1:120">
      <c r="A306" s="1451"/>
      <c r="C306" s="1451"/>
      <c r="K306" s="1451"/>
      <c r="L306" s="1451"/>
      <c r="U306" s="1530"/>
      <c r="V306" s="1530"/>
      <c r="W306" s="1530"/>
      <c r="X306" s="1530"/>
      <c r="Y306" s="1530"/>
      <c r="Z306" s="1530"/>
      <c r="AA306" s="1530"/>
      <c r="AB306" s="1530"/>
      <c r="AC306" s="1530"/>
      <c r="AD306" s="1530"/>
      <c r="AE306" s="1530"/>
      <c r="AF306" s="1530"/>
      <c r="AG306" s="1530"/>
      <c r="AH306" s="1530"/>
      <c r="AI306" s="1530"/>
      <c r="AJ306" s="1530"/>
      <c r="AK306" s="1530"/>
      <c r="AL306" s="1530"/>
      <c r="AM306" s="1530"/>
      <c r="AN306" s="1530"/>
      <c r="AO306" s="1530"/>
      <c r="AP306" s="1530"/>
      <c r="AQ306" s="1530"/>
      <c r="AR306" s="1530"/>
      <c r="AS306" s="1530"/>
      <c r="AT306" s="1530"/>
      <c r="AU306" s="1530"/>
      <c r="AV306" s="1530"/>
      <c r="AW306" s="1530"/>
      <c r="AX306" s="1530"/>
      <c r="AY306" s="1530"/>
      <c r="AZ306" s="1530"/>
      <c r="BA306" s="1530"/>
      <c r="BB306" s="1530"/>
      <c r="BC306" s="1530"/>
      <c r="BD306" s="1530"/>
      <c r="BE306" s="1530"/>
      <c r="BF306" s="1530"/>
      <c r="BG306" s="1530"/>
      <c r="BH306" s="1530"/>
      <c r="BI306" s="1530"/>
      <c r="BJ306" s="1530"/>
      <c r="BK306" s="1530"/>
      <c r="BL306" s="1530"/>
      <c r="BM306" s="1530"/>
      <c r="BN306" s="1530"/>
      <c r="BW306" s="1569"/>
      <c r="CO306" s="1530"/>
      <c r="CP306" s="1530"/>
      <c r="CQ306" s="1530"/>
      <c r="CR306" s="1530"/>
      <c r="CS306" s="1530"/>
      <c r="CT306" s="1530"/>
      <c r="CU306" s="1530"/>
      <c r="CV306" s="1530"/>
      <c r="CW306" s="1530"/>
      <c r="CX306" s="1530"/>
      <c r="CY306" s="1530"/>
      <c r="CZ306" s="1530"/>
      <c r="DA306" s="1530"/>
      <c r="DB306" s="1530"/>
      <c r="DC306" s="1530"/>
      <c r="DD306" s="1530"/>
      <c r="DE306" s="1530"/>
      <c r="DF306" s="1530"/>
      <c r="DG306" s="1530"/>
      <c r="DH306" s="1530"/>
      <c r="DI306" s="1530"/>
      <c r="DJ306" s="1530"/>
      <c r="DK306" s="1530"/>
      <c r="DL306" s="1530"/>
      <c r="DM306" s="1530"/>
      <c r="DN306" s="1571"/>
      <c r="DO306" s="1530"/>
      <c r="DP306" s="1530"/>
    </row>
    <row r="307" spans="1:120">
      <c r="A307" s="1451"/>
      <c r="C307" s="1451"/>
      <c r="K307" s="1451"/>
      <c r="L307" s="1451"/>
      <c r="U307" s="1530"/>
      <c r="V307" s="1530"/>
      <c r="W307" s="1530"/>
      <c r="X307" s="1530"/>
      <c r="Y307" s="1530"/>
      <c r="Z307" s="1530"/>
      <c r="AA307" s="1530"/>
      <c r="AB307" s="1530"/>
      <c r="AC307" s="1530"/>
      <c r="AD307" s="1530"/>
      <c r="AE307" s="1530"/>
      <c r="AF307" s="1530"/>
      <c r="AG307" s="1530"/>
      <c r="AH307" s="1530"/>
      <c r="AI307" s="1530"/>
      <c r="AJ307" s="1530"/>
      <c r="AK307" s="1530"/>
      <c r="AL307" s="1530"/>
      <c r="AM307" s="1530"/>
      <c r="AN307" s="1530"/>
      <c r="AO307" s="1530"/>
      <c r="AP307" s="1530"/>
      <c r="AQ307" s="1530"/>
      <c r="AR307" s="1530"/>
      <c r="AS307" s="1530"/>
      <c r="AT307" s="1530"/>
      <c r="AU307" s="1530"/>
      <c r="AV307" s="1530"/>
      <c r="AW307" s="1530"/>
      <c r="AX307" s="1530"/>
      <c r="AY307" s="1530"/>
      <c r="AZ307" s="1530"/>
      <c r="BA307" s="1530"/>
      <c r="BB307" s="1530"/>
      <c r="BC307" s="1530"/>
      <c r="BD307" s="1530"/>
      <c r="BE307" s="1530"/>
      <c r="BF307" s="1530"/>
      <c r="BG307" s="1530"/>
      <c r="BH307" s="1530"/>
      <c r="BI307" s="1530"/>
      <c r="BJ307" s="1530"/>
      <c r="BK307" s="1530"/>
      <c r="BL307" s="1530"/>
      <c r="BM307" s="1530"/>
      <c r="BN307" s="1530"/>
      <c r="BW307" s="1569"/>
      <c r="CO307" s="1530"/>
      <c r="CP307" s="1530"/>
      <c r="CQ307" s="1530"/>
      <c r="CR307" s="1530"/>
      <c r="CS307" s="1530"/>
      <c r="CT307" s="1530"/>
      <c r="CU307" s="1530"/>
      <c r="CV307" s="1530"/>
      <c r="CW307" s="1530"/>
      <c r="CX307" s="1530"/>
      <c r="CY307" s="1530"/>
      <c r="CZ307" s="1530"/>
      <c r="DA307" s="1530"/>
      <c r="DB307" s="1530"/>
      <c r="DC307" s="1530"/>
      <c r="DD307" s="1530"/>
      <c r="DE307" s="1530"/>
      <c r="DF307" s="1530"/>
      <c r="DG307" s="1530"/>
      <c r="DH307" s="1530"/>
      <c r="DI307" s="1530"/>
      <c r="DJ307" s="1530"/>
      <c r="DK307" s="1530"/>
      <c r="DL307" s="1530"/>
      <c r="DM307" s="1530"/>
      <c r="DN307" s="1571"/>
      <c r="DO307" s="1530"/>
      <c r="DP307" s="1530"/>
    </row>
    <row r="308" spans="1:120">
      <c r="A308" s="1451"/>
      <c r="C308" s="1451"/>
      <c r="K308" s="1451"/>
      <c r="L308" s="1451"/>
      <c r="U308" s="1530"/>
      <c r="V308" s="1530"/>
      <c r="W308" s="1530"/>
      <c r="X308" s="1530"/>
      <c r="Y308" s="1530"/>
      <c r="Z308" s="1530"/>
      <c r="AA308" s="1530"/>
      <c r="AB308" s="1530"/>
      <c r="AC308" s="1530"/>
      <c r="AD308" s="1530"/>
      <c r="AE308" s="1530"/>
      <c r="AF308" s="1530"/>
      <c r="AG308" s="1530"/>
      <c r="AH308" s="1530"/>
      <c r="AI308" s="1530"/>
      <c r="AJ308" s="1530"/>
      <c r="AK308" s="1530"/>
      <c r="AL308" s="1530"/>
      <c r="AM308" s="1530"/>
      <c r="AN308" s="1530"/>
      <c r="AO308" s="1530"/>
      <c r="AP308" s="1530"/>
      <c r="AQ308" s="1530"/>
      <c r="AR308" s="1530"/>
      <c r="AS308" s="1530"/>
      <c r="AT308" s="1530"/>
      <c r="AU308" s="1530"/>
      <c r="AV308" s="1530"/>
      <c r="AW308" s="1530"/>
      <c r="AX308" s="1530"/>
      <c r="AY308" s="1530"/>
      <c r="AZ308" s="1530"/>
      <c r="BA308" s="1530"/>
      <c r="BB308" s="1530"/>
      <c r="BC308" s="1530"/>
      <c r="BD308" s="1530"/>
      <c r="BE308" s="1530"/>
      <c r="BF308" s="1530"/>
      <c r="BG308" s="1530"/>
      <c r="BH308" s="1530"/>
      <c r="BI308" s="1530"/>
      <c r="BJ308" s="1530"/>
      <c r="BK308" s="1530"/>
      <c r="BL308" s="1530"/>
      <c r="BM308" s="1530"/>
      <c r="BN308" s="1530"/>
      <c r="BW308" s="1569"/>
      <c r="CO308" s="1530"/>
      <c r="CP308" s="1530"/>
      <c r="CQ308" s="1530"/>
      <c r="CR308" s="1530"/>
      <c r="CS308" s="1530"/>
      <c r="CT308" s="1530"/>
      <c r="CU308" s="1530"/>
      <c r="CV308" s="1530"/>
      <c r="CW308" s="1530"/>
      <c r="CX308" s="1530"/>
      <c r="CY308" s="1530"/>
      <c r="CZ308" s="1530"/>
      <c r="DA308" s="1530"/>
      <c r="DB308" s="1530"/>
      <c r="DC308" s="1530"/>
      <c r="DD308" s="1530"/>
      <c r="DE308" s="1530"/>
      <c r="DF308" s="1530"/>
      <c r="DG308" s="1530"/>
      <c r="DH308" s="1530"/>
      <c r="DI308" s="1530"/>
      <c r="DJ308" s="1530"/>
      <c r="DK308" s="1530"/>
      <c r="DL308" s="1530"/>
      <c r="DM308" s="1530"/>
      <c r="DN308" s="1571"/>
      <c r="DO308" s="1530"/>
      <c r="DP308" s="1530"/>
    </row>
    <row r="309" spans="1:120">
      <c r="A309" s="1451"/>
      <c r="C309" s="1451"/>
      <c r="K309" s="1451"/>
      <c r="L309" s="1451"/>
      <c r="U309" s="1530"/>
      <c r="V309" s="1530"/>
      <c r="W309" s="1530"/>
      <c r="X309" s="1530"/>
      <c r="Y309" s="1530"/>
      <c r="Z309" s="1530"/>
      <c r="AA309" s="1530"/>
      <c r="AB309" s="1530"/>
      <c r="AC309" s="1530"/>
      <c r="AD309" s="1530"/>
      <c r="AE309" s="1530"/>
      <c r="AF309" s="1530"/>
      <c r="AG309" s="1530"/>
      <c r="AH309" s="1530"/>
      <c r="AI309" s="1530"/>
      <c r="AJ309" s="1530"/>
      <c r="AK309" s="1530"/>
      <c r="AL309" s="1530"/>
      <c r="AM309" s="1530"/>
      <c r="AN309" s="1530"/>
      <c r="AO309" s="1530"/>
      <c r="AP309" s="1530"/>
      <c r="AQ309" s="1530"/>
      <c r="AR309" s="1530"/>
      <c r="AS309" s="1530"/>
      <c r="AT309" s="1530"/>
      <c r="AU309" s="1530"/>
      <c r="AV309" s="1530"/>
      <c r="AW309" s="1530"/>
      <c r="AX309" s="1530"/>
      <c r="AY309" s="1530"/>
      <c r="AZ309" s="1530"/>
      <c r="BA309" s="1530"/>
      <c r="BB309" s="1530"/>
      <c r="BC309" s="1530"/>
      <c r="BD309" s="1530"/>
      <c r="BE309" s="1530"/>
      <c r="BF309" s="1530"/>
      <c r="BG309" s="1530"/>
      <c r="BH309" s="1530"/>
      <c r="BI309" s="1530"/>
      <c r="BJ309" s="1530"/>
      <c r="BK309" s="1530"/>
      <c r="BL309" s="1530"/>
      <c r="BM309" s="1530"/>
      <c r="BN309" s="1530"/>
      <c r="BW309" s="1569"/>
      <c r="CO309" s="1530"/>
      <c r="CP309" s="1530"/>
      <c r="CQ309" s="1530"/>
      <c r="CR309" s="1530"/>
      <c r="CS309" s="1530"/>
      <c r="CT309" s="1530"/>
      <c r="CU309" s="1530"/>
      <c r="CV309" s="1530"/>
      <c r="CW309" s="1530"/>
      <c r="CX309" s="1530"/>
      <c r="CY309" s="1530"/>
      <c r="CZ309" s="1530"/>
      <c r="DA309" s="1530"/>
      <c r="DB309" s="1530"/>
      <c r="DC309" s="1530"/>
      <c r="DD309" s="1530"/>
      <c r="DE309" s="1530"/>
      <c r="DF309" s="1530"/>
      <c r="DG309" s="1530"/>
      <c r="DH309" s="1530"/>
      <c r="DI309" s="1530"/>
      <c r="DJ309" s="1530"/>
      <c r="DK309" s="1530"/>
      <c r="DL309" s="1530"/>
      <c r="DM309" s="1530"/>
      <c r="DN309" s="1571"/>
      <c r="DO309" s="1530"/>
      <c r="DP309" s="1530"/>
    </row>
    <row r="310" spans="1:120">
      <c r="A310" s="1451"/>
      <c r="C310" s="1451"/>
      <c r="K310" s="1451"/>
      <c r="L310" s="1451"/>
      <c r="U310" s="1530"/>
      <c r="V310" s="1530"/>
      <c r="W310" s="1530"/>
      <c r="X310" s="1530"/>
      <c r="Y310" s="1530"/>
      <c r="Z310" s="1530"/>
      <c r="AA310" s="1530"/>
      <c r="AB310" s="1530"/>
      <c r="AC310" s="1530"/>
      <c r="AD310" s="1530"/>
      <c r="AE310" s="1530"/>
      <c r="AF310" s="1530"/>
      <c r="AG310" s="1530"/>
      <c r="AH310" s="1530"/>
      <c r="AI310" s="1530"/>
      <c r="AJ310" s="1530"/>
      <c r="AK310" s="1530"/>
      <c r="AL310" s="1530"/>
      <c r="AM310" s="1530"/>
      <c r="AN310" s="1530"/>
      <c r="AO310" s="1530"/>
      <c r="AP310" s="1530"/>
      <c r="AQ310" s="1530"/>
      <c r="AR310" s="1530"/>
      <c r="AS310" s="1530"/>
      <c r="AT310" s="1530"/>
      <c r="AU310" s="1530"/>
      <c r="AV310" s="1530"/>
      <c r="AW310" s="1530"/>
      <c r="AX310" s="1530"/>
      <c r="AY310" s="1530"/>
      <c r="AZ310" s="1530"/>
      <c r="BA310" s="1530"/>
      <c r="BB310" s="1530"/>
      <c r="BC310" s="1530"/>
      <c r="BD310" s="1530"/>
      <c r="BE310" s="1530"/>
      <c r="BF310" s="1530"/>
      <c r="BG310" s="1530"/>
      <c r="BH310" s="1530"/>
      <c r="BI310" s="1530"/>
      <c r="BJ310" s="1530"/>
      <c r="BK310" s="1530"/>
      <c r="BL310" s="1530"/>
      <c r="BM310" s="1530"/>
      <c r="BN310" s="1530"/>
      <c r="BW310" s="1569"/>
      <c r="CO310" s="1530"/>
      <c r="CP310" s="1530"/>
      <c r="CQ310" s="1530"/>
      <c r="CR310" s="1530"/>
      <c r="CS310" s="1530"/>
      <c r="CT310" s="1530"/>
      <c r="CU310" s="1530"/>
      <c r="CV310" s="1530"/>
      <c r="CW310" s="1530"/>
      <c r="CX310" s="1530"/>
      <c r="CY310" s="1530"/>
      <c r="CZ310" s="1530"/>
      <c r="DA310" s="1530"/>
      <c r="DB310" s="1530"/>
      <c r="DC310" s="1530"/>
      <c r="DD310" s="1530"/>
      <c r="DE310" s="1530"/>
      <c r="DF310" s="1530"/>
      <c r="DG310" s="1530"/>
      <c r="DH310" s="1530"/>
      <c r="DI310" s="1530"/>
      <c r="DJ310" s="1530"/>
      <c r="DK310" s="1530"/>
      <c r="DL310" s="1530"/>
      <c r="DM310" s="1530"/>
      <c r="DN310" s="1571"/>
      <c r="DO310" s="1530"/>
      <c r="DP310" s="1530"/>
    </row>
    <row r="311" spans="1:120">
      <c r="A311" s="1451"/>
      <c r="C311" s="1451"/>
      <c r="K311" s="1451"/>
      <c r="L311" s="1451"/>
      <c r="U311" s="1530"/>
      <c r="V311" s="1530"/>
      <c r="W311" s="1530"/>
      <c r="X311" s="1530"/>
      <c r="Y311" s="1530"/>
      <c r="Z311" s="1530"/>
      <c r="AA311" s="1530"/>
      <c r="AB311" s="1530"/>
      <c r="AC311" s="1530"/>
      <c r="AD311" s="1530"/>
      <c r="AE311" s="1530"/>
      <c r="AF311" s="1530"/>
      <c r="AG311" s="1530"/>
      <c r="AH311" s="1530"/>
      <c r="AI311" s="1530"/>
      <c r="AJ311" s="1530"/>
      <c r="AK311" s="1530"/>
      <c r="AL311" s="1530"/>
      <c r="AM311" s="1530"/>
      <c r="AN311" s="1530"/>
      <c r="AO311" s="1530"/>
      <c r="AP311" s="1530"/>
      <c r="AQ311" s="1530"/>
      <c r="AR311" s="1530"/>
      <c r="AS311" s="1530"/>
      <c r="AT311" s="1530"/>
      <c r="AU311" s="1530"/>
      <c r="AV311" s="1530"/>
      <c r="AW311" s="1530"/>
      <c r="AX311" s="1530"/>
      <c r="AY311" s="1530"/>
      <c r="AZ311" s="1530"/>
      <c r="BA311" s="1530"/>
      <c r="BB311" s="1530"/>
      <c r="BC311" s="1530"/>
      <c r="BD311" s="1530"/>
      <c r="BE311" s="1530"/>
      <c r="BF311" s="1530"/>
      <c r="BG311" s="1530"/>
      <c r="BH311" s="1530"/>
      <c r="BI311" s="1530"/>
      <c r="BJ311" s="1530"/>
      <c r="BK311" s="1530"/>
      <c r="BL311" s="1530"/>
      <c r="BM311" s="1530"/>
      <c r="BN311" s="1530"/>
      <c r="BW311" s="1569"/>
      <c r="CO311" s="1530"/>
      <c r="CP311" s="1530"/>
      <c r="CQ311" s="1530"/>
      <c r="CR311" s="1530"/>
      <c r="CS311" s="1530"/>
      <c r="CT311" s="1530"/>
      <c r="CU311" s="1530"/>
      <c r="CV311" s="1530"/>
      <c r="CW311" s="1530"/>
      <c r="CX311" s="1530"/>
      <c r="CY311" s="1530"/>
      <c r="CZ311" s="1530"/>
      <c r="DA311" s="1530"/>
      <c r="DB311" s="1530"/>
      <c r="DC311" s="1530"/>
      <c r="DD311" s="1530"/>
      <c r="DE311" s="1530"/>
      <c r="DF311" s="1530"/>
      <c r="DG311" s="1530"/>
      <c r="DH311" s="1530"/>
      <c r="DI311" s="1530"/>
      <c r="DJ311" s="1530"/>
      <c r="DK311" s="1530"/>
      <c r="DL311" s="1530"/>
      <c r="DM311" s="1530"/>
      <c r="DN311" s="1571"/>
      <c r="DO311" s="1530"/>
      <c r="DP311" s="1530"/>
    </row>
    <row r="312" spans="1:120">
      <c r="A312" s="1451"/>
      <c r="C312" s="1451"/>
      <c r="K312" s="1451"/>
      <c r="L312" s="1451"/>
      <c r="U312" s="1530"/>
      <c r="V312" s="1530"/>
      <c r="W312" s="1530"/>
      <c r="X312" s="1530"/>
      <c r="Y312" s="1530"/>
      <c r="Z312" s="1530"/>
      <c r="AA312" s="1530"/>
      <c r="AB312" s="1530"/>
      <c r="AC312" s="1530"/>
      <c r="AD312" s="1530"/>
      <c r="AE312" s="1530"/>
      <c r="AF312" s="1530"/>
      <c r="AG312" s="1530"/>
      <c r="AH312" s="1530"/>
      <c r="AI312" s="1530"/>
      <c r="AJ312" s="1530"/>
      <c r="AK312" s="1530"/>
      <c r="AL312" s="1530"/>
      <c r="AM312" s="1530"/>
      <c r="AN312" s="1530"/>
      <c r="AO312" s="1530"/>
      <c r="AP312" s="1530"/>
      <c r="AQ312" s="1530"/>
      <c r="AR312" s="1530"/>
      <c r="AS312" s="1530"/>
      <c r="AT312" s="1530"/>
      <c r="AU312" s="1530"/>
      <c r="AV312" s="1530"/>
      <c r="AW312" s="1530"/>
      <c r="AX312" s="1530"/>
      <c r="AY312" s="1530"/>
      <c r="AZ312" s="1530"/>
      <c r="BA312" s="1530"/>
      <c r="BB312" s="1530"/>
      <c r="BC312" s="1530"/>
      <c r="BD312" s="1530"/>
      <c r="BE312" s="1530"/>
      <c r="BF312" s="1530"/>
      <c r="BG312" s="1530"/>
      <c r="BH312" s="1530"/>
      <c r="BI312" s="1530"/>
      <c r="BJ312" s="1530"/>
      <c r="BK312" s="1530"/>
      <c r="BL312" s="1530"/>
      <c r="BM312" s="1530"/>
      <c r="BN312" s="1530"/>
      <c r="BW312" s="1569"/>
      <c r="CO312" s="1530"/>
      <c r="CP312" s="1530"/>
      <c r="CQ312" s="1530"/>
      <c r="CR312" s="1530"/>
      <c r="CS312" s="1530"/>
      <c r="CT312" s="1530"/>
      <c r="CU312" s="1530"/>
      <c r="CV312" s="1530"/>
      <c r="CW312" s="1530"/>
      <c r="CX312" s="1530"/>
      <c r="CY312" s="1530"/>
      <c r="CZ312" s="1530"/>
      <c r="DA312" s="1530"/>
      <c r="DB312" s="1530"/>
      <c r="DC312" s="1530"/>
      <c r="DD312" s="1530"/>
      <c r="DE312" s="1530"/>
      <c r="DF312" s="1530"/>
      <c r="DG312" s="1530"/>
      <c r="DH312" s="1530"/>
      <c r="DI312" s="1530"/>
      <c r="DJ312" s="1530"/>
      <c r="DK312" s="1530"/>
      <c r="DL312" s="1530"/>
      <c r="DM312" s="1530"/>
      <c r="DN312" s="1571"/>
      <c r="DO312" s="1530"/>
      <c r="DP312" s="1530"/>
    </row>
    <row r="313" spans="1:120">
      <c r="A313" s="1451"/>
      <c r="C313" s="1451"/>
      <c r="K313" s="1451"/>
      <c r="L313" s="1451"/>
      <c r="U313" s="1530"/>
      <c r="V313" s="1530"/>
      <c r="W313" s="1530"/>
      <c r="X313" s="1530"/>
      <c r="Y313" s="1530"/>
      <c r="Z313" s="1530"/>
      <c r="AA313" s="1530"/>
      <c r="AB313" s="1530"/>
      <c r="AC313" s="1530"/>
      <c r="AD313" s="1530"/>
      <c r="AE313" s="1530"/>
      <c r="AF313" s="1530"/>
      <c r="AG313" s="1530"/>
      <c r="AH313" s="1530"/>
      <c r="AI313" s="1530"/>
      <c r="AJ313" s="1530"/>
      <c r="AK313" s="1530"/>
      <c r="AL313" s="1530"/>
      <c r="AM313" s="1530"/>
      <c r="AN313" s="1530"/>
      <c r="AO313" s="1530"/>
      <c r="AP313" s="1530"/>
      <c r="AQ313" s="1530"/>
      <c r="AR313" s="1530"/>
      <c r="AS313" s="1530"/>
      <c r="AT313" s="1530"/>
      <c r="AU313" s="1530"/>
      <c r="AV313" s="1530"/>
      <c r="AW313" s="1530"/>
      <c r="AX313" s="1530"/>
      <c r="AY313" s="1530"/>
      <c r="AZ313" s="1530"/>
      <c r="BA313" s="1530"/>
      <c r="BB313" s="1530"/>
      <c r="BC313" s="1530"/>
      <c r="BD313" s="1530"/>
      <c r="BE313" s="1530"/>
      <c r="BF313" s="1530"/>
      <c r="BG313" s="1530"/>
      <c r="BH313" s="1530"/>
      <c r="BI313" s="1530"/>
      <c r="BJ313" s="1530"/>
      <c r="BK313" s="1530"/>
      <c r="BL313" s="1530"/>
      <c r="BM313" s="1530"/>
      <c r="BN313" s="1530"/>
      <c r="BW313" s="1569"/>
      <c r="CO313" s="1530"/>
      <c r="CP313" s="1530"/>
      <c r="CQ313" s="1530"/>
      <c r="CR313" s="1530"/>
      <c r="CS313" s="1530"/>
      <c r="CT313" s="1530"/>
      <c r="CU313" s="1530"/>
      <c r="CV313" s="1530"/>
      <c r="CW313" s="1530"/>
      <c r="CX313" s="1530"/>
      <c r="CY313" s="1530"/>
      <c r="CZ313" s="1530"/>
      <c r="DA313" s="1530"/>
      <c r="DB313" s="1530"/>
      <c r="DC313" s="1530"/>
      <c r="DD313" s="1530"/>
      <c r="DE313" s="1530"/>
      <c r="DF313" s="1530"/>
      <c r="DG313" s="1530"/>
      <c r="DH313" s="1530"/>
      <c r="DI313" s="1530"/>
      <c r="DJ313" s="1530"/>
      <c r="DK313" s="1530"/>
      <c r="DL313" s="1530"/>
      <c r="DM313" s="1530"/>
      <c r="DN313" s="1571"/>
      <c r="DO313" s="1530"/>
      <c r="DP313" s="1530"/>
    </row>
    <row r="314" spans="1:120">
      <c r="A314" s="1451"/>
      <c r="C314" s="1451"/>
      <c r="K314" s="1451"/>
      <c r="L314" s="1451"/>
      <c r="U314" s="1530"/>
      <c r="V314" s="1530"/>
      <c r="W314" s="1530"/>
      <c r="X314" s="1530"/>
      <c r="Y314" s="1530"/>
      <c r="Z314" s="1530"/>
      <c r="AA314" s="1530"/>
      <c r="AB314" s="1530"/>
      <c r="AC314" s="1530"/>
      <c r="AD314" s="1530"/>
      <c r="AE314" s="1530"/>
      <c r="AF314" s="1530"/>
      <c r="AG314" s="1530"/>
      <c r="AH314" s="1530"/>
      <c r="AI314" s="1530"/>
      <c r="AJ314" s="1530"/>
      <c r="AK314" s="1530"/>
      <c r="AL314" s="1530"/>
      <c r="AM314" s="1530"/>
      <c r="AN314" s="1530"/>
      <c r="AO314" s="1530"/>
      <c r="AP314" s="1530"/>
      <c r="AQ314" s="1530"/>
      <c r="AR314" s="1530"/>
      <c r="AS314" s="1530"/>
      <c r="AT314" s="1530"/>
      <c r="AU314" s="1530"/>
      <c r="AV314" s="1530"/>
      <c r="AW314" s="1530"/>
      <c r="AX314" s="1530"/>
      <c r="AY314" s="1530"/>
      <c r="AZ314" s="1530"/>
      <c r="BA314" s="1530"/>
      <c r="BB314" s="1530"/>
      <c r="BC314" s="1530"/>
      <c r="BD314" s="1530"/>
      <c r="BE314" s="1530"/>
      <c r="BF314" s="1530"/>
      <c r="BG314" s="1530"/>
      <c r="BH314" s="1530"/>
      <c r="BI314" s="1530"/>
      <c r="BJ314" s="1530"/>
      <c r="BK314" s="1530"/>
      <c r="BL314" s="1530"/>
      <c r="BM314" s="1530"/>
      <c r="BN314" s="1530"/>
      <c r="BW314" s="1569"/>
      <c r="CO314" s="1530"/>
      <c r="CP314" s="1530"/>
      <c r="CQ314" s="1530"/>
      <c r="CR314" s="1530"/>
      <c r="CS314" s="1530"/>
      <c r="CT314" s="1530"/>
      <c r="CU314" s="1530"/>
      <c r="CV314" s="1530"/>
      <c r="CW314" s="1530"/>
      <c r="CX314" s="1530"/>
      <c r="CY314" s="1530"/>
      <c r="CZ314" s="1530"/>
      <c r="DA314" s="1530"/>
      <c r="DB314" s="1530"/>
      <c r="DC314" s="1530"/>
      <c r="DD314" s="1530"/>
      <c r="DE314" s="1530"/>
      <c r="DF314" s="1530"/>
      <c r="DG314" s="1530"/>
      <c r="DH314" s="1530"/>
      <c r="DI314" s="1530"/>
      <c r="DJ314" s="1530"/>
      <c r="DK314" s="1530"/>
      <c r="DL314" s="1530"/>
      <c r="DM314" s="1530"/>
      <c r="DN314" s="1571"/>
      <c r="DO314" s="1530"/>
      <c r="DP314" s="1530"/>
    </row>
    <row r="315" spans="1:120">
      <c r="A315" s="1451"/>
      <c r="C315" s="1451"/>
      <c r="K315" s="1451"/>
      <c r="L315" s="1451"/>
      <c r="U315" s="1530"/>
      <c r="V315" s="1530"/>
      <c r="W315" s="1530"/>
      <c r="X315" s="1530"/>
      <c r="Y315" s="1530"/>
      <c r="Z315" s="1530"/>
      <c r="AA315" s="1530"/>
      <c r="AB315" s="1530"/>
      <c r="AC315" s="1530"/>
      <c r="AD315" s="1530"/>
      <c r="AE315" s="1530"/>
      <c r="AF315" s="1530"/>
      <c r="AG315" s="1530"/>
      <c r="AH315" s="1530"/>
      <c r="AI315" s="1530"/>
      <c r="AJ315" s="1530"/>
      <c r="AK315" s="1530"/>
      <c r="AL315" s="1530"/>
      <c r="AM315" s="1530"/>
      <c r="AN315" s="1530"/>
      <c r="AO315" s="1530"/>
      <c r="AP315" s="1530"/>
      <c r="AQ315" s="1530"/>
      <c r="AR315" s="1530"/>
      <c r="AS315" s="1530"/>
      <c r="AT315" s="1530"/>
      <c r="AU315" s="1530"/>
      <c r="AV315" s="1530"/>
      <c r="AW315" s="1530"/>
      <c r="AX315" s="1530"/>
      <c r="AY315" s="1530"/>
      <c r="AZ315" s="1530"/>
      <c r="BA315" s="1530"/>
      <c r="BB315" s="1530"/>
      <c r="BC315" s="1530"/>
      <c r="BD315" s="1530"/>
      <c r="BE315" s="1530"/>
      <c r="BF315" s="1530"/>
      <c r="BG315" s="1530"/>
      <c r="BH315" s="1530"/>
      <c r="BI315" s="1530"/>
      <c r="BJ315" s="1530"/>
      <c r="BK315" s="1530"/>
      <c r="BL315" s="1530"/>
      <c r="BM315" s="1530"/>
      <c r="BN315" s="1530"/>
      <c r="BW315" s="1569"/>
      <c r="CO315" s="1530"/>
      <c r="CP315" s="1530"/>
      <c r="CQ315" s="1530"/>
      <c r="CR315" s="1530"/>
      <c r="CS315" s="1530"/>
      <c r="CT315" s="1530"/>
      <c r="CU315" s="1530"/>
      <c r="CV315" s="1530"/>
      <c r="CW315" s="1530"/>
      <c r="CX315" s="1530"/>
      <c r="CY315" s="1530"/>
      <c r="CZ315" s="1530"/>
      <c r="DA315" s="1530"/>
      <c r="DB315" s="1530"/>
      <c r="DC315" s="1530"/>
      <c r="DD315" s="1530"/>
      <c r="DE315" s="1530"/>
      <c r="DF315" s="1530"/>
      <c r="DG315" s="1530"/>
      <c r="DH315" s="1530"/>
      <c r="DI315" s="1530"/>
      <c r="DJ315" s="1530"/>
      <c r="DK315" s="1530"/>
      <c r="DL315" s="1530"/>
      <c r="DM315" s="1530"/>
      <c r="DN315" s="1571"/>
      <c r="DO315" s="1530"/>
      <c r="DP315" s="1530"/>
    </row>
    <row r="316" spans="1:120">
      <c r="A316" s="1451"/>
      <c r="C316" s="1451"/>
      <c r="K316" s="1451"/>
      <c r="L316" s="1451"/>
      <c r="U316" s="1530"/>
      <c r="V316" s="1530"/>
      <c r="W316" s="1530"/>
      <c r="X316" s="1530"/>
      <c r="Y316" s="1530"/>
      <c r="Z316" s="1530"/>
      <c r="AA316" s="1530"/>
      <c r="AB316" s="1530"/>
      <c r="AC316" s="1530"/>
      <c r="AD316" s="1530"/>
      <c r="AE316" s="1530"/>
      <c r="AF316" s="1530"/>
      <c r="AG316" s="1530"/>
      <c r="AH316" s="1530"/>
      <c r="AI316" s="1530"/>
      <c r="AJ316" s="1530"/>
      <c r="AK316" s="1530"/>
      <c r="AL316" s="1530"/>
      <c r="AM316" s="1530"/>
      <c r="AN316" s="1530"/>
      <c r="AO316" s="1530"/>
      <c r="AP316" s="1530"/>
      <c r="AQ316" s="1530"/>
      <c r="AR316" s="1530"/>
      <c r="AS316" s="1530"/>
      <c r="AT316" s="1530"/>
      <c r="AU316" s="1530"/>
      <c r="AV316" s="1530"/>
      <c r="AW316" s="1530"/>
      <c r="AX316" s="1530"/>
      <c r="AY316" s="1530"/>
      <c r="AZ316" s="1530"/>
      <c r="BA316" s="1530"/>
      <c r="BB316" s="1530"/>
      <c r="BC316" s="1530"/>
      <c r="BD316" s="1530"/>
      <c r="BE316" s="1530"/>
      <c r="BF316" s="1530"/>
      <c r="BG316" s="1530"/>
      <c r="BH316" s="1530"/>
      <c r="BI316" s="1530"/>
      <c r="BJ316" s="1530"/>
      <c r="BK316" s="1530"/>
      <c r="BL316" s="1530"/>
      <c r="BM316" s="1530"/>
      <c r="BN316" s="1530"/>
      <c r="BW316" s="1569"/>
      <c r="CO316" s="1530"/>
      <c r="CP316" s="1530"/>
      <c r="CQ316" s="1530"/>
      <c r="CR316" s="1530"/>
      <c r="CS316" s="1530"/>
      <c r="CT316" s="1530"/>
      <c r="CU316" s="1530"/>
      <c r="CV316" s="1530"/>
      <c r="CW316" s="1530"/>
      <c r="CX316" s="1530"/>
      <c r="CY316" s="1530"/>
      <c r="CZ316" s="1530"/>
      <c r="DA316" s="1530"/>
      <c r="DB316" s="1530"/>
      <c r="DC316" s="1530"/>
      <c r="DD316" s="1530"/>
      <c r="DE316" s="1530"/>
      <c r="DF316" s="1530"/>
      <c r="DG316" s="1530"/>
      <c r="DH316" s="1530"/>
      <c r="DI316" s="1530"/>
      <c r="DJ316" s="1530"/>
      <c r="DK316" s="1530"/>
      <c r="DL316" s="1530"/>
      <c r="DM316" s="1530"/>
      <c r="DN316" s="1571"/>
      <c r="DO316" s="1530"/>
      <c r="DP316" s="1530"/>
    </row>
    <row r="317" spans="1:120">
      <c r="A317" s="1451"/>
      <c r="C317" s="1451"/>
      <c r="K317" s="1451"/>
      <c r="L317" s="1451"/>
      <c r="U317" s="1530"/>
      <c r="V317" s="1530"/>
      <c r="W317" s="1530"/>
      <c r="X317" s="1530"/>
      <c r="Y317" s="1530"/>
      <c r="Z317" s="1530"/>
      <c r="AA317" s="1530"/>
      <c r="AB317" s="1530"/>
      <c r="AC317" s="1530"/>
      <c r="AD317" s="1530"/>
      <c r="AE317" s="1530"/>
      <c r="AF317" s="1530"/>
      <c r="AG317" s="1530"/>
      <c r="AH317" s="1530"/>
      <c r="AI317" s="1530"/>
      <c r="AJ317" s="1530"/>
      <c r="AK317" s="1530"/>
      <c r="AL317" s="1530"/>
      <c r="AM317" s="1530"/>
      <c r="AN317" s="1530"/>
      <c r="AO317" s="1530"/>
      <c r="AP317" s="1530"/>
      <c r="AQ317" s="1530"/>
      <c r="AR317" s="1530"/>
      <c r="AS317" s="1530"/>
      <c r="AT317" s="1530"/>
      <c r="AU317" s="1530"/>
      <c r="AV317" s="1530"/>
      <c r="AW317" s="1530"/>
      <c r="AX317" s="1530"/>
      <c r="AY317" s="1530"/>
      <c r="AZ317" s="1530"/>
      <c r="BA317" s="1530"/>
      <c r="BB317" s="1530"/>
      <c r="BC317" s="1530"/>
      <c r="BD317" s="1530"/>
      <c r="BE317" s="1530"/>
      <c r="BF317" s="1530"/>
      <c r="BG317" s="1530"/>
      <c r="BH317" s="1530"/>
      <c r="BI317" s="1530"/>
      <c r="BJ317" s="1530"/>
      <c r="BK317" s="1530"/>
      <c r="BL317" s="1530"/>
      <c r="BM317" s="1530"/>
      <c r="BN317" s="1530"/>
      <c r="BW317" s="1569"/>
      <c r="CO317" s="1530"/>
      <c r="CP317" s="1530"/>
      <c r="CQ317" s="1530"/>
      <c r="CR317" s="1530"/>
      <c r="CS317" s="1530"/>
      <c r="CT317" s="1530"/>
      <c r="CU317" s="1530"/>
      <c r="CV317" s="1530"/>
      <c r="CW317" s="1530"/>
      <c r="CX317" s="1530"/>
      <c r="CY317" s="1530"/>
      <c r="CZ317" s="1530"/>
      <c r="DA317" s="1530"/>
      <c r="DB317" s="1530"/>
      <c r="DC317" s="1530"/>
      <c r="DD317" s="1530"/>
      <c r="DE317" s="1530"/>
      <c r="DF317" s="1530"/>
      <c r="DG317" s="1530"/>
      <c r="DH317" s="1530"/>
      <c r="DI317" s="1530"/>
      <c r="DJ317" s="1530"/>
      <c r="DK317" s="1530"/>
      <c r="DL317" s="1530"/>
      <c r="DM317" s="1530"/>
      <c r="DN317" s="1571"/>
      <c r="DO317" s="1530"/>
      <c r="DP317" s="1530"/>
    </row>
    <row r="318" spans="1:120">
      <c r="A318" s="1451"/>
      <c r="C318" s="1451"/>
      <c r="K318" s="1451"/>
      <c r="L318" s="1451"/>
      <c r="U318" s="1530"/>
      <c r="V318" s="1530"/>
      <c r="W318" s="1530"/>
      <c r="X318" s="1530"/>
      <c r="Y318" s="1530"/>
      <c r="Z318" s="1530"/>
      <c r="AA318" s="1530"/>
      <c r="AB318" s="1530"/>
      <c r="AC318" s="1530"/>
      <c r="AD318" s="1530"/>
      <c r="AE318" s="1530"/>
      <c r="AF318" s="1530"/>
      <c r="AG318" s="1530"/>
      <c r="AH318" s="1530"/>
      <c r="AI318" s="1530"/>
      <c r="AJ318" s="1530"/>
      <c r="AK318" s="1530"/>
      <c r="AL318" s="1530"/>
      <c r="AM318" s="1530"/>
      <c r="AN318" s="1530"/>
      <c r="AO318" s="1530"/>
      <c r="AP318" s="1530"/>
      <c r="AQ318" s="1530"/>
      <c r="AR318" s="1530"/>
      <c r="AS318" s="1530"/>
      <c r="AT318" s="1530"/>
      <c r="AU318" s="1530"/>
      <c r="AV318" s="1530"/>
      <c r="AW318" s="1530"/>
      <c r="AX318" s="1530"/>
      <c r="AY318" s="1530"/>
      <c r="AZ318" s="1530"/>
      <c r="BA318" s="1530"/>
      <c r="BB318" s="1530"/>
      <c r="BC318" s="1530"/>
      <c r="BD318" s="1530"/>
      <c r="BE318" s="1530"/>
      <c r="BF318" s="1530"/>
      <c r="BG318" s="1530"/>
      <c r="BH318" s="1530"/>
      <c r="BI318" s="1530"/>
      <c r="BJ318" s="1530"/>
      <c r="BK318" s="1530"/>
      <c r="BL318" s="1530"/>
      <c r="BM318" s="1530"/>
      <c r="BN318" s="1530"/>
      <c r="BW318" s="1569"/>
      <c r="CO318" s="1530"/>
      <c r="CP318" s="1530"/>
      <c r="CQ318" s="1530"/>
      <c r="CR318" s="1530"/>
      <c r="CS318" s="1530"/>
      <c r="CT318" s="1530"/>
      <c r="CU318" s="1530"/>
      <c r="CV318" s="1530"/>
      <c r="CW318" s="1530"/>
      <c r="CX318" s="1530"/>
      <c r="CY318" s="1530"/>
      <c r="CZ318" s="1530"/>
      <c r="DA318" s="1530"/>
      <c r="DB318" s="1530"/>
      <c r="DC318" s="1530"/>
      <c r="DD318" s="1530"/>
      <c r="DE318" s="1530"/>
      <c r="DF318" s="1530"/>
      <c r="DG318" s="1530"/>
      <c r="DH318" s="1530"/>
      <c r="DI318" s="1530"/>
      <c r="DJ318" s="1530"/>
      <c r="DK318" s="1530"/>
      <c r="DL318" s="1530"/>
      <c r="DM318" s="1530"/>
      <c r="DN318" s="1571"/>
      <c r="DO318" s="1530"/>
      <c r="DP318" s="1530"/>
    </row>
    <row r="319" spans="1:120">
      <c r="A319" s="1451"/>
      <c r="C319" s="1451"/>
      <c r="K319" s="1451"/>
      <c r="L319" s="1451"/>
      <c r="U319" s="1530"/>
      <c r="V319" s="1530"/>
      <c r="W319" s="1530"/>
      <c r="X319" s="1530"/>
      <c r="Y319" s="1530"/>
      <c r="Z319" s="1530"/>
      <c r="AA319" s="1530"/>
      <c r="AB319" s="1530"/>
      <c r="AC319" s="1530"/>
      <c r="AD319" s="1530"/>
      <c r="AE319" s="1530"/>
      <c r="AF319" s="1530"/>
      <c r="AG319" s="1530"/>
      <c r="AH319" s="1530"/>
      <c r="AI319" s="1530"/>
      <c r="AJ319" s="1530"/>
      <c r="AK319" s="1530"/>
      <c r="AL319" s="1530"/>
      <c r="AM319" s="1530"/>
      <c r="AN319" s="1530"/>
      <c r="AO319" s="1530"/>
      <c r="AP319" s="1530"/>
      <c r="AQ319" s="1530"/>
      <c r="AR319" s="1530"/>
      <c r="AS319" s="1530"/>
      <c r="AT319" s="1530"/>
      <c r="AU319" s="1530"/>
      <c r="AV319" s="1530"/>
      <c r="AW319" s="1530"/>
      <c r="AX319" s="1530"/>
      <c r="AY319" s="1530"/>
      <c r="AZ319" s="1530"/>
      <c r="BA319" s="1530"/>
      <c r="BB319" s="1530"/>
      <c r="BC319" s="1530"/>
      <c r="BD319" s="1530"/>
      <c r="BE319" s="1530"/>
      <c r="BF319" s="1530"/>
      <c r="BG319" s="1530"/>
      <c r="BH319" s="1530"/>
      <c r="BI319" s="1530"/>
      <c r="BJ319" s="1530"/>
      <c r="BK319" s="1530"/>
      <c r="BL319" s="1530"/>
      <c r="BM319" s="1530"/>
      <c r="BN319" s="1530"/>
      <c r="BW319" s="1569"/>
      <c r="CO319" s="1530"/>
      <c r="CP319" s="1530"/>
      <c r="CQ319" s="1530"/>
      <c r="CR319" s="1530"/>
      <c r="CS319" s="1530"/>
      <c r="CT319" s="1530"/>
      <c r="CU319" s="1530"/>
      <c r="CV319" s="1530"/>
      <c r="CW319" s="1530"/>
      <c r="CX319" s="1530"/>
      <c r="CY319" s="1530"/>
      <c r="CZ319" s="1530"/>
      <c r="DA319" s="1530"/>
      <c r="DB319" s="1530"/>
      <c r="DC319" s="1530"/>
      <c r="DD319" s="1530"/>
      <c r="DE319" s="1530"/>
      <c r="DF319" s="1530"/>
      <c r="DG319" s="1530"/>
      <c r="DH319" s="1530"/>
      <c r="DI319" s="1530"/>
      <c r="DJ319" s="1530"/>
      <c r="DK319" s="1530"/>
      <c r="DL319" s="1530"/>
      <c r="DM319" s="1530"/>
      <c r="DN319" s="1571"/>
      <c r="DO319" s="1530"/>
      <c r="DP319" s="1530"/>
    </row>
    <row r="320" spans="1:120">
      <c r="A320" s="1451"/>
      <c r="C320" s="1451"/>
      <c r="K320" s="1451"/>
      <c r="L320" s="1451"/>
      <c r="U320" s="1530"/>
      <c r="V320" s="1530"/>
      <c r="W320" s="1530"/>
      <c r="X320" s="1530"/>
      <c r="Y320" s="1530"/>
      <c r="Z320" s="1530"/>
      <c r="AA320" s="1530"/>
      <c r="AB320" s="1530"/>
      <c r="AC320" s="1530"/>
      <c r="AD320" s="1530"/>
      <c r="AE320" s="1530"/>
      <c r="AF320" s="1530"/>
      <c r="AG320" s="1530"/>
      <c r="AH320" s="1530"/>
      <c r="AI320" s="1530"/>
      <c r="AJ320" s="1530"/>
      <c r="AK320" s="1530"/>
      <c r="AL320" s="1530"/>
      <c r="AM320" s="1530"/>
      <c r="AN320" s="1530"/>
      <c r="AO320" s="1530"/>
      <c r="AP320" s="1530"/>
      <c r="AQ320" s="1530"/>
      <c r="AR320" s="1530"/>
      <c r="AS320" s="1530"/>
      <c r="AT320" s="1530"/>
      <c r="AU320" s="1530"/>
      <c r="AV320" s="1530"/>
      <c r="AW320" s="1530"/>
      <c r="AX320" s="1530"/>
      <c r="AY320" s="1530"/>
      <c r="AZ320" s="1530"/>
      <c r="BA320" s="1530"/>
      <c r="BB320" s="1530"/>
      <c r="BC320" s="1530"/>
      <c r="BD320" s="1530"/>
      <c r="BE320" s="1530"/>
      <c r="BF320" s="1530"/>
      <c r="BG320" s="1530"/>
      <c r="BH320" s="1530"/>
      <c r="BI320" s="1530"/>
      <c r="BJ320" s="1530"/>
      <c r="BK320" s="1530"/>
      <c r="BL320" s="1530"/>
      <c r="BM320" s="1530"/>
      <c r="BN320" s="1530"/>
      <c r="BW320" s="1569"/>
      <c r="CO320" s="1530"/>
      <c r="CP320" s="1530"/>
      <c r="CQ320" s="1530"/>
      <c r="CR320" s="1530"/>
      <c r="CS320" s="1530"/>
      <c r="CT320" s="1530"/>
      <c r="CU320" s="1530"/>
      <c r="CV320" s="1530"/>
      <c r="CW320" s="1530"/>
      <c r="CX320" s="1530"/>
      <c r="CY320" s="1530"/>
      <c r="CZ320" s="1530"/>
      <c r="DA320" s="1530"/>
      <c r="DB320" s="1530"/>
      <c r="DC320" s="1530"/>
      <c r="DD320" s="1530"/>
      <c r="DE320" s="1530"/>
      <c r="DF320" s="1530"/>
      <c r="DG320" s="1530"/>
      <c r="DH320" s="1530"/>
      <c r="DI320" s="1530"/>
      <c r="DJ320" s="1530"/>
      <c r="DK320" s="1530"/>
      <c r="DL320" s="1530"/>
      <c r="DM320" s="1530"/>
      <c r="DN320" s="1571"/>
      <c r="DO320" s="1530"/>
      <c r="DP320" s="1530"/>
    </row>
    <row r="321" spans="1:120">
      <c r="A321" s="1451"/>
      <c r="C321" s="1451"/>
      <c r="K321" s="1451"/>
      <c r="L321" s="1451"/>
      <c r="U321" s="1530"/>
      <c r="V321" s="1530"/>
      <c r="W321" s="1530"/>
      <c r="X321" s="1530"/>
      <c r="Y321" s="1530"/>
      <c r="Z321" s="1530"/>
      <c r="AA321" s="1530"/>
      <c r="AB321" s="1530"/>
      <c r="AC321" s="1530"/>
      <c r="AD321" s="1530"/>
      <c r="AE321" s="1530"/>
      <c r="AF321" s="1530"/>
      <c r="AG321" s="1530"/>
      <c r="AH321" s="1530"/>
      <c r="AI321" s="1530"/>
      <c r="AJ321" s="1530"/>
      <c r="AK321" s="1530"/>
      <c r="AL321" s="1530"/>
      <c r="AM321" s="1530"/>
      <c r="AN321" s="1530"/>
      <c r="AO321" s="1530"/>
      <c r="AP321" s="1530"/>
      <c r="AQ321" s="1530"/>
      <c r="AR321" s="1530"/>
      <c r="AS321" s="1530"/>
      <c r="AT321" s="1530"/>
      <c r="AU321" s="1530"/>
      <c r="AV321" s="1530"/>
      <c r="AW321" s="1530"/>
      <c r="AX321" s="1530"/>
      <c r="AY321" s="1530"/>
      <c r="AZ321" s="1530"/>
      <c r="BA321" s="1530"/>
      <c r="BB321" s="1530"/>
      <c r="BC321" s="1530"/>
      <c r="BD321" s="1530"/>
      <c r="BE321" s="1530"/>
      <c r="BF321" s="1530"/>
      <c r="BG321" s="1530"/>
      <c r="BH321" s="1530"/>
      <c r="BI321" s="1530"/>
      <c r="BJ321" s="1530"/>
      <c r="BK321" s="1530"/>
      <c r="BL321" s="1530"/>
      <c r="BM321" s="1530"/>
      <c r="BN321" s="1530"/>
      <c r="BW321" s="1569"/>
      <c r="CO321" s="1530"/>
      <c r="CP321" s="1530"/>
      <c r="CQ321" s="1530"/>
      <c r="CR321" s="1530"/>
      <c r="CS321" s="1530"/>
      <c r="CT321" s="1530"/>
      <c r="CU321" s="1530"/>
      <c r="CV321" s="1530"/>
      <c r="CW321" s="1530"/>
      <c r="CX321" s="1530"/>
      <c r="CY321" s="1530"/>
      <c r="CZ321" s="1530"/>
      <c r="DA321" s="1530"/>
      <c r="DB321" s="1530"/>
      <c r="DC321" s="1530"/>
      <c r="DD321" s="1530"/>
      <c r="DE321" s="1530"/>
      <c r="DF321" s="1530"/>
      <c r="DG321" s="1530"/>
      <c r="DH321" s="1530"/>
      <c r="DI321" s="1530"/>
      <c r="DJ321" s="1530"/>
      <c r="DK321" s="1530"/>
      <c r="DL321" s="1530"/>
      <c r="DM321" s="1530"/>
      <c r="DN321" s="1571"/>
      <c r="DO321" s="1530"/>
      <c r="DP321" s="1530"/>
    </row>
    <row r="322" spans="1:120">
      <c r="A322" s="1451"/>
      <c r="C322" s="1451"/>
      <c r="K322" s="1451"/>
      <c r="L322" s="1451"/>
      <c r="U322" s="1530"/>
      <c r="V322" s="1530"/>
      <c r="W322" s="1530"/>
      <c r="X322" s="1530"/>
      <c r="Y322" s="1530"/>
      <c r="Z322" s="1530"/>
      <c r="AA322" s="1530"/>
      <c r="AB322" s="1530"/>
      <c r="AC322" s="1530"/>
      <c r="AD322" s="1530"/>
      <c r="AE322" s="1530"/>
      <c r="AF322" s="1530"/>
      <c r="AG322" s="1530"/>
      <c r="AH322" s="1530"/>
      <c r="AI322" s="1530"/>
      <c r="AJ322" s="1530"/>
      <c r="AK322" s="1530"/>
      <c r="AL322" s="1530"/>
      <c r="AM322" s="1530"/>
      <c r="AN322" s="1530"/>
      <c r="AO322" s="1530"/>
      <c r="AP322" s="1530"/>
      <c r="AQ322" s="1530"/>
      <c r="AR322" s="1530"/>
      <c r="AS322" s="1530"/>
      <c r="AT322" s="1530"/>
      <c r="AU322" s="1530"/>
      <c r="AV322" s="1530"/>
      <c r="AW322" s="1530"/>
      <c r="AX322" s="1530"/>
      <c r="AY322" s="1530"/>
      <c r="AZ322" s="1530"/>
      <c r="BA322" s="1530"/>
      <c r="BB322" s="1530"/>
      <c r="BC322" s="1530"/>
      <c r="BD322" s="1530"/>
      <c r="BE322" s="1530"/>
      <c r="BF322" s="1530"/>
      <c r="BG322" s="1530"/>
      <c r="BH322" s="1530"/>
      <c r="BI322" s="1530"/>
      <c r="BJ322" s="1530"/>
      <c r="BK322" s="1530"/>
      <c r="BL322" s="1530"/>
      <c r="BM322" s="1530"/>
      <c r="BN322" s="1530"/>
      <c r="BW322" s="1569"/>
      <c r="CO322" s="1530"/>
      <c r="CP322" s="1530"/>
      <c r="CQ322" s="1530"/>
      <c r="CR322" s="1530"/>
      <c r="CS322" s="1530"/>
      <c r="CT322" s="1530"/>
      <c r="CU322" s="1530"/>
      <c r="CV322" s="1530"/>
      <c r="CW322" s="1530"/>
      <c r="CX322" s="1530"/>
      <c r="CY322" s="1530"/>
      <c r="CZ322" s="1530"/>
      <c r="DA322" s="1530"/>
      <c r="DB322" s="1530"/>
      <c r="DC322" s="1530"/>
      <c r="DD322" s="1530"/>
      <c r="DE322" s="1530"/>
      <c r="DF322" s="1530"/>
      <c r="DG322" s="1530"/>
      <c r="DH322" s="1530"/>
      <c r="DI322" s="1530"/>
      <c r="DJ322" s="1530"/>
      <c r="DK322" s="1530"/>
      <c r="DL322" s="1530"/>
      <c r="DM322" s="1530"/>
      <c r="DN322" s="1571"/>
      <c r="DO322" s="1530"/>
      <c r="DP322" s="1530"/>
    </row>
    <row r="323" spans="1:120">
      <c r="A323" s="1451"/>
      <c r="C323" s="1451"/>
      <c r="K323" s="1451"/>
      <c r="L323" s="1451"/>
      <c r="U323" s="1530"/>
      <c r="V323" s="1530"/>
      <c r="W323" s="1530"/>
      <c r="X323" s="1530"/>
      <c r="Y323" s="1530"/>
      <c r="Z323" s="1530"/>
      <c r="AA323" s="1530"/>
      <c r="AB323" s="1530"/>
      <c r="AC323" s="1530"/>
      <c r="AD323" s="1530"/>
      <c r="AE323" s="1530"/>
      <c r="AF323" s="1530"/>
      <c r="AG323" s="1530"/>
      <c r="AH323" s="1530"/>
      <c r="AI323" s="1530"/>
      <c r="AJ323" s="1530"/>
      <c r="AK323" s="1530"/>
      <c r="AL323" s="1530"/>
      <c r="AM323" s="1530"/>
      <c r="AN323" s="1530"/>
      <c r="AO323" s="1530"/>
      <c r="AP323" s="1530"/>
      <c r="AQ323" s="1530"/>
      <c r="AR323" s="1530"/>
      <c r="AS323" s="1530"/>
      <c r="AT323" s="1530"/>
      <c r="AU323" s="1530"/>
      <c r="AV323" s="1530"/>
      <c r="AW323" s="1530"/>
      <c r="AX323" s="1530"/>
      <c r="AY323" s="1530"/>
      <c r="AZ323" s="1530"/>
      <c r="BA323" s="1530"/>
      <c r="BB323" s="1530"/>
      <c r="BC323" s="1530"/>
      <c r="BD323" s="1530"/>
      <c r="BE323" s="1530"/>
      <c r="BF323" s="1530"/>
      <c r="BG323" s="1530"/>
      <c r="BH323" s="1530"/>
      <c r="BI323" s="1530"/>
      <c r="BJ323" s="1530"/>
      <c r="BK323" s="1530"/>
      <c r="BL323" s="1530"/>
      <c r="BM323" s="1530"/>
      <c r="BN323" s="1530"/>
      <c r="BW323" s="1569"/>
      <c r="CO323" s="1530"/>
      <c r="CP323" s="1530"/>
      <c r="CQ323" s="1530"/>
      <c r="CR323" s="1530"/>
      <c r="CS323" s="1530"/>
      <c r="CT323" s="1530"/>
      <c r="CU323" s="1530"/>
      <c r="CV323" s="1530"/>
      <c r="CW323" s="1530"/>
      <c r="CX323" s="1530"/>
      <c r="CY323" s="1530"/>
      <c r="CZ323" s="1530"/>
      <c r="DA323" s="1530"/>
      <c r="DB323" s="1530"/>
      <c r="DC323" s="1530"/>
      <c r="DD323" s="1530"/>
      <c r="DE323" s="1530"/>
      <c r="DF323" s="1530"/>
      <c r="DG323" s="1530"/>
      <c r="DH323" s="1530"/>
      <c r="DI323" s="1530"/>
      <c r="DJ323" s="1530"/>
      <c r="DK323" s="1530"/>
      <c r="DL323" s="1530"/>
      <c r="DM323" s="1530"/>
      <c r="DN323" s="1571"/>
      <c r="DO323" s="1530"/>
      <c r="DP323" s="1530"/>
    </row>
    <row r="324" spans="1:120">
      <c r="A324" s="1451"/>
      <c r="C324" s="1451"/>
      <c r="K324" s="1451"/>
      <c r="L324" s="1451"/>
      <c r="U324" s="1530"/>
      <c r="V324" s="1530"/>
      <c r="W324" s="1530"/>
      <c r="X324" s="1530"/>
      <c r="Y324" s="1530"/>
      <c r="Z324" s="1530"/>
      <c r="AA324" s="1530"/>
      <c r="AB324" s="1530"/>
      <c r="AC324" s="1530"/>
      <c r="AD324" s="1530"/>
      <c r="AE324" s="1530"/>
      <c r="AF324" s="1530"/>
      <c r="AG324" s="1530"/>
      <c r="AH324" s="1530"/>
      <c r="AI324" s="1530"/>
      <c r="AJ324" s="1530"/>
      <c r="AK324" s="1530"/>
      <c r="AL324" s="1530"/>
      <c r="AM324" s="1530"/>
      <c r="AN324" s="1530"/>
      <c r="AO324" s="1530"/>
      <c r="AP324" s="1530"/>
      <c r="AQ324" s="1530"/>
      <c r="AR324" s="1530"/>
      <c r="AS324" s="1530"/>
      <c r="AT324" s="1530"/>
      <c r="AU324" s="1530"/>
      <c r="AV324" s="1530"/>
      <c r="AW324" s="1530"/>
      <c r="AX324" s="1530"/>
      <c r="AY324" s="1530"/>
      <c r="AZ324" s="1530"/>
      <c r="BA324" s="1530"/>
      <c r="BB324" s="1530"/>
      <c r="BC324" s="1530"/>
      <c r="BD324" s="1530"/>
      <c r="BE324" s="1530"/>
      <c r="BF324" s="1530"/>
      <c r="BG324" s="1530"/>
      <c r="BH324" s="1530"/>
      <c r="BI324" s="1530"/>
      <c r="BJ324" s="1530"/>
      <c r="BK324" s="1530"/>
      <c r="BL324" s="1530"/>
      <c r="BM324" s="1530"/>
      <c r="BN324" s="1530"/>
      <c r="BW324" s="1569"/>
      <c r="CO324" s="1530"/>
      <c r="CP324" s="1530"/>
      <c r="CQ324" s="1530"/>
      <c r="CR324" s="1530"/>
      <c r="CS324" s="1530"/>
      <c r="CT324" s="1530"/>
      <c r="CU324" s="1530"/>
      <c r="CV324" s="1530"/>
      <c r="CW324" s="1530"/>
      <c r="CX324" s="1530"/>
      <c r="CY324" s="1530"/>
      <c r="CZ324" s="1530"/>
      <c r="DA324" s="1530"/>
      <c r="DB324" s="1530"/>
      <c r="DC324" s="1530"/>
      <c r="DD324" s="1530"/>
      <c r="DE324" s="1530"/>
      <c r="DF324" s="1530"/>
      <c r="DG324" s="1530"/>
      <c r="DH324" s="1530"/>
      <c r="DI324" s="1530"/>
      <c r="DJ324" s="1530"/>
      <c r="DK324" s="1530"/>
      <c r="DL324" s="1530"/>
      <c r="DM324" s="1530"/>
      <c r="DN324" s="1571"/>
      <c r="DO324" s="1530"/>
      <c r="DP324" s="1530"/>
    </row>
    <row r="325" spans="1:120">
      <c r="A325" s="1451"/>
      <c r="C325" s="1451"/>
      <c r="K325" s="1451"/>
      <c r="L325" s="1451"/>
      <c r="U325" s="1530"/>
      <c r="V325" s="1530"/>
      <c r="W325" s="1530"/>
      <c r="X325" s="1530"/>
      <c r="Y325" s="1530"/>
      <c r="Z325" s="1530"/>
      <c r="AA325" s="1530"/>
      <c r="AB325" s="1530"/>
      <c r="AC325" s="1530"/>
      <c r="AD325" s="1530"/>
      <c r="AE325" s="1530"/>
      <c r="AF325" s="1530"/>
      <c r="AG325" s="1530"/>
      <c r="AH325" s="1530"/>
      <c r="AI325" s="1530"/>
      <c r="AJ325" s="1530"/>
      <c r="AK325" s="1530"/>
      <c r="AL325" s="1530"/>
      <c r="AM325" s="1530"/>
      <c r="AN325" s="1530"/>
      <c r="AO325" s="1530"/>
      <c r="AP325" s="1530"/>
      <c r="AQ325" s="1530"/>
      <c r="AR325" s="1530"/>
      <c r="AS325" s="1530"/>
      <c r="AT325" s="1530"/>
      <c r="AU325" s="1530"/>
      <c r="AV325" s="1530"/>
      <c r="AW325" s="1530"/>
      <c r="AX325" s="1530"/>
      <c r="AY325" s="1530"/>
      <c r="AZ325" s="1530"/>
      <c r="BA325" s="1530"/>
      <c r="BB325" s="1530"/>
      <c r="BC325" s="1530"/>
      <c r="BD325" s="1530"/>
      <c r="BE325" s="1530"/>
      <c r="BF325" s="1530"/>
      <c r="BG325" s="1530"/>
      <c r="BH325" s="1530"/>
      <c r="BI325" s="1530"/>
      <c r="BJ325" s="1530"/>
      <c r="BK325" s="1530"/>
      <c r="BL325" s="1530"/>
      <c r="BM325" s="1530"/>
      <c r="BN325" s="1530"/>
      <c r="BW325" s="1569"/>
      <c r="CO325" s="1530"/>
      <c r="CP325" s="1530"/>
      <c r="CQ325" s="1530"/>
      <c r="CR325" s="1530"/>
      <c r="CS325" s="1530"/>
      <c r="CT325" s="1530"/>
      <c r="CU325" s="1530"/>
      <c r="CV325" s="1530"/>
      <c r="CW325" s="1530"/>
      <c r="CX325" s="1530"/>
      <c r="CY325" s="1530"/>
      <c r="CZ325" s="1530"/>
      <c r="DA325" s="1530"/>
      <c r="DB325" s="1530"/>
      <c r="DC325" s="1530"/>
      <c r="DD325" s="1530"/>
      <c r="DE325" s="1530"/>
      <c r="DF325" s="1530"/>
      <c r="DG325" s="1530"/>
      <c r="DH325" s="1530"/>
      <c r="DI325" s="1530"/>
      <c r="DJ325" s="1530"/>
      <c r="DK325" s="1530"/>
      <c r="DL325" s="1530"/>
      <c r="DM325" s="1530"/>
      <c r="DN325" s="1571"/>
      <c r="DO325" s="1530"/>
      <c r="DP325" s="1530"/>
    </row>
    <row r="326" spans="1:120">
      <c r="A326" s="1451"/>
      <c r="C326" s="1451"/>
      <c r="K326" s="1451"/>
      <c r="L326" s="1451"/>
      <c r="U326" s="1530"/>
      <c r="V326" s="1530"/>
      <c r="W326" s="1530"/>
      <c r="X326" s="1530"/>
      <c r="Y326" s="1530"/>
      <c r="Z326" s="1530"/>
      <c r="AA326" s="1530"/>
      <c r="AB326" s="1530"/>
      <c r="AC326" s="1530"/>
      <c r="AD326" s="1530"/>
      <c r="AE326" s="1530"/>
      <c r="AF326" s="1530"/>
      <c r="AG326" s="1530"/>
      <c r="AH326" s="1530"/>
      <c r="AI326" s="1530"/>
      <c r="AJ326" s="1530"/>
      <c r="AK326" s="1530"/>
      <c r="AL326" s="1530"/>
      <c r="AM326" s="1530"/>
      <c r="AN326" s="1530"/>
      <c r="AO326" s="1530"/>
      <c r="AP326" s="1530"/>
      <c r="AQ326" s="1530"/>
      <c r="AR326" s="1530"/>
      <c r="AS326" s="1530"/>
      <c r="AT326" s="1530"/>
      <c r="AU326" s="1530"/>
      <c r="AV326" s="1530"/>
      <c r="AW326" s="1530"/>
      <c r="AX326" s="1530"/>
      <c r="AY326" s="1530"/>
      <c r="AZ326" s="1530"/>
      <c r="BA326" s="1530"/>
      <c r="BB326" s="1530"/>
      <c r="BC326" s="1530"/>
      <c r="BD326" s="1530"/>
      <c r="BE326" s="1530"/>
      <c r="BF326" s="1530"/>
      <c r="BG326" s="1530"/>
      <c r="BH326" s="1530"/>
      <c r="BI326" s="1530"/>
      <c r="BJ326" s="1530"/>
      <c r="BK326" s="1530"/>
      <c r="BL326" s="1530"/>
      <c r="BM326" s="1530"/>
      <c r="BN326" s="1530"/>
      <c r="BW326" s="1569"/>
      <c r="CO326" s="1530"/>
      <c r="CP326" s="1530"/>
      <c r="CQ326" s="1530"/>
      <c r="CR326" s="1530"/>
      <c r="CS326" s="1530"/>
      <c r="CT326" s="1530"/>
      <c r="CU326" s="1530"/>
      <c r="CV326" s="1530"/>
      <c r="CW326" s="1530"/>
      <c r="CX326" s="1530"/>
      <c r="CY326" s="1530"/>
      <c r="CZ326" s="1530"/>
      <c r="DA326" s="1530"/>
      <c r="DB326" s="1530"/>
      <c r="DC326" s="1530"/>
      <c r="DD326" s="1530"/>
      <c r="DE326" s="1530"/>
      <c r="DF326" s="1530"/>
      <c r="DG326" s="1530"/>
      <c r="DH326" s="1530"/>
      <c r="DI326" s="1530"/>
      <c r="DJ326" s="1530"/>
      <c r="DK326" s="1530"/>
      <c r="DL326" s="1530"/>
      <c r="DM326" s="1530"/>
      <c r="DN326" s="1571"/>
      <c r="DO326" s="1530"/>
      <c r="DP326" s="1530"/>
    </row>
    <row r="327" spans="1:120">
      <c r="A327" s="1451"/>
      <c r="C327" s="1451"/>
      <c r="K327" s="1451"/>
      <c r="L327" s="1451"/>
      <c r="U327" s="1530"/>
      <c r="V327" s="1530"/>
      <c r="W327" s="1530"/>
      <c r="X327" s="1530"/>
      <c r="Y327" s="1530"/>
      <c r="Z327" s="1530"/>
      <c r="AA327" s="1530"/>
      <c r="AB327" s="1530"/>
      <c r="AC327" s="1530"/>
      <c r="AD327" s="1530"/>
      <c r="AE327" s="1530"/>
      <c r="AF327" s="1530"/>
      <c r="AG327" s="1530"/>
      <c r="AH327" s="1530"/>
      <c r="AI327" s="1530"/>
      <c r="AJ327" s="1530"/>
      <c r="AK327" s="1530"/>
      <c r="AL327" s="1530"/>
      <c r="AM327" s="1530"/>
      <c r="AN327" s="1530"/>
      <c r="AO327" s="1530"/>
      <c r="AP327" s="1530"/>
      <c r="AQ327" s="1530"/>
      <c r="AR327" s="1530"/>
      <c r="AS327" s="1530"/>
      <c r="AT327" s="1530"/>
      <c r="AU327" s="1530"/>
      <c r="AV327" s="1530"/>
      <c r="AW327" s="1530"/>
      <c r="AX327" s="1530"/>
      <c r="AY327" s="1530"/>
      <c r="AZ327" s="1530"/>
      <c r="BA327" s="1530"/>
      <c r="BB327" s="1530"/>
      <c r="BC327" s="1530"/>
      <c r="BD327" s="1530"/>
      <c r="BE327" s="1530"/>
      <c r="BF327" s="1530"/>
      <c r="BG327" s="1530"/>
      <c r="BH327" s="1530"/>
      <c r="BI327" s="1530"/>
      <c r="BJ327" s="1530"/>
      <c r="BK327" s="1530"/>
      <c r="BL327" s="1530"/>
      <c r="BM327" s="1530"/>
      <c r="BN327" s="1530"/>
      <c r="BW327" s="1569"/>
      <c r="CO327" s="1530"/>
      <c r="CP327" s="1530"/>
      <c r="CQ327" s="1530"/>
      <c r="CR327" s="1530"/>
      <c r="CS327" s="1530"/>
      <c r="CT327" s="1530"/>
      <c r="CU327" s="1530"/>
      <c r="CV327" s="1530"/>
      <c r="CW327" s="1530"/>
      <c r="CX327" s="1530"/>
      <c r="CY327" s="1530"/>
      <c r="CZ327" s="1530"/>
      <c r="DA327" s="1530"/>
      <c r="DB327" s="1530"/>
      <c r="DC327" s="1530"/>
      <c r="DD327" s="1530"/>
      <c r="DE327" s="1530"/>
      <c r="DF327" s="1530"/>
      <c r="DG327" s="1530"/>
      <c r="DH327" s="1530"/>
      <c r="DI327" s="1530"/>
      <c r="DJ327" s="1530"/>
      <c r="DK327" s="1530"/>
      <c r="DL327" s="1530"/>
      <c r="DM327" s="1530"/>
      <c r="DN327" s="1571"/>
      <c r="DO327" s="1530"/>
      <c r="DP327" s="1530"/>
    </row>
    <row r="328" spans="1:120">
      <c r="A328" s="1451"/>
      <c r="C328" s="1451"/>
      <c r="K328" s="1451"/>
      <c r="L328" s="1451"/>
      <c r="U328" s="1530"/>
      <c r="V328" s="1530"/>
      <c r="W328" s="1530"/>
      <c r="X328" s="1530"/>
      <c r="Y328" s="1530"/>
      <c r="Z328" s="1530"/>
      <c r="AA328" s="1530"/>
      <c r="AB328" s="1530"/>
      <c r="AC328" s="1530"/>
      <c r="AD328" s="1530"/>
      <c r="AE328" s="1530"/>
      <c r="AF328" s="1530"/>
      <c r="AG328" s="1530"/>
      <c r="AH328" s="1530"/>
      <c r="AI328" s="1530"/>
      <c r="AJ328" s="1530"/>
      <c r="AK328" s="1530"/>
      <c r="AL328" s="1530"/>
      <c r="AM328" s="1530"/>
      <c r="AN328" s="1530"/>
      <c r="AO328" s="1530"/>
      <c r="AP328" s="1530"/>
      <c r="AQ328" s="1530"/>
      <c r="AR328" s="1530"/>
      <c r="AS328" s="1530"/>
      <c r="AT328" s="1530"/>
      <c r="AU328" s="1530"/>
      <c r="AV328" s="1530"/>
      <c r="AW328" s="1530"/>
      <c r="AX328" s="1530"/>
      <c r="AY328" s="1530"/>
      <c r="AZ328" s="1530"/>
      <c r="BA328" s="1530"/>
      <c r="BB328" s="1530"/>
      <c r="BC328" s="1530"/>
      <c r="BD328" s="1530"/>
      <c r="BE328" s="1530"/>
      <c r="BF328" s="1530"/>
      <c r="BG328" s="1530"/>
      <c r="BH328" s="1530"/>
      <c r="BI328" s="1530"/>
      <c r="BJ328" s="1530"/>
      <c r="BK328" s="1530"/>
      <c r="BL328" s="1530"/>
      <c r="BM328" s="1530"/>
      <c r="BN328" s="1530"/>
      <c r="BW328" s="1569"/>
      <c r="CO328" s="1530"/>
      <c r="CP328" s="1530"/>
      <c r="CQ328" s="1530"/>
      <c r="CR328" s="1530"/>
      <c r="CS328" s="1530"/>
      <c r="CT328" s="1530"/>
      <c r="CU328" s="1530"/>
      <c r="CV328" s="1530"/>
      <c r="CW328" s="1530"/>
      <c r="CX328" s="1530"/>
      <c r="CY328" s="1530"/>
      <c r="CZ328" s="1530"/>
      <c r="DA328" s="1530"/>
      <c r="DB328" s="1530"/>
      <c r="DC328" s="1530"/>
      <c r="DD328" s="1530"/>
      <c r="DE328" s="1530"/>
      <c r="DF328" s="1530"/>
      <c r="DG328" s="1530"/>
      <c r="DH328" s="1530"/>
      <c r="DI328" s="1530"/>
      <c r="DJ328" s="1530"/>
      <c r="DK328" s="1530"/>
      <c r="DL328" s="1530"/>
      <c r="DM328" s="1530"/>
      <c r="DN328" s="1571"/>
      <c r="DO328" s="1530"/>
      <c r="DP328" s="1530"/>
    </row>
    <row r="329" spans="1:120">
      <c r="A329" s="1451"/>
      <c r="C329" s="1451"/>
      <c r="K329" s="1451"/>
      <c r="L329" s="1451"/>
      <c r="U329" s="1530"/>
      <c r="V329" s="1530"/>
      <c r="W329" s="1530"/>
      <c r="X329" s="1530"/>
      <c r="Y329" s="1530"/>
      <c r="Z329" s="1530"/>
      <c r="AA329" s="1530"/>
      <c r="AB329" s="1530"/>
      <c r="AC329" s="1530"/>
      <c r="AD329" s="1530"/>
      <c r="AE329" s="1530"/>
      <c r="AF329" s="1530"/>
      <c r="AG329" s="1530"/>
      <c r="AH329" s="1530"/>
      <c r="AI329" s="1530"/>
      <c r="AJ329" s="1530"/>
      <c r="AK329" s="1530"/>
      <c r="AL329" s="1530"/>
      <c r="AM329" s="1530"/>
      <c r="AN329" s="1530"/>
      <c r="AO329" s="1530"/>
      <c r="AP329" s="1530"/>
      <c r="AQ329" s="1530"/>
      <c r="AR329" s="1530"/>
      <c r="AS329" s="1530"/>
      <c r="AT329" s="1530"/>
      <c r="AU329" s="1530"/>
      <c r="AV329" s="1530"/>
      <c r="AW329" s="1530"/>
      <c r="AX329" s="1530"/>
      <c r="AY329" s="1530"/>
      <c r="AZ329" s="1530"/>
      <c r="BA329" s="1530"/>
      <c r="BB329" s="1530"/>
      <c r="BC329" s="1530"/>
      <c r="BD329" s="1530"/>
      <c r="BE329" s="1530"/>
      <c r="BF329" s="1530"/>
      <c r="BG329" s="1530"/>
      <c r="BH329" s="1530"/>
      <c r="BI329" s="1530"/>
      <c r="BJ329" s="1530"/>
      <c r="BK329" s="1530"/>
      <c r="BL329" s="1530"/>
      <c r="BM329" s="1530"/>
      <c r="BN329" s="1530"/>
      <c r="BW329" s="1569"/>
      <c r="CO329" s="1530"/>
      <c r="CP329" s="1530"/>
      <c r="CQ329" s="1530"/>
      <c r="CR329" s="1530"/>
      <c r="CS329" s="1530"/>
      <c r="CT329" s="1530"/>
      <c r="CU329" s="1530"/>
      <c r="CV329" s="1530"/>
      <c r="CW329" s="1530"/>
      <c r="CX329" s="1530"/>
      <c r="CY329" s="1530"/>
      <c r="CZ329" s="1530"/>
      <c r="DA329" s="1530"/>
      <c r="DB329" s="1530"/>
      <c r="DC329" s="1530"/>
      <c r="DD329" s="1530"/>
      <c r="DE329" s="1530"/>
      <c r="DF329" s="1530"/>
      <c r="DG329" s="1530"/>
      <c r="DH329" s="1530"/>
      <c r="DI329" s="1530"/>
      <c r="DJ329" s="1530"/>
      <c r="DK329" s="1530"/>
      <c r="DL329" s="1530"/>
      <c r="DM329" s="1530"/>
      <c r="DN329" s="1571"/>
      <c r="DO329" s="1530"/>
      <c r="DP329" s="1530"/>
    </row>
    <row r="330" spans="1:120">
      <c r="A330" s="1451"/>
      <c r="C330" s="1451"/>
      <c r="K330" s="1451"/>
      <c r="L330" s="1451"/>
      <c r="U330" s="1530"/>
      <c r="V330" s="1530"/>
      <c r="W330" s="1530"/>
      <c r="X330" s="1530"/>
      <c r="Y330" s="1530"/>
      <c r="Z330" s="1530"/>
      <c r="AA330" s="1530"/>
      <c r="AB330" s="1530"/>
      <c r="AC330" s="1530"/>
      <c r="AD330" s="1530"/>
      <c r="AE330" s="1530"/>
      <c r="AF330" s="1530"/>
      <c r="AG330" s="1530"/>
      <c r="AH330" s="1530"/>
      <c r="AI330" s="1530"/>
      <c r="AJ330" s="1530"/>
      <c r="AK330" s="1530"/>
      <c r="AL330" s="1530"/>
      <c r="AM330" s="1530"/>
      <c r="AN330" s="1530"/>
      <c r="AO330" s="1530"/>
      <c r="AP330" s="1530"/>
      <c r="AQ330" s="1530"/>
      <c r="AR330" s="1530"/>
      <c r="AS330" s="1530"/>
      <c r="AT330" s="1530"/>
      <c r="AU330" s="1530"/>
      <c r="AV330" s="1530"/>
      <c r="AW330" s="1530"/>
      <c r="AX330" s="1530"/>
      <c r="AY330" s="1530"/>
      <c r="AZ330" s="1530"/>
      <c r="BA330" s="1530"/>
      <c r="BB330" s="1530"/>
      <c r="BC330" s="1530"/>
      <c r="BD330" s="1530"/>
      <c r="BE330" s="1530"/>
      <c r="BF330" s="1530"/>
      <c r="BG330" s="1530"/>
      <c r="BH330" s="1530"/>
      <c r="BI330" s="1530"/>
      <c r="BJ330" s="1530"/>
      <c r="BK330" s="1530"/>
      <c r="BL330" s="1530"/>
      <c r="BM330" s="1530"/>
      <c r="BN330" s="1530"/>
      <c r="BW330" s="1569"/>
      <c r="CO330" s="1530"/>
      <c r="CP330" s="1530"/>
      <c r="CQ330" s="1530"/>
      <c r="CR330" s="1530"/>
      <c r="CS330" s="1530"/>
      <c r="CT330" s="1530"/>
      <c r="CU330" s="1530"/>
      <c r="CV330" s="1530"/>
      <c r="CW330" s="1530"/>
      <c r="CX330" s="1530"/>
      <c r="CY330" s="1530"/>
      <c r="CZ330" s="1530"/>
      <c r="DA330" s="1530"/>
      <c r="DB330" s="1530"/>
      <c r="DC330" s="1530"/>
      <c r="DD330" s="1530"/>
      <c r="DE330" s="1530"/>
      <c r="DF330" s="1530"/>
      <c r="DG330" s="1530"/>
      <c r="DH330" s="1530"/>
      <c r="DI330" s="1530"/>
      <c r="DJ330" s="1530"/>
      <c r="DK330" s="1530"/>
      <c r="DL330" s="1530"/>
      <c r="DM330" s="1530"/>
      <c r="DN330" s="1571"/>
      <c r="DO330" s="1530"/>
      <c r="DP330" s="1530"/>
    </row>
    <row r="331" spans="1:120">
      <c r="A331" s="1451"/>
      <c r="C331" s="1451"/>
      <c r="K331" s="1451"/>
      <c r="L331" s="1451"/>
      <c r="U331" s="1530"/>
      <c r="V331" s="1530"/>
      <c r="W331" s="1530"/>
      <c r="X331" s="1530"/>
      <c r="Y331" s="1530"/>
      <c r="Z331" s="1530"/>
      <c r="AA331" s="1530"/>
      <c r="AB331" s="1530"/>
      <c r="AC331" s="1530"/>
      <c r="AD331" s="1530"/>
      <c r="AE331" s="1530"/>
      <c r="AF331" s="1530"/>
      <c r="AG331" s="1530"/>
      <c r="AH331" s="1530"/>
      <c r="AI331" s="1530"/>
      <c r="AJ331" s="1530"/>
      <c r="AK331" s="1530"/>
      <c r="AL331" s="1530"/>
      <c r="AM331" s="1530"/>
      <c r="AN331" s="1530"/>
      <c r="AO331" s="1530"/>
      <c r="AP331" s="1530"/>
      <c r="AQ331" s="1530"/>
      <c r="AR331" s="1530"/>
      <c r="AS331" s="1530"/>
      <c r="AT331" s="1530"/>
      <c r="AU331" s="1530"/>
      <c r="AV331" s="1530"/>
      <c r="AW331" s="1530"/>
      <c r="AX331" s="1530"/>
      <c r="AY331" s="1530"/>
      <c r="AZ331" s="1530"/>
      <c r="BA331" s="1530"/>
      <c r="BB331" s="1530"/>
      <c r="BC331" s="1530"/>
      <c r="BD331" s="1530"/>
      <c r="BE331" s="1530"/>
      <c r="BF331" s="1530"/>
      <c r="BG331" s="1530"/>
      <c r="BH331" s="1530"/>
      <c r="BI331" s="1530"/>
      <c r="BJ331" s="1530"/>
      <c r="BK331" s="1530"/>
      <c r="BL331" s="1530"/>
      <c r="BM331" s="1530"/>
      <c r="BN331" s="1530"/>
      <c r="BW331" s="1569"/>
      <c r="CO331" s="1530"/>
      <c r="CP331" s="1530"/>
      <c r="CQ331" s="1530"/>
      <c r="CR331" s="1530"/>
      <c r="CS331" s="1530"/>
      <c r="CT331" s="1530"/>
      <c r="CU331" s="1530"/>
      <c r="CV331" s="1530"/>
      <c r="CW331" s="1530"/>
      <c r="CX331" s="1530"/>
      <c r="CY331" s="1530"/>
      <c r="CZ331" s="1530"/>
      <c r="DA331" s="1530"/>
      <c r="DB331" s="1530"/>
      <c r="DC331" s="1530"/>
      <c r="DD331" s="1530"/>
      <c r="DE331" s="1530"/>
      <c r="DF331" s="1530"/>
      <c r="DG331" s="1530"/>
      <c r="DH331" s="1530"/>
      <c r="DI331" s="1530"/>
      <c r="DJ331" s="1530"/>
      <c r="DK331" s="1530"/>
      <c r="DL331" s="1530"/>
      <c r="DM331" s="1530"/>
      <c r="DN331" s="1571"/>
      <c r="DO331" s="1530"/>
      <c r="DP331" s="1530"/>
    </row>
    <row r="332" spans="1:120">
      <c r="A332" s="1451"/>
      <c r="C332" s="1451"/>
      <c r="K332" s="1451"/>
      <c r="L332" s="1451"/>
      <c r="U332" s="1530"/>
      <c r="V332" s="1530"/>
      <c r="W332" s="1530"/>
      <c r="X332" s="1530"/>
      <c r="Y332" s="1530"/>
      <c r="Z332" s="1530"/>
      <c r="AA332" s="1530"/>
      <c r="AB332" s="1530"/>
      <c r="AC332" s="1530"/>
      <c r="AD332" s="1530"/>
      <c r="AE332" s="1530"/>
      <c r="AF332" s="1530"/>
      <c r="AG332" s="1530"/>
      <c r="AH332" s="1530"/>
      <c r="AI332" s="1530"/>
      <c r="AJ332" s="1530"/>
      <c r="AK332" s="1530"/>
      <c r="AL332" s="1530"/>
      <c r="AM332" s="1530"/>
      <c r="AN332" s="1530"/>
      <c r="AO332" s="1530"/>
      <c r="AP332" s="1530"/>
      <c r="AQ332" s="1530"/>
      <c r="AR332" s="1530"/>
      <c r="AS332" s="1530"/>
      <c r="AT332" s="1530"/>
      <c r="AU332" s="1530"/>
      <c r="AV332" s="1530"/>
      <c r="AW332" s="1530"/>
      <c r="AX332" s="1530"/>
      <c r="AY332" s="1530"/>
      <c r="AZ332" s="1530"/>
      <c r="BA332" s="1530"/>
      <c r="BB332" s="1530"/>
      <c r="BC332" s="1530"/>
      <c r="BD332" s="1530"/>
      <c r="BE332" s="1530"/>
      <c r="BF332" s="1530"/>
      <c r="BG332" s="1530"/>
      <c r="BH332" s="1530"/>
      <c r="BI332" s="1530"/>
      <c r="BJ332" s="1530"/>
      <c r="BK332" s="1530"/>
      <c r="BL332" s="1530"/>
      <c r="BM332" s="1530"/>
      <c r="BN332" s="1530"/>
      <c r="BW332" s="1569"/>
      <c r="CO332" s="1530"/>
      <c r="CP332" s="1530"/>
      <c r="CQ332" s="1530"/>
      <c r="CR332" s="1530"/>
      <c r="CS332" s="1530"/>
      <c r="CT332" s="1530"/>
      <c r="CU332" s="1530"/>
      <c r="CV332" s="1530"/>
      <c r="CW332" s="1530"/>
      <c r="CX332" s="1530"/>
      <c r="CY332" s="1530"/>
      <c r="CZ332" s="1530"/>
      <c r="DA332" s="1530"/>
      <c r="DB332" s="1530"/>
      <c r="DC332" s="1530"/>
      <c r="DD332" s="1530"/>
      <c r="DE332" s="1530"/>
      <c r="DF332" s="1530"/>
      <c r="DG332" s="1530"/>
      <c r="DH332" s="1530"/>
      <c r="DI332" s="1530"/>
      <c r="DJ332" s="1530"/>
      <c r="DK332" s="1530"/>
      <c r="DL332" s="1530"/>
      <c r="DM332" s="1530"/>
      <c r="DN332" s="1571"/>
      <c r="DO332" s="1530"/>
      <c r="DP332" s="1530"/>
    </row>
    <row r="333" spans="1:120">
      <c r="A333" s="1451"/>
      <c r="C333" s="1451"/>
      <c r="K333" s="1451"/>
      <c r="L333" s="1451"/>
      <c r="U333" s="1530"/>
      <c r="V333" s="1530"/>
      <c r="W333" s="1530"/>
      <c r="X333" s="1530"/>
      <c r="Y333" s="1530"/>
      <c r="Z333" s="1530"/>
      <c r="AA333" s="1530"/>
      <c r="AB333" s="1530"/>
      <c r="AC333" s="1530"/>
      <c r="AD333" s="1530"/>
      <c r="AE333" s="1530"/>
      <c r="AF333" s="1530"/>
      <c r="AG333" s="1530"/>
      <c r="AH333" s="1530"/>
      <c r="AI333" s="1530"/>
      <c r="AJ333" s="1530"/>
      <c r="AK333" s="1530"/>
      <c r="AL333" s="1530"/>
      <c r="AM333" s="1530"/>
      <c r="AN333" s="1530"/>
      <c r="AO333" s="1530"/>
      <c r="AP333" s="1530"/>
      <c r="AQ333" s="1530"/>
      <c r="AR333" s="1530"/>
      <c r="AS333" s="1530"/>
      <c r="AT333" s="1530"/>
      <c r="AU333" s="1530"/>
      <c r="AV333" s="1530"/>
      <c r="AW333" s="1530"/>
      <c r="AX333" s="1530"/>
      <c r="AY333" s="1530"/>
      <c r="AZ333" s="1530"/>
      <c r="BA333" s="1530"/>
      <c r="BB333" s="1530"/>
      <c r="BC333" s="1530"/>
      <c r="BD333" s="1530"/>
      <c r="BE333" s="1530"/>
      <c r="BF333" s="1530"/>
      <c r="BG333" s="1530"/>
      <c r="BH333" s="1530"/>
      <c r="BI333" s="1530"/>
      <c r="BJ333" s="1530"/>
      <c r="BK333" s="1530"/>
      <c r="BL333" s="1530"/>
      <c r="BM333" s="1530"/>
      <c r="BN333" s="1530"/>
      <c r="BW333" s="1569"/>
      <c r="CO333" s="1530"/>
      <c r="CP333" s="1530"/>
      <c r="CQ333" s="1530"/>
      <c r="CR333" s="1530"/>
      <c r="CS333" s="1530"/>
      <c r="CT333" s="1530"/>
      <c r="CU333" s="1530"/>
      <c r="CV333" s="1530"/>
      <c r="CW333" s="1530"/>
      <c r="CX333" s="1530"/>
      <c r="CY333" s="1530"/>
      <c r="CZ333" s="1530"/>
      <c r="DA333" s="1530"/>
      <c r="DB333" s="1530"/>
      <c r="DC333" s="1530"/>
      <c r="DD333" s="1530"/>
      <c r="DE333" s="1530"/>
      <c r="DF333" s="1530"/>
      <c r="DG333" s="1530"/>
      <c r="DH333" s="1530"/>
      <c r="DI333" s="1530"/>
      <c r="DJ333" s="1530"/>
      <c r="DK333" s="1530"/>
      <c r="DL333" s="1530"/>
      <c r="DM333" s="1530"/>
      <c r="DN333" s="1571"/>
      <c r="DO333" s="1530"/>
      <c r="DP333" s="1530"/>
    </row>
    <row r="334" spans="1:120">
      <c r="A334" s="1451"/>
      <c r="C334" s="1451"/>
      <c r="K334" s="1451"/>
      <c r="L334" s="1451"/>
      <c r="U334" s="1530"/>
      <c r="V334" s="1530"/>
      <c r="W334" s="1530"/>
      <c r="X334" s="1530"/>
      <c r="Y334" s="1530"/>
      <c r="Z334" s="1530"/>
      <c r="AA334" s="1530"/>
      <c r="AB334" s="1530"/>
      <c r="AC334" s="1530"/>
      <c r="AD334" s="1530"/>
      <c r="AE334" s="1530"/>
      <c r="AF334" s="1530"/>
      <c r="AG334" s="1530"/>
      <c r="AH334" s="1530"/>
      <c r="AI334" s="1530"/>
      <c r="AJ334" s="1530"/>
      <c r="AK334" s="1530"/>
      <c r="AL334" s="1530"/>
      <c r="AM334" s="1530"/>
      <c r="AN334" s="1530"/>
      <c r="AO334" s="1530"/>
      <c r="AP334" s="1530"/>
      <c r="AQ334" s="1530"/>
      <c r="AR334" s="1530"/>
      <c r="AS334" s="1530"/>
      <c r="AT334" s="1530"/>
      <c r="AU334" s="1530"/>
      <c r="AV334" s="1530"/>
      <c r="AW334" s="1530"/>
      <c r="AX334" s="1530"/>
      <c r="AY334" s="1530"/>
      <c r="AZ334" s="1530"/>
      <c r="BA334" s="1530"/>
      <c r="BB334" s="1530"/>
      <c r="BC334" s="1530"/>
      <c r="BD334" s="1530"/>
      <c r="BE334" s="1530"/>
      <c r="BF334" s="1530"/>
      <c r="BG334" s="1530"/>
      <c r="BH334" s="1530"/>
      <c r="BI334" s="1530"/>
      <c r="BJ334" s="1530"/>
      <c r="BK334" s="1530"/>
      <c r="BL334" s="1530"/>
      <c r="BM334" s="1530"/>
      <c r="BN334" s="1530"/>
      <c r="BW334" s="1569"/>
      <c r="CO334" s="1530"/>
      <c r="CP334" s="1530"/>
      <c r="CQ334" s="1530"/>
      <c r="CR334" s="1530"/>
      <c r="CS334" s="1530"/>
      <c r="CT334" s="1530"/>
      <c r="CU334" s="1530"/>
      <c r="CV334" s="1530"/>
      <c r="CW334" s="1530"/>
      <c r="CX334" s="1530"/>
      <c r="CY334" s="1530"/>
      <c r="CZ334" s="1530"/>
      <c r="DA334" s="1530"/>
      <c r="DB334" s="1530"/>
      <c r="DC334" s="1530"/>
      <c r="DD334" s="1530"/>
      <c r="DE334" s="1530"/>
      <c r="DF334" s="1530"/>
      <c r="DG334" s="1530"/>
      <c r="DH334" s="1530"/>
      <c r="DI334" s="1530"/>
      <c r="DJ334" s="1530"/>
      <c r="DK334" s="1530"/>
      <c r="DL334" s="1530"/>
      <c r="DM334" s="1530"/>
      <c r="DN334" s="1571"/>
      <c r="DO334" s="1530"/>
      <c r="DP334" s="1530"/>
    </row>
    <row r="335" spans="1:120">
      <c r="A335" s="1451"/>
      <c r="C335" s="1451"/>
      <c r="K335" s="1451"/>
      <c r="L335" s="1451"/>
      <c r="U335" s="1530"/>
      <c r="V335" s="1530"/>
      <c r="W335" s="1530"/>
      <c r="X335" s="1530"/>
      <c r="Y335" s="1530"/>
      <c r="Z335" s="1530"/>
      <c r="AA335" s="1530"/>
      <c r="AB335" s="1530"/>
      <c r="AC335" s="1530"/>
      <c r="AD335" s="1530"/>
      <c r="AE335" s="1530"/>
      <c r="AF335" s="1530"/>
      <c r="AG335" s="1530"/>
      <c r="AH335" s="1530"/>
      <c r="AI335" s="1530"/>
      <c r="AJ335" s="1530"/>
      <c r="AK335" s="1530"/>
      <c r="AL335" s="1530"/>
      <c r="AM335" s="1530"/>
      <c r="AN335" s="1530"/>
      <c r="AO335" s="1530"/>
      <c r="AP335" s="1530"/>
      <c r="AQ335" s="1530"/>
      <c r="AR335" s="1530"/>
      <c r="AS335" s="1530"/>
      <c r="AT335" s="1530"/>
      <c r="AU335" s="1530"/>
      <c r="AV335" s="1530"/>
      <c r="AW335" s="1530"/>
      <c r="AX335" s="1530"/>
      <c r="AY335" s="1530"/>
      <c r="AZ335" s="1530"/>
      <c r="BA335" s="1530"/>
      <c r="BB335" s="1530"/>
      <c r="BC335" s="1530"/>
      <c r="BD335" s="1530"/>
      <c r="BE335" s="1530"/>
      <c r="BF335" s="1530"/>
      <c r="BG335" s="1530"/>
      <c r="BH335" s="1530"/>
      <c r="BI335" s="1530"/>
      <c r="BJ335" s="1530"/>
      <c r="BK335" s="1530"/>
      <c r="BL335" s="1530"/>
      <c r="BM335" s="1530"/>
      <c r="BN335" s="1530"/>
      <c r="BW335" s="1569"/>
      <c r="CO335" s="1530"/>
      <c r="CP335" s="1530"/>
      <c r="CQ335" s="1530"/>
      <c r="CR335" s="1530"/>
      <c r="CS335" s="1530"/>
      <c r="CT335" s="1530"/>
      <c r="CU335" s="1530"/>
      <c r="CV335" s="1530"/>
      <c r="CW335" s="1530"/>
      <c r="CX335" s="1530"/>
      <c r="CY335" s="1530"/>
      <c r="CZ335" s="1530"/>
      <c r="DA335" s="1530"/>
      <c r="DB335" s="1530"/>
      <c r="DC335" s="1530"/>
      <c r="DD335" s="1530"/>
      <c r="DE335" s="1530"/>
      <c r="DF335" s="1530"/>
      <c r="DG335" s="1530"/>
      <c r="DH335" s="1530"/>
      <c r="DI335" s="1530"/>
      <c r="DJ335" s="1530"/>
      <c r="DK335" s="1530"/>
      <c r="DL335" s="1530"/>
      <c r="DM335" s="1530"/>
      <c r="DN335" s="1571"/>
      <c r="DO335" s="1530"/>
      <c r="DP335" s="1530"/>
    </row>
    <row r="336" spans="1:120">
      <c r="A336" s="1451"/>
      <c r="C336" s="1451"/>
      <c r="K336" s="1451"/>
      <c r="L336" s="1451"/>
      <c r="U336" s="1530"/>
      <c r="V336" s="1530"/>
      <c r="W336" s="1530"/>
      <c r="X336" s="1530"/>
      <c r="Y336" s="1530"/>
      <c r="Z336" s="1530"/>
      <c r="AA336" s="1530"/>
      <c r="AB336" s="1530"/>
      <c r="AC336" s="1530"/>
      <c r="AD336" s="1530"/>
      <c r="AE336" s="1530"/>
      <c r="AF336" s="1530"/>
      <c r="AG336" s="1530"/>
      <c r="AH336" s="1530"/>
      <c r="AI336" s="1530"/>
      <c r="AJ336" s="1530"/>
      <c r="AK336" s="1530"/>
      <c r="AL336" s="1530"/>
      <c r="AM336" s="1530"/>
      <c r="AN336" s="1530"/>
      <c r="AO336" s="1530"/>
      <c r="AP336" s="1530"/>
      <c r="AQ336" s="1530"/>
      <c r="AR336" s="1530"/>
      <c r="AS336" s="1530"/>
      <c r="AT336" s="1530"/>
      <c r="AU336" s="1530"/>
      <c r="AV336" s="1530"/>
      <c r="AW336" s="1530"/>
      <c r="AX336" s="1530"/>
      <c r="AY336" s="1530"/>
      <c r="AZ336" s="1530"/>
      <c r="BA336" s="1530"/>
      <c r="BB336" s="1530"/>
      <c r="BC336" s="1530"/>
      <c r="BD336" s="1530"/>
      <c r="BE336" s="1530"/>
      <c r="BF336" s="1530"/>
      <c r="BG336" s="1530"/>
      <c r="BH336" s="1530"/>
      <c r="BI336" s="1530"/>
      <c r="BJ336" s="1530"/>
      <c r="BK336" s="1530"/>
      <c r="BL336" s="1530"/>
      <c r="BM336" s="1530"/>
      <c r="BN336" s="1530"/>
      <c r="BW336" s="1569"/>
      <c r="CO336" s="1530"/>
      <c r="CP336" s="1530"/>
      <c r="CQ336" s="1530"/>
      <c r="CR336" s="1530"/>
      <c r="CS336" s="1530"/>
      <c r="CT336" s="1530"/>
      <c r="CU336" s="1530"/>
      <c r="CV336" s="1530"/>
      <c r="CW336" s="1530"/>
      <c r="CX336" s="1530"/>
      <c r="CY336" s="1530"/>
      <c r="CZ336" s="1530"/>
      <c r="DA336" s="1530"/>
      <c r="DB336" s="1530"/>
      <c r="DC336" s="1530"/>
      <c r="DD336" s="1530"/>
      <c r="DE336" s="1530"/>
      <c r="DF336" s="1530"/>
      <c r="DG336" s="1530"/>
      <c r="DH336" s="1530"/>
      <c r="DI336" s="1530"/>
      <c r="DJ336" s="1530"/>
      <c r="DK336" s="1530"/>
      <c r="DL336" s="1530"/>
      <c r="DM336" s="1530"/>
      <c r="DN336" s="1571"/>
      <c r="DO336" s="1530"/>
      <c r="DP336" s="1530"/>
    </row>
    <row r="337" spans="1:120">
      <c r="A337" s="1451"/>
      <c r="C337" s="1451"/>
      <c r="K337" s="1451"/>
      <c r="L337" s="1451"/>
      <c r="U337" s="1530"/>
      <c r="V337" s="1530"/>
      <c r="W337" s="1530"/>
      <c r="X337" s="1530"/>
      <c r="Y337" s="1530"/>
      <c r="Z337" s="1530"/>
      <c r="AA337" s="1530"/>
      <c r="AB337" s="1530"/>
      <c r="AC337" s="1530"/>
      <c r="AD337" s="1530"/>
      <c r="AE337" s="1530"/>
      <c r="AF337" s="1530"/>
      <c r="AG337" s="1530"/>
      <c r="AH337" s="1530"/>
      <c r="AI337" s="1530"/>
      <c r="AJ337" s="1530"/>
      <c r="AK337" s="1530"/>
      <c r="AL337" s="1530"/>
      <c r="AM337" s="1530"/>
      <c r="AN337" s="1530"/>
      <c r="AO337" s="1530"/>
      <c r="AP337" s="1530"/>
      <c r="AQ337" s="1530"/>
      <c r="AR337" s="1530"/>
      <c r="AS337" s="1530"/>
      <c r="AT337" s="1530"/>
      <c r="AU337" s="1530"/>
      <c r="AV337" s="1530"/>
      <c r="AW337" s="1530"/>
      <c r="AX337" s="1530"/>
      <c r="AY337" s="1530"/>
      <c r="AZ337" s="1530"/>
      <c r="BA337" s="1530"/>
      <c r="BB337" s="1530"/>
      <c r="BC337" s="1530"/>
      <c r="BD337" s="1530"/>
      <c r="BE337" s="1530"/>
      <c r="BF337" s="1530"/>
      <c r="BG337" s="1530"/>
      <c r="BH337" s="1530"/>
      <c r="BI337" s="1530"/>
      <c r="BJ337" s="1530"/>
      <c r="BK337" s="1530"/>
      <c r="BL337" s="1530"/>
      <c r="BM337" s="1530"/>
      <c r="BN337" s="1530"/>
      <c r="BW337" s="1569"/>
      <c r="CO337" s="1530"/>
      <c r="CP337" s="1530"/>
      <c r="CQ337" s="1530"/>
      <c r="CR337" s="1530"/>
      <c r="CS337" s="1530"/>
      <c r="CT337" s="1530"/>
      <c r="CU337" s="1530"/>
      <c r="CV337" s="1530"/>
      <c r="CW337" s="1530"/>
      <c r="CX337" s="1530"/>
      <c r="CY337" s="1530"/>
      <c r="CZ337" s="1530"/>
      <c r="DA337" s="1530"/>
      <c r="DB337" s="1530"/>
      <c r="DC337" s="1530"/>
      <c r="DD337" s="1530"/>
      <c r="DE337" s="1530"/>
      <c r="DF337" s="1530"/>
      <c r="DG337" s="1530"/>
      <c r="DH337" s="1530"/>
      <c r="DI337" s="1530"/>
      <c r="DJ337" s="1530"/>
      <c r="DK337" s="1530"/>
      <c r="DL337" s="1530"/>
      <c r="DM337" s="1530"/>
      <c r="DN337" s="1571"/>
      <c r="DO337" s="1530"/>
      <c r="DP337" s="1530"/>
    </row>
    <row r="338" spans="1:120">
      <c r="A338" s="1451"/>
      <c r="C338" s="1451"/>
      <c r="K338" s="1451"/>
      <c r="L338" s="1451"/>
      <c r="U338" s="1530"/>
      <c r="V338" s="1530"/>
      <c r="W338" s="1530"/>
      <c r="X338" s="1530"/>
      <c r="Y338" s="1530"/>
      <c r="Z338" s="1530"/>
      <c r="AA338" s="1530"/>
      <c r="AB338" s="1530"/>
      <c r="AC338" s="1530"/>
      <c r="AD338" s="1530"/>
      <c r="AE338" s="1530"/>
      <c r="AF338" s="1530"/>
      <c r="AG338" s="1530"/>
      <c r="AH338" s="1530"/>
      <c r="AI338" s="1530"/>
      <c r="AJ338" s="1530"/>
      <c r="AK338" s="1530"/>
      <c r="AL338" s="1530"/>
      <c r="AM338" s="1530"/>
      <c r="AN338" s="1530"/>
      <c r="AO338" s="1530"/>
      <c r="AP338" s="1530"/>
      <c r="AQ338" s="1530"/>
      <c r="AR338" s="1530"/>
      <c r="AS338" s="1530"/>
      <c r="AT338" s="1530"/>
      <c r="AU338" s="1530"/>
      <c r="AV338" s="1530"/>
      <c r="AW338" s="1530"/>
      <c r="AX338" s="1530"/>
      <c r="AY338" s="1530"/>
      <c r="AZ338" s="1530"/>
      <c r="BA338" s="1530"/>
      <c r="BB338" s="1530"/>
      <c r="BC338" s="1530"/>
      <c r="BD338" s="1530"/>
      <c r="BE338" s="1530"/>
      <c r="BF338" s="1530"/>
      <c r="BG338" s="1530"/>
      <c r="BH338" s="1530"/>
      <c r="BI338" s="1530"/>
      <c r="BJ338" s="1530"/>
      <c r="BK338" s="1530"/>
      <c r="BL338" s="1530"/>
      <c r="BM338" s="1530"/>
      <c r="BN338" s="1530"/>
      <c r="BW338" s="1569"/>
      <c r="CO338" s="1530"/>
      <c r="CP338" s="1530"/>
      <c r="CQ338" s="1530"/>
      <c r="CR338" s="1530"/>
      <c r="CS338" s="1530"/>
      <c r="CT338" s="1530"/>
      <c r="CU338" s="1530"/>
      <c r="CV338" s="1530"/>
      <c r="CW338" s="1530"/>
      <c r="CX338" s="1530"/>
      <c r="CY338" s="1530"/>
      <c r="CZ338" s="1530"/>
      <c r="DA338" s="1530"/>
      <c r="DB338" s="1530"/>
      <c r="DC338" s="1530"/>
      <c r="DD338" s="1530"/>
      <c r="DE338" s="1530"/>
      <c r="DF338" s="1530"/>
      <c r="DG338" s="1530"/>
      <c r="DH338" s="1530"/>
      <c r="DI338" s="1530"/>
      <c r="DJ338" s="1530"/>
      <c r="DK338" s="1530"/>
      <c r="DL338" s="1530"/>
      <c r="DM338" s="1530"/>
      <c r="DN338" s="1571"/>
      <c r="DO338" s="1530"/>
      <c r="DP338" s="1530"/>
    </row>
    <row r="339" spans="1:120">
      <c r="A339" s="1451"/>
      <c r="C339" s="1451"/>
      <c r="K339" s="1451"/>
      <c r="L339" s="1451"/>
      <c r="U339" s="1530"/>
      <c r="V339" s="1530"/>
      <c r="W339" s="1530"/>
      <c r="X339" s="1530"/>
      <c r="Y339" s="1530"/>
      <c r="Z339" s="1530"/>
      <c r="AA339" s="1530"/>
      <c r="AB339" s="1530"/>
      <c r="AC339" s="1530"/>
      <c r="AD339" s="1530"/>
      <c r="AE339" s="1530"/>
      <c r="AF339" s="1530"/>
      <c r="AG339" s="1530"/>
      <c r="AH339" s="1530"/>
      <c r="AI339" s="1530"/>
      <c r="AJ339" s="1530"/>
      <c r="AK339" s="1530"/>
      <c r="AL339" s="1530"/>
      <c r="AM339" s="1530"/>
      <c r="AN339" s="1530"/>
      <c r="AO339" s="1530"/>
      <c r="AP339" s="1530"/>
      <c r="AQ339" s="1530"/>
      <c r="AR339" s="1530"/>
      <c r="AS339" s="1530"/>
      <c r="AT339" s="1530"/>
      <c r="AU339" s="1530"/>
      <c r="AV339" s="1530"/>
      <c r="AW339" s="1530"/>
      <c r="AX339" s="1530"/>
      <c r="AY339" s="1530"/>
      <c r="AZ339" s="1530"/>
      <c r="BA339" s="1530"/>
      <c r="BB339" s="1530"/>
      <c r="BC339" s="1530"/>
      <c r="BD339" s="1530"/>
      <c r="BE339" s="1530"/>
      <c r="BF339" s="1530"/>
      <c r="BG339" s="1530"/>
      <c r="BH339" s="1530"/>
      <c r="BI339" s="1530"/>
      <c r="BJ339" s="1530"/>
      <c r="BK339" s="1530"/>
      <c r="BL339" s="1530"/>
      <c r="BM339" s="1530"/>
      <c r="BN339" s="1530"/>
      <c r="BW339" s="1569"/>
      <c r="CO339" s="1530"/>
      <c r="CP339" s="1530"/>
      <c r="CQ339" s="1530"/>
      <c r="CR339" s="1530"/>
      <c r="CS339" s="1530"/>
      <c r="CT339" s="1530"/>
      <c r="CU339" s="1530"/>
      <c r="CV339" s="1530"/>
      <c r="CW339" s="1530"/>
      <c r="CX339" s="1530"/>
      <c r="CY339" s="1530"/>
      <c r="CZ339" s="1530"/>
      <c r="DA339" s="1530"/>
      <c r="DB339" s="1530"/>
      <c r="DC339" s="1530"/>
      <c r="DD339" s="1530"/>
      <c r="DE339" s="1530"/>
      <c r="DF339" s="1530"/>
      <c r="DG339" s="1530"/>
      <c r="DH339" s="1530"/>
      <c r="DI339" s="1530"/>
      <c r="DJ339" s="1530"/>
      <c r="DK339" s="1530"/>
      <c r="DL339" s="1530"/>
      <c r="DM339" s="1530"/>
      <c r="DN339" s="1571"/>
      <c r="DO339" s="1530"/>
      <c r="DP339" s="1530"/>
    </row>
    <row r="340" spans="1:120">
      <c r="A340" s="1451"/>
      <c r="C340" s="1451"/>
      <c r="K340" s="1451"/>
      <c r="L340" s="1451"/>
      <c r="U340" s="1530"/>
      <c r="V340" s="1530"/>
      <c r="W340" s="1530"/>
      <c r="X340" s="1530"/>
      <c r="Y340" s="1530"/>
      <c r="Z340" s="1530"/>
      <c r="AA340" s="1530"/>
      <c r="AB340" s="1530"/>
      <c r="AC340" s="1530"/>
      <c r="AD340" s="1530"/>
      <c r="AE340" s="1530"/>
      <c r="AF340" s="1530"/>
      <c r="AG340" s="1530"/>
      <c r="AH340" s="1530"/>
      <c r="AI340" s="1530"/>
      <c r="AJ340" s="1530"/>
      <c r="AK340" s="1530"/>
      <c r="AL340" s="1530"/>
      <c r="AM340" s="1530"/>
      <c r="AN340" s="1530"/>
      <c r="AO340" s="1530"/>
      <c r="AP340" s="1530"/>
      <c r="AQ340" s="1530"/>
      <c r="AR340" s="1530"/>
      <c r="AS340" s="1530"/>
      <c r="AT340" s="1530"/>
      <c r="AU340" s="1530"/>
      <c r="AV340" s="1530"/>
      <c r="AW340" s="1530"/>
      <c r="AX340" s="1530"/>
      <c r="AY340" s="1530"/>
      <c r="AZ340" s="1530"/>
      <c r="BA340" s="1530"/>
      <c r="BB340" s="1530"/>
      <c r="BC340" s="1530"/>
      <c r="BD340" s="1530"/>
      <c r="BE340" s="1530"/>
      <c r="BF340" s="1530"/>
      <c r="BG340" s="1530"/>
      <c r="BH340" s="1530"/>
      <c r="BI340" s="1530"/>
      <c r="BJ340" s="1530"/>
      <c r="BK340" s="1530"/>
      <c r="BL340" s="1530"/>
      <c r="BM340" s="1530"/>
      <c r="BN340" s="1530"/>
      <c r="BW340" s="1569"/>
      <c r="CO340" s="1530"/>
      <c r="CP340" s="1530"/>
      <c r="CQ340" s="1530"/>
      <c r="CR340" s="1530"/>
      <c r="CS340" s="1530"/>
      <c r="CT340" s="1530"/>
      <c r="CU340" s="1530"/>
      <c r="CV340" s="1530"/>
      <c r="CW340" s="1530"/>
      <c r="CX340" s="1530"/>
      <c r="CY340" s="1530"/>
      <c r="CZ340" s="1530"/>
      <c r="DA340" s="1530"/>
      <c r="DB340" s="1530"/>
      <c r="DC340" s="1530"/>
      <c r="DD340" s="1530"/>
      <c r="DE340" s="1530"/>
      <c r="DF340" s="1530"/>
      <c r="DG340" s="1530"/>
      <c r="DH340" s="1530"/>
      <c r="DI340" s="1530"/>
      <c r="DJ340" s="1530"/>
      <c r="DK340" s="1530"/>
      <c r="DL340" s="1530"/>
      <c r="DM340" s="1530"/>
      <c r="DN340" s="1571"/>
      <c r="DO340" s="1530"/>
      <c r="DP340" s="1530"/>
    </row>
    <row r="341" spans="1:120">
      <c r="A341" s="1451"/>
      <c r="C341" s="1451"/>
      <c r="K341" s="1451"/>
      <c r="L341" s="1451"/>
      <c r="U341" s="1530"/>
      <c r="V341" s="1530"/>
      <c r="W341" s="1530"/>
      <c r="X341" s="1530"/>
      <c r="Y341" s="1530"/>
      <c r="Z341" s="1530"/>
      <c r="AA341" s="1530"/>
      <c r="AB341" s="1530"/>
      <c r="AC341" s="1530"/>
      <c r="AD341" s="1530"/>
      <c r="AE341" s="1530"/>
      <c r="AF341" s="1530"/>
      <c r="AG341" s="1530"/>
      <c r="AH341" s="1530"/>
      <c r="AI341" s="1530"/>
      <c r="AJ341" s="1530"/>
      <c r="AK341" s="1530"/>
      <c r="AL341" s="1530"/>
      <c r="AM341" s="1530"/>
      <c r="AN341" s="1530"/>
      <c r="AO341" s="1530"/>
      <c r="AP341" s="1530"/>
      <c r="AQ341" s="1530"/>
      <c r="AR341" s="1530"/>
      <c r="AS341" s="1530"/>
      <c r="AT341" s="1530"/>
      <c r="AU341" s="1530"/>
      <c r="AV341" s="1530"/>
      <c r="AW341" s="1530"/>
      <c r="AX341" s="1530"/>
      <c r="AY341" s="1530"/>
      <c r="AZ341" s="1530"/>
      <c r="BA341" s="1530"/>
      <c r="BB341" s="1530"/>
      <c r="BC341" s="1530"/>
      <c r="BD341" s="1530"/>
      <c r="BE341" s="1530"/>
      <c r="BF341" s="1530"/>
      <c r="BG341" s="1530"/>
      <c r="BH341" s="1530"/>
      <c r="BI341" s="1530"/>
      <c r="BJ341" s="1530"/>
      <c r="BK341" s="1530"/>
      <c r="BL341" s="1530"/>
      <c r="BM341" s="1530"/>
      <c r="BN341" s="1530"/>
      <c r="BW341" s="1569"/>
      <c r="CO341" s="1530"/>
      <c r="CP341" s="1530"/>
      <c r="CQ341" s="1530"/>
      <c r="CR341" s="1530"/>
      <c r="CS341" s="1530"/>
      <c r="CT341" s="1530"/>
      <c r="CU341" s="1530"/>
      <c r="CV341" s="1530"/>
      <c r="CW341" s="1530"/>
      <c r="CX341" s="1530"/>
      <c r="CY341" s="1530"/>
      <c r="CZ341" s="1530"/>
      <c r="DA341" s="1530"/>
      <c r="DB341" s="1530"/>
      <c r="DC341" s="1530"/>
      <c r="DD341" s="1530"/>
      <c r="DE341" s="1530"/>
      <c r="DF341" s="1530"/>
      <c r="DG341" s="1530"/>
      <c r="DH341" s="1530"/>
      <c r="DI341" s="1530"/>
      <c r="DJ341" s="1530"/>
      <c r="DK341" s="1530"/>
      <c r="DL341" s="1530"/>
      <c r="DM341" s="1530"/>
      <c r="DN341" s="1571"/>
      <c r="DO341" s="1530"/>
      <c r="DP341" s="1530"/>
    </row>
    <row r="342" spans="1:120">
      <c r="A342" s="1451"/>
      <c r="C342" s="1451"/>
      <c r="K342" s="1451"/>
      <c r="L342" s="1451"/>
      <c r="U342" s="1530"/>
      <c r="V342" s="1530"/>
      <c r="W342" s="1530"/>
      <c r="X342" s="1530"/>
      <c r="Y342" s="1530"/>
      <c r="Z342" s="1530"/>
      <c r="AA342" s="1530"/>
      <c r="AB342" s="1530"/>
      <c r="AC342" s="1530"/>
      <c r="AD342" s="1530"/>
      <c r="AE342" s="1530"/>
      <c r="AF342" s="1530"/>
      <c r="AG342" s="1530"/>
      <c r="AH342" s="1530"/>
      <c r="AI342" s="1530"/>
      <c r="AJ342" s="1530"/>
      <c r="AK342" s="1530"/>
      <c r="AL342" s="1530"/>
      <c r="AM342" s="1530"/>
      <c r="AN342" s="1530"/>
      <c r="AO342" s="1530"/>
      <c r="AP342" s="1530"/>
      <c r="AQ342" s="1530"/>
      <c r="AR342" s="1530"/>
      <c r="AS342" s="1530"/>
      <c r="AT342" s="1530"/>
      <c r="AU342" s="1530"/>
      <c r="AV342" s="1530"/>
      <c r="AW342" s="1530"/>
      <c r="AX342" s="1530"/>
      <c r="AY342" s="1530"/>
      <c r="AZ342" s="1530"/>
      <c r="BA342" s="1530"/>
      <c r="BB342" s="1530"/>
      <c r="BC342" s="1530"/>
      <c r="BD342" s="1530"/>
      <c r="BE342" s="1530"/>
      <c r="BF342" s="1530"/>
      <c r="BG342" s="1530"/>
      <c r="BH342" s="1530"/>
      <c r="BI342" s="1530"/>
      <c r="BJ342" s="1530"/>
      <c r="BK342" s="1530"/>
      <c r="BL342" s="1530"/>
      <c r="BM342" s="1530"/>
      <c r="BN342" s="1530"/>
      <c r="BW342" s="1569"/>
      <c r="CO342" s="1530"/>
      <c r="CP342" s="1530"/>
      <c r="CQ342" s="1530"/>
      <c r="CR342" s="1530"/>
      <c r="CS342" s="1530"/>
      <c r="CT342" s="1530"/>
      <c r="CU342" s="1530"/>
      <c r="CV342" s="1530"/>
      <c r="CW342" s="1530"/>
      <c r="CX342" s="1530"/>
      <c r="CY342" s="1530"/>
      <c r="CZ342" s="1530"/>
      <c r="DA342" s="1530"/>
      <c r="DB342" s="1530"/>
      <c r="DC342" s="1530"/>
      <c r="DD342" s="1530"/>
      <c r="DE342" s="1530"/>
      <c r="DF342" s="1530"/>
      <c r="DG342" s="1530"/>
      <c r="DH342" s="1530"/>
      <c r="DI342" s="1530"/>
      <c r="DJ342" s="1530"/>
      <c r="DK342" s="1530"/>
      <c r="DL342" s="1530"/>
      <c r="DM342" s="1530"/>
      <c r="DN342" s="1571"/>
      <c r="DO342" s="1530"/>
      <c r="DP342" s="1530"/>
    </row>
    <row r="343" spans="1:120">
      <c r="A343" s="1451"/>
      <c r="C343" s="1451"/>
      <c r="K343" s="1451"/>
      <c r="L343" s="1451"/>
      <c r="U343" s="1530"/>
      <c r="V343" s="1530"/>
      <c r="W343" s="1530"/>
      <c r="X343" s="1530"/>
      <c r="Y343" s="1530"/>
      <c r="Z343" s="1530"/>
      <c r="AA343" s="1530"/>
      <c r="AB343" s="1530"/>
      <c r="AC343" s="1530"/>
      <c r="AD343" s="1530"/>
      <c r="AE343" s="1530"/>
      <c r="AF343" s="1530"/>
      <c r="AG343" s="1530"/>
      <c r="AH343" s="1530"/>
      <c r="AI343" s="1530"/>
      <c r="AJ343" s="1530"/>
      <c r="AK343" s="1530"/>
      <c r="AL343" s="1530"/>
      <c r="AM343" s="1530"/>
      <c r="AN343" s="1530"/>
      <c r="AO343" s="1530"/>
      <c r="AP343" s="1530"/>
      <c r="AQ343" s="1530"/>
      <c r="AR343" s="1530"/>
      <c r="AS343" s="1530"/>
      <c r="AT343" s="1530"/>
      <c r="AU343" s="1530"/>
      <c r="AV343" s="1530"/>
      <c r="AW343" s="1530"/>
      <c r="AX343" s="1530"/>
      <c r="AY343" s="1530"/>
      <c r="AZ343" s="1530"/>
      <c r="BA343" s="1530"/>
      <c r="BB343" s="1530"/>
      <c r="BC343" s="1530"/>
      <c r="BD343" s="1530"/>
      <c r="BE343" s="1530"/>
      <c r="BF343" s="1530"/>
      <c r="BG343" s="1530"/>
      <c r="BH343" s="1530"/>
      <c r="BI343" s="1530"/>
      <c r="BJ343" s="1530"/>
      <c r="BK343" s="1530"/>
      <c r="BL343" s="1530"/>
      <c r="BM343" s="1530"/>
      <c r="BN343" s="1530"/>
      <c r="BW343" s="1569"/>
      <c r="CO343" s="1530"/>
      <c r="CP343" s="1530"/>
      <c r="CQ343" s="1530"/>
      <c r="CR343" s="1530"/>
      <c r="CS343" s="1530"/>
      <c r="CT343" s="1530"/>
      <c r="CU343" s="1530"/>
      <c r="CV343" s="1530"/>
      <c r="CW343" s="1530"/>
      <c r="CX343" s="1530"/>
      <c r="CY343" s="1530"/>
      <c r="CZ343" s="1530"/>
      <c r="DA343" s="1530"/>
      <c r="DB343" s="1530"/>
      <c r="DC343" s="1530"/>
      <c r="DD343" s="1530"/>
      <c r="DE343" s="1530"/>
      <c r="DF343" s="1530"/>
      <c r="DG343" s="1530"/>
      <c r="DH343" s="1530"/>
      <c r="DI343" s="1530"/>
      <c r="DJ343" s="1530"/>
      <c r="DK343" s="1530"/>
      <c r="DL343" s="1530"/>
      <c r="DM343" s="1530"/>
      <c r="DN343" s="1571"/>
      <c r="DO343" s="1530"/>
      <c r="DP343" s="1530"/>
    </row>
    <row r="344" spans="1:120">
      <c r="A344" s="1451"/>
      <c r="C344" s="1451"/>
      <c r="K344" s="1451"/>
      <c r="L344" s="1451"/>
      <c r="U344" s="1530"/>
      <c r="V344" s="1530"/>
      <c r="W344" s="1530"/>
      <c r="X344" s="1530"/>
      <c r="Y344" s="1530"/>
      <c r="Z344" s="1530"/>
      <c r="AA344" s="1530"/>
      <c r="AB344" s="1530"/>
      <c r="AC344" s="1530"/>
      <c r="AD344" s="1530"/>
      <c r="AE344" s="1530"/>
      <c r="AF344" s="1530"/>
      <c r="AG344" s="1530"/>
      <c r="AH344" s="1530"/>
      <c r="AI344" s="1530"/>
      <c r="AJ344" s="1530"/>
      <c r="AK344" s="1530"/>
      <c r="AL344" s="1530"/>
      <c r="AM344" s="1530"/>
      <c r="AN344" s="1530"/>
      <c r="AO344" s="1530"/>
      <c r="AP344" s="1530"/>
      <c r="AQ344" s="1530"/>
      <c r="AR344" s="1530"/>
      <c r="AS344" s="1530"/>
      <c r="AT344" s="1530"/>
      <c r="AU344" s="1530"/>
      <c r="AV344" s="1530"/>
      <c r="AW344" s="1530"/>
      <c r="AX344" s="1530"/>
      <c r="AY344" s="1530"/>
      <c r="AZ344" s="1530"/>
      <c r="BA344" s="1530"/>
      <c r="BB344" s="1530"/>
      <c r="BC344" s="1530"/>
      <c r="BD344" s="1530"/>
      <c r="BE344" s="1530"/>
      <c r="BF344" s="1530"/>
      <c r="BG344" s="1530"/>
      <c r="BH344" s="1530"/>
      <c r="BI344" s="1530"/>
      <c r="BJ344" s="1530"/>
      <c r="BK344" s="1530"/>
      <c r="BL344" s="1530"/>
      <c r="BM344" s="1530"/>
      <c r="BN344" s="1530"/>
      <c r="BW344" s="1569"/>
      <c r="CO344" s="1530"/>
      <c r="CP344" s="1530"/>
      <c r="CQ344" s="1530"/>
      <c r="CR344" s="1530"/>
      <c r="CS344" s="1530"/>
      <c r="CT344" s="1530"/>
      <c r="CU344" s="1530"/>
      <c r="CV344" s="1530"/>
      <c r="CW344" s="1530"/>
      <c r="CX344" s="1530"/>
      <c r="CY344" s="1530"/>
      <c r="CZ344" s="1530"/>
      <c r="DA344" s="1530"/>
      <c r="DB344" s="1530"/>
      <c r="DC344" s="1530"/>
      <c r="DD344" s="1530"/>
      <c r="DE344" s="1530"/>
      <c r="DF344" s="1530"/>
      <c r="DG344" s="1530"/>
      <c r="DH344" s="1530"/>
      <c r="DI344" s="1530"/>
      <c r="DJ344" s="1530"/>
      <c r="DK344" s="1530"/>
      <c r="DL344" s="1530"/>
      <c r="DM344" s="1530"/>
      <c r="DN344" s="1571"/>
      <c r="DO344" s="1530"/>
      <c r="DP344" s="1530"/>
    </row>
    <row r="345" spans="1:120">
      <c r="A345" s="1451"/>
      <c r="C345" s="1451"/>
      <c r="K345" s="1451"/>
      <c r="L345" s="1451"/>
      <c r="U345" s="1530"/>
      <c r="V345" s="1530"/>
      <c r="W345" s="1530"/>
      <c r="X345" s="1530"/>
      <c r="Y345" s="1530"/>
      <c r="Z345" s="1530"/>
      <c r="AA345" s="1530"/>
      <c r="AB345" s="1530"/>
      <c r="AC345" s="1530"/>
      <c r="AD345" s="1530"/>
      <c r="AE345" s="1530"/>
      <c r="AF345" s="1530"/>
      <c r="AG345" s="1530"/>
      <c r="AH345" s="1530"/>
      <c r="AI345" s="1530"/>
      <c r="AJ345" s="1530"/>
      <c r="AK345" s="1530"/>
      <c r="AL345" s="1530"/>
      <c r="AM345" s="1530"/>
      <c r="AN345" s="1530"/>
      <c r="AO345" s="1530"/>
      <c r="AP345" s="1530"/>
      <c r="AQ345" s="1530"/>
      <c r="AR345" s="1530"/>
      <c r="AS345" s="1530"/>
      <c r="AT345" s="1530"/>
      <c r="AU345" s="1530"/>
      <c r="AV345" s="1530"/>
      <c r="AW345" s="1530"/>
      <c r="AX345" s="1530"/>
      <c r="AY345" s="1530"/>
      <c r="AZ345" s="1530"/>
      <c r="BA345" s="1530"/>
      <c r="BB345" s="1530"/>
      <c r="BC345" s="1530"/>
      <c r="BD345" s="1530"/>
      <c r="BE345" s="1530"/>
      <c r="BF345" s="1530"/>
      <c r="BG345" s="1530"/>
      <c r="BH345" s="1530"/>
      <c r="BI345" s="1530"/>
      <c r="BJ345" s="1530"/>
      <c r="BK345" s="1530"/>
      <c r="BL345" s="1530"/>
      <c r="BM345" s="1530"/>
      <c r="BN345" s="1530"/>
      <c r="BW345" s="1569"/>
      <c r="CO345" s="1530"/>
      <c r="CP345" s="1530"/>
      <c r="CQ345" s="1530"/>
      <c r="CR345" s="1530"/>
      <c r="CS345" s="1530"/>
      <c r="CT345" s="1530"/>
      <c r="CU345" s="1530"/>
      <c r="CV345" s="1530"/>
      <c r="CW345" s="1530"/>
      <c r="CX345" s="1530"/>
      <c r="CY345" s="1530"/>
      <c r="CZ345" s="1530"/>
      <c r="DA345" s="1530"/>
      <c r="DB345" s="1530"/>
      <c r="DC345" s="1530"/>
      <c r="DD345" s="1530"/>
      <c r="DE345" s="1530"/>
      <c r="DF345" s="1530"/>
      <c r="DG345" s="1530"/>
      <c r="DH345" s="1530"/>
      <c r="DI345" s="1530"/>
      <c r="DJ345" s="1530"/>
      <c r="DK345" s="1530"/>
      <c r="DL345" s="1530"/>
      <c r="DM345" s="1530"/>
      <c r="DN345" s="1571"/>
      <c r="DO345" s="1530"/>
      <c r="DP345" s="1530"/>
    </row>
    <row r="346" spans="1:120">
      <c r="A346" s="1451"/>
      <c r="C346" s="1451"/>
      <c r="K346" s="1451"/>
      <c r="L346" s="1451"/>
      <c r="U346" s="1530"/>
      <c r="V346" s="1530"/>
      <c r="W346" s="1530"/>
      <c r="X346" s="1530"/>
      <c r="Y346" s="1530"/>
      <c r="Z346" s="1530"/>
      <c r="AA346" s="1530"/>
      <c r="AB346" s="1530"/>
      <c r="AC346" s="1530"/>
      <c r="AD346" s="1530"/>
      <c r="AE346" s="1530"/>
      <c r="AF346" s="1530"/>
      <c r="AG346" s="1530"/>
      <c r="AH346" s="1530"/>
      <c r="AI346" s="1530"/>
      <c r="AJ346" s="1530"/>
      <c r="AK346" s="1530"/>
      <c r="AL346" s="1530"/>
      <c r="AM346" s="1530"/>
      <c r="AN346" s="1530"/>
      <c r="AO346" s="1530"/>
      <c r="AP346" s="1530"/>
      <c r="AQ346" s="1530"/>
      <c r="AR346" s="1530"/>
      <c r="AS346" s="1530"/>
      <c r="AT346" s="1530"/>
      <c r="AU346" s="1530"/>
      <c r="AV346" s="1530"/>
      <c r="AW346" s="1530"/>
      <c r="AX346" s="1530"/>
      <c r="AY346" s="1530"/>
      <c r="AZ346" s="1530"/>
      <c r="BA346" s="1530"/>
      <c r="BB346" s="1530"/>
      <c r="BC346" s="1530"/>
      <c r="BD346" s="1530"/>
      <c r="BE346" s="1530"/>
      <c r="BF346" s="1530"/>
      <c r="BG346" s="1530"/>
      <c r="BH346" s="1530"/>
      <c r="BI346" s="1530"/>
      <c r="BJ346" s="1530"/>
      <c r="BK346" s="1530"/>
      <c r="BL346" s="1530"/>
      <c r="BM346" s="1530"/>
      <c r="BN346" s="1530"/>
      <c r="BW346" s="1569"/>
      <c r="CO346" s="1530"/>
      <c r="CP346" s="1530"/>
      <c r="CQ346" s="1530"/>
      <c r="CR346" s="1530"/>
      <c r="CS346" s="1530"/>
      <c r="CT346" s="1530"/>
      <c r="CU346" s="1530"/>
      <c r="CV346" s="1530"/>
      <c r="CW346" s="1530"/>
      <c r="CX346" s="1530"/>
      <c r="CY346" s="1530"/>
      <c r="CZ346" s="1530"/>
      <c r="DA346" s="1530"/>
      <c r="DB346" s="1530"/>
      <c r="DC346" s="1530"/>
      <c r="DD346" s="1530"/>
      <c r="DE346" s="1530"/>
      <c r="DF346" s="1530"/>
      <c r="DG346" s="1530"/>
      <c r="DH346" s="1530"/>
      <c r="DI346" s="1530"/>
      <c r="DJ346" s="1530"/>
      <c r="DK346" s="1530"/>
      <c r="DL346" s="1530"/>
      <c r="DM346" s="1530"/>
      <c r="DN346" s="1571"/>
      <c r="DO346" s="1530"/>
      <c r="DP346" s="1530"/>
    </row>
    <row r="347" spans="1:120">
      <c r="A347" s="1451"/>
      <c r="C347" s="1451"/>
      <c r="K347" s="1451"/>
      <c r="L347" s="1451"/>
      <c r="U347" s="1530"/>
      <c r="V347" s="1530"/>
      <c r="W347" s="1530"/>
      <c r="X347" s="1530"/>
      <c r="Y347" s="1530"/>
      <c r="Z347" s="1530"/>
      <c r="AA347" s="1530"/>
      <c r="AB347" s="1530"/>
      <c r="AC347" s="1530"/>
      <c r="AD347" s="1530"/>
      <c r="AE347" s="1530"/>
      <c r="AF347" s="1530"/>
      <c r="AG347" s="1530"/>
      <c r="AH347" s="1530"/>
      <c r="AI347" s="1530"/>
      <c r="AJ347" s="1530"/>
      <c r="AK347" s="1530"/>
      <c r="AL347" s="1530"/>
      <c r="AM347" s="1530"/>
      <c r="AN347" s="1530"/>
      <c r="AO347" s="1530"/>
      <c r="AP347" s="1530"/>
      <c r="AQ347" s="1530"/>
      <c r="AR347" s="1530"/>
      <c r="AS347" s="1530"/>
      <c r="AT347" s="1530"/>
      <c r="AU347" s="1530"/>
      <c r="AV347" s="1530"/>
      <c r="AW347" s="1530"/>
      <c r="AX347" s="1530"/>
      <c r="AY347" s="1530"/>
      <c r="AZ347" s="1530"/>
      <c r="BA347" s="1530"/>
      <c r="BB347" s="1530"/>
      <c r="BC347" s="1530"/>
      <c r="BD347" s="1530"/>
      <c r="BE347" s="1530"/>
      <c r="BF347" s="1530"/>
      <c r="BG347" s="1530"/>
      <c r="BH347" s="1530"/>
      <c r="BI347" s="1530"/>
      <c r="BJ347" s="1530"/>
      <c r="BK347" s="1530"/>
      <c r="BL347" s="1530"/>
      <c r="BM347" s="1530"/>
      <c r="BN347" s="1530"/>
      <c r="BW347" s="1569"/>
      <c r="CO347" s="1530"/>
      <c r="CP347" s="1530"/>
      <c r="CQ347" s="1530"/>
      <c r="CR347" s="1530"/>
      <c r="CS347" s="1530"/>
      <c r="CT347" s="1530"/>
      <c r="CU347" s="1530"/>
      <c r="CV347" s="1530"/>
      <c r="CW347" s="1530"/>
      <c r="CX347" s="1530"/>
      <c r="CY347" s="1530"/>
      <c r="CZ347" s="1530"/>
      <c r="DA347" s="1530"/>
      <c r="DB347" s="1530"/>
      <c r="DC347" s="1530"/>
      <c r="DD347" s="1530"/>
      <c r="DE347" s="1530"/>
      <c r="DF347" s="1530"/>
      <c r="DG347" s="1530"/>
      <c r="DH347" s="1530"/>
      <c r="DI347" s="1530"/>
      <c r="DJ347" s="1530"/>
      <c r="DK347" s="1530"/>
      <c r="DL347" s="1530"/>
      <c r="DM347" s="1530"/>
      <c r="DN347" s="1571"/>
      <c r="DO347" s="1530"/>
      <c r="DP347" s="1530"/>
    </row>
    <row r="348" spans="1:120">
      <c r="A348" s="1451"/>
      <c r="C348" s="1451"/>
      <c r="K348" s="1451"/>
      <c r="L348" s="1451"/>
      <c r="U348" s="1530"/>
      <c r="V348" s="1530"/>
      <c r="W348" s="1530"/>
      <c r="X348" s="1530"/>
      <c r="Y348" s="1530"/>
      <c r="Z348" s="1530"/>
      <c r="AA348" s="1530"/>
      <c r="AB348" s="1530"/>
      <c r="AC348" s="1530"/>
      <c r="AD348" s="1530"/>
      <c r="AE348" s="1530"/>
      <c r="AF348" s="1530"/>
      <c r="AG348" s="1530"/>
      <c r="AH348" s="1530"/>
      <c r="AI348" s="1530"/>
      <c r="AJ348" s="1530"/>
      <c r="AK348" s="1530"/>
      <c r="AL348" s="1530"/>
      <c r="AM348" s="1530"/>
      <c r="AN348" s="1530"/>
      <c r="AO348" s="1530"/>
      <c r="AP348" s="1530"/>
      <c r="AQ348" s="1530"/>
      <c r="AR348" s="1530"/>
      <c r="AS348" s="1530"/>
      <c r="AT348" s="1530"/>
      <c r="AU348" s="1530"/>
      <c r="AV348" s="1530"/>
      <c r="AW348" s="1530"/>
      <c r="AX348" s="1530"/>
      <c r="AY348" s="1530"/>
      <c r="AZ348" s="1530"/>
      <c r="BA348" s="1530"/>
      <c r="BB348" s="1530"/>
      <c r="BC348" s="1530"/>
      <c r="BD348" s="1530"/>
      <c r="BE348" s="1530"/>
      <c r="BF348" s="1530"/>
      <c r="BG348" s="1530"/>
      <c r="BH348" s="1530"/>
      <c r="BI348" s="1530"/>
      <c r="BJ348" s="1530"/>
      <c r="BK348" s="1530"/>
      <c r="BL348" s="1530"/>
      <c r="BM348" s="1530"/>
      <c r="BN348" s="1530"/>
      <c r="BW348" s="1569"/>
      <c r="CO348" s="1530"/>
      <c r="CP348" s="1530"/>
      <c r="CQ348" s="1530"/>
      <c r="CR348" s="1530"/>
      <c r="CS348" s="1530"/>
      <c r="CT348" s="1530"/>
      <c r="CU348" s="1530"/>
      <c r="CV348" s="1530"/>
      <c r="CW348" s="1530"/>
      <c r="CX348" s="1530"/>
      <c r="CY348" s="1530"/>
      <c r="CZ348" s="1530"/>
      <c r="DA348" s="1530"/>
      <c r="DB348" s="1530"/>
      <c r="DC348" s="1530"/>
      <c r="DD348" s="1530"/>
      <c r="DE348" s="1530"/>
      <c r="DF348" s="1530"/>
      <c r="DG348" s="1530"/>
      <c r="DH348" s="1530"/>
      <c r="DI348" s="1530"/>
      <c r="DJ348" s="1530"/>
      <c r="DK348" s="1530"/>
      <c r="DL348" s="1530"/>
      <c r="DM348" s="1530"/>
      <c r="DN348" s="1571"/>
      <c r="DO348" s="1530"/>
      <c r="DP348" s="1530"/>
    </row>
    <row r="349" spans="1:120">
      <c r="A349" s="1451"/>
      <c r="C349" s="1451"/>
      <c r="K349" s="1451"/>
      <c r="L349" s="1451"/>
      <c r="U349" s="1530"/>
      <c r="V349" s="1530"/>
      <c r="W349" s="1530"/>
      <c r="X349" s="1530"/>
      <c r="Y349" s="1530"/>
      <c r="Z349" s="1530"/>
      <c r="AA349" s="1530"/>
      <c r="AB349" s="1530"/>
      <c r="AC349" s="1530"/>
      <c r="AD349" s="1530"/>
      <c r="AE349" s="1530"/>
      <c r="AF349" s="1530"/>
      <c r="AG349" s="1530"/>
      <c r="AH349" s="1530"/>
      <c r="AI349" s="1530"/>
      <c r="AJ349" s="1530"/>
      <c r="AK349" s="1530"/>
      <c r="AL349" s="1530"/>
      <c r="AM349" s="1530"/>
      <c r="AN349" s="1530"/>
      <c r="AO349" s="1530"/>
      <c r="AP349" s="1530"/>
      <c r="AQ349" s="1530"/>
      <c r="AR349" s="1530"/>
      <c r="AS349" s="1530"/>
      <c r="AT349" s="1530"/>
      <c r="AU349" s="1530"/>
      <c r="AV349" s="1530"/>
      <c r="AW349" s="1530"/>
      <c r="AX349" s="1530"/>
      <c r="AY349" s="1530"/>
      <c r="AZ349" s="1530"/>
      <c r="BA349" s="1530"/>
      <c r="BB349" s="1530"/>
      <c r="BC349" s="1530"/>
      <c r="BD349" s="1530"/>
      <c r="BE349" s="1530"/>
      <c r="BF349" s="1530"/>
      <c r="BG349" s="1530"/>
      <c r="BH349" s="1530"/>
      <c r="BI349" s="1530"/>
      <c r="BJ349" s="1530"/>
      <c r="BK349" s="1530"/>
      <c r="BL349" s="1530"/>
      <c r="BM349" s="1530"/>
      <c r="BN349" s="1530"/>
      <c r="BW349" s="1569"/>
      <c r="CO349" s="1530"/>
      <c r="CP349" s="1530"/>
      <c r="CQ349" s="1530"/>
      <c r="CR349" s="1530"/>
      <c r="CS349" s="1530"/>
      <c r="CT349" s="1530"/>
      <c r="CU349" s="1530"/>
      <c r="CV349" s="1530"/>
      <c r="CW349" s="1530"/>
      <c r="CX349" s="1530"/>
      <c r="CY349" s="1530"/>
      <c r="CZ349" s="1530"/>
      <c r="DA349" s="1530"/>
      <c r="DB349" s="1530"/>
      <c r="DC349" s="1530"/>
      <c r="DD349" s="1530"/>
      <c r="DE349" s="1530"/>
      <c r="DF349" s="1530"/>
      <c r="DG349" s="1530"/>
      <c r="DH349" s="1530"/>
      <c r="DI349" s="1530"/>
      <c r="DJ349" s="1530"/>
      <c r="DK349" s="1530"/>
      <c r="DL349" s="1530"/>
      <c r="DM349" s="1530"/>
      <c r="DN349" s="1571"/>
      <c r="DO349" s="1530"/>
      <c r="DP349" s="1530"/>
    </row>
    <row r="350" spans="1:120">
      <c r="A350" s="1451"/>
      <c r="C350" s="1451"/>
      <c r="K350" s="1451"/>
      <c r="L350" s="1451"/>
      <c r="U350" s="1530"/>
      <c r="V350" s="1530"/>
      <c r="W350" s="1530"/>
      <c r="X350" s="1530"/>
      <c r="Y350" s="1530"/>
      <c r="Z350" s="1530"/>
      <c r="AA350" s="1530"/>
      <c r="AB350" s="1530"/>
      <c r="AC350" s="1530"/>
      <c r="AD350" s="1530"/>
      <c r="AE350" s="1530"/>
      <c r="AF350" s="1530"/>
      <c r="AG350" s="1530"/>
      <c r="AH350" s="1530"/>
      <c r="AI350" s="1530"/>
      <c r="AJ350" s="1530"/>
      <c r="AK350" s="1530"/>
      <c r="AL350" s="1530"/>
      <c r="AM350" s="1530"/>
      <c r="AN350" s="1530"/>
      <c r="AO350" s="1530"/>
      <c r="AP350" s="1530"/>
      <c r="AQ350" s="1530"/>
      <c r="AR350" s="1530"/>
      <c r="AS350" s="1530"/>
      <c r="AT350" s="1530"/>
      <c r="AU350" s="1530"/>
      <c r="AV350" s="1530"/>
      <c r="AW350" s="1530"/>
      <c r="AX350" s="1530"/>
      <c r="AY350" s="1530"/>
      <c r="AZ350" s="1530"/>
      <c r="BA350" s="1530"/>
      <c r="BB350" s="1530"/>
      <c r="BC350" s="1530"/>
      <c r="BD350" s="1530"/>
      <c r="BE350" s="1530"/>
      <c r="BF350" s="1530"/>
      <c r="BG350" s="1530"/>
      <c r="BH350" s="1530"/>
      <c r="BI350" s="1530"/>
      <c r="BJ350" s="1530"/>
      <c r="BK350" s="1530"/>
      <c r="BL350" s="1530"/>
      <c r="BM350" s="1530"/>
      <c r="BN350" s="1530"/>
      <c r="BW350" s="1569"/>
      <c r="CO350" s="1530"/>
      <c r="CP350" s="1530"/>
      <c r="CQ350" s="1530"/>
      <c r="CR350" s="1530"/>
      <c r="CS350" s="1530"/>
      <c r="CT350" s="1530"/>
      <c r="CU350" s="1530"/>
      <c r="CV350" s="1530"/>
      <c r="CW350" s="1530"/>
      <c r="CX350" s="1530"/>
      <c r="CY350" s="1530"/>
      <c r="CZ350" s="1530"/>
      <c r="DA350" s="1530"/>
      <c r="DB350" s="1530"/>
      <c r="DC350" s="1530"/>
      <c r="DD350" s="1530"/>
      <c r="DE350" s="1530"/>
      <c r="DF350" s="1530"/>
      <c r="DG350" s="1530"/>
      <c r="DH350" s="1530"/>
      <c r="DI350" s="1530"/>
      <c r="DJ350" s="1530"/>
      <c r="DK350" s="1530"/>
      <c r="DL350" s="1530"/>
      <c r="DM350" s="1530"/>
      <c r="DN350" s="1571"/>
      <c r="DO350" s="1530"/>
      <c r="DP350" s="1530"/>
    </row>
    <row r="351" spans="1:120">
      <c r="A351" s="1451"/>
      <c r="C351" s="1451"/>
      <c r="K351" s="1451"/>
      <c r="L351" s="1451"/>
      <c r="U351" s="1530"/>
      <c r="V351" s="1530"/>
      <c r="W351" s="1530"/>
      <c r="X351" s="1530"/>
      <c r="Y351" s="1530"/>
      <c r="Z351" s="1530"/>
      <c r="AA351" s="1530"/>
      <c r="AB351" s="1530"/>
      <c r="AC351" s="1530"/>
      <c r="AD351" s="1530"/>
      <c r="AE351" s="1530"/>
      <c r="AF351" s="1530"/>
      <c r="AG351" s="1530"/>
      <c r="AH351" s="1530"/>
      <c r="AI351" s="1530"/>
      <c r="AJ351" s="1530"/>
      <c r="AK351" s="1530"/>
      <c r="AL351" s="1530"/>
      <c r="AM351" s="1530"/>
      <c r="AN351" s="1530"/>
      <c r="AO351" s="1530"/>
      <c r="AP351" s="1530"/>
      <c r="AQ351" s="1530"/>
      <c r="AR351" s="1530"/>
      <c r="AS351" s="1530"/>
      <c r="AT351" s="1530"/>
      <c r="AU351" s="1530"/>
      <c r="AV351" s="1530"/>
      <c r="AW351" s="1530"/>
      <c r="AX351" s="1530"/>
      <c r="AY351" s="1530"/>
      <c r="AZ351" s="1530"/>
      <c r="BA351" s="1530"/>
      <c r="BB351" s="1530"/>
      <c r="BC351" s="1530"/>
      <c r="BD351" s="1530"/>
      <c r="BE351" s="1530"/>
      <c r="BF351" s="1530"/>
      <c r="BG351" s="1530"/>
      <c r="BH351" s="1530"/>
      <c r="BI351" s="1530"/>
      <c r="BJ351" s="1530"/>
      <c r="BK351" s="1530"/>
      <c r="BL351" s="1530"/>
      <c r="BM351" s="1530"/>
      <c r="BN351" s="1530"/>
      <c r="BW351" s="1569"/>
      <c r="CO351" s="1530"/>
      <c r="CP351" s="1530"/>
      <c r="CQ351" s="1530"/>
      <c r="CR351" s="1530"/>
      <c r="CS351" s="1530"/>
      <c r="CT351" s="1530"/>
      <c r="CU351" s="1530"/>
      <c r="CV351" s="1530"/>
      <c r="CW351" s="1530"/>
      <c r="CX351" s="1530"/>
      <c r="CY351" s="1530"/>
      <c r="CZ351" s="1530"/>
      <c r="DA351" s="1530"/>
      <c r="DB351" s="1530"/>
      <c r="DC351" s="1530"/>
      <c r="DD351" s="1530"/>
      <c r="DE351" s="1530"/>
      <c r="DF351" s="1530"/>
      <c r="DG351" s="1530"/>
      <c r="DH351" s="1530"/>
      <c r="DI351" s="1530"/>
      <c r="DJ351" s="1530"/>
      <c r="DK351" s="1530"/>
      <c r="DL351" s="1530"/>
      <c r="DM351" s="1530"/>
      <c r="DN351" s="1571"/>
      <c r="DO351" s="1530"/>
      <c r="DP351" s="1530"/>
    </row>
    <row r="352" spans="1:120">
      <c r="A352" s="1451"/>
      <c r="C352" s="1451"/>
      <c r="K352" s="1451"/>
      <c r="L352" s="1451"/>
      <c r="U352" s="1530"/>
      <c r="V352" s="1530"/>
      <c r="W352" s="1530"/>
      <c r="X352" s="1530"/>
      <c r="Y352" s="1530"/>
      <c r="Z352" s="1530"/>
      <c r="AA352" s="1530"/>
      <c r="AB352" s="1530"/>
      <c r="AC352" s="1530"/>
      <c r="AD352" s="1530"/>
      <c r="AE352" s="1530"/>
      <c r="AF352" s="1530"/>
      <c r="AG352" s="1530"/>
      <c r="AH352" s="1530"/>
      <c r="AI352" s="1530"/>
      <c r="AJ352" s="1530"/>
      <c r="AK352" s="1530"/>
      <c r="AL352" s="1530"/>
      <c r="AM352" s="1530"/>
      <c r="AN352" s="1530"/>
      <c r="AO352" s="1530"/>
      <c r="AP352" s="1530"/>
      <c r="AQ352" s="1530"/>
      <c r="AR352" s="1530"/>
      <c r="AS352" s="1530"/>
      <c r="AT352" s="1530"/>
      <c r="AU352" s="1530"/>
      <c r="AV352" s="1530"/>
      <c r="AW352" s="1530"/>
      <c r="AX352" s="1530"/>
      <c r="AY352" s="1530"/>
      <c r="AZ352" s="1530"/>
      <c r="BA352" s="1530"/>
      <c r="BB352" s="1530"/>
      <c r="BC352" s="1530"/>
      <c r="BD352" s="1530"/>
      <c r="BE352" s="1530"/>
      <c r="BF352" s="1530"/>
      <c r="BG352" s="1530"/>
      <c r="BH352" s="1530"/>
      <c r="BI352" s="1530"/>
      <c r="BJ352" s="1530"/>
      <c r="BK352" s="1530"/>
      <c r="BL352" s="1530"/>
      <c r="BM352" s="1530"/>
      <c r="BN352" s="1530"/>
      <c r="BW352" s="1569"/>
      <c r="CO352" s="1530"/>
      <c r="CP352" s="1530"/>
      <c r="CQ352" s="1530"/>
      <c r="CR352" s="1530"/>
      <c r="CS352" s="1530"/>
      <c r="CT352" s="1530"/>
      <c r="CU352" s="1530"/>
      <c r="CV352" s="1530"/>
      <c r="CW352" s="1530"/>
      <c r="CX352" s="1530"/>
      <c r="CY352" s="1530"/>
      <c r="CZ352" s="1530"/>
      <c r="DA352" s="1530"/>
      <c r="DB352" s="1530"/>
      <c r="DC352" s="1530"/>
      <c r="DD352" s="1530"/>
      <c r="DE352" s="1530"/>
      <c r="DF352" s="1530"/>
      <c r="DG352" s="1530"/>
      <c r="DH352" s="1530"/>
      <c r="DI352" s="1530"/>
      <c r="DJ352" s="1530"/>
      <c r="DK352" s="1530"/>
      <c r="DL352" s="1530"/>
      <c r="DM352" s="1530"/>
      <c r="DN352" s="1571"/>
      <c r="DO352" s="1530"/>
      <c r="DP352" s="1530"/>
    </row>
    <row r="353" spans="1:120">
      <c r="A353" s="1451"/>
      <c r="C353" s="1451"/>
      <c r="K353" s="1451"/>
      <c r="L353" s="1451"/>
      <c r="U353" s="1530"/>
      <c r="V353" s="1530"/>
      <c r="W353" s="1530"/>
      <c r="X353" s="1530"/>
      <c r="Y353" s="1530"/>
      <c r="Z353" s="1530"/>
      <c r="AA353" s="1530"/>
      <c r="AB353" s="1530"/>
      <c r="AC353" s="1530"/>
      <c r="AD353" s="1530"/>
      <c r="AE353" s="1530"/>
      <c r="AF353" s="1530"/>
      <c r="AG353" s="1530"/>
      <c r="AH353" s="1530"/>
      <c r="AI353" s="1530"/>
      <c r="AJ353" s="1530"/>
      <c r="AK353" s="1530"/>
      <c r="AL353" s="1530"/>
      <c r="AM353" s="1530"/>
      <c r="AN353" s="1530"/>
      <c r="AO353" s="1530"/>
      <c r="AP353" s="1530"/>
      <c r="AQ353" s="1530"/>
      <c r="AR353" s="1530"/>
      <c r="AS353" s="1530"/>
      <c r="AT353" s="1530"/>
      <c r="AU353" s="1530"/>
      <c r="AV353" s="1530"/>
      <c r="AW353" s="1530"/>
      <c r="AX353" s="1530"/>
      <c r="AY353" s="1530"/>
      <c r="AZ353" s="1530"/>
      <c r="BA353" s="1530"/>
      <c r="BB353" s="1530"/>
      <c r="BC353" s="1530"/>
      <c r="BD353" s="1530"/>
      <c r="BE353" s="1530"/>
      <c r="BF353" s="1530"/>
      <c r="BG353" s="1530"/>
      <c r="BH353" s="1530"/>
      <c r="BI353" s="1530"/>
      <c r="BJ353" s="1530"/>
      <c r="BK353" s="1530"/>
      <c r="BL353" s="1530"/>
      <c r="BM353" s="1530"/>
      <c r="BN353" s="1530"/>
      <c r="BW353" s="1569"/>
      <c r="CO353" s="1530"/>
      <c r="CP353" s="1530"/>
      <c r="CQ353" s="1530"/>
      <c r="CR353" s="1530"/>
      <c r="CS353" s="1530"/>
      <c r="CT353" s="1530"/>
      <c r="CU353" s="1530"/>
      <c r="CV353" s="1530"/>
      <c r="CW353" s="1530"/>
      <c r="CX353" s="1530"/>
      <c r="CY353" s="1530"/>
      <c r="CZ353" s="1530"/>
      <c r="DA353" s="1530"/>
      <c r="DB353" s="1530"/>
      <c r="DC353" s="1530"/>
      <c r="DD353" s="1530"/>
      <c r="DE353" s="1530"/>
      <c r="DF353" s="1530"/>
      <c r="DG353" s="1530"/>
      <c r="DH353" s="1530"/>
      <c r="DI353" s="1530"/>
      <c r="DJ353" s="1530"/>
      <c r="DK353" s="1530"/>
      <c r="DL353" s="1530"/>
      <c r="DM353" s="1530"/>
      <c r="DN353" s="1571"/>
      <c r="DO353" s="1530"/>
      <c r="DP353" s="1530"/>
    </row>
    <row r="354" spans="1:120">
      <c r="A354" s="1451"/>
      <c r="C354" s="1451"/>
      <c r="K354" s="1451"/>
      <c r="L354" s="1451"/>
      <c r="U354" s="1530"/>
      <c r="V354" s="1530"/>
      <c r="W354" s="1530"/>
      <c r="X354" s="1530"/>
      <c r="Y354" s="1530"/>
      <c r="Z354" s="1530"/>
      <c r="AA354" s="1530"/>
      <c r="AB354" s="1530"/>
      <c r="AC354" s="1530"/>
      <c r="AD354" s="1530"/>
      <c r="AE354" s="1530"/>
      <c r="AF354" s="1530"/>
      <c r="AG354" s="1530"/>
      <c r="AH354" s="1530"/>
      <c r="AI354" s="1530"/>
      <c r="AJ354" s="1530"/>
      <c r="AK354" s="1530"/>
      <c r="AL354" s="1530"/>
      <c r="AM354" s="1530"/>
      <c r="AN354" s="1530"/>
      <c r="AO354" s="1530"/>
      <c r="AP354" s="1530"/>
      <c r="AQ354" s="1530"/>
      <c r="AR354" s="1530"/>
      <c r="AS354" s="1530"/>
      <c r="AT354" s="1530"/>
      <c r="AU354" s="1530"/>
      <c r="AV354" s="1530"/>
      <c r="AW354" s="1530"/>
      <c r="AX354" s="1530"/>
      <c r="AY354" s="1530"/>
      <c r="AZ354" s="1530"/>
      <c r="BA354" s="1530"/>
      <c r="BB354" s="1530"/>
      <c r="BC354" s="1530"/>
      <c r="BD354" s="1530"/>
      <c r="BE354" s="1530"/>
      <c r="BF354" s="1530"/>
      <c r="BG354" s="1530"/>
      <c r="BH354" s="1530"/>
      <c r="BI354" s="1530"/>
      <c r="BJ354" s="1530"/>
      <c r="BK354" s="1530"/>
      <c r="BL354" s="1530"/>
      <c r="BM354" s="1530"/>
      <c r="BN354" s="1530"/>
      <c r="BW354" s="1569"/>
      <c r="CO354" s="1530"/>
      <c r="CP354" s="1530"/>
      <c r="CQ354" s="1530"/>
      <c r="CR354" s="1530"/>
      <c r="CS354" s="1530"/>
      <c r="CT354" s="1530"/>
      <c r="CU354" s="1530"/>
      <c r="CV354" s="1530"/>
      <c r="CW354" s="1530"/>
      <c r="CX354" s="1530"/>
      <c r="CY354" s="1530"/>
      <c r="CZ354" s="1530"/>
      <c r="DA354" s="1530"/>
      <c r="DB354" s="1530"/>
      <c r="DC354" s="1530"/>
      <c r="DD354" s="1530"/>
      <c r="DE354" s="1530"/>
      <c r="DF354" s="1530"/>
      <c r="DG354" s="1530"/>
      <c r="DH354" s="1530"/>
      <c r="DI354" s="1530"/>
      <c r="DJ354" s="1530"/>
      <c r="DK354" s="1530"/>
      <c r="DL354" s="1530"/>
      <c r="DM354" s="1530"/>
      <c r="DN354" s="1571"/>
      <c r="DO354" s="1530"/>
      <c r="DP354" s="1530"/>
    </row>
    <row r="355" spans="1:120">
      <c r="A355" s="1451"/>
      <c r="C355" s="1451"/>
      <c r="K355" s="1451"/>
      <c r="L355" s="1451"/>
      <c r="U355" s="1530"/>
      <c r="V355" s="1530"/>
      <c r="W355" s="1530"/>
      <c r="X355" s="1530"/>
      <c r="Y355" s="1530"/>
      <c r="Z355" s="1530"/>
      <c r="AA355" s="1530"/>
      <c r="AB355" s="1530"/>
      <c r="AC355" s="1530"/>
      <c r="AD355" s="1530"/>
      <c r="AE355" s="1530"/>
      <c r="AF355" s="1530"/>
      <c r="AG355" s="1530"/>
      <c r="AH355" s="1530"/>
      <c r="AI355" s="1530"/>
      <c r="AJ355" s="1530"/>
      <c r="AK355" s="1530"/>
      <c r="AL355" s="1530"/>
      <c r="AM355" s="1530"/>
      <c r="AN355" s="1530"/>
      <c r="AO355" s="1530"/>
      <c r="AP355" s="1530"/>
      <c r="AQ355" s="1530"/>
      <c r="AR355" s="1530"/>
      <c r="AS355" s="1530"/>
      <c r="AT355" s="1530"/>
      <c r="AU355" s="1530"/>
      <c r="AV355" s="1530"/>
      <c r="AW355" s="1530"/>
      <c r="AX355" s="1530"/>
      <c r="AY355" s="1530"/>
      <c r="AZ355" s="1530"/>
      <c r="BA355" s="1530"/>
      <c r="BB355" s="1530"/>
      <c r="BC355" s="1530"/>
      <c r="BD355" s="1530"/>
      <c r="BE355" s="1530"/>
      <c r="BF355" s="1530"/>
      <c r="BG355" s="1530"/>
      <c r="BH355" s="1530"/>
      <c r="BI355" s="1530"/>
      <c r="BJ355" s="1530"/>
      <c r="BK355" s="1530"/>
      <c r="BL355" s="1530"/>
      <c r="BM355" s="1530"/>
      <c r="BN355" s="1530"/>
      <c r="BW355" s="1569"/>
      <c r="CO355" s="1530"/>
      <c r="CP355" s="1530"/>
      <c r="CQ355" s="1530"/>
      <c r="CR355" s="1530"/>
      <c r="CS355" s="1530"/>
      <c r="CT355" s="1530"/>
      <c r="CU355" s="1530"/>
      <c r="CV355" s="1530"/>
      <c r="CW355" s="1530"/>
      <c r="CX355" s="1530"/>
      <c r="CY355" s="1530"/>
      <c r="CZ355" s="1530"/>
      <c r="DA355" s="1530"/>
      <c r="DB355" s="1530"/>
      <c r="DC355" s="1530"/>
      <c r="DD355" s="1530"/>
      <c r="DE355" s="1530"/>
      <c r="DF355" s="1530"/>
      <c r="DG355" s="1530"/>
      <c r="DH355" s="1530"/>
      <c r="DI355" s="1530"/>
      <c r="DJ355" s="1530"/>
      <c r="DK355" s="1530"/>
      <c r="DL355" s="1530"/>
      <c r="DM355" s="1530"/>
      <c r="DN355" s="1571"/>
      <c r="DO355" s="1530"/>
      <c r="DP355" s="1530"/>
    </row>
    <row r="356" spans="1:120">
      <c r="A356" s="1451"/>
      <c r="C356" s="1451"/>
      <c r="K356" s="1451"/>
      <c r="L356" s="1451"/>
      <c r="U356" s="1530"/>
      <c r="V356" s="1530"/>
      <c r="W356" s="1530"/>
      <c r="X356" s="1530"/>
      <c r="Y356" s="1530"/>
      <c r="Z356" s="1530"/>
      <c r="AA356" s="1530"/>
      <c r="AB356" s="1530"/>
      <c r="AC356" s="1530"/>
      <c r="AD356" s="1530"/>
      <c r="AE356" s="1530"/>
      <c r="AF356" s="1530"/>
      <c r="AG356" s="1530"/>
      <c r="AH356" s="1530"/>
      <c r="AI356" s="1530"/>
      <c r="AJ356" s="1530"/>
      <c r="AK356" s="1530"/>
      <c r="AL356" s="1530"/>
      <c r="AM356" s="1530"/>
      <c r="AN356" s="1530"/>
      <c r="AO356" s="1530"/>
      <c r="AP356" s="1530"/>
      <c r="AQ356" s="1530"/>
      <c r="AR356" s="1530"/>
      <c r="AS356" s="1530"/>
      <c r="AT356" s="1530"/>
      <c r="AU356" s="1530"/>
      <c r="AV356" s="1530"/>
      <c r="AW356" s="1530"/>
      <c r="AX356" s="1530"/>
      <c r="AY356" s="1530"/>
      <c r="AZ356" s="1530"/>
      <c r="BA356" s="1530"/>
      <c r="BB356" s="1530"/>
      <c r="BC356" s="1530"/>
      <c r="BD356" s="1530"/>
      <c r="BE356" s="1530"/>
      <c r="BF356" s="1530"/>
      <c r="BG356" s="1530"/>
      <c r="BH356" s="1530"/>
      <c r="BI356" s="1530"/>
      <c r="BJ356" s="1530"/>
      <c r="BK356" s="1530"/>
      <c r="BL356" s="1530"/>
      <c r="BM356" s="1530"/>
      <c r="BN356" s="1530"/>
      <c r="BW356" s="1569"/>
      <c r="CO356" s="1530"/>
      <c r="CP356" s="1530"/>
      <c r="CQ356" s="1530"/>
      <c r="CR356" s="1530"/>
      <c r="CS356" s="1530"/>
      <c r="CT356" s="1530"/>
      <c r="CU356" s="1530"/>
      <c r="CV356" s="1530"/>
      <c r="CW356" s="1530"/>
      <c r="CX356" s="1530"/>
      <c r="CY356" s="1530"/>
      <c r="CZ356" s="1530"/>
      <c r="DA356" s="1530"/>
      <c r="DB356" s="1530"/>
      <c r="DC356" s="1530"/>
      <c r="DD356" s="1530"/>
      <c r="DE356" s="1530"/>
      <c r="DF356" s="1530"/>
      <c r="DG356" s="1530"/>
      <c r="DH356" s="1530"/>
      <c r="DI356" s="1530"/>
      <c r="DJ356" s="1530"/>
      <c r="DK356" s="1530"/>
      <c r="DL356" s="1530"/>
      <c r="DM356" s="1530"/>
      <c r="DN356" s="1571"/>
      <c r="DO356" s="1530"/>
      <c r="DP356" s="1530"/>
    </row>
    <row r="357" spans="1:120">
      <c r="A357" s="1451"/>
      <c r="C357" s="1451"/>
      <c r="K357" s="1451"/>
      <c r="L357" s="1451"/>
      <c r="U357" s="1530"/>
      <c r="V357" s="1530"/>
      <c r="W357" s="1530"/>
      <c r="X357" s="1530"/>
      <c r="Y357" s="1530"/>
      <c r="Z357" s="1530"/>
      <c r="AA357" s="1530"/>
      <c r="AB357" s="1530"/>
      <c r="AC357" s="1530"/>
      <c r="AD357" s="1530"/>
      <c r="AE357" s="1530"/>
      <c r="AF357" s="1530"/>
      <c r="AG357" s="1530"/>
      <c r="AH357" s="1530"/>
      <c r="AI357" s="1530"/>
      <c r="AJ357" s="1530"/>
      <c r="AK357" s="1530"/>
      <c r="AL357" s="1530"/>
      <c r="AM357" s="1530"/>
      <c r="AN357" s="1530"/>
      <c r="AO357" s="1530"/>
      <c r="AP357" s="1530"/>
      <c r="AQ357" s="1530"/>
      <c r="AR357" s="1530"/>
      <c r="AS357" s="1530"/>
      <c r="AT357" s="1530"/>
      <c r="AU357" s="1530"/>
      <c r="AV357" s="1530"/>
      <c r="AW357" s="1530"/>
      <c r="AX357" s="1530"/>
      <c r="AY357" s="1530"/>
      <c r="AZ357" s="1530"/>
      <c r="BA357" s="1530"/>
      <c r="BB357" s="1530"/>
      <c r="BC357" s="1530"/>
      <c r="BD357" s="1530"/>
      <c r="BE357" s="1530"/>
      <c r="BF357" s="1530"/>
      <c r="BG357" s="1530"/>
      <c r="BH357" s="1530"/>
      <c r="BI357" s="1530"/>
      <c r="BJ357" s="1530"/>
      <c r="BK357" s="1530"/>
      <c r="BL357" s="1530"/>
      <c r="BM357" s="1530"/>
      <c r="BN357" s="1530"/>
      <c r="BW357" s="1569"/>
      <c r="CO357" s="1530"/>
      <c r="CP357" s="1530"/>
      <c r="CQ357" s="1530"/>
      <c r="CR357" s="1530"/>
      <c r="CS357" s="1530"/>
      <c r="CT357" s="1530"/>
      <c r="CU357" s="1530"/>
      <c r="CV357" s="1530"/>
      <c r="CW357" s="1530"/>
      <c r="CX357" s="1530"/>
      <c r="CY357" s="1530"/>
      <c r="CZ357" s="1530"/>
      <c r="DA357" s="1530"/>
      <c r="DB357" s="1530"/>
      <c r="DC357" s="1530"/>
      <c r="DD357" s="1530"/>
      <c r="DE357" s="1530"/>
      <c r="DF357" s="1530"/>
      <c r="DG357" s="1530"/>
      <c r="DH357" s="1530"/>
      <c r="DI357" s="1530"/>
      <c r="DJ357" s="1530"/>
      <c r="DK357" s="1530"/>
      <c r="DL357" s="1530"/>
      <c r="DM357" s="1530"/>
      <c r="DN357" s="1571"/>
      <c r="DO357" s="1530"/>
      <c r="DP357" s="1530"/>
    </row>
    <row r="358" spans="1:120">
      <c r="A358" s="1451"/>
      <c r="C358" s="1451"/>
      <c r="K358" s="1451"/>
      <c r="L358" s="1451"/>
      <c r="U358" s="1530"/>
      <c r="V358" s="1530"/>
      <c r="W358" s="1530"/>
      <c r="X358" s="1530"/>
      <c r="Y358" s="1530"/>
      <c r="Z358" s="1530"/>
      <c r="AA358" s="1530"/>
      <c r="AB358" s="1530"/>
      <c r="AC358" s="1530"/>
      <c r="AD358" s="1530"/>
      <c r="AE358" s="1530"/>
      <c r="AF358" s="1530"/>
      <c r="AG358" s="1530"/>
      <c r="AH358" s="1530"/>
      <c r="AI358" s="1530"/>
      <c r="AJ358" s="1530"/>
      <c r="AK358" s="1530"/>
      <c r="AL358" s="1530"/>
      <c r="AM358" s="1530"/>
      <c r="AN358" s="1530"/>
      <c r="AO358" s="1530"/>
      <c r="AP358" s="1530"/>
      <c r="AQ358" s="1530"/>
      <c r="AR358" s="1530"/>
      <c r="AS358" s="1530"/>
      <c r="AT358" s="1530"/>
      <c r="AU358" s="1530"/>
      <c r="AV358" s="1530"/>
      <c r="AW358" s="1530"/>
      <c r="AX358" s="1530"/>
      <c r="AY358" s="1530"/>
      <c r="AZ358" s="1530"/>
      <c r="BA358" s="1530"/>
      <c r="BB358" s="1530"/>
      <c r="BC358" s="1530"/>
      <c r="BD358" s="1530"/>
      <c r="BE358" s="1530"/>
      <c r="BF358" s="1530"/>
      <c r="BG358" s="1530"/>
      <c r="BH358" s="1530"/>
      <c r="BI358" s="1530"/>
      <c r="BJ358" s="1530"/>
      <c r="BK358" s="1530"/>
      <c r="BL358" s="1530"/>
      <c r="BM358" s="1530"/>
      <c r="BN358" s="1530"/>
      <c r="BW358" s="1569"/>
      <c r="CO358" s="1530"/>
      <c r="CP358" s="1530"/>
      <c r="CQ358" s="1530"/>
      <c r="CR358" s="1530"/>
      <c r="CS358" s="1530"/>
      <c r="CT358" s="1530"/>
      <c r="CU358" s="1530"/>
      <c r="CV358" s="1530"/>
      <c r="CW358" s="1530"/>
      <c r="CX358" s="1530"/>
      <c r="CY358" s="1530"/>
      <c r="CZ358" s="1530"/>
      <c r="DA358" s="1530"/>
      <c r="DB358" s="1530"/>
      <c r="DC358" s="1530"/>
      <c r="DD358" s="1530"/>
      <c r="DE358" s="1530"/>
      <c r="DF358" s="1530"/>
      <c r="DG358" s="1530"/>
      <c r="DH358" s="1530"/>
      <c r="DI358" s="1530"/>
      <c r="DJ358" s="1530"/>
      <c r="DK358" s="1530"/>
      <c r="DL358" s="1530"/>
      <c r="DM358" s="1530"/>
      <c r="DN358" s="1571"/>
      <c r="DO358" s="1530"/>
      <c r="DP358" s="1530"/>
    </row>
    <row r="359" spans="1:120">
      <c r="A359" s="1451"/>
      <c r="C359" s="1451"/>
      <c r="K359" s="1451"/>
      <c r="L359" s="1451"/>
      <c r="U359" s="1530"/>
      <c r="V359" s="1530"/>
      <c r="W359" s="1530"/>
      <c r="X359" s="1530"/>
      <c r="Y359" s="1530"/>
      <c r="Z359" s="1530"/>
      <c r="AA359" s="1530"/>
      <c r="AB359" s="1530"/>
      <c r="AC359" s="1530"/>
      <c r="AD359" s="1530"/>
      <c r="AE359" s="1530"/>
      <c r="AF359" s="1530"/>
      <c r="AG359" s="1530"/>
      <c r="AH359" s="1530"/>
      <c r="AI359" s="1530"/>
      <c r="AJ359" s="1530"/>
      <c r="AK359" s="1530"/>
      <c r="AL359" s="1530"/>
      <c r="AM359" s="1530"/>
      <c r="AN359" s="1530"/>
      <c r="AO359" s="1530"/>
      <c r="AP359" s="1530"/>
      <c r="AQ359" s="1530"/>
      <c r="AR359" s="1530"/>
      <c r="AS359" s="1530"/>
      <c r="AT359" s="1530"/>
      <c r="AU359" s="1530"/>
      <c r="AV359" s="1530"/>
      <c r="AW359" s="1530"/>
      <c r="AX359" s="1530"/>
      <c r="AY359" s="1530"/>
      <c r="AZ359" s="1530"/>
      <c r="BA359" s="1530"/>
      <c r="BB359" s="1530"/>
      <c r="BC359" s="1530"/>
      <c r="BD359" s="1530"/>
      <c r="BE359" s="1530"/>
      <c r="BF359" s="1530"/>
      <c r="BG359" s="1530"/>
      <c r="BH359" s="1530"/>
      <c r="BI359" s="1530"/>
      <c r="BJ359" s="1530"/>
      <c r="BK359" s="1530"/>
      <c r="BL359" s="1530"/>
      <c r="BM359" s="1530"/>
      <c r="BN359" s="1530"/>
      <c r="BW359" s="1569"/>
      <c r="CO359" s="1530"/>
      <c r="CP359" s="1530"/>
      <c r="CQ359" s="1530"/>
      <c r="CR359" s="1530"/>
      <c r="CS359" s="1530"/>
      <c r="CT359" s="1530"/>
      <c r="CU359" s="1530"/>
      <c r="CV359" s="1530"/>
      <c r="CW359" s="1530"/>
      <c r="CX359" s="1530"/>
      <c r="CY359" s="1530"/>
      <c r="CZ359" s="1530"/>
      <c r="DA359" s="1530"/>
      <c r="DB359" s="1530"/>
      <c r="DC359" s="1530"/>
      <c r="DD359" s="1530"/>
      <c r="DE359" s="1530"/>
      <c r="DF359" s="1530"/>
      <c r="DG359" s="1530"/>
      <c r="DH359" s="1530"/>
      <c r="DI359" s="1530"/>
      <c r="DJ359" s="1530"/>
      <c r="DK359" s="1530"/>
      <c r="DL359" s="1530"/>
      <c r="DM359" s="1530"/>
      <c r="DN359" s="1571"/>
      <c r="DO359" s="1530"/>
      <c r="DP359" s="1530"/>
    </row>
    <row r="360" spans="1:120">
      <c r="A360" s="1451"/>
      <c r="C360" s="1451"/>
      <c r="K360" s="1451"/>
      <c r="L360" s="1451"/>
      <c r="U360" s="1530"/>
      <c r="V360" s="1530"/>
      <c r="W360" s="1530"/>
      <c r="X360" s="1530"/>
      <c r="Y360" s="1530"/>
      <c r="Z360" s="1530"/>
      <c r="AA360" s="1530"/>
      <c r="AB360" s="1530"/>
      <c r="AC360" s="1530"/>
      <c r="AD360" s="1530"/>
      <c r="AE360" s="1530"/>
      <c r="AF360" s="1530"/>
      <c r="AG360" s="1530"/>
      <c r="AH360" s="1530"/>
      <c r="AI360" s="1530"/>
      <c r="AJ360" s="1530"/>
      <c r="AK360" s="1530"/>
      <c r="AL360" s="1530"/>
      <c r="AM360" s="1530"/>
      <c r="AN360" s="1530"/>
      <c r="AO360" s="1530"/>
      <c r="AP360" s="1530"/>
      <c r="AQ360" s="1530"/>
      <c r="AR360" s="1530"/>
      <c r="AS360" s="1530"/>
      <c r="AT360" s="1530"/>
      <c r="AU360" s="1530"/>
      <c r="AV360" s="1530"/>
      <c r="AW360" s="1530"/>
      <c r="AX360" s="1530"/>
      <c r="AY360" s="1530"/>
      <c r="AZ360" s="1530"/>
      <c r="BA360" s="1530"/>
      <c r="BB360" s="1530"/>
      <c r="BC360" s="1530"/>
      <c r="BD360" s="1530"/>
      <c r="BE360" s="1530"/>
      <c r="BF360" s="1530"/>
      <c r="BG360" s="1530"/>
      <c r="BH360" s="1530"/>
      <c r="BI360" s="1530"/>
      <c r="BJ360" s="1530"/>
      <c r="BK360" s="1530"/>
      <c r="BL360" s="1530"/>
      <c r="BM360" s="1530"/>
      <c r="BN360" s="1530"/>
      <c r="BW360" s="1569"/>
      <c r="CO360" s="1530"/>
      <c r="CP360" s="1530"/>
      <c r="CQ360" s="1530"/>
      <c r="CR360" s="1530"/>
      <c r="CS360" s="1530"/>
      <c r="CT360" s="1530"/>
      <c r="CU360" s="1530"/>
      <c r="CV360" s="1530"/>
      <c r="CW360" s="1530"/>
      <c r="CX360" s="1530"/>
      <c r="CY360" s="1530"/>
      <c r="CZ360" s="1530"/>
      <c r="DA360" s="1530"/>
      <c r="DB360" s="1530"/>
      <c r="DC360" s="1530"/>
      <c r="DD360" s="1530"/>
      <c r="DE360" s="1530"/>
      <c r="DF360" s="1530"/>
      <c r="DG360" s="1530"/>
      <c r="DH360" s="1530"/>
      <c r="DI360" s="1530"/>
      <c r="DJ360" s="1530"/>
      <c r="DK360" s="1530"/>
      <c r="DL360" s="1530"/>
      <c r="DM360" s="1530"/>
      <c r="DN360" s="1571"/>
      <c r="DO360" s="1530"/>
      <c r="DP360" s="1530"/>
    </row>
    <row r="361" spans="1:120">
      <c r="A361" s="1451"/>
      <c r="C361" s="1451"/>
      <c r="K361" s="1451"/>
      <c r="L361" s="1451"/>
      <c r="U361" s="1530"/>
      <c r="V361" s="1530"/>
      <c r="W361" s="1530"/>
      <c r="X361" s="1530"/>
      <c r="Y361" s="1530"/>
      <c r="Z361" s="1530"/>
      <c r="AA361" s="1530"/>
      <c r="AB361" s="1530"/>
      <c r="AC361" s="1530"/>
      <c r="AD361" s="1530"/>
      <c r="AE361" s="1530"/>
      <c r="AF361" s="1530"/>
      <c r="AG361" s="1530"/>
      <c r="AH361" s="1530"/>
      <c r="AI361" s="1530"/>
      <c r="AJ361" s="1530"/>
      <c r="AK361" s="1530"/>
      <c r="AL361" s="1530"/>
      <c r="AM361" s="1530"/>
      <c r="AN361" s="1530"/>
      <c r="AO361" s="1530"/>
      <c r="AP361" s="1530"/>
      <c r="AQ361" s="1530"/>
      <c r="AR361" s="1530"/>
      <c r="AS361" s="1530"/>
      <c r="AT361" s="1530"/>
      <c r="AU361" s="1530"/>
      <c r="AV361" s="1530"/>
      <c r="AW361" s="1530"/>
      <c r="AX361" s="1530"/>
      <c r="AY361" s="1530"/>
      <c r="AZ361" s="1530"/>
      <c r="BA361" s="1530"/>
      <c r="BB361" s="1530"/>
      <c r="BC361" s="1530"/>
      <c r="BD361" s="1530"/>
      <c r="BE361" s="1530"/>
      <c r="BF361" s="1530"/>
      <c r="BG361" s="1530"/>
      <c r="BH361" s="1530"/>
      <c r="BI361" s="1530"/>
      <c r="BJ361" s="1530"/>
      <c r="BK361" s="1530"/>
      <c r="BL361" s="1530"/>
      <c r="BM361" s="1530"/>
      <c r="BN361" s="1530"/>
      <c r="BW361" s="1569"/>
      <c r="CO361" s="1530"/>
      <c r="CP361" s="1530"/>
      <c r="CQ361" s="1530"/>
      <c r="CR361" s="1530"/>
      <c r="CS361" s="1530"/>
      <c r="CT361" s="1530"/>
      <c r="CU361" s="1530"/>
      <c r="CV361" s="1530"/>
      <c r="CW361" s="1530"/>
      <c r="CX361" s="1530"/>
      <c r="CY361" s="1530"/>
      <c r="CZ361" s="1530"/>
      <c r="DA361" s="1530"/>
      <c r="DB361" s="1530"/>
      <c r="DC361" s="1530"/>
      <c r="DD361" s="1530"/>
      <c r="DE361" s="1530"/>
      <c r="DF361" s="1530"/>
      <c r="DG361" s="1530"/>
      <c r="DH361" s="1530"/>
      <c r="DI361" s="1530"/>
      <c r="DJ361" s="1530"/>
      <c r="DK361" s="1530"/>
      <c r="DL361" s="1530"/>
      <c r="DM361" s="1530"/>
      <c r="DN361" s="1571"/>
      <c r="DO361" s="1530"/>
      <c r="DP361" s="1530"/>
    </row>
    <row r="362" spans="1:120">
      <c r="A362" s="1451"/>
      <c r="C362" s="1451"/>
      <c r="K362" s="1451"/>
      <c r="L362" s="1451"/>
      <c r="U362" s="1530"/>
      <c r="V362" s="1530"/>
      <c r="W362" s="1530"/>
      <c r="X362" s="1530"/>
      <c r="Y362" s="1530"/>
      <c r="Z362" s="1530"/>
      <c r="AA362" s="1530"/>
      <c r="AB362" s="1530"/>
      <c r="AC362" s="1530"/>
      <c r="AD362" s="1530"/>
      <c r="AE362" s="1530"/>
      <c r="AF362" s="1530"/>
      <c r="AG362" s="1530"/>
      <c r="AH362" s="1530"/>
      <c r="AI362" s="1530"/>
      <c r="AJ362" s="1530"/>
      <c r="AK362" s="1530"/>
      <c r="AL362" s="1530"/>
      <c r="AM362" s="1530"/>
      <c r="AN362" s="1530"/>
      <c r="AO362" s="1530"/>
      <c r="AP362" s="1530"/>
      <c r="AQ362" s="1530"/>
      <c r="AR362" s="1530"/>
      <c r="AS362" s="1530"/>
      <c r="AT362" s="1530"/>
      <c r="AU362" s="1530"/>
      <c r="AV362" s="1530"/>
      <c r="AW362" s="1530"/>
      <c r="AX362" s="1530"/>
      <c r="AY362" s="1530"/>
      <c r="AZ362" s="1530"/>
      <c r="BA362" s="1530"/>
      <c r="BB362" s="1530"/>
      <c r="BC362" s="1530"/>
      <c r="BD362" s="1530"/>
      <c r="BE362" s="1530"/>
      <c r="BF362" s="1530"/>
      <c r="BG362" s="1530"/>
      <c r="BH362" s="1530"/>
      <c r="BI362" s="1530"/>
      <c r="BJ362" s="1530"/>
      <c r="BK362" s="1530"/>
      <c r="BL362" s="1530"/>
      <c r="BM362" s="1530"/>
      <c r="BN362" s="1530"/>
      <c r="BW362" s="1569"/>
      <c r="CO362" s="1530"/>
      <c r="CP362" s="1530"/>
      <c r="CQ362" s="1530"/>
      <c r="CR362" s="1530"/>
      <c r="CS362" s="1530"/>
      <c r="CT362" s="1530"/>
      <c r="CU362" s="1530"/>
      <c r="CV362" s="1530"/>
      <c r="CW362" s="1530"/>
      <c r="CX362" s="1530"/>
      <c r="CY362" s="1530"/>
      <c r="CZ362" s="1530"/>
      <c r="DA362" s="1530"/>
      <c r="DB362" s="1530"/>
      <c r="DC362" s="1530"/>
      <c r="DD362" s="1530"/>
      <c r="DE362" s="1530"/>
      <c r="DF362" s="1530"/>
      <c r="DG362" s="1530"/>
      <c r="DH362" s="1530"/>
      <c r="DI362" s="1530"/>
      <c r="DJ362" s="1530"/>
      <c r="DK362" s="1530"/>
      <c r="DL362" s="1530"/>
      <c r="DM362" s="1530"/>
      <c r="DN362" s="1571"/>
      <c r="DO362" s="1530"/>
      <c r="DP362" s="1530"/>
    </row>
    <row r="363" spans="1:120">
      <c r="A363" s="1451"/>
      <c r="C363" s="1451"/>
      <c r="K363" s="1451"/>
      <c r="L363" s="1451"/>
      <c r="U363" s="1530"/>
      <c r="V363" s="1530"/>
      <c r="W363" s="1530"/>
      <c r="X363" s="1530"/>
      <c r="Y363" s="1530"/>
      <c r="Z363" s="1530"/>
      <c r="AA363" s="1530"/>
      <c r="AB363" s="1530"/>
      <c r="AC363" s="1530"/>
      <c r="AD363" s="1530"/>
      <c r="AE363" s="1530"/>
      <c r="AF363" s="1530"/>
      <c r="AG363" s="1530"/>
      <c r="AH363" s="1530"/>
      <c r="AI363" s="1530"/>
      <c r="AJ363" s="1530"/>
      <c r="AK363" s="1530"/>
      <c r="AL363" s="1530"/>
      <c r="AM363" s="1530"/>
      <c r="AN363" s="1530"/>
      <c r="AO363" s="1530"/>
      <c r="AP363" s="1530"/>
      <c r="AQ363" s="1530"/>
      <c r="AR363" s="1530"/>
      <c r="AS363" s="1530"/>
      <c r="AT363" s="1530"/>
      <c r="AU363" s="1530"/>
      <c r="AV363" s="1530"/>
      <c r="AW363" s="1530"/>
      <c r="AX363" s="1530"/>
      <c r="AY363" s="1530"/>
      <c r="AZ363" s="1530"/>
      <c r="BA363" s="1530"/>
      <c r="BB363" s="1530"/>
      <c r="BC363" s="1530"/>
      <c r="BD363" s="1530"/>
      <c r="BE363" s="1530"/>
      <c r="BF363" s="1530"/>
      <c r="BG363" s="1530"/>
      <c r="BH363" s="1530"/>
      <c r="BI363" s="1530"/>
      <c r="BJ363" s="1530"/>
      <c r="BK363" s="1530"/>
      <c r="BL363" s="1530"/>
      <c r="BM363" s="1530"/>
      <c r="BN363" s="1530"/>
      <c r="BW363" s="1569"/>
      <c r="CO363" s="1530"/>
      <c r="CP363" s="1530"/>
      <c r="CQ363" s="1530"/>
      <c r="CR363" s="1530"/>
      <c r="CS363" s="1530"/>
      <c r="CT363" s="1530"/>
      <c r="CU363" s="1530"/>
      <c r="CV363" s="1530"/>
      <c r="CW363" s="1530"/>
      <c r="CX363" s="1530"/>
      <c r="CY363" s="1530"/>
      <c r="CZ363" s="1530"/>
      <c r="DA363" s="1530"/>
      <c r="DB363" s="1530"/>
      <c r="DC363" s="1530"/>
      <c r="DD363" s="1530"/>
      <c r="DE363" s="1530"/>
      <c r="DF363" s="1530"/>
      <c r="DG363" s="1530"/>
      <c r="DH363" s="1530"/>
      <c r="DI363" s="1530"/>
      <c r="DJ363" s="1530"/>
      <c r="DK363" s="1530"/>
      <c r="DL363" s="1530"/>
      <c r="DM363" s="1530"/>
      <c r="DN363" s="1571"/>
      <c r="DO363" s="1530"/>
      <c r="DP363" s="1530"/>
    </row>
    <row r="364" spans="1:120">
      <c r="A364" s="1451"/>
      <c r="C364" s="1451"/>
      <c r="K364" s="1451"/>
      <c r="L364" s="1451"/>
      <c r="U364" s="1530"/>
      <c r="V364" s="1530"/>
      <c r="W364" s="1530"/>
      <c r="X364" s="1530"/>
      <c r="Y364" s="1530"/>
      <c r="Z364" s="1530"/>
      <c r="AA364" s="1530"/>
      <c r="AB364" s="1530"/>
      <c r="AC364" s="1530"/>
      <c r="AD364" s="1530"/>
      <c r="AE364" s="1530"/>
      <c r="AF364" s="1530"/>
      <c r="AG364" s="1530"/>
      <c r="AH364" s="1530"/>
      <c r="AI364" s="1530"/>
      <c r="AJ364" s="1530"/>
      <c r="AK364" s="1530"/>
      <c r="AL364" s="1530"/>
      <c r="AM364" s="1530"/>
      <c r="AN364" s="1530"/>
      <c r="AO364" s="1530"/>
      <c r="AP364" s="1530"/>
      <c r="AQ364" s="1530"/>
      <c r="AR364" s="1530"/>
      <c r="AS364" s="1530"/>
      <c r="AT364" s="1530"/>
      <c r="AU364" s="1530"/>
      <c r="AV364" s="1530"/>
      <c r="AW364" s="1530"/>
      <c r="AX364" s="1530"/>
      <c r="AY364" s="1530"/>
      <c r="AZ364" s="1530"/>
      <c r="BA364" s="1530"/>
      <c r="BB364" s="1530"/>
      <c r="BC364" s="1530"/>
      <c r="BD364" s="1530"/>
      <c r="BE364" s="1530"/>
      <c r="BF364" s="1530"/>
      <c r="BG364" s="1530"/>
      <c r="BH364" s="1530"/>
      <c r="BI364" s="1530"/>
      <c r="BJ364" s="1530"/>
      <c r="BK364" s="1530"/>
      <c r="BL364" s="1530"/>
      <c r="BM364" s="1530"/>
      <c r="BN364" s="1530"/>
      <c r="BW364" s="1569"/>
      <c r="CO364" s="1530"/>
      <c r="CP364" s="1530"/>
      <c r="CQ364" s="1530"/>
      <c r="CR364" s="1530"/>
      <c r="CS364" s="1530"/>
      <c r="CT364" s="1530"/>
      <c r="CU364" s="1530"/>
      <c r="CV364" s="1530"/>
      <c r="CW364" s="1530"/>
      <c r="CX364" s="1530"/>
      <c r="CY364" s="1530"/>
      <c r="CZ364" s="1530"/>
      <c r="DA364" s="1530"/>
      <c r="DB364" s="1530"/>
      <c r="DC364" s="1530"/>
      <c r="DD364" s="1530"/>
      <c r="DE364" s="1530"/>
      <c r="DF364" s="1530"/>
      <c r="DG364" s="1530"/>
      <c r="DH364" s="1530"/>
      <c r="DI364" s="1530"/>
      <c r="DJ364" s="1530"/>
      <c r="DK364" s="1530"/>
      <c r="DL364" s="1530"/>
      <c r="DM364" s="1530"/>
      <c r="DN364" s="1571"/>
      <c r="DO364" s="1530"/>
      <c r="DP364" s="1530"/>
    </row>
    <row r="365" spans="1:120">
      <c r="A365" s="1451"/>
      <c r="C365" s="1451"/>
      <c r="K365" s="1451"/>
      <c r="L365" s="1451"/>
      <c r="U365" s="1530"/>
      <c r="V365" s="1530"/>
      <c r="W365" s="1530"/>
      <c r="X365" s="1530"/>
      <c r="Y365" s="1530"/>
      <c r="Z365" s="1530"/>
      <c r="AA365" s="1530"/>
      <c r="AB365" s="1530"/>
      <c r="AC365" s="1530"/>
      <c r="AD365" s="1530"/>
      <c r="AE365" s="1530"/>
      <c r="AF365" s="1530"/>
      <c r="AG365" s="1530"/>
      <c r="AH365" s="1530"/>
      <c r="AI365" s="1530"/>
      <c r="AJ365" s="1530"/>
      <c r="AK365" s="1530"/>
      <c r="AL365" s="1530"/>
      <c r="AM365" s="1530"/>
      <c r="AN365" s="1530"/>
      <c r="AO365" s="1530"/>
      <c r="AP365" s="1530"/>
      <c r="AQ365" s="1530"/>
      <c r="AR365" s="1530"/>
      <c r="AS365" s="1530"/>
      <c r="AT365" s="1530"/>
      <c r="AU365" s="1530"/>
      <c r="AV365" s="1530"/>
      <c r="AW365" s="1530"/>
      <c r="AX365" s="1530"/>
      <c r="AY365" s="1530"/>
      <c r="AZ365" s="1530"/>
      <c r="BA365" s="1530"/>
      <c r="BB365" s="1530"/>
      <c r="BC365" s="1530"/>
      <c r="BD365" s="1530"/>
      <c r="BE365" s="1530"/>
      <c r="BF365" s="1530"/>
      <c r="BG365" s="1530"/>
      <c r="BH365" s="1530"/>
      <c r="BI365" s="1530"/>
      <c r="BJ365" s="1530"/>
      <c r="BK365" s="1530"/>
      <c r="BL365" s="1530"/>
      <c r="BM365" s="1530"/>
      <c r="BN365" s="1530"/>
      <c r="BW365" s="1569"/>
      <c r="CO365" s="1530"/>
      <c r="CP365" s="1530"/>
      <c r="CQ365" s="1530"/>
      <c r="CR365" s="1530"/>
      <c r="CS365" s="1530"/>
      <c r="CT365" s="1530"/>
      <c r="CU365" s="1530"/>
      <c r="CV365" s="1530"/>
      <c r="CW365" s="1530"/>
      <c r="CX365" s="1530"/>
      <c r="CY365" s="1530"/>
      <c r="CZ365" s="1530"/>
      <c r="DA365" s="1530"/>
      <c r="DB365" s="1530"/>
      <c r="DC365" s="1530"/>
      <c r="DD365" s="1530"/>
      <c r="DE365" s="1530"/>
      <c r="DF365" s="1530"/>
      <c r="DG365" s="1530"/>
      <c r="DH365" s="1530"/>
      <c r="DI365" s="1530"/>
      <c r="DJ365" s="1530"/>
      <c r="DK365" s="1530"/>
      <c r="DL365" s="1530"/>
      <c r="DM365" s="1530"/>
      <c r="DN365" s="1571"/>
      <c r="DO365" s="1530"/>
      <c r="DP365" s="1530"/>
    </row>
    <row r="366" spans="1:120">
      <c r="A366" s="1451"/>
      <c r="C366" s="1451"/>
      <c r="K366" s="1451"/>
      <c r="L366" s="1451"/>
      <c r="U366" s="1530"/>
      <c r="V366" s="1530"/>
      <c r="W366" s="1530"/>
      <c r="X366" s="1530"/>
      <c r="Y366" s="1530"/>
      <c r="Z366" s="1530"/>
      <c r="AA366" s="1530"/>
      <c r="AB366" s="1530"/>
      <c r="AC366" s="1530"/>
      <c r="AD366" s="1530"/>
      <c r="AE366" s="1530"/>
      <c r="AF366" s="1530"/>
      <c r="AG366" s="1530"/>
      <c r="AH366" s="1530"/>
      <c r="AI366" s="1530"/>
      <c r="AJ366" s="1530"/>
      <c r="AK366" s="1530"/>
      <c r="AL366" s="1530"/>
      <c r="AM366" s="1530"/>
      <c r="AN366" s="1530"/>
      <c r="AO366" s="1530"/>
      <c r="AP366" s="1530"/>
      <c r="AQ366" s="1530"/>
      <c r="AR366" s="1530"/>
      <c r="AS366" s="1530"/>
      <c r="AT366" s="1530"/>
      <c r="AU366" s="1530"/>
      <c r="AV366" s="1530"/>
      <c r="AW366" s="1530"/>
      <c r="AX366" s="1530"/>
      <c r="AY366" s="1530"/>
      <c r="AZ366" s="1530"/>
      <c r="BA366" s="1530"/>
      <c r="BB366" s="1530"/>
      <c r="BC366" s="1530"/>
      <c r="BD366" s="1530"/>
      <c r="BE366" s="1530"/>
      <c r="BF366" s="1530"/>
      <c r="BG366" s="1530"/>
      <c r="BH366" s="1530"/>
      <c r="BI366" s="1530"/>
      <c r="BJ366" s="1530"/>
      <c r="BK366" s="1530"/>
      <c r="BL366" s="1530"/>
      <c r="BM366" s="1530"/>
      <c r="BN366" s="1530"/>
      <c r="BW366" s="1569"/>
      <c r="CO366" s="1530"/>
      <c r="CP366" s="1530"/>
      <c r="CQ366" s="1530"/>
      <c r="CR366" s="1530"/>
      <c r="CS366" s="1530"/>
      <c r="CT366" s="1530"/>
      <c r="CU366" s="1530"/>
      <c r="CV366" s="1530"/>
      <c r="CW366" s="1530"/>
      <c r="CX366" s="1530"/>
      <c r="CY366" s="1530"/>
      <c r="CZ366" s="1530"/>
      <c r="DA366" s="1530"/>
      <c r="DB366" s="1530"/>
      <c r="DC366" s="1530"/>
      <c r="DD366" s="1530"/>
      <c r="DE366" s="1530"/>
      <c r="DF366" s="1530"/>
      <c r="DG366" s="1530"/>
      <c r="DH366" s="1530"/>
      <c r="DI366" s="1530"/>
      <c r="DJ366" s="1530"/>
      <c r="DK366" s="1530"/>
      <c r="DL366" s="1530"/>
      <c r="DM366" s="1530"/>
      <c r="DN366" s="1571"/>
      <c r="DO366" s="1530"/>
      <c r="DP366" s="1530"/>
    </row>
    <row r="367" spans="1:120">
      <c r="A367" s="1451"/>
      <c r="C367" s="1451"/>
      <c r="K367" s="1451"/>
      <c r="L367" s="1451"/>
      <c r="U367" s="1530"/>
      <c r="V367" s="1530"/>
      <c r="W367" s="1530"/>
      <c r="X367" s="1530"/>
      <c r="Y367" s="1530"/>
      <c r="Z367" s="1530"/>
      <c r="AA367" s="1530"/>
      <c r="AB367" s="1530"/>
      <c r="AC367" s="1530"/>
      <c r="AD367" s="1530"/>
      <c r="AE367" s="1530"/>
      <c r="AF367" s="1530"/>
      <c r="AG367" s="1530"/>
      <c r="AH367" s="1530"/>
      <c r="AI367" s="1530"/>
      <c r="AJ367" s="1530"/>
      <c r="AK367" s="1530"/>
      <c r="AL367" s="1530"/>
      <c r="AM367" s="1530"/>
      <c r="AN367" s="1530"/>
      <c r="AO367" s="1530"/>
      <c r="AP367" s="1530"/>
      <c r="AQ367" s="1530"/>
      <c r="AR367" s="1530"/>
      <c r="AS367" s="1530"/>
      <c r="AT367" s="1530"/>
      <c r="AU367" s="1530"/>
      <c r="AV367" s="1530"/>
      <c r="AW367" s="1530"/>
      <c r="AX367" s="1530"/>
      <c r="AY367" s="1530"/>
      <c r="AZ367" s="1530"/>
      <c r="BA367" s="1530"/>
      <c r="BB367" s="1530"/>
      <c r="BC367" s="1530"/>
      <c r="BD367" s="1530"/>
      <c r="BE367" s="1530"/>
      <c r="BF367" s="1530"/>
      <c r="BG367" s="1530"/>
      <c r="BH367" s="1530"/>
      <c r="BI367" s="1530"/>
      <c r="BJ367" s="1530"/>
      <c r="BK367" s="1530"/>
      <c r="BL367" s="1530"/>
      <c r="BM367" s="1530"/>
      <c r="BN367" s="1530"/>
      <c r="BW367" s="1569"/>
      <c r="CO367" s="1530"/>
      <c r="CP367" s="1530"/>
      <c r="CQ367" s="1530"/>
      <c r="CR367" s="1530"/>
      <c r="CS367" s="1530"/>
      <c r="CT367" s="1530"/>
      <c r="CU367" s="1530"/>
      <c r="CV367" s="1530"/>
      <c r="CW367" s="1530"/>
      <c r="CX367" s="1530"/>
      <c r="CY367" s="1530"/>
      <c r="CZ367" s="1530"/>
      <c r="DA367" s="1530"/>
      <c r="DB367" s="1530"/>
      <c r="DC367" s="1530"/>
      <c r="DD367" s="1530"/>
      <c r="DE367" s="1530"/>
      <c r="DF367" s="1530"/>
      <c r="DG367" s="1530"/>
      <c r="DH367" s="1530"/>
      <c r="DI367" s="1530"/>
      <c r="DJ367" s="1530"/>
      <c r="DK367" s="1530"/>
      <c r="DL367" s="1530"/>
      <c r="DM367" s="1530"/>
      <c r="DN367" s="1571"/>
      <c r="DO367" s="1530"/>
      <c r="DP367" s="1530"/>
    </row>
    <row r="368" spans="1:120">
      <c r="A368" s="1451"/>
      <c r="C368" s="1451"/>
      <c r="K368" s="1451"/>
      <c r="L368" s="1451"/>
      <c r="U368" s="1530"/>
      <c r="V368" s="1530"/>
      <c r="W368" s="1530"/>
      <c r="X368" s="1530"/>
      <c r="Y368" s="1530"/>
      <c r="Z368" s="1530"/>
      <c r="AA368" s="1530"/>
      <c r="AB368" s="1530"/>
      <c r="AC368" s="1530"/>
      <c r="AD368" s="1530"/>
      <c r="AE368" s="1530"/>
      <c r="AF368" s="1530"/>
      <c r="AG368" s="1530"/>
      <c r="AH368" s="1530"/>
      <c r="AI368" s="1530"/>
      <c r="AJ368" s="1530"/>
      <c r="AK368" s="1530"/>
      <c r="AL368" s="1530"/>
      <c r="AM368" s="1530"/>
      <c r="AN368" s="1530"/>
      <c r="AO368" s="1530"/>
      <c r="AP368" s="1530"/>
      <c r="AQ368" s="1530"/>
      <c r="AR368" s="1530"/>
      <c r="AS368" s="1530"/>
      <c r="AT368" s="1530"/>
      <c r="AU368" s="1530"/>
      <c r="AV368" s="1530"/>
      <c r="AW368" s="1530"/>
      <c r="AX368" s="1530"/>
      <c r="AY368" s="1530"/>
      <c r="AZ368" s="1530"/>
      <c r="BA368" s="1530"/>
      <c r="BB368" s="1530"/>
      <c r="BC368" s="1530"/>
      <c r="BD368" s="1530"/>
      <c r="BE368" s="1530"/>
      <c r="BF368" s="1530"/>
      <c r="BG368" s="1530"/>
      <c r="BH368" s="1530"/>
      <c r="BI368" s="1530"/>
      <c r="BJ368" s="1530"/>
      <c r="BK368" s="1530"/>
      <c r="BL368" s="1530"/>
      <c r="BM368" s="1530"/>
      <c r="BN368" s="1530"/>
      <c r="BW368" s="1569"/>
      <c r="CO368" s="1530"/>
      <c r="CP368" s="1530"/>
      <c r="CQ368" s="1530"/>
      <c r="CR368" s="1530"/>
      <c r="CS368" s="1530"/>
      <c r="CT368" s="1530"/>
      <c r="CU368" s="1530"/>
      <c r="CV368" s="1530"/>
      <c r="CW368" s="1530"/>
      <c r="CX368" s="1530"/>
      <c r="CY368" s="1530"/>
      <c r="CZ368" s="1530"/>
      <c r="DA368" s="1530"/>
      <c r="DB368" s="1530"/>
      <c r="DC368" s="1530"/>
      <c r="DD368" s="1530"/>
      <c r="DE368" s="1530"/>
      <c r="DF368" s="1530"/>
      <c r="DG368" s="1530"/>
      <c r="DH368" s="1530"/>
      <c r="DI368" s="1530"/>
      <c r="DJ368" s="1530"/>
      <c r="DK368" s="1530"/>
      <c r="DL368" s="1530"/>
      <c r="DM368" s="1530"/>
      <c r="DN368" s="1571"/>
      <c r="DO368" s="1530"/>
      <c r="DP368" s="1530"/>
    </row>
    <row r="369" spans="1:120">
      <c r="A369" s="1451"/>
      <c r="C369" s="1451"/>
      <c r="K369" s="1451"/>
      <c r="L369" s="1451"/>
      <c r="U369" s="1530"/>
      <c r="V369" s="1530"/>
      <c r="W369" s="1530"/>
      <c r="X369" s="1530"/>
      <c r="Y369" s="1530"/>
      <c r="Z369" s="1530"/>
      <c r="AA369" s="1530"/>
      <c r="AB369" s="1530"/>
      <c r="AC369" s="1530"/>
      <c r="AD369" s="1530"/>
      <c r="AE369" s="1530"/>
      <c r="AF369" s="1530"/>
      <c r="AG369" s="1530"/>
      <c r="AH369" s="1530"/>
      <c r="AI369" s="1530"/>
      <c r="AJ369" s="1530"/>
      <c r="AK369" s="1530"/>
      <c r="AL369" s="1530"/>
      <c r="AM369" s="1530"/>
      <c r="AN369" s="1530"/>
      <c r="AO369" s="1530"/>
      <c r="AP369" s="1530"/>
      <c r="AQ369" s="1530"/>
      <c r="AR369" s="1530"/>
      <c r="AS369" s="1530"/>
      <c r="AT369" s="1530"/>
      <c r="AU369" s="1530"/>
      <c r="AV369" s="1530"/>
      <c r="AW369" s="1530"/>
      <c r="AX369" s="1530"/>
      <c r="AY369" s="1530"/>
      <c r="AZ369" s="1530"/>
      <c r="BA369" s="1530"/>
      <c r="BB369" s="1530"/>
      <c r="BC369" s="1530"/>
      <c r="BD369" s="1530"/>
      <c r="BE369" s="1530"/>
      <c r="BF369" s="1530"/>
      <c r="BG369" s="1530"/>
      <c r="BH369" s="1530"/>
      <c r="BI369" s="1530"/>
      <c r="BJ369" s="1530"/>
      <c r="BK369" s="1530"/>
      <c r="BL369" s="1530"/>
      <c r="BM369" s="1530"/>
      <c r="BN369" s="1530"/>
      <c r="BW369" s="1569"/>
      <c r="CO369" s="1530"/>
      <c r="CP369" s="1530"/>
      <c r="CQ369" s="1530"/>
      <c r="CR369" s="1530"/>
      <c r="CS369" s="1530"/>
      <c r="CT369" s="1530"/>
      <c r="CU369" s="1530"/>
      <c r="CV369" s="1530"/>
      <c r="CW369" s="1530"/>
      <c r="CX369" s="1530"/>
      <c r="CY369" s="1530"/>
      <c r="CZ369" s="1530"/>
      <c r="DA369" s="1530"/>
      <c r="DB369" s="1530"/>
      <c r="DC369" s="1530"/>
      <c r="DD369" s="1530"/>
      <c r="DE369" s="1530"/>
      <c r="DF369" s="1530"/>
      <c r="DG369" s="1530"/>
      <c r="DH369" s="1530"/>
      <c r="DI369" s="1530"/>
      <c r="DJ369" s="1530"/>
      <c r="DK369" s="1530"/>
      <c r="DL369" s="1530"/>
      <c r="DM369" s="1530"/>
      <c r="DN369" s="1571"/>
      <c r="DO369" s="1530"/>
      <c r="DP369" s="1530"/>
    </row>
    <row r="370" spans="1:120">
      <c r="A370" s="1451"/>
      <c r="C370" s="1451"/>
      <c r="K370" s="1451"/>
      <c r="L370" s="1451"/>
      <c r="U370" s="1530"/>
      <c r="V370" s="1530"/>
      <c r="W370" s="1530"/>
      <c r="X370" s="1530"/>
      <c r="Y370" s="1530"/>
      <c r="Z370" s="1530"/>
      <c r="AA370" s="1530"/>
      <c r="AB370" s="1530"/>
      <c r="AC370" s="1530"/>
      <c r="AD370" s="1530"/>
      <c r="AE370" s="1530"/>
      <c r="AF370" s="1530"/>
      <c r="AG370" s="1530"/>
      <c r="AH370" s="1530"/>
      <c r="AI370" s="1530"/>
      <c r="AJ370" s="1530"/>
      <c r="AK370" s="1530"/>
      <c r="AL370" s="1530"/>
      <c r="AM370" s="1530"/>
      <c r="AN370" s="1530"/>
      <c r="AO370" s="1530"/>
      <c r="AP370" s="1530"/>
      <c r="AQ370" s="1530"/>
      <c r="AR370" s="1530"/>
      <c r="AS370" s="1530"/>
      <c r="AT370" s="1530"/>
      <c r="AU370" s="1530"/>
      <c r="AV370" s="1530"/>
      <c r="AW370" s="1530"/>
      <c r="AX370" s="1530"/>
      <c r="AY370" s="1530"/>
      <c r="AZ370" s="1530"/>
      <c r="BA370" s="1530"/>
      <c r="BB370" s="1530"/>
      <c r="BC370" s="1530"/>
      <c r="BD370" s="1530"/>
      <c r="BE370" s="1530"/>
      <c r="BF370" s="1530"/>
      <c r="BG370" s="1530"/>
      <c r="BH370" s="1530"/>
      <c r="BI370" s="1530"/>
      <c r="BJ370" s="1530"/>
      <c r="BK370" s="1530"/>
      <c r="BL370" s="1530"/>
      <c r="BM370" s="1530"/>
      <c r="BN370" s="1530"/>
      <c r="BW370" s="1569"/>
      <c r="CO370" s="1530"/>
      <c r="CP370" s="1530"/>
      <c r="CQ370" s="1530"/>
      <c r="CR370" s="1530"/>
      <c r="CS370" s="1530"/>
      <c r="CT370" s="1530"/>
      <c r="CU370" s="1530"/>
      <c r="CV370" s="1530"/>
      <c r="CW370" s="1530"/>
      <c r="CX370" s="1530"/>
      <c r="CY370" s="1530"/>
      <c r="CZ370" s="1530"/>
      <c r="DA370" s="1530"/>
      <c r="DB370" s="1530"/>
      <c r="DC370" s="1530"/>
      <c r="DD370" s="1530"/>
      <c r="DE370" s="1530"/>
      <c r="DF370" s="1530"/>
      <c r="DG370" s="1530"/>
      <c r="DH370" s="1530"/>
      <c r="DI370" s="1530"/>
      <c r="DJ370" s="1530"/>
      <c r="DK370" s="1530"/>
      <c r="DL370" s="1530"/>
      <c r="DM370" s="1530"/>
      <c r="DN370" s="1571"/>
      <c r="DO370" s="1530"/>
      <c r="DP370" s="1530"/>
    </row>
    <row r="371" spans="1:120">
      <c r="A371" s="1451"/>
      <c r="C371" s="1451"/>
      <c r="K371" s="1451"/>
      <c r="L371" s="1451"/>
      <c r="U371" s="1530"/>
      <c r="V371" s="1530"/>
      <c r="W371" s="1530"/>
      <c r="X371" s="1530"/>
      <c r="Y371" s="1530"/>
      <c r="Z371" s="1530"/>
      <c r="AA371" s="1530"/>
      <c r="AB371" s="1530"/>
      <c r="AC371" s="1530"/>
      <c r="AD371" s="1530"/>
      <c r="AE371" s="1530"/>
      <c r="AF371" s="1530"/>
      <c r="AG371" s="1530"/>
      <c r="AH371" s="1530"/>
      <c r="AI371" s="1530"/>
      <c r="AJ371" s="1530"/>
      <c r="AK371" s="1530"/>
      <c r="AL371" s="1530"/>
      <c r="AM371" s="1530"/>
      <c r="AN371" s="1530"/>
      <c r="AO371" s="1530"/>
      <c r="AP371" s="1530"/>
      <c r="AQ371" s="1530"/>
      <c r="AR371" s="1530"/>
      <c r="AS371" s="1530"/>
      <c r="AT371" s="1530"/>
      <c r="AU371" s="1530"/>
      <c r="AV371" s="1530"/>
      <c r="AW371" s="1530"/>
      <c r="AX371" s="1530"/>
      <c r="AY371" s="1530"/>
      <c r="AZ371" s="1530"/>
      <c r="BA371" s="1530"/>
      <c r="BB371" s="1530"/>
      <c r="BC371" s="1530"/>
      <c r="BD371" s="1530"/>
      <c r="BE371" s="1530"/>
      <c r="BF371" s="1530"/>
      <c r="BG371" s="1530"/>
      <c r="BH371" s="1530"/>
      <c r="BI371" s="1530"/>
      <c r="BJ371" s="1530"/>
      <c r="BK371" s="1530"/>
      <c r="BL371" s="1530"/>
      <c r="BM371" s="1530"/>
      <c r="BN371" s="1530"/>
      <c r="BW371" s="1569"/>
      <c r="CO371" s="1530"/>
      <c r="CP371" s="1530"/>
      <c r="CQ371" s="1530"/>
      <c r="CR371" s="1530"/>
      <c r="CS371" s="1530"/>
      <c r="CT371" s="1530"/>
      <c r="CU371" s="1530"/>
      <c r="CV371" s="1530"/>
      <c r="CW371" s="1530"/>
      <c r="CX371" s="1530"/>
      <c r="CY371" s="1530"/>
      <c r="CZ371" s="1530"/>
      <c r="DA371" s="1530"/>
      <c r="DB371" s="1530"/>
      <c r="DC371" s="1530"/>
      <c r="DD371" s="1530"/>
      <c r="DE371" s="1530"/>
      <c r="DF371" s="1530"/>
      <c r="DG371" s="1530"/>
      <c r="DH371" s="1530"/>
      <c r="DI371" s="1530"/>
      <c r="DJ371" s="1530"/>
      <c r="DK371" s="1530"/>
      <c r="DL371" s="1530"/>
      <c r="DM371" s="1530"/>
      <c r="DN371" s="1571"/>
      <c r="DO371" s="1530"/>
      <c r="DP371" s="1530"/>
    </row>
    <row r="372" spans="1:120">
      <c r="A372" s="1451"/>
      <c r="C372" s="1451"/>
      <c r="K372" s="1451"/>
      <c r="L372" s="1451"/>
      <c r="U372" s="1530"/>
      <c r="V372" s="1530"/>
      <c r="W372" s="1530"/>
      <c r="X372" s="1530"/>
      <c r="Y372" s="1530"/>
      <c r="Z372" s="1530"/>
      <c r="AA372" s="1530"/>
      <c r="AB372" s="1530"/>
      <c r="AC372" s="1530"/>
      <c r="AD372" s="1530"/>
      <c r="AE372" s="1530"/>
      <c r="AF372" s="1530"/>
      <c r="AG372" s="1530"/>
      <c r="AH372" s="1530"/>
      <c r="AI372" s="1530"/>
      <c r="AJ372" s="1530"/>
      <c r="AK372" s="1530"/>
      <c r="AL372" s="1530"/>
      <c r="AM372" s="1530"/>
      <c r="AN372" s="1530"/>
      <c r="AO372" s="1530"/>
      <c r="AP372" s="1530"/>
      <c r="AQ372" s="1530"/>
      <c r="AR372" s="1530"/>
      <c r="AS372" s="1530"/>
      <c r="AT372" s="1530"/>
      <c r="AU372" s="1530"/>
      <c r="AV372" s="1530"/>
      <c r="AW372" s="1530"/>
      <c r="AX372" s="1530"/>
      <c r="AY372" s="1530"/>
      <c r="AZ372" s="1530"/>
      <c r="BA372" s="1530"/>
      <c r="BB372" s="1530"/>
      <c r="BC372" s="1530"/>
      <c r="BD372" s="1530"/>
      <c r="BE372" s="1530"/>
      <c r="BF372" s="1530"/>
      <c r="BG372" s="1530"/>
      <c r="BH372" s="1530"/>
      <c r="BI372" s="1530"/>
      <c r="BJ372" s="1530"/>
      <c r="BK372" s="1530"/>
      <c r="BL372" s="1530"/>
      <c r="BM372" s="1530"/>
      <c r="BN372" s="1530"/>
      <c r="BW372" s="1569"/>
      <c r="CO372" s="1530"/>
      <c r="CP372" s="1530"/>
      <c r="CQ372" s="1530"/>
      <c r="CR372" s="1530"/>
      <c r="CS372" s="1530"/>
      <c r="CT372" s="1530"/>
      <c r="CU372" s="1530"/>
      <c r="CV372" s="1530"/>
      <c r="CW372" s="1530"/>
      <c r="CX372" s="1530"/>
      <c r="CY372" s="1530"/>
      <c r="CZ372" s="1530"/>
      <c r="DA372" s="1530"/>
      <c r="DB372" s="1530"/>
      <c r="DC372" s="1530"/>
      <c r="DD372" s="1530"/>
      <c r="DE372" s="1530"/>
      <c r="DF372" s="1530"/>
      <c r="DG372" s="1530"/>
      <c r="DH372" s="1530"/>
      <c r="DI372" s="1530"/>
      <c r="DJ372" s="1530"/>
      <c r="DK372" s="1530"/>
      <c r="DL372" s="1530"/>
      <c r="DM372" s="1530"/>
      <c r="DN372" s="1571"/>
      <c r="DO372" s="1530"/>
      <c r="DP372" s="1530"/>
    </row>
    <row r="373" spans="1:120">
      <c r="A373" s="1451"/>
      <c r="C373" s="1451"/>
      <c r="K373" s="1451"/>
      <c r="L373" s="1451"/>
      <c r="U373" s="1530"/>
      <c r="V373" s="1530"/>
      <c r="W373" s="1530"/>
      <c r="X373" s="1530"/>
      <c r="Y373" s="1530"/>
      <c r="Z373" s="1530"/>
      <c r="AA373" s="1530"/>
      <c r="AB373" s="1530"/>
      <c r="AC373" s="1530"/>
      <c r="AD373" s="1530"/>
      <c r="AE373" s="1530"/>
      <c r="AF373" s="1530"/>
      <c r="AG373" s="1530"/>
      <c r="AH373" s="1530"/>
      <c r="AI373" s="1530"/>
      <c r="AJ373" s="1530"/>
      <c r="AK373" s="1530"/>
      <c r="AL373" s="1530"/>
      <c r="AM373" s="1530"/>
      <c r="AN373" s="1530"/>
      <c r="AO373" s="1530"/>
      <c r="AP373" s="1530"/>
      <c r="AQ373" s="1530"/>
      <c r="AR373" s="1530"/>
      <c r="AS373" s="1530"/>
      <c r="AT373" s="1530"/>
      <c r="AU373" s="1530"/>
      <c r="AV373" s="1530"/>
      <c r="AW373" s="1530"/>
      <c r="AX373" s="1530"/>
      <c r="AY373" s="1530"/>
      <c r="AZ373" s="1530"/>
      <c r="BA373" s="1530"/>
      <c r="BB373" s="1530"/>
      <c r="BC373" s="1530"/>
      <c r="BD373" s="1530"/>
      <c r="BE373" s="1530"/>
      <c r="BF373" s="1530"/>
      <c r="BG373" s="1530"/>
      <c r="BH373" s="1530"/>
      <c r="BI373" s="1530"/>
      <c r="BJ373" s="1530"/>
      <c r="BK373" s="1530"/>
      <c r="BL373" s="1530"/>
      <c r="BM373" s="1530"/>
      <c r="BN373" s="1530"/>
      <c r="BW373" s="1569"/>
      <c r="CO373" s="1530"/>
      <c r="CP373" s="1530"/>
      <c r="CQ373" s="1530"/>
      <c r="CR373" s="1530"/>
      <c r="CS373" s="1530"/>
      <c r="CT373" s="1530"/>
      <c r="CU373" s="1530"/>
      <c r="CV373" s="1530"/>
      <c r="CW373" s="1530"/>
      <c r="CX373" s="1530"/>
      <c r="CY373" s="1530"/>
      <c r="CZ373" s="1530"/>
      <c r="DA373" s="1530"/>
      <c r="DB373" s="1530"/>
      <c r="DC373" s="1530"/>
      <c r="DD373" s="1530"/>
      <c r="DE373" s="1530"/>
      <c r="DF373" s="1530"/>
      <c r="DG373" s="1530"/>
      <c r="DH373" s="1530"/>
      <c r="DI373" s="1530"/>
      <c r="DJ373" s="1530"/>
      <c r="DK373" s="1530"/>
      <c r="DL373" s="1530"/>
      <c r="DM373" s="1530"/>
      <c r="DN373" s="1571"/>
      <c r="DO373" s="1530"/>
      <c r="DP373" s="1530"/>
    </row>
    <row r="374" spans="1:120">
      <c r="A374" s="1451"/>
      <c r="C374" s="1451"/>
      <c r="K374" s="1451"/>
      <c r="L374" s="1451"/>
      <c r="U374" s="1530"/>
      <c r="V374" s="1530"/>
      <c r="W374" s="1530"/>
      <c r="X374" s="1530"/>
      <c r="Y374" s="1530"/>
      <c r="Z374" s="1530"/>
      <c r="AA374" s="1530"/>
      <c r="AB374" s="1530"/>
      <c r="AC374" s="1530"/>
      <c r="AD374" s="1530"/>
      <c r="AE374" s="1530"/>
      <c r="AF374" s="1530"/>
      <c r="AG374" s="1530"/>
      <c r="AH374" s="1530"/>
      <c r="AI374" s="1530"/>
      <c r="AJ374" s="1530"/>
      <c r="AK374" s="1530"/>
      <c r="AL374" s="1530"/>
      <c r="AM374" s="1530"/>
      <c r="AN374" s="1530"/>
      <c r="AO374" s="1530"/>
      <c r="AP374" s="1530"/>
      <c r="AQ374" s="1530"/>
      <c r="AR374" s="1530"/>
      <c r="AS374" s="1530"/>
      <c r="AT374" s="1530"/>
      <c r="AU374" s="1530"/>
      <c r="AV374" s="1530"/>
      <c r="AW374" s="1530"/>
      <c r="AX374" s="1530"/>
      <c r="AY374" s="1530"/>
      <c r="AZ374" s="1530"/>
      <c r="BA374" s="1530"/>
      <c r="BB374" s="1530"/>
      <c r="BC374" s="1530"/>
      <c r="BD374" s="1530"/>
      <c r="BE374" s="1530"/>
      <c r="BF374" s="1530"/>
      <c r="BG374" s="1530"/>
      <c r="BH374" s="1530"/>
      <c r="BI374" s="1530"/>
      <c r="BJ374" s="1530"/>
      <c r="BK374" s="1530"/>
      <c r="BL374" s="1530"/>
      <c r="BM374" s="1530"/>
      <c r="BN374" s="1530"/>
      <c r="BW374" s="1569"/>
      <c r="CO374" s="1530"/>
      <c r="CP374" s="1530"/>
      <c r="CQ374" s="1530"/>
      <c r="CR374" s="1530"/>
      <c r="CS374" s="1530"/>
      <c r="CT374" s="1530"/>
      <c r="CU374" s="1530"/>
      <c r="CV374" s="1530"/>
      <c r="CW374" s="1530"/>
      <c r="CX374" s="1530"/>
      <c r="CY374" s="1530"/>
      <c r="CZ374" s="1530"/>
      <c r="DA374" s="1530"/>
      <c r="DB374" s="1530"/>
      <c r="DC374" s="1530"/>
      <c r="DD374" s="1530"/>
      <c r="DE374" s="1530"/>
      <c r="DF374" s="1530"/>
      <c r="DG374" s="1530"/>
      <c r="DH374" s="1530"/>
      <c r="DI374" s="1530"/>
      <c r="DJ374" s="1530"/>
      <c r="DK374" s="1530"/>
      <c r="DL374" s="1530"/>
      <c r="DM374" s="1530"/>
      <c r="DN374" s="1571"/>
      <c r="DO374" s="1530"/>
      <c r="DP374" s="1530"/>
    </row>
    <row r="375" spans="1:120">
      <c r="A375" s="1451"/>
      <c r="C375" s="1451"/>
      <c r="K375" s="1451"/>
      <c r="L375" s="1451"/>
      <c r="U375" s="1530"/>
      <c r="V375" s="1530"/>
      <c r="W375" s="1530"/>
      <c r="X375" s="1530"/>
      <c r="Y375" s="1530"/>
      <c r="Z375" s="1530"/>
      <c r="AA375" s="1530"/>
      <c r="AB375" s="1530"/>
      <c r="AC375" s="1530"/>
      <c r="AD375" s="1530"/>
      <c r="AE375" s="1530"/>
      <c r="AF375" s="1530"/>
      <c r="AG375" s="1530"/>
      <c r="AH375" s="1530"/>
      <c r="AI375" s="1530"/>
      <c r="AJ375" s="1530"/>
      <c r="AK375" s="1530"/>
      <c r="AL375" s="1530"/>
      <c r="AM375" s="1530"/>
      <c r="AN375" s="1530"/>
      <c r="AO375" s="1530"/>
      <c r="AP375" s="1530"/>
      <c r="AQ375" s="1530"/>
      <c r="AR375" s="1530"/>
      <c r="AS375" s="1530"/>
      <c r="AT375" s="1530"/>
      <c r="AU375" s="1530"/>
      <c r="AV375" s="1530"/>
      <c r="AW375" s="1530"/>
      <c r="AX375" s="1530"/>
      <c r="AY375" s="1530"/>
      <c r="AZ375" s="1530"/>
      <c r="BA375" s="1530"/>
      <c r="BB375" s="1530"/>
      <c r="BC375" s="1530"/>
      <c r="BD375" s="1530"/>
      <c r="BE375" s="1530"/>
      <c r="BF375" s="1530"/>
      <c r="BG375" s="1530"/>
      <c r="BH375" s="1530"/>
      <c r="BI375" s="1530"/>
      <c r="BJ375" s="1530"/>
      <c r="BK375" s="1530"/>
      <c r="BL375" s="1530"/>
      <c r="BM375" s="1530"/>
      <c r="BN375" s="1530"/>
      <c r="BW375" s="1569"/>
      <c r="CO375" s="1530"/>
      <c r="CP375" s="1530"/>
      <c r="CQ375" s="1530"/>
      <c r="CR375" s="1530"/>
      <c r="CS375" s="1530"/>
      <c r="CT375" s="1530"/>
      <c r="CU375" s="1530"/>
      <c r="CV375" s="1530"/>
      <c r="CW375" s="1530"/>
      <c r="CX375" s="1530"/>
      <c r="CY375" s="1530"/>
      <c r="CZ375" s="1530"/>
      <c r="DA375" s="1530"/>
      <c r="DB375" s="1530"/>
      <c r="DC375" s="1530"/>
      <c r="DD375" s="1530"/>
      <c r="DE375" s="1530"/>
      <c r="DF375" s="1530"/>
      <c r="DG375" s="1530"/>
      <c r="DH375" s="1530"/>
      <c r="DI375" s="1530"/>
      <c r="DJ375" s="1530"/>
      <c r="DK375" s="1530"/>
      <c r="DL375" s="1530"/>
      <c r="DM375" s="1530"/>
      <c r="DN375" s="1571"/>
      <c r="DO375" s="1530"/>
      <c r="DP375" s="1530"/>
    </row>
    <row r="376" spans="1:120">
      <c r="A376" s="1451"/>
      <c r="C376" s="1451"/>
      <c r="K376" s="1451"/>
      <c r="L376" s="1451"/>
      <c r="U376" s="1530"/>
      <c r="V376" s="1530"/>
      <c r="W376" s="1530"/>
      <c r="X376" s="1530"/>
      <c r="Y376" s="1530"/>
      <c r="Z376" s="1530"/>
      <c r="AA376" s="1530"/>
      <c r="AB376" s="1530"/>
      <c r="AC376" s="1530"/>
      <c r="AD376" s="1530"/>
      <c r="AE376" s="1530"/>
      <c r="AF376" s="1530"/>
      <c r="AG376" s="1530"/>
      <c r="AH376" s="1530"/>
      <c r="AI376" s="1530"/>
      <c r="AJ376" s="1530"/>
      <c r="AK376" s="1530"/>
      <c r="AL376" s="1530"/>
      <c r="AM376" s="1530"/>
      <c r="AN376" s="1530"/>
      <c r="AO376" s="1530"/>
      <c r="AP376" s="1530"/>
      <c r="AQ376" s="1530"/>
      <c r="AR376" s="1530"/>
      <c r="AS376" s="1530"/>
      <c r="AT376" s="1530"/>
      <c r="AU376" s="1530"/>
      <c r="AV376" s="1530"/>
      <c r="AW376" s="1530"/>
      <c r="AX376" s="1530"/>
      <c r="AY376" s="1530"/>
      <c r="AZ376" s="1530"/>
      <c r="BA376" s="1530"/>
      <c r="BB376" s="1530"/>
      <c r="BC376" s="1530"/>
      <c r="BD376" s="1530"/>
      <c r="BE376" s="1530"/>
      <c r="BF376" s="1530"/>
      <c r="BG376" s="1530"/>
      <c r="BH376" s="1530"/>
      <c r="BI376" s="1530"/>
      <c r="BJ376" s="1530"/>
      <c r="BK376" s="1530"/>
      <c r="BL376" s="1530"/>
      <c r="BM376" s="1530"/>
      <c r="BN376" s="1530"/>
      <c r="BW376" s="1569"/>
      <c r="CO376" s="1530"/>
      <c r="CP376" s="1530"/>
      <c r="CQ376" s="1530"/>
      <c r="CR376" s="1530"/>
      <c r="CS376" s="1530"/>
      <c r="CT376" s="1530"/>
      <c r="CU376" s="1530"/>
      <c r="CV376" s="1530"/>
      <c r="CW376" s="1530"/>
      <c r="CX376" s="1530"/>
      <c r="CY376" s="1530"/>
      <c r="CZ376" s="1530"/>
      <c r="DA376" s="1530"/>
      <c r="DB376" s="1530"/>
      <c r="DC376" s="1530"/>
      <c r="DD376" s="1530"/>
      <c r="DE376" s="1530"/>
      <c r="DF376" s="1530"/>
      <c r="DG376" s="1530"/>
      <c r="DH376" s="1530"/>
      <c r="DI376" s="1530"/>
      <c r="DJ376" s="1530"/>
      <c r="DK376" s="1530"/>
      <c r="DL376" s="1530"/>
      <c r="DM376" s="1530"/>
      <c r="DN376" s="1571"/>
      <c r="DO376" s="1530"/>
      <c r="DP376" s="1530"/>
    </row>
    <row r="377" spans="1:120">
      <c r="A377" s="1451"/>
      <c r="C377" s="1451"/>
      <c r="K377" s="1451"/>
      <c r="L377" s="1451"/>
      <c r="U377" s="1530"/>
      <c r="V377" s="1530"/>
      <c r="W377" s="1530"/>
      <c r="X377" s="1530"/>
      <c r="Y377" s="1530"/>
      <c r="Z377" s="1530"/>
      <c r="AA377" s="1530"/>
      <c r="AB377" s="1530"/>
      <c r="AC377" s="1530"/>
      <c r="AD377" s="1530"/>
      <c r="AE377" s="1530"/>
      <c r="AF377" s="1530"/>
      <c r="AG377" s="1530"/>
      <c r="AH377" s="1530"/>
      <c r="AI377" s="1530"/>
      <c r="AJ377" s="1530"/>
      <c r="AK377" s="1530"/>
      <c r="AL377" s="1530"/>
      <c r="AM377" s="1530"/>
      <c r="AN377" s="1530"/>
      <c r="AO377" s="1530"/>
      <c r="AP377" s="1530"/>
      <c r="AQ377" s="1530"/>
      <c r="AR377" s="1530"/>
      <c r="AS377" s="1530"/>
      <c r="AT377" s="1530"/>
      <c r="AU377" s="1530"/>
      <c r="AV377" s="1530"/>
      <c r="AW377" s="1530"/>
      <c r="AX377" s="1530"/>
      <c r="AY377" s="1530"/>
      <c r="AZ377" s="1530"/>
      <c r="BA377" s="1530"/>
      <c r="BB377" s="1530"/>
      <c r="BC377" s="1530"/>
      <c r="BD377" s="1530"/>
      <c r="BE377" s="1530"/>
      <c r="BF377" s="1530"/>
      <c r="BG377" s="1530"/>
      <c r="BH377" s="1530"/>
      <c r="BI377" s="1530"/>
      <c r="BJ377" s="1530"/>
      <c r="BK377" s="1530"/>
      <c r="BL377" s="1530"/>
      <c r="BM377" s="1530"/>
      <c r="BN377" s="1530"/>
      <c r="BW377" s="1569"/>
      <c r="CO377" s="1530"/>
      <c r="CP377" s="1530"/>
      <c r="CQ377" s="1530"/>
      <c r="CR377" s="1530"/>
      <c r="CS377" s="1530"/>
      <c r="CT377" s="1530"/>
      <c r="CU377" s="1530"/>
      <c r="CV377" s="1530"/>
      <c r="CW377" s="1530"/>
      <c r="CX377" s="1530"/>
      <c r="CY377" s="1530"/>
      <c r="CZ377" s="1530"/>
      <c r="DA377" s="1530"/>
      <c r="DB377" s="1530"/>
      <c r="DC377" s="1530"/>
      <c r="DD377" s="1530"/>
      <c r="DE377" s="1530"/>
      <c r="DF377" s="1530"/>
      <c r="DG377" s="1530"/>
      <c r="DH377" s="1530"/>
      <c r="DI377" s="1530"/>
      <c r="DJ377" s="1530"/>
      <c r="DK377" s="1530"/>
      <c r="DL377" s="1530"/>
      <c r="DM377" s="1530"/>
      <c r="DN377" s="1571"/>
      <c r="DO377" s="1530"/>
      <c r="DP377" s="1530"/>
    </row>
    <row r="378" spans="1:120">
      <c r="A378" s="1451"/>
      <c r="C378" s="1451"/>
      <c r="K378" s="1451"/>
      <c r="L378" s="1451"/>
      <c r="U378" s="1530"/>
      <c r="V378" s="1530"/>
      <c r="W378" s="1530"/>
      <c r="X378" s="1530"/>
      <c r="Y378" s="1530"/>
      <c r="Z378" s="1530"/>
      <c r="AA378" s="1530"/>
      <c r="AB378" s="1530"/>
      <c r="AC378" s="1530"/>
      <c r="AD378" s="1530"/>
      <c r="AE378" s="1530"/>
      <c r="AF378" s="1530"/>
      <c r="AG378" s="1530"/>
      <c r="AH378" s="1530"/>
      <c r="AI378" s="1530"/>
      <c r="AJ378" s="1530"/>
      <c r="AK378" s="1530"/>
      <c r="AL378" s="1530"/>
      <c r="AM378" s="1530"/>
      <c r="AN378" s="1530"/>
      <c r="AO378" s="1530"/>
      <c r="AP378" s="1530"/>
      <c r="AQ378" s="1530"/>
      <c r="AR378" s="1530"/>
      <c r="AS378" s="1530"/>
      <c r="AT378" s="1530"/>
      <c r="AU378" s="1530"/>
      <c r="AV378" s="1530"/>
      <c r="AW378" s="1530"/>
      <c r="AX378" s="1530"/>
      <c r="AY378" s="1530"/>
      <c r="AZ378" s="1530"/>
      <c r="BA378" s="1530"/>
      <c r="BB378" s="1530"/>
      <c r="BC378" s="1530"/>
      <c r="BD378" s="1530"/>
      <c r="BE378" s="1530"/>
      <c r="BF378" s="1530"/>
      <c r="BG378" s="1530"/>
      <c r="BH378" s="1530"/>
      <c r="BI378" s="1530"/>
      <c r="BJ378" s="1530"/>
      <c r="BK378" s="1530"/>
      <c r="BL378" s="1530"/>
      <c r="BM378" s="1530"/>
      <c r="BN378" s="1530"/>
      <c r="BW378" s="1569"/>
      <c r="CO378" s="1530"/>
      <c r="CP378" s="1530"/>
      <c r="CQ378" s="1530"/>
      <c r="CR378" s="1530"/>
      <c r="CS378" s="1530"/>
      <c r="CT378" s="1530"/>
      <c r="CU378" s="1530"/>
      <c r="CV378" s="1530"/>
      <c r="CW378" s="1530"/>
      <c r="CX378" s="1530"/>
      <c r="CY378" s="1530"/>
      <c r="CZ378" s="1530"/>
      <c r="DA378" s="1530"/>
      <c r="DB378" s="1530"/>
      <c r="DC378" s="1530"/>
      <c r="DD378" s="1530"/>
      <c r="DE378" s="1530"/>
      <c r="DF378" s="1530"/>
      <c r="DG378" s="1530"/>
      <c r="DH378" s="1530"/>
      <c r="DI378" s="1530"/>
      <c r="DJ378" s="1530"/>
      <c r="DK378" s="1530"/>
      <c r="DL378" s="1530"/>
      <c r="DM378" s="1530"/>
      <c r="DN378" s="1571"/>
      <c r="DO378" s="1530"/>
      <c r="DP378" s="1530"/>
    </row>
    <row r="379" spans="1:120">
      <c r="A379" s="1451"/>
      <c r="C379" s="1451"/>
      <c r="K379" s="1451"/>
      <c r="L379" s="1451"/>
      <c r="U379" s="1530"/>
      <c r="V379" s="1530"/>
      <c r="W379" s="1530"/>
      <c r="X379" s="1530"/>
      <c r="Y379" s="1530"/>
      <c r="Z379" s="1530"/>
      <c r="AA379" s="1530"/>
      <c r="AB379" s="1530"/>
      <c r="AC379" s="1530"/>
      <c r="AD379" s="1530"/>
      <c r="AE379" s="1530"/>
      <c r="AF379" s="1530"/>
      <c r="AG379" s="1530"/>
      <c r="AH379" s="1530"/>
      <c r="AI379" s="1530"/>
      <c r="AJ379" s="1530"/>
      <c r="AK379" s="1530"/>
      <c r="AL379" s="1530"/>
      <c r="AM379" s="1530"/>
      <c r="AN379" s="1530"/>
      <c r="AO379" s="1530"/>
      <c r="AP379" s="1530"/>
      <c r="AQ379" s="1530"/>
      <c r="AR379" s="1530"/>
      <c r="AS379" s="1530"/>
      <c r="AT379" s="1530"/>
      <c r="AU379" s="1530"/>
      <c r="AV379" s="1530"/>
      <c r="AW379" s="1530"/>
      <c r="AX379" s="1530"/>
      <c r="AY379" s="1530"/>
      <c r="AZ379" s="1530"/>
      <c r="BA379" s="1530"/>
      <c r="BB379" s="1530"/>
      <c r="BC379" s="1530"/>
      <c r="BD379" s="1530"/>
      <c r="BE379" s="1530"/>
      <c r="BF379" s="1530"/>
      <c r="BG379" s="1530"/>
      <c r="BH379" s="1530"/>
      <c r="BI379" s="1530"/>
      <c r="BJ379" s="1530"/>
      <c r="BK379" s="1530"/>
      <c r="BL379" s="1530"/>
      <c r="BM379" s="1530"/>
      <c r="BN379" s="1530"/>
      <c r="BW379" s="1569"/>
      <c r="CO379" s="1530"/>
      <c r="CP379" s="1530"/>
      <c r="CQ379" s="1530"/>
      <c r="CR379" s="1530"/>
      <c r="CS379" s="1530"/>
      <c r="CT379" s="1530"/>
      <c r="CU379" s="1530"/>
      <c r="CV379" s="1530"/>
      <c r="CW379" s="1530"/>
      <c r="CX379" s="1530"/>
      <c r="CY379" s="1530"/>
      <c r="CZ379" s="1530"/>
      <c r="DA379" s="1530"/>
      <c r="DB379" s="1530"/>
      <c r="DC379" s="1530"/>
      <c r="DD379" s="1530"/>
      <c r="DE379" s="1530"/>
      <c r="DF379" s="1530"/>
      <c r="DG379" s="1530"/>
      <c r="DH379" s="1530"/>
      <c r="DI379" s="1530"/>
      <c r="DJ379" s="1530"/>
      <c r="DK379" s="1530"/>
      <c r="DL379" s="1530"/>
      <c r="DM379" s="1530"/>
      <c r="DN379" s="1571"/>
      <c r="DO379" s="1530"/>
      <c r="DP379" s="1530"/>
    </row>
    <row r="380" spans="1:120">
      <c r="A380" s="1451"/>
      <c r="C380" s="1451"/>
      <c r="K380" s="1451"/>
      <c r="L380" s="1451"/>
      <c r="U380" s="1530"/>
      <c r="V380" s="1530"/>
      <c r="W380" s="1530"/>
      <c r="X380" s="1530"/>
      <c r="Y380" s="1530"/>
      <c r="Z380" s="1530"/>
      <c r="AA380" s="1530"/>
      <c r="AB380" s="1530"/>
      <c r="AC380" s="1530"/>
      <c r="AD380" s="1530"/>
      <c r="AE380" s="1530"/>
      <c r="AF380" s="1530"/>
      <c r="AG380" s="1530"/>
      <c r="AH380" s="1530"/>
      <c r="AI380" s="1530"/>
      <c r="AJ380" s="1530"/>
      <c r="AK380" s="1530"/>
      <c r="AL380" s="1530"/>
      <c r="AM380" s="1530"/>
      <c r="AN380" s="1530"/>
      <c r="AO380" s="1530"/>
      <c r="AP380" s="1530"/>
      <c r="AQ380" s="1530"/>
      <c r="AR380" s="1530"/>
      <c r="AS380" s="1530"/>
      <c r="AT380" s="1530"/>
      <c r="AU380" s="1530"/>
      <c r="AV380" s="1530"/>
      <c r="AW380" s="1530"/>
      <c r="AX380" s="1530"/>
      <c r="AY380" s="1530"/>
      <c r="AZ380" s="1530"/>
      <c r="BA380" s="1530"/>
      <c r="BB380" s="1530"/>
      <c r="BC380" s="1530"/>
      <c r="BD380" s="1530"/>
      <c r="BE380" s="1530"/>
      <c r="BF380" s="1530"/>
      <c r="BG380" s="1530"/>
      <c r="BH380" s="1530"/>
      <c r="BI380" s="1530"/>
      <c r="BJ380" s="1530"/>
      <c r="BK380" s="1530"/>
      <c r="BL380" s="1530"/>
      <c r="BM380" s="1530"/>
      <c r="BN380" s="1530"/>
      <c r="BW380" s="1569"/>
      <c r="CO380" s="1530"/>
      <c r="CP380" s="1530"/>
      <c r="CQ380" s="1530"/>
      <c r="CR380" s="1530"/>
      <c r="CS380" s="1530"/>
      <c r="CT380" s="1530"/>
      <c r="CU380" s="1530"/>
      <c r="CV380" s="1530"/>
      <c r="CW380" s="1530"/>
      <c r="CX380" s="1530"/>
      <c r="CY380" s="1530"/>
      <c r="CZ380" s="1530"/>
      <c r="DA380" s="1530"/>
      <c r="DB380" s="1530"/>
      <c r="DC380" s="1530"/>
      <c r="DD380" s="1530"/>
      <c r="DE380" s="1530"/>
      <c r="DF380" s="1530"/>
      <c r="DG380" s="1530"/>
      <c r="DH380" s="1530"/>
      <c r="DI380" s="1530"/>
      <c r="DJ380" s="1530"/>
      <c r="DK380" s="1530"/>
      <c r="DL380" s="1530"/>
      <c r="DM380" s="1530"/>
      <c r="DN380" s="1571"/>
      <c r="DO380" s="1530"/>
      <c r="DP380" s="1530"/>
    </row>
    <row r="381" spans="1:120">
      <c r="A381" s="1451"/>
      <c r="C381" s="1451"/>
      <c r="K381" s="1451"/>
      <c r="L381" s="1451"/>
      <c r="U381" s="1530"/>
      <c r="V381" s="1530"/>
      <c r="W381" s="1530"/>
      <c r="X381" s="1530"/>
      <c r="Y381" s="1530"/>
      <c r="Z381" s="1530"/>
      <c r="AA381" s="1530"/>
      <c r="AB381" s="1530"/>
      <c r="AC381" s="1530"/>
      <c r="AD381" s="1530"/>
      <c r="AE381" s="1530"/>
      <c r="AF381" s="1530"/>
      <c r="AG381" s="1530"/>
      <c r="AH381" s="1530"/>
      <c r="AI381" s="1530"/>
      <c r="AJ381" s="1530"/>
      <c r="AK381" s="1530"/>
      <c r="AL381" s="1530"/>
      <c r="AM381" s="1530"/>
      <c r="AN381" s="1530"/>
      <c r="AO381" s="1530"/>
      <c r="AP381" s="1530"/>
      <c r="AQ381" s="1530"/>
      <c r="AR381" s="1530"/>
      <c r="AS381" s="1530"/>
      <c r="AT381" s="1530"/>
      <c r="AU381" s="1530"/>
      <c r="AV381" s="1530"/>
      <c r="AW381" s="1530"/>
      <c r="AX381" s="1530"/>
      <c r="AY381" s="1530"/>
      <c r="AZ381" s="1530"/>
      <c r="BA381" s="1530"/>
      <c r="BB381" s="1530"/>
      <c r="BC381" s="1530"/>
      <c r="BD381" s="1530"/>
      <c r="BE381" s="1530"/>
      <c r="BF381" s="1530"/>
      <c r="BG381" s="1530"/>
      <c r="BH381" s="1530"/>
      <c r="BI381" s="1530"/>
      <c r="BJ381" s="1530"/>
      <c r="BK381" s="1530"/>
      <c r="BL381" s="1530"/>
      <c r="BM381" s="1530"/>
      <c r="BN381" s="1530"/>
      <c r="BW381" s="1569"/>
      <c r="CO381" s="1530"/>
      <c r="CP381" s="1530"/>
      <c r="CQ381" s="1530"/>
      <c r="CR381" s="1530"/>
      <c r="CS381" s="1530"/>
      <c r="CT381" s="1530"/>
      <c r="CU381" s="1530"/>
      <c r="CV381" s="1530"/>
      <c r="CW381" s="1530"/>
      <c r="CX381" s="1530"/>
      <c r="CY381" s="1530"/>
      <c r="CZ381" s="1530"/>
      <c r="DA381" s="1530"/>
      <c r="DB381" s="1530"/>
      <c r="DC381" s="1530"/>
      <c r="DD381" s="1530"/>
      <c r="DE381" s="1530"/>
      <c r="DF381" s="1530"/>
      <c r="DG381" s="1530"/>
      <c r="DH381" s="1530"/>
      <c r="DI381" s="1530"/>
      <c r="DJ381" s="1530"/>
      <c r="DK381" s="1530"/>
      <c r="DL381" s="1530"/>
      <c r="DM381" s="1530"/>
      <c r="DN381" s="1571"/>
      <c r="DO381" s="1530"/>
      <c r="DP381" s="1530"/>
    </row>
    <row r="382" spans="1:120">
      <c r="A382" s="1451"/>
      <c r="C382" s="1451"/>
      <c r="K382" s="1451"/>
      <c r="L382" s="1451"/>
      <c r="U382" s="1530"/>
      <c r="V382" s="1530"/>
      <c r="W382" s="1530"/>
      <c r="X382" s="1530"/>
      <c r="Y382" s="1530"/>
      <c r="Z382" s="1530"/>
      <c r="AA382" s="1530"/>
      <c r="AB382" s="1530"/>
      <c r="AC382" s="1530"/>
      <c r="AD382" s="1530"/>
      <c r="AE382" s="1530"/>
      <c r="AF382" s="1530"/>
      <c r="AG382" s="1530"/>
      <c r="AH382" s="1530"/>
      <c r="AI382" s="1530"/>
      <c r="AJ382" s="1530"/>
      <c r="AK382" s="1530"/>
      <c r="AL382" s="1530"/>
      <c r="AM382" s="1530"/>
      <c r="AN382" s="1530"/>
      <c r="AO382" s="1530"/>
      <c r="AP382" s="1530"/>
      <c r="AQ382" s="1530"/>
      <c r="AR382" s="1530"/>
      <c r="AS382" s="1530"/>
      <c r="AT382" s="1530"/>
      <c r="AU382" s="1530"/>
      <c r="AV382" s="1530"/>
      <c r="AW382" s="1530"/>
      <c r="AX382" s="1530"/>
      <c r="AY382" s="1530"/>
      <c r="AZ382" s="1530"/>
      <c r="BA382" s="1530"/>
      <c r="BB382" s="1530"/>
      <c r="BC382" s="1530"/>
      <c r="BD382" s="1530"/>
      <c r="BE382" s="1530"/>
      <c r="BF382" s="1530"/>
      <c r="BG382" s="1530"/>
      <c r="BH382" s="1530"/>
      <c r="BI382" s="1530"/>
      <c r="BJ382" s="1530"/>
      <c r="BK382" s="1530"/>
      <c r="BL382" s="1530"/>
      <c r="BM382" s="1530"/>
      <c r="BN382" s="1530"/>
      <c r="BW382" s="1569"/>
      <c r="CO382" s="1530"/>
      <c r="CP382" s="1530"/>
      <c r="CQ382" s="1530"/>
      <c r="CR382" s="1530"/>
      <c r="CS382" s="1530"/>
      <c r="CT382" s="1530"/>
      <c r="CU382" s="1530"/>
      <c r="CV382" s="1530"/>
      <c r="CW382" s="1530"/>
      <c r="CX382" s="1530"/>
      <c r="CY382" s="1530"/>
      <c r="CZ382" s="1530"/>
      <c r="DA382" s="1530"/>
      <c r="DB382" s="1530"/>
      <c r="DC382" s="1530"/>
      <c r="DD382" s="1530"/>
      <c r="DE382" s="1530"/>
      <c r="DF382" s="1530"/>
      <c r="DG382" s="1530"/>
      <c r="DH382" s="1530"/>
      <c r="DI382" s="1530"/>
      <c r="DJ382" s="1530"/>
      <c r="DK382" s="1530"/>
      <c r="DL382" s="1530"/>
      <c r="DM382" s="1530"/>
      <c r="DN382" s="1571"/>
      <c r="DO382" s="1530"/>
      <c r="DP382" s="1530"/>
    </row>
    <row r="383" spans="1:120">
      <c r="A383" s="1451"/>
      <c r="C383" s="1451"/>
      <c r="K383" s="1451"/>
      <c r="L383" s="1451"/>
      <c r="U383" s="1530"/>
      <c r="V383" s="1530"/>
      <c r="W383" s="1530"/>
      <c r="X383" s="1530"/>
      <c r="Y383" s="1530"/>
      <c r="Z383" s="1530"/>
      <c r="AA383" s="1530"/>
      <c r="AB383" s="1530"/>
      <c r="AC383" s="1530"/>
      <c r="AD383" s="1530"/>
      <c r="AE383" s="1530"/>
      <c r="AF383" s="1530"/>
      <c r="AG383" s="1530"/>
      <c r="AH383" s="1530"/>
      <c r="AI383" s="1530"/>
      <c r="AJ383" s="1530"/>
      <c r="AK383" s="1530"/>
      <c r="AL383" s="1530"/>
      <c r="AM383" s="1530"/>
      <c r="AN383" s="1530"/>
      <c r="AO383" s="1530"/>
      <c r="AP383" s="1530"/>
      <c r="AQ383" s="1530"/>
      <c r="AR383" s="1530"/>
      <c r="AS383" s="1530"/>
      <c r="AT383" s="1530"/>
      <c r="AU383" s="1530"/>
      <c r="AV383" s="1530"/>
      <c r="AW383" s="1530"/>
      <c r="AX383" s="1530"/>
      <c r="AY383" s="1530"/>
      <c r="AZ383" s="1530"/>
      <c r="BA383" s="1530"/>
      <c r="BB383" s="1530"/>
      <c r="BC383" s="1530"/>
      <c r="BD383" s="1530"/>
      <c r="BE383" s="1530"/>
      <c r="BF383" s="1530"/>
      <c r="BG383" s="1530"/>
      <c r="BH383" s="1530"/>
      <c r="BI383" s="1530"/>
      <c r="BJ383" s="1530"/>
      <c r="BK383" s="1530"/>
      <c r="BL383" s="1530"/>
      <c r="BM383" s="1530"/>
      <c r="BN383" s="1530"/>
      <c r="BW383" s="1569"/>
      <c r="CO383" s="1530"/>
      <c r="CP383" s="1530"/>
      <c r="CQ383" s="1530"/>
      <c r="CR383" s="1530"/>
      <c r="CS383" s="1530"/>
      <c r="CT383" s="1530"/>
      <c r="CU383" s="1530"/>
      <c r="CV383" s="1530"/>
      <c r="CW383" s="1530"/>
      <c r="CX383" s="1530"/>
      <c r="CY383" s="1530"/>
      <c r="CZ383" s="1530"/>
      <c r="DA383" s="1530"/>
      <c r="DB383" s="1530"/>
      <c r="DC383" s="1530"/>
      <c r="DD383" s="1530"/>
      <c r="DE383" s="1530"/>
      <c r="DF383" s="1530"/>
      <c r="DG383" s="1530"/>
      <c r="DH383" s="1530"/>
      <c r="DI383" s="1530"/>
      <c r="DJ383" s="1530"/>
      <c r="DK383" s="1530"/>
      <c r="DL383" s="1530"/>
      <c r="DM383" s="1530"/>
      <c r="DN383" s="1571"/>
      <c r="DO383" s="1530"/>
      <c r="DP383" s="1530"/>
    </row>
    <row r="384" spans="1:120">
      <c r="A384" s="1451"/>
      <c r="C384" s="1451"/>
      <c r="K384" s="1451"/>
      <c r="L384" s="1451"/>
      <c r="U384" s="1530"/>
      <c r="V384" s="1530"/>
      <c r="W384" s="1530"/>
      <c r="X384" s="1530"/>
      <c r="Y384" s="1530"/>
      <c r="Z384" s="1530"/>
      <c r="AA384" s="1530"/>
      <c r="AB384" s="1530"/>
      <c r="AC384" s="1530"/>
      <c r="AD384" s="1530"/>
      <c r="AE384" s="1530"/>
      <c r="AF384" s="1530"/>
      <c r="AG384" s="1530"/>
      <c r="AH384" s="1530"/>
      <c r="AI384" s="1530"/>
      <c r="AJ384" s="1530"/>
      <c r="AK384" s="1530"/>
      <c r="AL384" s="1530"/>
      <c r="AM384" s="1530"/>
      <c r="AN384" s="1530"/>
      <c r="AO384" s="1530"/>
      <c r="AP384" s="1530"/>
      <c r="AQ384" s="1530"/>
      <c r="AR384" s="1530"/>
      <c r="AS384" s="1530"/>
      <c r="AT384" s="1530"/>
      <c r="AU384" s="1530"/>
      <c r="AV384" s="1530"/>
      <c r="AW384" s="1530"/>
      <c r="AX384" s="1530"/>
      <c r="AY384" s="1530"/>
      <c r="AZ384" s="1530"/>
      <c r="BA384" s="1530"/>
      <c r="BB384" s="1530"/>
      <c r="BC384" s="1530"/>
      <c r="BD384" s="1530"/>
      <c r="BE384" s="1530"/>
      <c r="BF384" s="1530"/>
      <c r="BG384" s="1530"/>
      <c r="BH384" s="1530"/>
      <c r="BI384" s="1530"/>
      <c r="BJ384" s="1530"/>
      <c r="BK384" s="1530"/>
      <c r="BL384" s="1530"/>
      <c r="BM384" s="1530"/>
      <c r="BN384" s="1530"/>
      <c r="BW384" s="1569"/>
      <c r="CO384" s="1530"/>
      <c r="CP384" s="1530"/>
      <c r="CQ384" s="1530"/>
      <c r="CR384" s="1530"/>
      <c r="CS384" s="1530"/>
      <c r="CT384" s="1530"/>
      <c r="CU384" s="1530"/>
      <c r="CV384" s="1530"/>
      <c r="CW384" s="1530"/>
      <c r="CX384" s="1530"/>
      <c r="CY384" s="1530"/>
      <c r="CZ384" s="1530"/>
      <c r="DA384" s="1530"/>
      <c r="DB384" s="1530"/>
      <c r="DC384" s="1530"/>
      <c r="DD384" s="1530"/>
      <c r="DE384" s="1530"/>
      <c r="DF384" s="1530"/>
      <c r="DG384" s="1530"/>
      <c r="DH384" s="1530"/>
      <c r="DI384" s="1530"/>
      <c r="DJ384" s="1530"/>
      <c r="DK384" s="1530"/>
      <c r="DL384" s="1530"/>
      <c r="DM384" s="1530"/>
      <c r="DN384" s="1571"/>
      <c r="DO384" s="1530"/>
      <c r="DP384" s="1530"/>
    </row>
    <row r="385" spans="1:120">
      <c r="A385" s="1451"/>
      <c r="C385" s="1451"/>
      <c r="K385" s="1451"/>
      <c r="L385" s="1451"/>
      <c r="U385" s="1530"/>
      <c r="V385" s="1530"/>
      <c r="W385" s="1530"/>
      <c r="X385" s="1530"/>
      <c r="Y385" s="1530"/>
      <c r="Z385" s="1530"/>
      <c r="AA385" s="1530"/>
      <c r="AB385" s="1530"/>
      <c r="AC385" s="1530"/>
      <c r="AD385" s="1530"/>
      <c r="AE385" s="1530"/>
      <c r="AF385" s="1530"/>
      <c r="AG385" s="1530"/>
      <c r="AH385" s="1530"/>
      <c r="AI385" s="1530"/>
      <c r="AJ385" s="1530"/>
      <c r="AK385" s="1530"/>
      <c r="AL385" s="1530"/>
      <c r="AM385" s="1530"/>
      <c r="AN385" s="1530"/>
      <c r="AO385" s="1530"/>
      <c r="AP385" s="1530"/>
      <c r="AQ385" s="1530"/>
      <c r="AR385" s="1530"/>
      <c r="AS385" s="1530"/>
      <c r="AT385" s="1530"/>
      <c r="AU385" s="1530"/>
      <c r="AV385" s="1530"/>
      <c r="AW385" s="1530"/>
      <c r="AX385" s="1530"/>
      <c r="AY385" s="1530"/>
      <c r="AZ385" s="1530"/>
      <c r="BA385" s="1530"/>
      <c r="BB385" s="1530"/>
      <c r="BC385" s="1530"/>
      <c r="BD385" s="1530"/>
      <c r="BE385" s="1530"/>
      <c r="BF385" s="1530"/>
      <c r="BG385" s="1530"/>
      <c r="BH385" s="1530"/>
      <c r="BI385" s="1530"/>
      <c r="BJ385" s="1530"/>
      <c r="BK385" s="1530"/>
      <c r="BL385" s="1530"/>
      <c r="BM385" s="1530"/>
      <c r="BN385" s="1530"/>
      <c r="BW385" s="1569"/>
      <c r="CO385" s="1530"/>
      <c r="CP385" s="1530"/>
      <c r="CQ385" s="1530"/>
      <c r="CR385" s="1530"/>
      <c r="CS385" s="1530"/>
      <c r="CT385" s="1530"/>
      <c r="CU385" s="1530"/>
      <c r="CV385" s="1530"/>
      <c r="CW385" s="1530"/>
      <c r="CX385" s="1530"/>
      <c r="CY385" s="1530"/>
      <c r="CZ385" s="1530"/>
      <c r="DA385" s="1530"/>
      <c r="DB385" s="1530"/>
      <c r="DC385" s="1530"/>
      <c r="DD385" s="1530"/>
      <c r="DE385" s="1530"/>
      <c r="DF385" s="1530"/>
      <c r="DG385" s="1530"/>
      <c r="DH385" s="1530"/>
      <c r="DI385" s="1530"/>
      <c r="DJ385" s="1530"/>
      <c r="DK385" s="1530"/>
      <c r="DL385" s="1530"/>
      <c r="DM385" s="1530"/>
      <c r="DN385" s="1571"/>
      <c r="DO385" s="1530"/>
      <c r="DP385" s="1530"/>
    </row>
    <row r="386" spans="1:120">
      <c r="A386" s="1451"/>
      <c r="C386" s="1451"/>
      <c r="K386" s="1451"/>
      <c r="L386" s="1451"/>
      <c r="U386" s="1530"/>
      <c r="V386" s="1530"/>
      <c r="W386" s="1530"/>
      <c r="X386" s="1530"/>
      <c r="Y386" s="1530"/>
      <c r="Z386" s="1530"/>
      <c r="AA386" s="1530"/>
      <c r="AB386" s="1530"/>
      <c r="AC386" s="1530"/>
      <c r="AD386" s="1530"/>
      <c r="AE386" s="1530"/>
      <c r="AF386" s="1530"/>
      <c r="AG386" s="1530"/>
      <c r="AH386" s="1530"/>
      <c r="AI386" s="1530"/>
      <c r="AJ386" s="1530"/>
      <c r="AK386" s="1530"/>
      <c r="AL386" s="1530"/>
      <c r="AM386" s="1530"/>
      <c r="AN386" s="1530"/>
      <c r="AO386" s="1530"/>
      <c r="AP386" s="1530"/>
      <c r="AQ386" s="1530"/>
      <c r="AR386" s="1530"/>
      <c r="AS386" s="1530"/>
      <c r="AT386" s="1530"/>
      <c r="AU386" s="1530"/>
      <c r="AV386" s="1530"/>
      <c r="AW386" s="1530"/>
      <c r="AX386" s="1530"/>
      <c r="AY386" s="1530"/>
      <c r="AZ386" s="1530"/>
      <c r="BA386" s="1530"/>
      <c r="BB386" s="1530"/>
      <c r="BC386" s="1530"/>
      <c r="BD386" s="1530"/>
      <c r="BE386" s="1530"/>
      <c r="BF386" s="1530"/>
      <c r="BG386" s="1530"/>
      <c r="BH386" s="1530"/>
      <c r="BI386" s="1530"/>
      <c r="BJ386" s="1530"/>
      <c r="BK386" s="1530"/>
      <c r="BL386" s="1530"/>
      <c r="BM386" s="1530"/>
      <c r="BN386" s="1530"/>
      <c r="BW386" s="1569"/>
      <c r="CO386" s="1530"/>
      <c r="CP386" s="1530"/>
      <c r="CQ386" s="1530"/>
      <c r="CR386" s="1530"/>
      <c r="CS386" s="1530"/>
      <c r="CT386" s="1530"/>
      <c r="CU386" s="1530"/>
      <c r="CV386" s="1530"/>
      <c r="CW386" s="1530"/>
      <c r="CX386" s="1530"/>
      <c r="CY386" s="1530"/>
      <c r="CZ386" s="1530"/>
      <c r="DA386" s="1530"/>
      <c r="DB386" s="1530"/>
      <c r="DC386" s="1530"/>
      <c r="DD386" s="1530"/>
      <c r="DE386" s="1530"/>
      <c r="DF386" s="1530"/>
      <c r="DG386" s="1530"/>
      <c r="DH386" s="1530"/>
      <c r="DI386" s="1530"/>
      <c r="DJ386" s="1530"/>
      <c r="DK386" s="1530"/>
      <c r="DL386" s="1530"/>
      <c r="DM386" s="1530"/>
      <c r="DN386" s="1571"/>
      <c r="DO386" s="1530"/>
      <c r="DP386" s="1530"/>
    </row>
    <row r="387" spans="1:120">
      <c r="A387" s="1451"/>
      <c r="C387" s="1451"/>
      <c r="K387" s="1451"/>
      <c r="L387" s="1451"/>
      <c r="U387" s="1530"/>
      <c r="V387" s="1530"/>
      <c r="W387" s="1530"/>
      <c r="X387" s="1530"/>
      <c r="Y387" s="1530"/>
      <c r="Z387" s="1530"/>
      <c r="AA387" s="1530"/>
      <c r="AB387" s="1530"/>
      <c r="AC387" s="1530"/>
      <c r="AD387" s="1530"/>
      <c r="AE387" s="1530"/>
      <c r="AF387" s="1530"/>
      <c r="AG387" s="1530"/>
      <c r="AH387" s="1530"/>
      <c r="AI387" s="1530"/>
      <c r="AJ387" s="1530"/>
      <c r="AK387" s="1530"/>
      <c r="AL387" s="1530"/>
      <c r="AM387" s="1530"/>
      <c r="AN387" s="1530"/>
      <c r="AO387" s="1530"/>
      <c r="AP387" s="1530"/>
      <c r="AQ387" s="1530"/>
      <c r="AR387" s="1530"/>
      <c r="AS387" s="1530"/>
      <c r="AT387" s="1530"/>
      <c r="AU387" s="1530"/>
      <c r="AV387" s="1530"/>
      <c r="AW387" s="1530"/>
      <c r="AX387" s="1530"/>
      <c r="AY387" s="1530"/>
      <c r="AZ387" s="1530"/>
      <c r="BA387" s="1530"/>
      <c r="BB387" s="1530"/>
      <c r="BC387" s="1530"/>
      <c r="BD387" s="1530"/>
      <c r="BE387" s="1530"/>
      <c r="BF387" s="1530"/>
      <c r="BG387" s="1530"/>
      <c r="BH387" s="1530"/>
      <c r="BI387" s="1530"/>
      <c r="BJ387" s="1530"/>
      <c r="BK387" s="1530"/>
      <c r="BL387" s="1530"/>
      <c r="BM387" s="1530"/>
      <c r="BN387" s="1530"/>
      <c r="BW387" s="1569"/>
      <c r="CO387" s="1530"/>
      <c r="CP387" s="1530"/>
      <c r="CQ387" s="1530"/>
      <c r="CR387" s="1530"/>
      <c r="CS387" s="1530"/>
      <c r="CT387" s="1530"/>
      <c r="CU387" s="1530"/>
      <c r="CV387" s="1530"/>
      <c r="CW387" s="1530"/>
      <c r="CX387" s="1530"/>
      <c r="CY387" s="1530"/>
      <c r="CZ387" s="1530"/>
      <c r="DA387" s="1530"/>
      <c r="DB387" s="1530"/>
      <c r="DC387" s="1530"/>
      <c r="DD387" s="1530"/>
      <c r="DE387" s="1530"/>
      <c r="DF387" s="1530"/>
      <c r="DG387" s="1530"/>
      <c r="DH387" s="1530"/>
      <c r="DI387" s="1530"/>
      <c r="DJ387" s="1530"/>
      <c r="DK387" s="1530"/>
      <c r="DL387" s="1530"/>
      <c r="DM387" s="1530"/>
      <c r="DN387" s="1571"/>
      <c r="DO387" s="1530"/>
      <c r="DP387" s="1530"/>
    </row>
    <row r="388" spans="1:120">
      <c r="A388" s="1451"/>
      <c r="C388" s="1451"/>
      <c r="K388" s="1451"/>
      <c r="L388" s="1451"/>
      <c r="U388" s="1530"/>
      <c r="V388" s="1530"/>
      <c r="W388" s="1530"/>
      <c r="X388" s="1530"/>
      <c r="Y388" s="1530"/>
      <c r="Z388" s="1530"/>
      <c r="AA388" s="1530"/>
      <c r="AB388" s="1530"/>
      <c r="AC388" s="1530"/>
      <c r="AD388" s="1530"/>
      <c r="AE388" s="1530"/>
      <c r="AF388" s="1530"/>
      <c r="AG388" s="1530"/>
      <c r="AH388" s="1530"/>
      <c r="AI388" s="1530"/>
      <c r="AJ388" s="1530"/>
      <c r="AK388" s="1530"/>
      <c r="AL388" s="1530"/>
      <c r="AM388" s="1530"/>
      <c r="AN388" s="1530"/>
      <c r="AO388" s="1530"/>
      <c r="AP388" s="1530"/>
      <c r="AQ388" s="1530"/>
      <c r="AR388" s="1530"/>
      <c r="AS388" s="1530"/>
      <c r="AT388" s="1530"/>
      <c r="AU388" s="1530"/>
      <c r="AV388" s="1530"/>
      <c r="AW388" s="1530"/>
      <c r="AX388" s="1530"/>
      <c r="AY388" s="1530"/>
      <c r="AZ388" s="1530"/>
      <c r="BA388" s="1530"/>
      <c r="BB388" s="1530"/>
      <c r="BC388" s="1530"/>
      <c r="BD388" s="1530"/>
      <c r="BE388" s="1530"/>
      <c r="BF388" s="1530"/>
      <c r="BG388" s="1530"/>
      <c r="BH388" s="1530"/>
      <c r="BI388" s="1530"/>
      <c r="BJ388" s="1530"/>
      <c r="BK388" s="1530"/>
      <c r="BL388" s="1530"/>
      <c r="BM388" s="1530"/>
      <c r="BN388" s="1530"/>
      <c r="BW388" s="1569"/>
      <c r="CO388" s="1530"/>
      <c r="CP388" s="1530"/>
      <c r="CQ388" s="1530"/>
      <c r="CR388" s="1530"/>
      <c r="CS388" s="1530"/>
      <c r="CT388" s="1530"/>
      <c r="CU388" s="1530"/>
      <c r="CV388" s="1530"/>
      <c r="CW388" s="1530"/>
      <c r="CX388" s="1530"/>
      <c r="CY388" s="1530"/>
      <c r="CZ388" s="1530"/>
      <c r="DA388" s="1530"/>
      <c r="DB388" s="1530"/>
      <c r="DC388" s="1530"/>
      <c r="DD388" s="1530"/>
      <c r="DE388" s="1530"/>
      <c r="DF388" s="1530"/>
      <c r="DG388" s="1530"/>
      <c r="DH388" s="1530"/>
      <c r="DI388" s="1530"/>
      <c r="DJ388" s="1530"/>
      <c r="DK388" s="1530"/>
      <c r="DL388" s="1530"/>
      <c r="DM388" s="1530"/>
      <c r="DN388" s="1571"/>
      <c r="DO388" s="1530"/>
      <c r="DP388" s="1530"/>
    </row>
    <row r="389" spans="1:120">
      <c r="A389" s="1451"/>
      <c r="C389" s="1451"/>
      <c r="K389" s="1451"/>
      <c r="L389" s="1451"/>
      <c r="U389" s="1530"/>
      <c r="V389" s="1530"/>
      <c r="W389" s="1530"/>
      <c r="X389" s="1530"/>
      <c r="Y389" s="1530"/>
      <c r="Z389" s="1530"/>
      <c r="AA389" s="1530"/>
      <c r="AB389" s="1530"/>
      <c r="AC389" s="1530"/>
      <c r="AD389" s="1530"/>
      <c r="AE389" s="1530"/>
      <c r="AF389" s="1530"/>
      <c r="AG389" s="1530"/>
      <c r="AH389" s="1530"/>
      <c r="AI389" s="1530"/>
      <c r="AJ389" s="1530"/>
      <c r="AK389" s="1530"/>
      <c r="AL389" s="1530"/>
      <c r="AM389" s="1530"/>
      <c r="AN389" s="1530"/>
      <c r="AO389" s="1530"/>
      <c r="AP389" s="1530"/>
      <c r="AQ389" s="1530"/>
      <c r="AR389" s="1530"/>
      <c r="AS389" s="1530"/>
      <c r="AT389" s="1530"/>
      <c r="AU389" s="1530"/>
      <c r="AV389" s="1530"/>
      <c r="AW389" s="1530"/>
      <c r="AX389" s="1530"/>
      <c r="AY389" s="1530"/>
      <c r="AZ389" s="1530"/>
      <c r="BA389" s="1530"/>
      <c r="BB389" s="1530"/>
      <c r="BC389" s="1530"/>
      <c r="BD389" s="1530"/>
      <c r="BE389" s="1530"/>
      <c r="BF389" s="1530"/>
      <c r="BG389" s="1530"/>
      <c r="BH389" s="1530"/>
      <c r="BI389" s="1530"/>
      <c r="BJ389" s="1530"/>
      <c r="BK389" s="1530"/>
      <c r="BL389" s="1530"/>
      <c r="BM389" s="1530"/>
      <c r="BN389" s="1530"/>
      <c r="BW389" s="1569"/>
      <c r="CO389" s="1530"/>
      <c r="CP389" s="1530"/>
      <c r="CQ389" s="1530"/>
      <c r="CR389" s="1530"/>
      <c r="CS389" s="1530"/>
      <c r="CT389" s="1530"/>
      <c r="CU389" s="1530"/>
      <c r="CV389" s="1530"/>
      <c r="CW389" s="1530"/>
      <c r="CX389" s="1530"/>
      <c r="CY389" s="1530"/>
      <c r="CZ389" s="1530"/>
      <c r="DA389" s="1530"/>
      <c r="DB389" s="1530"/>
      <c r="DC389" s="1530"/>
      <c r="DD389" s="1530"/>
      <c r="DE389" s="1530"/>
      <c r="DF389" s="1530"/>
      <c r="DG389" s="1530"/>
      <c r="DH389" s="1530"/>
      <c r="DI389" s="1530"/>
      <c r="DJ389" s="1530"/>
      <c r="DK389" s="1530"/>
      <c r="DL389" s="1530"/>
      <c r="DM389" s="1530"/>
      <c r="DN389" s="1571"/>
      <c r="DO389" s="1530"/>
      <c r="DP389" s="1530"/>
    </row>
    <row r="390" spans="1:120">
      <c r="A390" s="1451"/>
      <c r="C390" s="1451"/>
      <c r="K390" s="1451"/>
      <c r="L390" s="1451"/>
      <c r="U390" s="1530"/>
      <c r="V390" s="1530"/>
      <c r="W390" s="1530"/>
      <c r="X390" s="1530"/>
      <c r="Y390" s="1530"/>
      <c r="Z390" s="1530"/>
      <c r="AA390" s="1530"/>
      <c r="AB390" s="1530"/>
      <c r="AC390" s="1530"/>
      <c r="AD390" s="1530"/>
      <c r="AE390" s="1530"/>
      <c r="AF390" s="1530"/>
      <c r="AG390" s="1530"/>
      <c r="AH390" s="1530"/>
      <c r="AI390" s="1530"/>
      <c r="AJ390" s="1530"/>
      <c r="AK390" s="1530"/>
      <c r="AL390" s="1530"/>
      <c r="AM390" s="1530"/>
      <c r="AN390" s="1530"/>
      <c r="AO390" s="1530"/>
      <c r="AP390" s="1530"/>
      <c r="AQ390" s="1530"/>
      <c r="AR390" s="1530"/>
      <c r="AS390" s="1530"/>
      <c r="AT390" s="1530"/>
      <c r="AU390" s="1530"/>
      <c r="AV390" s="1530"/>
      <c r="AW390" s="1530"/>
      <c r="AX390" s="1530"/>
      <c r="AY390" s="1530"/>
      <c r="AZ390" s="1530"/>
      <c r="BA390" s="1530"/>
      <c r="BB390" s="1530"/>
      <c r="BC390" s="1530"/>
      <c r="BD390" s="1530"/>
      <c r="BE390" s="1530"/>
      <c r="BF390" s="1530"/>
      <c r="BG390" s="1530"/>
      <c r="BH390" s="1530"/>
      <c r="BI390" s="1530"/>
      <c r="BJ390" s="1530"/>
      <c r="BK390" s="1530"/>
      <c r="BL390" s="1530"/>
      <c r="BM390" s="1530"/>
      <c r="BN390" s="1530"/>
      <c r="BW390" s="1569"/>
      <c r="CO390" s="1530"/>
      <c r="CP390" s="1530"/>
      <c r="CQ390" s="1530"/>
      <c r="CR390" s="1530"/>
      <c r="CS390" s="1530"/>
      <c r="CT390" s="1530"/>
      <c r="CU390" s="1530"/>
      <c r="CV390" s="1530"/>
      <c r="CW390" s="1530"/>
      <c r="CX390" s="1530"/>
      <c r="CY390" s="1530"/>
      <c r="CZ390" s="1530"/>
      <c r="DA390" s="1530"/>
      <c r="DB390" s="1530"/>
      <c r="DC390" s="1530"/>
      <c r="DD390" s="1530"/>
      <c r="DE390" s="1530"/>
      <c r="DF390" s="1530"/>
      <c r="DG390" s="1530"/>
      <c r="DH390" s="1530"/>
      <c r="DI390" s="1530"/>
      <c r="DJ390" s="1530"/>
      <c r="DK390" s="1530"/>
      <c r="DL390" s="1530"/>
      <c r="DM390" s="1530"/>
      <c r="DN390" s="1571"/>
      <c r="DO390" s="1530"/>
      <c r="DP390" s="1530"/>
    </row>
    <row r="391" spans="1:120">
      <c r="A391" s="1451"/>
      <c r="C391" s="1451"/>
      <c r="K391" s="1451"/>
      <c r="L391" s="1451"/>
      <c r="U391" s="1530"/>
      <c r="V391" s="1530"/>
      <c r="W391" s="1530"/>
      <c r="X391" s="1530"/>
      <c r="Y391" s="1530"/>
      <c r="Z391" s="1530"/>
      <c r="AA391" s="1530"/>
      <c r="AB391" s="1530"/>
      <c r="AC391" s="1530"/>
      <c r="AD391" s="1530"/>
      <c r="AE391" s="1530"/>
      <c r="AF391" s="1530"/>
      <c r="AG391" s="1530"/>
      <c r="AH391" s="1530"/>
      <c r="AI391" s="1530"/>
      <c r="AJ391" s="1530"/>
      <c r="AK391" s="1530"/>
      <c r="AL391" s="1530"/>
      <c r="AM391" s="1530"/>
      <c r="AN391" s="1530"/>
      <c r="AO391" s="1530"/>
      <c r="AP391" s="1530"/>
      <c r="AQ391" s="1530"/>
      <c r="AR391" s="1530"/>
      <c r="AS391" s="1530"/>
      <c r="AT391" s="1530"/>
      <c r="AU391" s="1530"/>
      <c r="AV391" s="1530"/>
      <c r="AW391" s="1530"/>
      <c r="AX391" s="1530"/>
      <c r="AY391" s="1530"/>
      <c r="AZ391" s="1530"/>
      <c r="BA391" s="1530"/>
      <c r="BB391" s="1530"/>
      <c r="BC391" s="1530"/>
      <c r="BD391" s="1530"/>
      <c r="BE391" s="1530"/>
      <c r="BF391" s="1530"/>
      <c r="BG391" s="1530"/>
      <c r="BH391" s="1530"/>
      <c r="BI391" s="1530"/>
      <c r="BJ391" s="1530"/>
      <c r="BK391" s="1530"/>
      <c r="BL391" s="1530"/>
      <c r="BM391" s="1530"/>
      <c r="BN391" s="1530"/>
      <c r="BW391" s="1569"/>
      <c r="CO391" s="1530"/>
      <c r="CP391" s="1530"/>
      <c r="CQ391" s="1530"/>
      <c r="CR391" s="1530"/>
      <c r="CS391" s="1530"/>
      <c r="CT391" s="1530"/>
      <c r="CU391" s="1530"/>
      <c r="CV391" s="1530"/>
      <c r="CW391" s="1530"/>
      <c r="CX391" s="1530"/>
      <c r="CY391" s="1530"/>
      <c r="CZ391" s="1530"/>
      <c r="DA391" s="1530"/>
      <c r="DB391" s="1530"/>
      <c r="DC391" s="1530"/>
      <c r="DD391" s="1530"/>
      <c r="DE391" s="1530"/>
      <c r="DF391" s="1530"/>
      <c r="DG391" s="1530"/>
      <c r="DH391" s="1530"/>
      <c r="DI391" s="1530"/>
      <c r="DJ391" s="1530"/>
      <c r="DK391" s="1530"/>
      <c r="DL391" s="1530"/>
      <c r="DM391" s="1530"/>
      <c r="DN391" s="1571"/>
      <c r="DO391" s="1530"/>
      <c r="DP391" s="1530"/>
    </row>
    <row r="392" spans="1:120">
      <c r="A392" s="1451"/>
      <c r="C392" s="1451"/>
      <c r="K392" s="1451"/>
      <c r="L392" s="1451"/>
      <c r="U392" s="1530"/>
      <c r="V392" s="1530"/>
      <c r="W392" s="1530"/>
      <c r="X392" s="1530"/>
      <c r="Y392" s="1530"/>
      <c r="Z392" s="1530"/>
      <c r="AA392" s="1530"/>
      <c r="AB392" s="1530"/>
      <c r="AC392" s="1530"/>
      <c r="AD392" s="1530"/>
      <c r="AE392" s="1530"/>
      <c r="AF392" s="1530"/>
      <c r="AG392" s="1530"/>
      <c r="AH392" s="1530"/>
      <c r="AI392" s="1530"/>
      <c r="AJ392" s="1530"/>
      <c r="AK392" s="1530"/>
      <c r="AL392" s="1530"/>
      <c r="AM392" s="1530"/>
      <c r="AN392" s="1530"/>
      <c r="AO392" s="1530"/>
      <c r="AP392" s="1530"/>
      <c r="AQ392" s="1530"/>
      <c r="AR392" s="1530"/>
      <c r="AS392" s="1530"/>
      <c r="AT392" s="1530"/>
      <c r="AU392" s="1530"/>
      <c r="AV392" s="1530"/>
      <c r="AW392" s="1530"/>
      <c r="AX392" s="1530"/>
      <c r="AY392" s="1530"/>
      <c r="AZ392" s="1530"/>
      <c r="BA392" s="1530"/>
      <c r="BB392" s="1530"/>
      <c r="BC392" s="1530"/>
      <c r="BD392" s="1530"/>
      <c r="BE392" s="1530"/>
      <c r="BF392" s="1530"/>
      <c r="BG392" s="1530"/>
      <c r="BH392" s="1530"/>
      <c r="BI392" s="1530"/>
      <c r="BJ392" s="1530"/>
      <c r="BK392" s="1530"/>
      <c r="BL392" s="1530"/>
      <c r="BM392" s="1530"/>
      <c r="BN392" s="1530"/>
      <c r="BW392" s="1569"/>
      <c r="CO392" s="1530"/>
      <c r="CP392" s="1530"/>
      <c r="CQ392" s="1530"/>
      <c r="CR392" s="1530"/>
      <c r="CS392" s="1530"/>
      <c r="CT392" s="1530"/>
      <c r="CU392" s="1530"/>
      <c r="CV392" s="1530"/>
      <c r="CW392" s="1530"/>
      <c r="CX392" s="1530"/>
      <c r="CY392" s="1530"/>
      <c r="CZ392" s="1530"/>
      <c r="DA392" s="1530"/>
      <c r="DB392" s="1530"/>
      <c r="DC392" s="1530"/>
      <c r="DD392" s="1530"/>
      <c r="DE392" s="1530"/>
      <c r="DF392" s="1530"/>
      <c r="DG392" s="1530"/>
      <c r="DH392" s="1530"/>
      <c r="DI392" s="1530"/>
      <c r="DJ392" s="1530"/>
      <c r="DK392" s="1530"/>
      <c r="DL392" s="1530"/>
      <c r="DM392" s="1530"/>
      <c r="DN392" s="1571"/>
      <c r="DO392" s="1530"/>
      <c r="DP392" s="1530"/>
    </row>
    <row r="393" spans="1:120">
      <c r="A393" s="1451"/>
      <c r="C393" s="1451"/>
      <c r="K393" s="1451"/>
      <c r="L393" s="1451"/>
      <c r="U393" s="1530"/>
      <c r="V393" s="1530"/>
      <c r="W393" s="1530"/>
      <c r="X393" s="1530"/>
      <c r="Y393" s="1530"/>
      <c r="Z393" s="1530"/>
      <c r="AA393" s="1530"/>
      <c r="AB393" s="1530"/>
      <c r="AC393" s="1530"/>
      <c r="AD393" s="1530"/>
      <c r="AE393" s="1530"/>
      <c r="AF393" s="1530"/>
      <c r="AG393" s="1530"/>
      <c r="AH393" s="1530"/>
      <c r="AI393" s="1530"/>
      <c r="AJ393" s="1530"/>
      <c r="AK393" s="1530"/>
      <c r="AL393" s="1530"/>
      <c r="AM393" s="1530"/>
      <c r="AN393" s="1530"/>
      <c r="AO393" s="1530"/>
      <c r="AP393" s="1530"/>
      <c r="AQ393" s="1530"/>
      <c r="AR393" s="1530"/>
      <c r="AS393" s="1530"/>
      <c r="AT393" s="1530"/>
      <c r="AU393" s="1530"/>
      <c r="AV393" s="1530"/>
      <c r="AW393" s="1530"/>
      <c r="AX393" s="1530"/>
      <c r="AY393" s="1530"/>
      <c r="AZ393" s="1530"/>
      <c r="BA393" s="1530"/>
      <c r="BB393" s="1530"/>
      <c r="BC393" s="1530"/>
      <c r="BD393" s="1530"/>
      <c r="BE393" s="1530"/>
      <c r="BF393" s="1530"/>
      <c r="BG393" s="1530"/>
      <c r="BH393" s="1530"/>
      <c r="BI393" s="1530"/>
      <c r="BJ393" s="1530"/>
      <c r="BK393" s="1530"/>
      <c r="BL393" s="1530"/>
      <c r="BM393" s="1530"/>
      <c r="BN393" s="1530"/>
      <c r="BW393" s="1569"/>
      <c r="CO393" s="1530"/>
      <c r="CP393" s="1530"/>
      <c r="CQ393" s="1530"/>
      <c r="CR393" s="1530"/>
      <c r="CS393" s="1530"/>
      <c r="CT393" s="1530"/>
      <c r="CU393" s="1530"/>
      <c r="CV393" s="1530"/>
      <c r="CW393" s="1530"/>
      <c r="CX393" s="1530"/>
      <c r="CY393" s="1530"/>
      <c r="CZ393" s="1530"/>
      <c r="DA393" s="1530"/>
      <c r="DB393" s="1530"/>
      <c r="DC393" s="1530"/>
      <c r="DD393" s="1530"/>
      <c r="DE393" s="1530"/>
      <c r="DF393" s="1530"/>
      <c r="DG393" s="1530"/>
      <c r="DH393" s="1530"/>
      <c r="DI393" s="1530"/>
      <c r="DJ393" s="1530"/>
      <c r="DK393" s="1530"/>
      <c r="DL393" s="1530"/>
      <c r="DM393" s="1530"/>
      <c r="DN393" s="1571"/>
      <c r="DO393" s="1530"/>
      <c r="DP393" s="1530"/>
    </row>
    <row r="394" spans="1:120">
      <c r="A394" s="1451"/>
      <c r="C394" s="1451"/>
      <c r="K394" s="1451"/>
      <c r="L394" s="1451"/>
      <c r="U394" s="1530"/>
      <c r="V394" s="1530"/>
      <c r="W394" s="1530"/>
      <c r="X394" s="1530"/>
      <c r="Y394" s="1530"/>
      <c r="Z394" s="1530"/>
      <c r="AA394" s="1530"/>
      <c r="AB394" s="1530"/>
      <c r="AC394" s="1530"/>
      <c r="AD394" s="1530"/>
      <c r="AE394" s="1530"/>
      <c r="AF394" s="1530"/>
      <c r="AG394" s="1530"/>
      <c r="AH394" s="1530"/>
      <c r="AI394" s="1530"/>
      <c r="AJ394" s="1530"/>
      <c r="AK394" s="1530"/>
      <c r="AL394" s="1530"/>
      <c r="AM394" s="1530"/>
      <c r="AN394" s="1530"/>
      <c r="AO394" s="1530"/>
      <c r="AP394" s="1530"/>
      <c r="AQ394" s="1530"/>
      <c r="AR394" s="1530"/>
      <c r="AS394" s="1530"/>
      <c r="AT394" s="1530"/>
      <c r="AU394" s="1530"/>
      <c r="AV394" s="1530"/>
      <c r="AW394" s="1530"/>
      <c r="AX394" s="1530"/>
      <c r="AY394" s="1530"/>
      <c r="AZ394" s="1530"/>
      <c r="BA394" s="1530"/>
      <c r="BB394" s="1530"/>
      <c r="BC394" s="1530"/>
      <c r="BD394" s="1530"/>
      <c r="BE394" s="1530"/>
      <c r="BF394" s="1530"/>
      <c r="BG394" s="1530"/>
      <c r="BH394" s="1530"/>
      <c r="BI394" s="1530"/>
      <c r="BJ394" s="1530"/>
      <c r="BK394" s="1530"/>
      <c r="BL394" s="1530"/>
      <c r="BM394" s="1530"/>
      <c r="BN394" s="1530"/>
      <c r="BW394" s="1569"/>
      <c r="CO394" s="1530"/>
      <c r="CP394" s="1530"/>
      <c r="CQ394" s="1530"/>
      <c r="CR394" s="1530"/>
      <c r="CS394" s="1530"/>
      <c r="CT394" s="1530"/>
      <c r="CU394" s="1530"/>
      <c r="CV394" s="1530"/>
      <c r="CW394" s="1530"/>
      <c r="CX394" s="1530"/>
      <c r="CY394" s="1530"/>
      <c r="CZ394" s="1530"/>
      <c r="DA394" s="1530"/>
      <c r="DB394" s="1530"/>
      <c r="DC394" s="1530"/>
      <c r="DD394" s="1530"/>
      <c r="DE394" s="1530"/>
      <c r="DF394" s="1530"/>
      <c r="DG394" s="1530"/>
      <c r="DH394" s="1530"/>
      <c r="DI394" s="1530"/>
      <c r="DJ394" s="1530"/>
      <c r="DK394" s="1530"/>
      <c r="DL394" s="1530"/>
      <c r="DM394" s="1530"/>
      <c r="DN394" s="1571"/>
      <c r="DO394" s="1530"/>
      <c r="DP394" s="1530"/>
    </row>
    <row r="395" spans="1:120">
      <c r="A395" s="1451"/>
      <c r="C395" s="1451"/>
      <c r="K395" s="1451"/>
      <c r="L395" s="1451"/>
      <c r="U395" s="1530"/>
      <c r="V395" s="1530"/>
      <c r="W395" s="1530"/>
      <c r="X395" s="1530"/>
      <c r="Y395" s="1530"/>
      <c r="Z395" s="1530"/>
      <c r="AA395" s="1530"/>
      <c r="AB395" s="1530"/>
      <c r="AC395" s="1530"/>
      <c r="AD395" s="1530"/>
      <c r="AE395" s="1530"/>
      <c r="AF395" s="1530"/>
      <c r="AG395" s="1530"/>
      <c r="AH395" s="1530"/>
      <c r="AI395" s="1530"/>
      <c r="AJ395" s="1530"/>
      <c r="AK395" s="1530"/>
      <c r="AL395" s="1530"/>
      <c r="AM395" s="1530"/>
      <c r="AN395" s="1530"/>
      <c r="AO395" s="1530"/>
      <c r="AP395" s="1530"/>
      <c r="AQ395" s="1530"/>
      <c r="AR395" s="1530"/>
      <c r="AS395" s="1530"/>
      <c r="AT395" s="1530"/>
      <c r="AU395" s="1530"/>
      <c r="AV395" s="1530"/>
      <c r="AW395" s="1530"/>
      <c r="AX395" s="1530"/>
      <c r="AY395" s="1530"/>
      <c r="AZ395" s="1530"/>
      <c r="BA395" s="1530"/>
      <c r="BB395" s="1530"/>
      <c r="BC395" s="1530"/>
      <c r="BD395" s="1530"/>
      <c r="BE395" s="1530"/>
      <c r="BF395" s="1530"/>
      <c r="BG395" s="1530"/>
      <c r="BH395" s="1530"/>
      <c r="BI395" s="1530"/>
      <c r="BJ395" s="1530"/>
      <c r="BK395" s="1530"/>
      <c r="BL395" s="1530"/>
      <c r="BM395" s="1530"/>
      <c r="BN395" s="1530"/>
      <c r="BW395" s="1569"/>
      <c r="CO395" s="1530"/>
      <c r="CP395" s="1530"/>
      <c r="CQ395" s="1530"/>
      <c r="CR395" s="1530"/>
      <c r="CS395" s="1530"/>
      <c r="CT395" s="1530"/>
      <c r="CU395" s="1530"/>
      <c r="CV395" s="1530"/>
      <c r="CW395" s="1530"/>
      <c r="CX395" s="1530"/>
      <c r="CY395" s="1530"/>
      <c r="CZ395" s="1530"/>
      <c r="DA395" s="1530"/>
      <c r="DB395" s="1530"/>
      <c r="DC395" s="1530"/>
      <c r="DD395" s="1530"/>
      <c r="DE395" s="1530"/>
      <c r="DF395" s="1530"/>
      <c r="DG395" s="1530"/>
      <c r="DH395" s="1530"/>
      <c r="DI395" s="1530"/>
      <c r="DJ395" s="1530"/>
      <c r="DK395" s="1530"/>
      <c r="DL395" s="1530"/>
      <c r="DM395" s="1530"/>
      <c r="DN395" s="1571"/>
      <c r="DO395" s="1530"/>
      <c r="DP395" s="1530"/>
    </row>
    <row r="396" spans="1:120">
      <c r="A396" s="1451"/>
      <c r="C396" s="1451"/>
      <c r="K396" s="1451"/>
      <c r="L396" s="1451"/>
      <c r="U396" s="1530"/>
      <c r="V396" s="1530"/>
      <c r="W396" s="1530"/>
      <c r="X396" s="1530"/>
      <c r="Y396" s="1530"/>
      <c r="Z396" s="1530"/>
      <c r="AA396" s="1530"/>
      <c r="AB396" s="1530"/>
      <c r="AC396" s="1530"/>
      <c r="AD396" s="1530"/>
      <c r="AE396" s="1530"/>
      <c r="AF396" s="1530"/>
      <c r="AG396" s="1530"/>
      <c r="AH396" s="1530"/>
      <c r="AI396" s="1530"/>
      <c r="AJ396" s="1530"/>
      <c r="AK396" s="1530"/>
      <c r="AL396" s="1530"/>
      <c r="AM396" s="1530"/>
      <c r="AN396" s="1530"/>
      <c r="AO396" s="1530"/>
      <c r="AP396" s="1530"/>
      <c r="AQ396" s="1530"/>
      <c r="AR396" s="1530"/>
      <c r="AS396" s="1530"/>
      <c r="AT396" s="1530"/>
      <c r="AU396" s="1530"/>
      <c r="AV396" s="1530"/>
      <c r="AW396" s="1530"/>
      <c r="AX396" s="1530"/>
      <c r="AY396" s="1530"/>
      <c r="AZ396" s="1530"/>
      <c r="BA396" s="1530"/>
      <c r="BB396" s="1530"/>
      <c r="BC396" s="1530"/>
      <c r="BD396" s="1530"/>
      <c r="BE396" s="1530"/>
      <c r="BF396" s="1530"/>
      <c r="BG396" s="1530"/>
      <c r="BH396" s="1530"/>
      <c r="BI396" s="1530"/>
      <c r="BJ396" s="1530"/>
      <c r="BK396" s="1530"/>
      <c r="BL396" s="1530"/>
      <c r="BM396" s="1530"/>
      <c r="BN396" s="1530"/>
      <c r="BW396" s="1569"/>
      <c r="CO396" s="1530"/>
      <c r="CP396" s="1530"/>
      <c r="CQ396" s="1530"/>
      <c r="CR396" s="1530"/>
      <c r="CS396" s="1530"/>
      <c r="CT396" s="1530"/>
      <c r="CU396" s="1530"/>
      <c r="CV396" s="1530"/>
      <c r="CW396" s="1530"/>
      <c r="CX396" s="1530"/>
      <c r="CY396" s="1530"/>
      <c r="CZ396" s="1530"/>
      <c r="DA396" s="1530"/>
      <c r="DB396" s="1530"/>
      <c r="DC396" s="1530"/>
      <c r="DD396" s="1530"/>
      <c r="DE396" s="1530"/>
      <c r="DF396" s="1530"/>
      <c r="DG396" s="1530"/>
      <c r="DH396" s="1530"/>
      <c r="DI396" s="1530"/>
      <c r="DJ396" s="1530"/>
      <c r="DK396" s="1530"/>
      <c r="DL396" s="1530"/>
      <c r="DM396" s="1530"/>
      <c r="DN396" s="1571"/>
      <c r="DO396" s="1530"/>
      <c r="DP396" s="1530"/>
    </row>
    <row r="397" spans="1:120">
      <c r="A397" s="1451"/>
      <c r="C397" s="1451"/>
      <c r="K397" s="1451"/>
      <c r="L397" s="1451"/>
      <c r="U397" s="1530"/>
      <c r="V397" s="1530"/>
      <c r="W397" s="1530"/>
      <c r="X397" s="1530"/>
      <c r="Y397" s="1530"/>
      <c r="Z397" s="1530"/>
      <c r="AA397" s="1530"/>
      <c r="AB397" s="1530"/>
      <c r="AC397" s="1530"/>
      <c r="AD397" s="1530"/>
      <c r="AE397" s="1530"/>
      <c r="AF397" s="1530"/>
      <c r="AG397" s="1530"/>
      <c r="AH397" s="1530"/>
      <c r="AI397" s="1530"/>
      <c r="AJ397" s="1530"/>
      <c r="AK397" s="1530"/>
      <c r="AL397" s="1530"/>
      <c r="AM397" s="1530"/>
      <c r="AN397" s="1530"/>
      <c r="AO397" s="1530"/>
      <c r="AP397" s="1530"/>
      <c r="AQ397" s="1530"/>
      <c r="AR397" s="1530"/>
      <c r="AS397" s="1530"/>
      <c r="AT397" s="1530"/>
      <c r="AU397" s="1530"/>
      <c r="AV397" s="1530"/>
      <c r="AW397" s="1530"/>
      <c r="AX397" s="1530"/>
      <c r="AY397" s="1530"/>
      <c r="AZ397" s="1530"/>
      <c r="BA397" s="1530"/>
      <c r="BB397" s="1530"/>
      <c r="BC397" s="1530"/>
      <c r="BD397" s="1530"/>
      <c r="BE397" s="1530"/>
      <c r="BF397" s="1530"/>
      <c r="BG397" s="1530"/>
      <c r="BH397" s="1530"/>
      <c r="BI397" s="1530"/>
      <c r="BJ397" s="1530"/>
      <c r="BK397" s="1530"/>
      <c r="BL397" s="1530"/>
      <c r="BM397" s="1530"/>
      <c r="BN397" s="1530"/>
      <c r="BW397" s="1569"/>
      <c r="CO397" s="1530"/>
      <c r="CP397" s="1530"/>
      <c r="CQ397" s="1530"/>
      <c r="CR397" s="1530"/>
      <c r="CS397" s="1530"/>
      <c r="CT397" s="1530"/>
      <c r="CU397" s="1530"/>
      <c r="CV397" s="1530"/>
      <c r="CW397" s="1530"/>
      <c r="CX397" s="1530"/>
      <c r="CY397" s="1530"/>
      <c r="CZ397" s="1530"/>
      <c r="DA397" s="1530"/>
      <c r="DB397" s="1530"/>
      <c r="DC397" s="1530"/>
      <c r="DD397" s="1530"/>
      <c r="DE397" s="1530"/>
      <c r="DF397" s="1530"/>
      <c r="DG397" s="1530"/>
      <c r="DH397" s="1530"/>
      <c r="DI397" s="1530"/>
      <c r="DJ397" s="1530"/>
      <c r="DK397" s="1530"/>
      <c r="DL397" s="1530"/>
      <c r="DM397" s="1530"/>
      <c r="DN397" s="1571"/>
      <c r="DO397" s="1530"/>
      <c r="DP397" s="1530"/>
    </row>
    <row r="398" spans="1:120">
      <c r="A398" s="1451"/>
      <c r="C398" s="1451"/>
      <c r="K398" s="1451"/>
      <c r="L398" s="1451"/>
      <c r="U398" s="1530"/>
      <c r="V398" s="1530"/>
      <c r="W398" s="1530"/>
      <c r="X398" s="1530"/>
      <c r="Y398" s="1530"/>
      <c r="Z398" s="1530"/>
      <c r="AA398" s="1530"/>
      <c r="AB398" s="1530"/>
      <c r="AC398" s="1530"/>
      <c r="AD398" s="1530"/>
      <c r="AE398" s="1530"/>
      <c r="AF398" s="1530"/>
      <c r="AG398" s="1530"/>
      <c r="AH398" s="1530"/>
      <c r="AI398" s="1530"/>
      <c r="AJ398" s="1530"/>
      <c r="AK398" s="1530"/>
      <c r="AL398" s="1530"/>
      <c r="AM398" s="1530"/>
      <c r="AN398" s="1530"/>
      <c r="AO398" s="1530"/>
      <c r="AP398" s="1530"/>
      <c r="AQ398" s="1530"/>
      <c r="AR398" s="1530"/>
      <c r="AS398" s="1530"/>
      <c r="AT398" s="1530"/>
      <c r="AU398" s="1530"/>
      <c r="AV398" s="1530"/>
      <c r="AW398" s="1530"/>
      <c r="AX398" s="1530"/>
      <c r="AY398" s="1530"/>
      <c r="AZ398" s="1530"/>
      <c r="BA398" s="1530"/>
      <c r="BB398" s="1530"/>
      <c r="BC398" s="1530"/>
      <c r="BD398" s="1530"/>
      <c r="BE398" s="1530"/>
      <c r="BF398" s="1530"/>
      <c r="BG398" s="1530"/>
      <c r="BH398" s="1530"/>
      <c r="BI398" s="1530"/>
      <c r="BJ398" s="1530"/>
      <c r="BK398" s="1530"/>
      <c r="BL398" s="1530"/>
      <c r="BM398" s="1530"/>
      <c r="BN398" s="1530"/>
      <c r="BW398" s="1569"/>
      <c r="CO398" s="1530"/>
      <c r="CP398" s="1530"/>
      <c r="CQ398" s="1530"/>
      <c r="CR398" s="1530"/>
      <c r="CS398" s="1530"/>
      <c r="CT398" s="1530"/>
      <c r="CU398" s="1530"/>
      <c r="CV398" s="1530"/>
      <c r="CW398" s="1530"/>
      <c r="CX398" s="1530"/>
      <c r="CY398" s="1530"/>
      <c r="CZ398" s="1530"/>
      <c r="DA398" s="1530"/>
      <c r="DB398" s="1530"/>
      <c r="DC398" s="1530"/>
      <c r="DD398" s="1530"/>
      <c r="DE398" s="1530"/>
      <c r="DF398" s="1530"/>
      <c r="DG398" s="1530"/>
      <c r="DH398" s="1530"/>
      <c r="DI398" s="1530"/>
      <c r="DJ398" s="1530"/>
      <c r="DK398" s="1530"/>
      <c r="DL398" s="1530"/>
      <c r="DM398" s="1530"/>
      <c r="DN398" s="1571"/>
      <c r="DO398" s="1530"/>
      <c r="DP398" s="1530"/>
    </row>
    <row r="399" spans="1:120">
      <c r="A399" s="1451"/>
      <c r="C399" s="1451"/>
      <c r="K399" s="1451"/>
      <c r="L399" s="1451"/>
      <c r="U399" s="1530"/>
      <c r="V399" s="1530"/>
      <c r="W399" s="1530"/>
      <c r="X399" s="1530"/>
      <c r="Y399" s="1530"/>
      <c r="Z399" s="1530"/>
      <c r="AA399" s="1530"/>
      <c r="AB399" s="1530"/>
      <c r="AC399" s="1530"/>
      <c r="AD399" s="1530"/>
      <c r="AE399" s="1530"/>
      <c r="AF399" s="1530"/>
      <c r="AG399" s="1530"/>
      <c r="AH399" s="1530"/>
      <c r="AI399" s="1530"/>
      <c r="AJ399" s="1530"/>
      <c r="AK399" s="1530"/>
      <c r="AL399" s="1530"/>
      <c r="AM399" s="1530"/>
      <c r="AN399" s="1530"/>
      <c r="AO399" s="1530"/>
      <c r="AP399" s="1530"/>
      <c r="AQ399" s="1530"/>
      <c r="AR399" s="1530"/>
      <c r="AS399" s="1530"/>
      <c r="AT399" s="1530"/>
      <c r="AU399" s="1530"/>
      <c r="AV399" s="1530"/>
      <c r="AW399" s="1530"/>
      <c r="AX399" s="1530"/>
      <c r="AY399" s="1530"/>
      <c r="AZ399" s="1530"/>
      <c r="BA399" s="1530"/>
      <c r="BB399" s="1530"/>
      <c r="BC399" s="1530"/>
      <c r="BD399" s="1530"/>
      <c r="BE399" s="1530"/>
      <c r="BF399" s="1530"/>
      <c r="BG399" s="1530"/>
      <c r="BH399" s="1530"/>
      <c r="BI399" s="1530"/>
      <c r="BJ399" s="1530"/>
      <c r="BK399" s="1530"/>
      <c r="BL399" s="1530"/>
      <c r="BM399" s="1530"/>
      <c r="BN399" s="1530"/>
      <c r="BW399" s="1569"/>
      <c r="CO399" s="1530"/>
      <c r="CP399" s="1530"/>
      <c r="CQ399" s="1530"/>
      <c r="CR399" s="1530"/>
      <c r="CS399" s="1530"/>
      <c r="CT399" s="1530"/>
      <c r="CU399" s="1530"/>
      <c r="CV399" s="1530"/>
      <c r="CW399" s="1530"/>
      <c r="CX399" s="1530"/>
      <c r="CY399" s="1530"/>
      <c r="CZ399" s="1530"/>
      <c r="DA399" s="1530"/>
      <c r="DB399" s="1530"/>
      <c r="DC399" s="1530"/>
      <c r="DD399" s="1530"/>
      <c r="DE399" s="1530"/>
      <c r="DF399" s="1530"/>
      <c r="DG399" s="1530"/>
      <c r="DH399" s="1530"/>
      <c r="DI399" s="1530"/>
      <c r="DJ399" s="1530"/>
      <c r="DK399" s="1530"/>
      <c r="DL399" s="1530"/>
      <c r="DM399" s="1530"/>
      <c r="DN399" s="1571"/>
      <c r="DO399" s="1530"/>
      <c r="DP399" s="1530"/>
    </row>
    <row r="400" spans="1:120">
      <c r="A400" s="1451"/>
      <c r="C400" s="1451"/>
      <c r="K400" s="1451"/>
      <c r="L400" s="1451"/>
      <c r="U400" s="1530"/>
      <c r="V400" s="1530"/>
      <c r="W400" s="1530"/>
      <c r="X400" s="1530"/>
      <c r="Y400" s="1530"/>
      <c r="Z400" s="1530"/>
      <c r="AA400" s="1530"/>
      <c r="AB400" s="1530"/>
      <c r="AC400" s="1530"/>
      <c r="AD400" s="1530"/>
      <c r="AE400" s="1530"/>
      <c r="AF400" s="1530"/>
      <c r="AG400" s="1530"/>
      <c r="AH400" s="1530"/>
      <c r="AI400" s="1530"/>
      <c r="AJ400" s="1530"/>
      <c r="AK400" s="1530"/>
      <c r="AL400" s="1530"/>
      <c r="AM400" s="1530"/>
      <c r="AN400" s="1530"/>
      <c r="AO400" s="1530"/>
      <c r="AP400" s="1530"/>
      <c r="AQ400" s="1530"/>
      <c r="AR400" s="1530"/>
      <c r="AS400" s="1530"/>
      <c r="AT400" s="1530"/>
      <c r="AU400" s="1530"/>
      <c r="AV400" s="1530"/>
      <c r="AW400" s="1530"/>
      <c r="AX400" s="1530"/>
      <c r="AY400" s="1530"/>
      <c r="AZ400" s="1530"/>
      <c r="BA400" s="1530"/>
      <c r="BB400" s="1530"/>
      <c r="BC400" s="1530"/>
      <c r="BD400" s="1530"/>
      <c r="BE400" s="1530"/>
      <c r="BF400" s="1530"/>
      <c r="BG400" s="1530"/>
      <c r="BH400" s="1530"/>
      <c r="BI400" s="1530"/>
      <c r="BJ400" s="1530"/>
      <c r="BK400" s="1530"/>
      <c r="BL400" s="1530"/>
      <c r="BM400" s="1530"/>
      <c r="BN400" s="1530"/>
      <c r="BW400" s="1569"/>
      <c r="CO400" s="1530"/>
      <c r="CP400" s="1530"/>
      <c r="CQ400" s="1530"/>
      <c r="CR400" s="1530"/>
      <c r="CS400" s="1530"/>
      <c r="CT400" s="1530"/>
      <c r="CU400" s="1530"/>
      <c r="CV400" s="1530"/>
      <c r="CW400" s="1530"/>
      <c r="CX400" s="1530"/>
      <c r="CY400" s="1530"/>
      <c r="CZ400" s="1530"/>
      <c r="DA400" s="1530"/>
      <c r="DB400" s="1530"/>
      <c r="DC400" s="1530"/>
      <c r="DD400" s="1530"/>
      <c r="DE400" s="1530"/>
      <c r="DF400" s="1530"/>
      <c r="DG400" s="1530"/>
      <c r="DH400" s="1530"/>
      <c r="DI400" s="1530"/>
      <c r="DJ400" s="1530"/>
      <c r="DK400" s="1530"/>
      <c r="DL400" s="1530"/>
      <c r="DM400" s="1530"/>
      <c r="DN400" s="1571"/>
      <c r="DO400" s="1530"/>
      <c r="DP400" s="1530"/>
    </row>
    <row r="401" spans="1:120">
      <c r="A401" s="1451"/>
      <c r="C401" s="1451"/>
      <c r="K401" s="1451"/>
      <c r="L401" s="1451"/>
      <c r="U401" s="1530"/>
      <c r="V401" s="1530"/>
      <c r="W401" s="1530"/>
      <c r="X401" s="1530"/>
      <c r="Y401" s="1530"/>
      <c r="Z401" s="1530"/>
      <c r="AA401" s="1530"/>
      <c r="AB401" s="1530"/>
      <c r="AC401" s="1530"/>
      <c r="AD401" s="1530"/>
      <c r="AE401" s="1530"/>
      <c r="AF401" s="1530"/>
      <c r="AG401" s="1530"/>
      <c r="AH401" s="1530"/>
      <c r="AI401" s="1530"/>
      <c r="AJ401" s="1530"/>
      <c r="AK401" s="1530"/>
      <c r="AL401" s="1530"/>
      <c r="AM401" s="1530"/>
      <c r="AN401" s="1530"/>
      <c r="AO401" s="1530"/>
      <c r="AP401" s="1530"/>
      <c r="AQ401" s="1530"/>
      <c r="AR401" s="1530"/>
      <c r="AS401" s="1530"/>
      <c r="AT401" s="1530"/>
      <c r="AU401" s="1530"/>
      <c r="AV401" s="1530"/>
      <c r="AW401" s="1530"/>
      <c r="AX401" s="1530"/>
      <c r="AY401" s="1530"/>
      <c r="AZ401" s="1530"/>
      <c r="BA401" s="1530"/>
      <c r="BB401" s="1530"/>
      <c r="BC401" s="1530"/>
      <c r="BD401" s="1530"/>
      <c r="BE401" s="1530"/>
      <c r="BF401" s="1530"/>
      <c r="BG401" s="1530"/>
      <c r="BH401" s="1530"/>
      <c r="BI401" s="1530"/>
      <c r="BJ401" s="1530"/>
      <c r="BK401" s="1530"/>
      <c r="BL401" s="1530"/>
      <c r="BM401" s="1530"/>
      <c r="BN401" s="1530"/>
      <c r="BW401" s="1569"/>
      <c r="CO401" s="1530"/>
      <c r="CP401" s="1530"/>
      <c r="CQ401" s="1530"/>
      <c r="CR401" s="1530"/>
      <c r="CS401" s="1530"/>
      <c r="CT401" s="1530"/>
      <c r="CU401" s="1530"/>
      <c r="CV401" s="1530"/>
      <c r="CW401" s="1530"/>
      <c r="CX401" s="1530"/>
      <c r="CY401" s="1530"/>
      <c r="CZ401" s="1530"/>
      <c r="DA401" s="1530"/>
      <c r="DB401" s="1530"/>
      <c r="DC401" s="1530"/>
      <c r="DD401" s="1530"/>
      <c r="DE401" s="1530"/>
      <c r="DF401" s="1530"/>
      <c r="DG401" s="1530"/>
      <c r="DH401" s="1530"/>
      <c r="DI401" s="1530"/>
      <c r="DJ401" s="1530"/>
      <c r="DK401" s="1530"/>
      <c r="DL401" s="1530"/>
      <c r="DM401" s="1530"/>
      <c r="DN401" s="1571"/>
      <c r="DO401" s="1530"/>
      <c r="DP401" s="1530"/>
    </row>
    <row r="402" spans="1:120">
      <c r="A402" s="1451"/>
      <c r="C402" s="1451"/>
      <c r="K402" s="1451"/>
      <c r="L402" s="1451"/>
      <c r="U402" s="1530"/>
      <c r="V402" s="1530"/>
      <c r="W402" s="1530"/>
      <c r="X402" s="1530"/>
      <c r="Y402" s="1530"/>
      <c r="Z402" s="1530"/>
      <c r="AA402" s="1530"/>
      <c r="AB402" s="1530"/>
      <c r="AC402" s="1530"/>
      <c r="AD402" s="1530"/>
      <c r="AE402" s="1530"/>
      <c r="AF402" s="1530"/>
      <c r="AG402" s="1530"/>
      <c r="AH402" s="1530"/>
      <c r="AI402" s="1530"/>
      <c r="AJ402" s="1530"/>
      <c r="AK402" s="1530"/>
      <c r="AL402" s="1530"/>
      <c r="AM402" s="1530"/>
      <c r="AN402" s="1530"/>
      <c r="AO402" s="1530"/>
      <c r="AP402" s="1530"/>
      <c r="AQ402" s="1530"/>
      <c r="AR402" s="1530"/>
      <c r="AS402" s="1530"/>
      <c r="AT402" s="1530"/>
      <c r="AU402" s="1530"/>
      <c r="AV402" s="1530"/>
      <c r="AW402" s="1530"/>
      <c r="AX402" s="1530"/>
      <c r="AY402" s="1530"/>
      <c r="AZ402" s="1530"/>
      <c r="BA402" s="1530"/>
      <c r="BB402" s="1530"/>
      <c r="BC402" s="1530"/>
      <c r="BD402" s="1530"/>
      <c r="BE402" s="1530"/>
      <c r="BF402" s="1530"/>
      <c r="BG402" s="1530"/>
      <c r="BH402" s="1530"/>
      <c r="BI402" s="1530"/>
      <c r="BJ402" s="1530"/>
      <c r="BK402" s="1530"/>
      <c r="BL402" s="1530"/>
      <c r="BM402" s="1530"/>
      <c r="BN402" s="1530"/>
      <c r="BW402" s="1569"/>
      <c r="CO402" s="1530"/>
      <c r="CP402" s="1530"/>
      <c r="CQ402" s="1530"/>
      <c r="CR402" s="1530"/>
      <c r="CS402" s="1530"/>
      <c r="CT402" s="1530"/>
      <c r="CU402" s="1530"/>
      <c r="CV402" s="1530"/>
      <c r="CW402" s="1530"/>
      <c r="CX402" s="1530"/>
      <c r="CY402" s="1530"/>
      <c r="CZ402" s="1530"/>
      <c r="DA402" s="1530"/>
      <c r="DB402" s="1530"/>
      <c r="DC402" s="1530"/>
      <c r="DD402" s="1530"/>
      <c r="DE402" s="1530"/>
      <c r="DF402" s="1530"/>
      <c r="DG402" s="1530"/>
      <c r="DH402" s="1530"/>
      <c r="DI402" s="1530"/>
      <c r="DJ402" s="1530"/>
      <c r="DK402" s="1530"/>
      <c r="DL402" s="1530"/>
      <c r="DM402" s="1530"/>
      <c r="DN402" s="1571"/>
      <c r="DO402" s="1530"/>
      <c r="DP402" s="1530"/>
    </row>
    <row r="403" spans="1:120">
      <c r="A403" s="1451"/>
      <c r="C403" s="1451"/>
      <c r="K403" s="1451"/>
      <c r="L403" s="1451"/>
      <c r="U403" s="1530"/>
      <c r="V403" s="1530"/>
      <c r="W403" s="1530"/>
      <c r="X403" s="1530"/>
      <c r="Y403" s="1530"/>
      <c r="Z403" s="1530"/>
      <c r="AA403" s="1530"/>
      <c r="AB403" s="1530"/>
      <c r="AC403" s="1530"/>
      <c r="AD403" s="1530"/>
      <c r="AE403" s="1530"/>
      <c r="AF403" s="1530"/>
      <c r="AG403" s="1530"/>
      <c r="AH403" s="1530"/>
      <c r="AI403" s="1530"/>
      <c r="AJ403" s="1530"/>
      <c r="AK403" s="1530"/>
      <c r="AL403" s="1530"/>
      <c r="AM403" s="1530"/>
      <c r="AN403" s="1530"/>
      <c r="AO403" s="1530"/>
      <c r="AP403" s="1530"/>
      <c r="AQ403" s="1530"/>
      <c r="AR403" s="1530"/>
      <c r="AS403" s="1530"/>
      <c r="AT403" s="1530"/>
      <c r="AU403" s="1530"/>
      <c r="AV403" s="1530"/>
      <c r="AW403" s="1530"/>
      <c r="AX403" s="1530"/>
      <c r="AY403" s="1530"/>
      <c r="AZ403" s="1530"/>
      <c r="BA403" s="1530"/>
      <c r="BB403" s="1530"/>
      <c r="BC403" s="1530"/>
      <c r="BD403" s="1530"/>
      <c r="BE403" s="1530"/>
      <c r="BF403" s="1530"/>
      <c r="BG403" s="1530"/>
      <c r="BH403" s="1530"/>
      <c r="BI403" s="1530"/>
      <c r="BJ403" s="1530"/>
      <c r="BK403" s="1530"/>
      <c r="BL403" s="1530"/>
      <c r="BM403" s="1530"/>
      <c r="BN403" s="1530"/>
      <c r="BW403" s="1569"/>
      <c r="CO403" s="1530"/>
      <c r="CP403" s="1530"/>
      <c r="CQ403" s="1530"/>
      <c r="CR403" s="1530"/>
      <c r="CS403" s="1530"/>
      <c r="CT403" s="1530"/>
      <c r="CU403" s="1530"/>
      <c r="CV403" s="1530"/>
      <c r="CW403" s="1530"/>
      <c r="CX403" s="1530"/>
      <c r="CY403" s="1530"/>
      <c r="CZ403" s="1530"/>
      <c r="DA403" s="1530"/>
      <c r="DB403" s="1530"/>
      <c r="DC403" s="1530"/>
      <c r="DD403" s="1530"/>
      <c r="DE403" s="1530"/>
      <c r="DF403" s="1530"/>
      <c r="DG403" s="1530"/>
      <c r="DH403" s="1530"/>
      <c r="DI403" s="1530"/>
      <c r="DJ403" s="1530"/>
      <c r="DK403" s="1530"/>
      <c r="DL403" s="1530"/>
      <c r="DM403" s="1530"/>
      <c r="DN403" s="1571"/>
      <c r="DO403" s="1530"/>
      <c r="DP403" s="1530"/>
    </row>
    <row r="404" spans="1:120">
      <c r="A404" s="1451"/>
      <c r="C404" s="1451"/>
      <c r="K404" s="1451"/>
      <c r="L404" s="1451"/>
      <c r="U404" s="1530"/>
      <c r="V404" s="1530"/>
      <c r="W404" s="1530"/>
      <c r="X404" s="1530"/>
      <c r="Y404" s="1530"/>
      <c r="Z404" s="1530"/>
      <c r="AA404" s="1530"/>
      <c r="AB404" s="1530"/>
      <c r="AC404" s="1530"/>
      <c r="AD404" s="1530"/>
      <c r="AE404" s="1530"/>
      <c r="AF404" s="1530"/>
      <c r="AG404" s="1530"/>
      <c r="AH404" s="1530"/>
      <c r="AI404" s="1530"/>
      <c r="AJ404" s="1530"/>
      <c r="AK404" s="1530"/>
      <c r="AL404" s="1530"/>
      <c r="AM404" s="1530"/>
      <c r="AN404" s="1530"/>
      <c r="AO404" s="1530"/>
      <c r="AP404" s="1530"/>
      <c r="AQ404" s="1530"/>
      <c r="AR404" s="1530"/>
      <c r="AS404" s="1530"/>
      <c r="AT404" s="1530"/>
      <c r="AU404" s="1530"/>
      <c r="AV404" s="1530"/>
      <c r="AW404" s="1530"/>
      <c r="AX404" s="1530"/>
      <c r="AY404" s="1530"/>
      <c r="AZ404" s="1530"/>
      <c r="BA404" s="1530"/>
      <c r="BB404" s="1530"/>
      <c r="BC404" s="1530"/>
      <c r="BD404" s="1530"/>
      <c r="BE404" s="1530"/>
      <c r="BF404" s="1530"/>
      <c r="BG404" s="1530"/>
      <c r="BH404" s="1530"/>
      <c r="BI404" s="1530"/>
      <c r="BJ404" s="1530"/>
      <c r="BK404" s="1530"/>
      <c r="BL404" s="1530"/>
      <c r="BM404" s="1530"/>
      <c r="BN404" s="1530"/>
      <c r="BW404" s="1569"/>
      <c r="CO404" s="1530"/>
      <c r="CP404" s="1530"/>
      <c r="CQ404" s="1530"/>
      <c r="CR404" s="1530"/>
      <c r="CS404" s="1530"/>
      <c r="CT404" s="1530"/>
      <c r="CU404" s="1530"/>
      <c r="CV404" s="1530"/>
      <c r="CW404" s="1530"/>
      <c r="CX404" s="1530"/>
      <c r="CY404" s="1530"/>
      <c r="CZ404" s="1530"/>
      <c r="DA404" s="1530"/>
      <c r="DB404" s="1530"/>
      <c r="DC404" s="1530"/>
      <c r="DD404" s="1530"/>
      <c r="DE404" s="1530"/>
      <c r="DF404" s="1530"/>
      <c r="DG404" s="1530"/>
      <c r="DH404" s="1530"/>
      <c r="DI404" s="1530"/>
      <c r="DJ404" s="1530"/>
      <c r="DK404" s="1530"/>
      <c r="DL404" s="1530"/>
      <c r="DM404" s="1530"/>
      <c r="DN404" s="1571"/>
      <c r="DO404" s="1530"/>
      <c r="DP404" s="1530"/>
    </row>
    <row r="405" spans="1:120">
      <c r="A405" s="1451"/>
      <c r="C405" s="1451"/>
      <c r="K405" s="1451"/>
      <c r="L405" s="1451"/>
      <c r="U405" s="1530"/>
      <c r="V405" s="1530"/>
      <c r="W405" s="1530"/>
      <c r="X405" s="1530"/>
      <c r="Y405" s="1530"/>
      <c r="Z405" s="1530"/>
      <c r="AA405" s="1530"/>
      <c r="AB405" s="1530"/>
      <c r="AC405" s="1530"/>
      <c r="AD405" s="1530"/>
      <c r="AE405" s="1530"/>
      <c r="AF405" s="1530"/>
      <c r="AG405" s="1530"/>
      <c r="AH405" s="1530"/>
      <c r="AI405" s="1530"/>
      <c r="AJ405" s="1530"/>
      <c r="AK405" s="1530"/>
      <c r="AL405" s="1530"/>
      <c r="AM405" s="1530"/>
      <c r="AN405" s="1530"/>
      <c r="AO405" s="1530"/>
      <c r="AP405" s="1530"/>
      <c r="AQ405" s="1530"/>
      <c r="AR405" s="1530"/>
      <c r="AS405" s="1530"/>
      <c r="AT405" s="1530"/>
      <c r="AU405" s="1530"/>
      <c r="AV405" s="1530"/>
      <c r="AW405" s="1530"/>
      <c r="AX405" s="1530"/>
      <c r="AY405" s="1530"/>
      <c r="AZ405" s="1530"/>
      <c r="BA405" s="1530"/>
      <c r="BB405" s="1530"/>
      <c r="BC405" s="1530"/>
      <c r="BD405" s="1530"/>
      <c r="BE405" s="1530"/>
      <c r="BF405" s="1530"/>
      <c r="BG405" s="1530"/>
      <c r="BH405" s="1530"/>
      <c r="BI405" s="1530"/>
      <c r="BJ405" s="1530"/>
      <c r="BK405" s="1530"/>
      <c r="BL405" s="1530"/>
      <c r="BM405" s="1530"/>
      <c r="BN405" s="1530"/>
      <c r="BW405" s="1569"/>
      <c r="CO405" s="1530"/>
      <c r="CP405" s="1530"/>
      <c r="CQ405" s="1530"/>
      <c r="CR405" s="1530"/>
      <c r="CS405" s="1530"/>
      <c r="CT405" s="1530"/>
      <c r="CU405" s="1530"/>
      <c r="CV405" s="1530"/>
      <c r="CW405" s="1530"/>
      <c r="CX405" s="1530"/>
      <c r="CY405" s="1530"/>
      <c r="CZ405" s="1530"/>
      <c r="DA405" s="1530"/>
      <c r="DB405" s="1530"/>
      <c r="DC405" s="1530"/>
      <c r="DD405" s="1530"/>
      <c r="DE405" s="1530"/>
      <c r="DF405" s="1530"/>
      <c r="DG405" s="1530"/>
      <c r="DH405" s="1530"/>
      <c r="DI405" s="1530"/>
      <c r="DJ405" s="1530"/>
      <c r="DK405" s="1530"/>
      <c r="DL405" s="1530"/>
      <c r="DM405" s="1530"/>
      <c r="DN405" s="1571"/>
      <c r="DO405" s="1530"/>
      <c r="DP405" s="1530"/>
    </row>
    <row r="406" spans="1:120">
      <c r="A406" s="1451"/>
      <c r="C406" s="1451"/>
      <c r="K406" s="1451"/>
      <c r="L406" s="1451"/>
      <c r="U406" s="1530"/>
      <c r="V406" s="1530"/>
      <c r="W406" s="1530"/>
      <c r="X406" s="1530"/>
      <c r="Y406" s="1530"/>
      <c r="Z406" s="1530"/>
      <c r="AA406" s="1530"/>
      <c r="AB406" s="1530"/>
      <c r="AC406" s="1530"/>
      <c r="AD406" s="1530"/>
      <c r="AE406" s="1530"/>
      <c r="AF406" s="1530"/>
      <c r="AG406" s="1530"/>
      <c r="AH406" s="1530"/>
      <c r="AI406" s="1530"/>
      <c r="AJ406" s="1530"/>
      <c r="AK406" s="1530"/>
      <c r="AL406" s="1530"/>
      <c r="AM406" s="1530"/>
      <c r="AN406" s="1530"/>
      <c r="AO406" s="1530"/>
      <c r="AP406" s="1530"/>
      <c r="AQ406" s="1530"/>
      <c r="AR406" s="1530"/>
      <c r="AS406" s="1530"/>
      <c r="AT406" s="1530"/>
      <c r="AU406" s="1530"/>
      <c r="AV406" s="1530"/>
      <c r="AW406" s="1530"/>
      <c r="AX406" s="1530"/>
      <c r="AY406" s="1530"/>
      <c r="AZ406" s="1530"/>
      <c r="BA406" s="1530"/>
      <c r="BB406" s="1530"/>
      <c r="BC406" s="1530"/>
      <c r="BD406" s="1530"/>
      <c r="BE406" s="1530"/>
      <c r="BF406" s="1530"/>
      <c r="BG406" s="1530"/>
      <c r="BH406" s="1530"/>
      <c r="BI406" s="1530"/>
      <c r="BJ406" s="1530"/>
      <c r="BK406" s="1530"/>
      <c r="BL406" s="1530"/>
      <c r="BM406" s="1530"/>
      <c r="BN406" s="1530"/>
      <c r="BW406" s="1569"/>
      <c r="CO406" s="1530"/>
      <c r="CP406" s="1530"/>
      <c r="CQ406" s="1530"/>
      <c r="CR406" s="1530"/>
      <c r="CS406" s="1530"/>
      <c r="CT406" s="1530"/>
      <c r="CU406" s="1530"/>
      <c r="CV406" s="1530"/>
      <c r="CW406" s="1530"/>
      <c r="CX406" s="1530"/>
      <c r="CY406" s="1530"/>
      <c r="CZ406" s="1530"/>
      <c r="DA406" s="1530"/>
      <c r="DB406" s="1530"/>
      <c r="DC406" s="1530"/>
      <c r="DD406" s="1530"/>
      <c r="DE406" s="1530"/>
      <c r="DF406" s="1530"/>
      <c r="DG406" s="1530"/>
      <c r="DH406" s="1530"/>
      <c r="DI406" s="1530"/>
      <c r="DJ406" s="1530"/>
      <c r="DK406" s="1530"/>
      <c r="DL406" s="1530"/>
      <c r="DM406" s="1530"/>
      <c r="DN406" s="1571"/>
      <c r="DO406" s="1530"/>
      <c r="DP406" s="1530"/>
    </row>
    <row r="407" spans="1:120">
      <c r="A407" s="1451"/>
      <c r="C407" s="1451"/>
      <c r="K407" s="1451"/>
      <c r="L407" s="1451"/>
      <c r="U407" s="1530"/>
      <c r="V407" s="1530"/>
      <c r="W407" s="1530"/>
      <c r="X407" s="1530"/>
      <c r="Y407" s="1530"/>
      <c r="Z407" s="1530"/>
      <c r="AA407" s="1530"/>
      <c r="AB407" s="1530"/>
      <c r="AC407" s="1530"/>
      <c r="AD407" s="1530"/>
      <c r="AE407" s="1530"/>
      <c r="AF407" s="1530"/>
      <c r="AG407" s="1530"/>
      <c r="AH407" s="1530"/>
      <c r="AI407" s="1530"/>
      <c r="AJ407" s="1530"/>
      <c r="AK407" s="1530"/>
      <c r="AL407" s="1530"/>
      <c r="AM407" s="1530"/>
      <c r="AN407" s="1530"/>
      <c r="AO407" s="1530"/>
      <c r="AP407" s="1530"/>
      <c r="AQ407" s="1530"/>
      <c r="AR407" s="1530"/>
      <c r="AS407" s="1530"/>
      <c r="AT407" s="1530"/>
      <c r="AU407" s="1530"/>
      <c r="AV407" s="1530"/>
      <c r="AW407" s="1530"/>
      <c r="AX407" s="1530"/>
      <c r="AY407" s="1530"/>
      <c r="AZ407" s="1530"/>
      <c r="BA407" s="1530"/>
      <c r="BB407" s="1530"/>
      <c r="BC407" s="1530"/>
      <c r="BD407" s="1530"/>
      <c r="BE407" s="1530"/>
      <c r="BF407" s="1530"/>
      <c r="BG407" s="1530"/>
      <c r="BH407" s="1530"/>
      <c r="BI407" s="1530"/>
      <c r="BJ407" s="1530"/>
      <c r="BK407" s="1530"/>
      <c r="BL407" s="1530"/>
      <c r="BM407" s="1530"/>
      <c r="BN407" s="1530"/>
      <c r="BW407" s="1569"/>
      <c r="CO407" s="1530"/>
      <c r="CP407" s="1530"/>
      <c r="CQ407" s="1530"/>
      <c r="CR407" s="1530"/>
      <c r="CS407" s="1530"/>
      <c r="CT407" s="1530"/>
      <c r="CU407" s="1530"/>
      <c r="CV407" s="1530"/>
      <c r="CW407" s="1530"/>
      <c r="CX407" s="1530"/>
      <c r="CY407" s="1530"/>
      <c r="CZ407" s="1530"/>
      <c r="DA407" s="1530"/>
      <c r="DB407" s="1530"/>
      <c r="DC407" s="1530"/>
      <c r="DD407" s="1530"/>
      <c r="DE407" s="1530"/>
      <c r="DF407" s="1530"/>
      <c r="DG407" s="1530"/>
      <c r="DH407" s="1530"/>
      <c r="DI407" s="1530"/>
      <c r="DJ407" s="1530"/>
      <c r="DK407" s="1530"/>
      <c r="DL407" s="1530"/>
      <c r="DM407" s="1530"/>
      <c r="DN407" s="1571"/>
      <c r="DO407" s="1530"/>
      <c r="DP407" s="1530"/>
    </row>
    <row r="408" spans="1:120">
      <c r="A408" s="1451"/>
      <c r="C408" s="1451"/>
      <c r="K408" s="1451"/>
      <c r="L408" s="1451"/>
      <c r="U408" s="1530"/>
      <c r="V408" s="1530"/>
      <c r="W408" s="1530"/>
      <c r="X408" s="1530"/>
      <c r="Y408" s="1530"/>
      <c r="Z408" s="1530"/>
      <c r="AA408" s="1530"/>
      <c r="AB408" s="1530"/>
      <c r="AC408" s="1530"/>
      <c r="AD408" s="1530"/>
      <c r="AE408" s="1530"/>
      <c r="AF408" s="1530"/>
      <c r="AG408" s="1530"/>
      <c r="AH408" s="1530"/>
      <c r="AI408" s="1530"/>
      <c r="AJ408" s="1530"/>
      <c r="AK408" s="1530"/>
      <c r="AL408" s="1530"/>
      <c r="AM408" s="1530"/>
      <c r="AN408" s="1530"/>
      <c r="AO408" s="1530"/>
      <c r="AP408" s="1530"/>
      <c r="AQ408" s="1530"/>
      <c r="AR408" s="1530"/>
      <c r="AS408" s="1530"/>
      <c r="AT408" s="1530"/>
      <c r="AU408" s="1530"/>
      <c r="AV408" s="1530"/>
      <c r="AW408" s="1530"/>
      <c r="AX408" s="1530"/>
      <c r="AY408" s="1530"/>
      <c r="AZ408" s="1530"/>
      <c r="BA408" s="1530"/>
      <c r="BB408" s="1530"/>
      <c r="BC408" s="1530"/>
      <c r="BD408" s="1530"/>
      <c r="BE408" s="1530"/>
      <c r="BF408" s="1530"/>
      <c r="BG408" s="1530"/>
      <c r="BH408" s="1530"/>
      <c r="BI408" s="1530"/>
      <c r="BJ408" s="1530"/>
      <c r="BK408" s="1530"/>
      <c r="BL408" s="1530"/>
      <c r="BM408" s="1530"/>
      <c r="BN408" s="1530"/>
      <c r="BW408" s="1569"/>
      <c r="CO408" s="1530"/>
      <c r="CP408" s="1530"/>
      <c r="CQ408" s="1530"/>
      <c r="CR408" s="1530"/>
      <c r="CS408" s="1530"/>
      <c r="CT408" s="1530"/>
      <c r="CU408" s="1530"/>
      <c r="CV408" s="1530"/>
      <c r="CW408" s="1530"/>
      <c r="CX408" s="1530"/>
      <c r="CY408" s="1530"/>
      <c r="CZ408" s="1530"/>
      <c r="DA408" s="1530"/>
      <c r="DB408" s="1530"/>
      <c r="DC408" s="1530"/>
      <c r="DD408" s="1530"/>
      <c r="DE408" s="1530"/>
      <c r="DF408" s="1530"/>
      <c r="DG408" s="1530"/>
      <c r="DH408" s="1530"/>
      <c r="DI408" s="1530"/>
      <c r="DJ408" s="1530"/>
      <c r="DK408" s="1530"/>
      <c r="DL408" s="1530"/>
      <c r="DM408" s="1530"/>
      <c r="DN408" s="1571"/>
      <c r="DO408" s="1530"/>
      <c r="DP408" s="1530"/>
    </row>
    <row r="409" spans="1:120">
      <c r="A409" s="1451"/>
      <c r="C409" s="1451"/>
      <c r="K409" s="1451"/>
      <c r="L409" s="1451"/>
      <c r="U409" s="1530"/>
      <c r="V409" s="1530"/>
      <c r="W409" s="1530"/>
      <c r="X409" s="1530"/>
      <c r="Y409" s="1530"/>
      <c r="Z409" s="1530"/>
      <c r="AA409" s="1530"/>
      <c r="AB409" s="1530"/>
      <c r="AC409" s="1530"/>
      <c r="AD409" s="1530"/>
      <c r="AE409" s="1530"/>
      <c r="AF409" s="1530"/>
      <c r="AG409" s="1530"/>
      <c r="AH409" s="1530"/>
      <c r="AI409" s="1530"/>
      <c r="AJ409" s="1530"/>
      <c r="AK409" s="1530"/>
      <c r="AL409" s="1530"/>
      <c r="AM409" s="1530"/>
      <c r="AN409" s="1530"/>
      <c r="AO409" s="1530"/>
      <c r="AP409" s="1530"/>
      <c r="AQ409" s="1530"/>
      <c r="AR409" s="1530"/>
      <c r="AS409" s="1530"/>
      <c r="AT409" s="1530"/>
      <c r="AU409" s="1530"/>
      <c r="AV409" s="1530"/>
      <c r="AW409" s="1530"/>
      <c r="AX409" s="1530"/>
      <c r="AY409" s="1530"/>
      <c r="AZ409" s="1530"/>
      <c r="BA409" s="1530"/>
      <c r="BB409" s="1530"/>
      <c r="BC409" s="1530"/>
      <c r="BD409" s="1530"/>
      <c r="BE409" s="1530"/>
      <c r="BF409" s="1530"/>
      <c r="BG409" s="1530"/>
      <c r="BH409" s="1530"/>
      <c r="BI409" s="1530"/>
      <c r="BJ409" s="1530"/>
      <c r="BK409" s="1530"/>
      <c r="BL409" s="1530"/>
      <c r="BM409" s="1530"/>
      <c r="BN409" s="1530"/>
      <c r="BW409" s="1569"/>
      <c r="CO409" s="1530"/>
      <c r="CP409" s="1530"/>
      <c r="CQ409" s="1530"/>
      <c r="CR409" s="1530"/>
      <c r="CS409" s="1530"/>
      <c r="CT409" s="1530"/>
      <c r="CU409" s="1530"/>
      <c r="CV409" s="1530"/>
      <c r="CW409" s="1530"/>
      <c r="CX409" s="1530"/>
      <c r="CY409" s="1530"/>
      <c r="CZ409" s="1530"/>
      <c r="DA409" s="1530"/>
      <c r="DB409" s="1530"/>
      <c r="DC409" s="1530"/>
      <c r="DD409" s="1530"/>
      <c r="DE409" s="1530"/>
      <c r="DF409" s="1530"/>
      <c r="DG409" s="1530"/>
      <c r="DH409" s="1530"/>
      <c r="DI409" s="1530"/>
      <c r="DJ409" s="1530"/>
      <c r="DK409" s="1530"/>
      <c r="DL409" s="1530"/>
      <c r="DM409" s="1530"/>
      <c r="DN409" s="1571"/>
      <c r="DO409" s="1530"/>
      <c r="DP409" s="1530"/>
    </row>
    <row r="410" spans="1:120">
      <c r="A410" s="1451"/>
      <c r="C410" s="1451"/>
      <c r="K410" s="1451"/>
      <c r="L410" s="1451"/>
      <c r="U410" s="1530"/>
      <c r="V410" s="1530"/>
      <c r="W410" s="1530"/>
      <c r="X410" s="1530"/>
      <c r="Y410" s="1530"/>
      <c r="Z410" s="1530"/>
      <c r="AA410" s="1530"/>
      <c r="AB410" s="1530"/>
      <c r="AC410" s="1530"/>
      <c r="AD410" s="1530"/>
      <c r="AE410" s="1530"/>
      <c r="AF410" s="1530"/>
      <c r="AG410" s="1530"/>
      <c r="AH410" s="1530"/>
      <c r="AI410" s="1530"/>
      <c r="AJ410" s="1530"/>
      <c r="AK410" s="1530"/>
      <c r="AL410" s="1530"/>
      <c r="AM410" s="1530"/>
      <c r="AN410" s="1530"/>
      <c r="AO410" s="1530"/>
      <c r="AP410" s="1530"/>
      <c r="AQ410" s="1530"/>
      <c r="AR410" s="1530"/>
      <c r="AS410" s="1530"/>
      <c r="AT410" s="1530"/>
      <c r="AU410" s="1530"/>
      <c r="AV410" s="1530"/>
      <c r="AW410" s="1530"/>
      <c r="AX410" s="1530"/>
      <c r="AY410" s="1530"/>
      <c r="AZ410" s="1530"/>
      <c r="BA410" s="1530"/>
      <c r="BB410" s="1530"/>
      <c r="BC410" s="1530"/>
      <c r="BD410" s="1530"/>
      <c r="BE410" s="1530"/>
      <c r="BF410" s="1530"/>
      <c r="BG410" s="1530"/>
      <c r="BH410" s="1530"/>
      <c r="BI410" s="1530"/>
      <c r="BJ410" s="1530"/>
      <c r="BK410" s="1530"/>
      <c r="BL410" s="1530"/>
      <c r="BM410" s="1530"/>
      <c r="BN410" s="1530"/>
      <c r="BW410" s="1569"/>
      <c r="CO410" s="1530"/>
      <c r="CP410" s="1530"/>
      <c r="CQ410" s="1530"/>
      <c r="CR410" s="1530"/>
      <c r="CS410" s="1530"/>
      <c r="CT410" s="1530"/>
      <c r="CU410" s="1530"/>
      <c r="CV410" s="1530"/>
      <c r="CW410" s="1530"/>
      <c r="CX410" s="1530"/>
      <c r="CY410" s="1530"/>
      <c r="CZ410" s="1530"/>
      <c r="DA410" s="1530"/>
      <c r="DB410" s="1530"/>
      <c r="DC410" s="1530"/>
      <c r="DD410" s="1530"/>
      <c r="DE410" s="1530"/>
      <c r="DF410" s="1530"/>
      <c r="DG410" s="1530"/>
      <c r="DH410" s="1530"/>
      <c r="DI410" s="1530"/>
      <c r="DJ410" s="1530"/>
      <c r="DK410" s="1530"/>
      <c r="DL410" s="1530"/>
      <c r="DM410" s="1530"/>
      <c r="DN410" s="1571"/>
      <c r="DO410" s="1530"/>
      <c r="DP410" s="1530"/>
    </row>
    <row r="411" spans="1:120">
      <c r="A411" s="1451"/>
      <c r="C411" s="1451"/>
      <c r="K411" s="1451"/>
      <c r="L411" s="1451"/>
      <c r="U411" s="1530"/>
      <c r="V411" s="1530"/>
      <c r="W411" s="1530"/>
      <c r="X411" s="1530"/>
      <c r="Y411" s="1530"/>
      <c r="Z411" s="1530"/>
      <c r="AA411" s="1530"/>
      <c r="AB411" s="1530"/>
      <c r="AC411" s="1530"/>
      <c r="AD411" s="1530"/>
      <c r="AE411" s="1530"/>
      <c r="AF411" s="1530"/>
      <c r="AG411" s="1530"/>
      <c r="AH411" s="1530"/>
      <c r="AI411" s="1530"/>
      <c r="AJ411" s="1530"/>
      <c r="AK411" s="1530"/>
      <c r="AL411" s="1530"/>
      <c r="AM411" s="1530"/>
      <c r="AN411" s="1530"/>
      <c r="AO411" s="1530"/>
      <c r="AP411" s="1530"/>
      <c r="AQ411" s="1530"/>
      <c r="AR411" s="1530"/>
      <c r="AS411" s="1530"/>
      <c r="AT411" s="1530"/>
      <c r="AU411" s="1530"/>
      <c r="AV411" s="1530"/>
      <c r="AW411" s="1530"/>
      <c r="AX411" s="1530"/>
      <c r="AY411" s="1530"/>
      <c r="AZ411" s="1530"/>
      <c r="BA411" s="1530"/>
      <c r="BB411" s="1530"/>
      <c r="BC411" s="1530"/>
      <c r="BD411" s="1530"/>
      <c r="BE411" s="1530"/>
      <c r="BF411" s="1530"/>
      <c r="BG411" s="1530"/>
      <c r="BH411" s="1530"/>
      <c r="BI411" s="1530"/>
      <c r="BJ411" s="1530"/>
      <c r="BK411" s="1530"/>
      <c r="BL411" s="1530"/>
      <c r="BM411" s="1530"/>
      <c r="BN411" s="1530"/>
      <c r="BW411" s="1569"/>
      <c r="CO411" s="1530"/>
      <c r="CP411" s="1530"/>
      <c r="CQ411" s="1530"/>
      <c r="CR411" s="1530"/>
      <c r="CS411" s="1530"/>
      <c r="CT411" s="1530"/>
      <c r="CU411" s="1530"/>
      <c r="CV411" s="1530"/>
      <c r="CW411" s="1530"/>
      <c r="CX411" s="1530"/>
      <c r="CY411" s="1530"/>
      <c r="CZ411" s="1530"/>
      <c r="DA411" s="1530"/>
      <c r="DB411" s="1530"/>
      <c r="DC411" s="1530"/>
      <c r="DD411" s="1530"/>
      <c r="DE411" s="1530"/>
      <c r="DF411" s="1530"/>
      <c r="DG411" s="1530"/>
      <c r="DH411" s="1530"/>
      <c r="DI411" s="1530"/>
      <c r="DJ411" s="1530"/>
      <c r="DK411" s="1530"/>
      <c r="DL411" s="1530"/>
      <c r="DM411" s="1530"/>
      <c r="DN411" s="1571"/>
      <c r="DO411" s="1530"/>
      <c r="DP411" s="1530"/>
    </row>
    <row r="412" spans="1:120">
      <c r="A412" s="1451"/>
      <c r="C412" s="1451"/>
      <c r="K412" s="1451"/>
      <c r="L412" s="1451"/>
      <c r="U412" s="1530"/>
      <c r="V412" s="1530"/>
      <c r="W412" s="1530"/>
      <c r="X412" s="1530"/>
      <c r="Y412" s="1530"/>
      <c r="Z412" s="1530"/>
      <c r="AA412" s="1530"/>
      <c r="AB412" s="1530"/>
      <c r="AC412" s="1530"/>
      <c r="AD412" s="1530"/>
      <c r="AE412" s="1530"/>
      <c r="AF412" s="1530"/>
      <c r="AG412" s="1530"/>
      <c r="AH412" s="1530"/>
      <c r="AI412" s="1530"/>
      <c r="AJ412" s="1530"/>
      <c r="AK412" s="1530"/>
      <c r="AL412" s="1530"/>
      <c r="AM412" s="1530"/>
      <c r="AN412" s="1530"/>
      <c r="AO412" s="1530"/>
      <c r="AP412" s="1530"/>
      <c r="AQ412" s="1530"/>
      <c r="AR412" s="1530"/>
      <c r="AS412" s="1530"/>
      <c r="AT412" s="1530"/>
      <c r="AU412" s="1530"/>
      <c r="AV412" s="1530"/>
      <c r="AW412" s="1530"/>
      <c r="AX412" s="1530"/>
      <c r="AY412" s="1530"/>
      <c r="AZ412" s="1530"/>
      <c r="BA412" s="1530"/>
      <c r="BB412" s="1530"/>
      <c r="BC412" s="1530"/>
      <c r="BD412" s="1530"/>
      <c r="BE412" s="1530"/>
      <c r="BF412" s="1530"/>
      <c r="BG412" s="1530"/>
      <c r="BH412" s="1530"/>
      <c r="BI412" s="1530"/>
      <c r="BJ412" s="1530"/>
      <c r="BK412" s="1530"/>
      <c r="BL412" s="1530"/>
      <c r="BM412" s="1530"/>
      <c r="BN412" s="1530"/>
      <c r="BW412" s="1569"/>
      <c r="CO412" s="1530"/>
      <c r="CP412" s="1530"/>
      <c r="CQ412" s="1530"/>
      <c r="CR412" s="1530"/>
      <c r="CS412" s="1530"/>
      <c r="CT412" s="1530"/>
      <c r="CU412" s="1530"/>
      <c r="CV412" s="1530"/>
      <c r="CW412" s="1530"/>
      <c r="CX412" s="1530"/>
      <c r="CY412" s="1530"/>
      <c r="CZ412" s="1530"/>
      <c r="DA412" s="1530"/>
      <c r="DB412" s="1530"/>
      <c r="DC412" s="1530"/>
      <c r="DD412" s="1530"/>
      <c r="DE412" s="1530"/>
      <c r="DF412" s="1530"/>
      <c r="DG412" s="1530"/>
      <c r="DH412" s="1530"/>
      <c r="DI412" s="1530"/>
      <c r="DJ412" s="1530"/>
      <c r="DK412" s="1530"/>
      <c r="DL412" s="1530"/>
      <c r="DM412" s="1530"/>
      <c r="DN412" s="1571"/>
      <c r="DO412" s="1530"/>
      <c r="DP412" s="1530"/>
    </row>
    <row r="413" spans="1:120">
      <c r="A413" s="1451"/>
      <c r="C413" s="1451"/>
      <c r="K413" s="1451"/>
      <c r="L413" s="1451"/>
      <c r="U413" s="1530"/>
      <c r="V413" s="1530"/>
      <c r="W413" s="1530"/>
      <c r="X413" s="1530"/>
      <c r="Y413" s="1530"/>
      <c r="Z413" s="1530"/>
      <c r="AA413" s="1530"/>
      <c r="AB413" s="1530"/>
      <c r="AC413" s="1530"/>
      <c r="AD413" s="1530"/>
      <c r="AE413" s="1530"/>
      <c r="AF413" s="1530"/>
      <c r="AG413" s="1530"/>
      <c r="AH413" s="1530"/>
      <c r="AI413" s="1530"/>
      <c r="AJ413" s="1530"/>
      <c r="AK413" s="1530"/>
      <c r="AL413" s="1530"/>
      <c r="AM413" s="1530"/>
      <c r="AN413" s="1530"/>
      <c r="AO413" s="1530"/>
      <c r="AP413" s="1530"/>
      <c r="AQ413" s="1530"/>
      <c r="AR413" s="1530"/>
      <c r="AS413" s="1530"/>
      <c r="AT413" s="1530"/>
      <c r="AU413" s="1530"/>
      <c r="AV413" s="1530"/>
      <c r="AW413" s="1530"/>
      <c r="AX413" s="1530"/>
      <c r="AY413" s="1530"/>
      <c r="AZ413" s="1530"/>
      <c r="BA413" s="1530"/>
      <c r="BB413" s="1530"/>
      <c r="BC413" s="1530"/>
      <c r="BD413" s="1530"/>
      <c r="BE413" s="1530"/>
      <c r="BF413" s="1530"/>
      <c r="BG413" s="1530"/>
      <c r="BH413" s="1530"/>
      <c r="BI413" s="1530"/>
      <c r="BJ413" s="1530"/>
      <c r="BK413" s="1530"/>
      <c r="BL413" s="1530"/>
      <c r="BM413" s="1530"/>
      <c r="BN413" s="1530"/>
      <c r="BW413" s="1569"/>
      <c r="CO413" s="1530"/>
      <c r="CP413" s="1530"/>
      <c r="CQ413" s="1530"/>
      <c r="CR413" s="1530"/>
      <c r="CS413" s="1530"/>
      <c r="CT413" s="1530"/>
      <c r="CU413" s="1530"/>
      <c r="CV413" s="1530"/>
      <c r="CW413" s="1530"/>
      <c r="CX413" s="1530"/>
      <c r="CY413" s="1530"/>
      <c r="CZ413" s="1530"/>
      <c r="DA413" s="1530"/>
      <c r="DB413" s="1530"/>
      <c r="DC413" s="1530"/>
      <c r="DD413" s="1530"/>
      <c r="DE413" s="1530"/>
      <c r="DF413" s="1530"/>
      <c r="DG413" s="1530"/>
      <c r="DH413" s="1530"/>
      <c r="DI413" s="1530"/>
      <c r="DJ413" s="1530"/>
      <c r="DK413" s="1530"/>
      <c r="DL413" s="1530"/>
      <c r="DM413" s="1530"/>
      <c r="DN413" s="1571"/>
      <c r="DO413" s="1530"/>
      <c r="DP413" s="1530"/>
    </row>
    <row r="414" spans="1:120">
      <c r="A414" s="1451"/>
      <c r="C414" s="1451"/>
      <c r="K414" s="1451"/>
      <c r="L414" s="1451"/>
      <c r="U414" s="1530"/>
      <c r="V414" s="1530"/>
      <c r="W414" s="1530"/>
      <c r="X414" s="1530"/>
      <c r="Y414" s="1530"/>
      <c r="Z414" s="1530"/>
      <c r="AA414" s="1530"/>
      <c r="AB414" s="1530"/>
      <c r="AC414" s="1530"/>
      <c r="AD414" s="1530"/>
      <c r="AE414" s="1530"/>
      <c r="AF414" s="1530"/>
      <c r="AG414" s="1530"/>
      <c r="AH414" s="1530"/>
      <c r="AI414" s="1530"/>
      <c r="AJ414" s="1530"/>
      <c r="AK414" s="1530"/>
      <c r="AL414" s="1530"/>
      <c r="AM414" s="1530"/>
      <c r="AN414" s="1530"/>
      <c r="AO414" s="1530"/>
      <c r="AP414" s="1530"/>
      <c r="AQ414" s="1530"/>
      <c r="AR414" s="1530"/>
      <c r="AS414" s="1530"/>
      <c r="AT414" s="1530"/>
      <c r="AU414" s="1530"/>
      <c r="AV414" s="1530"/>
      <c r="AW414" s="1530"/>
      <c r="AX414" s="1530"/>
      <c r="AY414" s="1530"/>
      <c r="AZ414" s="1530"/>
      <c r="BA414" s="1530"/>
      <c r="BB414" s="1530"/>
      <c r="BC414" s="1530"/>
      <c r="BD414" s="1530"/>
      <c r="BE414" s="1530"/>
      <c r="BF414" s="1530"/>
      <c r="BG414" s="1530"/>
      <c r="BH414" s="1530"/>
      <c r="BI414" s="1530"/>
      <c r="BJ414" s="1530"/>
      <c r="BK414" s="1530"/>
      <c r="BL414" s="1530"/>
      <c r="BM414" s="1530"/>
      <c r="BN414" s="1530"/>
      <c r="BW414" s="1569"/>
      <c r="CO414" s="1530"/>
      <c r="CP414" s="1530"/>
      <c r="CQ414" s="1530"/>
      <c r="CR414" s="1530"/>
      <c r="CS414" s="1530"/>
      <c r="CT414" s="1530"/>
      <c r="CU414" s="1530"/>
      <c r="CV414" s="1530"/>
      <c r="CW414" s="1530"/>
      <c r="CX414" s="1530"/>
      <c r="CY414" s="1530"/>
      <c r="CZ414" s="1530"/>
      <c r="DA414" s="1530"/>
      <c r="DB414" s="1530"/>
      <c r="DC414" s="1530"/>
      <c r="DD414" s="1530"/>
      <c r="DE414" s="1530"/>
      <c r="DF414" s="1530"/>
      <c r="DG414" s="1530"/>
      <c r="DH414" s="1530"/>
      <c r="DI414" s="1530"/>
      <c r="DJ414" s="1530"/>
      <c r="DK414" s="1530"/>
      <c r="DL414" s="1530"/>
      <c r="DM414" s="1530"/>
      <c r="DN414" s="1571"/>
      <c r="DO414" s="1530"/>
      <c r="DP414" s="1530"/>
    </row>
    <row r="415" spans="1:120">
      <c r="A415" s="1451"/>
      <c r="C415" s="1451"/>
      <c r="K415" s="1451"/>
      <c r="L415" s="1451"/>
      <c r="U415" s="1530"/>
      <c r="V415" s="1530"/>
      <c r="W415" s="1530"/>
      <c r="X415" s="1530"/>
      <c r="Y415" s="1530"/>
      <c r="Z415" s="1530"/>
      <c r="AA415" s="1530"/>
      <c r="AB415" s="1530"/>
      <c r="AC415" s="1530"/>
      <c r="AD415" s="1530"/>
      <c r="AE415" s="1530"/>
      <c r="AF415" s="1530"/>
      <c r="AG415" s="1530"/>
      <c r="AH415" s="1530"/>
      <c r="AI415" s="1530"/>
      <c r="AJ415" s="1530"/>
      <c r="AK415" s="1530"/>
      <c r="AL415" s="1530"/>
      <c r="AM415" s="1530"/>
      <c r="AN415" s="1530"/>
      <c r="AO415" s="1530"/>
      <c r="AP415" s="1530"/>
      <c r="AQ415" s="1530"/>
      <c r="AR415" s="1530"/>
      <c r="AS415" s="1530"/>
      <c r="AT415" s="1530"/>
      <c r="AU415" s="1530"/>
      <c r="AV415" s="1530"/>
      <c r="AW415" s="1530"/>
      <c r="AX415" s="1530"/>
      <c r="AY415" s="1530"/>
      <c r="AZ415" s="1530"/>
      <c r="BA415" s="1530"/>
      <c r="BB415" s="1530"/>
      <c r="BC415" s="1530"/>
      <c r="BD415" s="1530"/>
      <c r="BE415" s="1530"/>
      <c r="BF415" s="1530"/>
      <c r="BG415" s="1530"/>
      <c r="BH415" s="1530"/>
      <c r="BI415" s="1530"/>
      <c r="BJ415" s="1530"/>
      <c r="BK415" s="1530"/>
      <c r="BL415" s="1530"/>
      <c r="BM415" s="1530"/>
      <c r="BN415" s="1530"/>
      <c r="BW415" s="1569"/>
      <c r="CO415" s="1530"/>
      <c r="CP415" s="1530"/>
      <c r="CQ415" s="1530"/>
      <c r="CR415" s="1530"/>
      <c r="CS415" s="1530"/>
      <c r="CT415" s="1530"/>
      <c r="CU415" s="1530"/>
      <c r="CV415" s="1530"/>
      <c r="CW415" s="1530"/>
      <c r="CX415" s="1530"/>
      <c r="CY415" s="1530"/>
      <c r="CZ415" s="1530"/>
      <c r="DA415" s="1530"/>
      <c r="DB415" s="1530"/>
      <c r="DC415" s="1530"/>
      <c r="DD415" s="1530"/>
      <c r="DE415" s="1530"/>
      <c r="DF415" s="1530"/>
      <c r="DG415" s="1530"/>
      <c r="DH415" s="1530"/>
      <c r="DI415" s="1530"/>
      <c r="DJ415" s="1530"/>
      <c r="DK415" s="1530"/>
      <c r="DL415" s="1530"/>
      <c r="DM415" s="1530"/>
      <c r="DN415" s="1571"/>
      <c r="DO415" s="1530"/>
      <c r="DP415" s="1530"/>
    </row>
    <row r="416" spans="1:120">
      <c r="A416" s="1451"/>
      <c r="C416" s="1451"/>
      <c r="K416" s="1451"/>
      <c r="L416" s="1451"/>
      <c r="U416" s="1530"/>
      <c r="V416" s="1530"/>
      <c r="W416" s="1530"/>
      <c r="X416" s="1530"/>
      <c r="Y416" s="1530"/>
      <c r="Z416" s="1530"/>
      <c r="AA416" s="1530"/>
      <c r="AB416" s="1530"/>
      <c r="AC416" s="1530"/>
      <c r="AD416" s="1530"/>
      <c r="AE416" s="1530"/>
      <c r="AF416" s="1530"/>
      <c r="AG416" s="1530"/>
      <c r="AH416" s="1530"/>
      <c r="AI416" s="1530"/>
      <c r="AJ416" s="1530"/>
      <c r="AK416" s="1530"/>
      <c r="AL416" s="1530"/>
      <c r="AM416" s="1530"/>
      <c r="AN416" s="1530"/>
      <c r="AO416" s="1530"/>
      <c r="AP416" s="1530"/>
      <c r="AQ416" s="1530"/>
      <c r="AR416" s="1530"/>
      <c r="AS416" s="1530"/>
      <c r="AT416" s="1530"/>
      <c r="AU416" s="1530"/>
      <c r="AV416" s="1530"/>
      <c r="AW416" s="1530"/>
      <c r="AX416" s="1530"/>
      <c r="AY416" s="1530"/>
      <c r="AZ416" s="1530"/>
      <c r="BA416" s="1530"/>
      <c r="BB416" s="1530"/>
      <c r="BC416" s="1530"/>
      <c r="BD416" s="1530"/>
      <c r="BE416" s="1530"/>
      <c r="BF416" s="1530"/>
      <c r="BG416" s="1530"/>
      <c r="BH416" s="1530"/>
      <c r="BI416" s="1530"/>
      <c r="BJ416" s="1530"/>
      <c r="BK416" s="1530"/>
      <c r="BL416" s="1530"/>
      <c r="BM416" s="1530"/>
      <c r="BN416" s="1530"/>
      <c r="BW416" s="1569"/>
      <c r="CO416" s="1530"/>
      <c r="CP416" s="1530"/>
      <c r="CQ416" s="1530"/>
      <c r="CR416" s="1530"/>
      <c r="CS416" s="1530"/>
      <c r="CT416" s="1530"/>
      <c r="CU416" s="1530"/>
      <c r="CV416" s="1530"/>
      <c r="CW416" s="1530"/>
      <c r="CX416" s="1530"/>
      <c r="CY416" s="1530"/>
      <c r="CZ416" s="1530"/>
      <c r="DA416" s="1530"/>
      <c r="DB416" s="1530"/>
      <c r="DC416" s="1530"/>
      <c r="DD416" s="1530"/>
      <c r="DE416" s="1530"/>
      <c r="DF416" s="1530"/>
      <c r="DG416" s="1530"/>
      <c r="DH416" s="1530"/>
      <c r="DI416" s="1530"/>
      <c r="DJ416" s="1530"/>
      <c r="DK416" s="1530"/>
      <c r="DL416" s="1530"/>
      <c r="DM416" s="1530"/>
      <c r="DN416" s="1571"/>
      <c r="DO416" s="1530"/>
      <c r="DP416" s="1530"/>
    </row>
    <row r="417" spans="1:120">
      <c r="A417" s="1451"/>
      <c r="C417" s="1451"/>
      <c r="K417" s="1451"/>
      <c r="L417" s="1451"/>
      <c r="U417" s="1530"/>
      <c r="V417" s="1530"/>
      <c r="W417" s="1530"/>
      <c r="X417" s="1530"/>
      <c r="Y417" s="1530"/>
      <c r="Z417" s="1530"/>
      <c r="AA417" s="1530"/>
      <c r="AB417" s="1530"/>
      <c r="AC417" s="1530"/>
      <c r="AD417" s="1530"/>
      <c r="AE417" s="1530"/>
      <c r="AF417" s="1530"/>
      <c r="AG417" s="1530"/>
      <c r="AH417" s="1530"/>
      <c r="AI417" s="1530"/>
      <c r="AJ417" s="1530"/>
      <c r="AK417" s="1530"/>
      <c r="AL417" s="1530"/>
      <c r="AM417" s="1530"/>
      <c r="AN417" s="1530"/>
      <c r="AO417" s="1530"/>
      <c r="AP417" s="1530"/>
      <c r="AQ417" s="1530"/>
      <c r="AR417" s="1530"/>
      <c r="AS417" s="1530"/>
      <c r="AT417" s="1530"/>
      <c r="AU417" s="1530"/>
      <c r="AV417" s="1530"/>
      <c r="AW417" s="1530"/>
      <c r="AX417" s="1530"/>
      <c r="AY417" s="1530"/>
      <c r="AZ417" s="1530"/>
      <c r="BA417" s="1530"/>
      <c r="BB417" s="1530"/>
      <c r="BC417" s="1530"/>
      <c r="BD417" s="1530"/>
      <c r="BE417" s="1530"/>
      <c r="BF417" s="1530"/>
      <c r="BG417" s="1530"/>
      <c r="BH417" s="1530"/>
      <c r="BI417" s="1530"/>
      <c r="BJ417" s="1530"/>
      <c r="BK417" s="1530"/>
      <c r="BL417" s="1530"/>
      <c r="BM417" s="1530"/>
      <c r="BN417" s="1530"/>
      <c r="BW417" s="1569"/>
      <c r="CO417" s="1530"/>
      <c r="CP417" s="1530"/>
      <c r="CQ417" s="1530"/>
      <c r="CR417" s="1530"/>
      <c r="CS417" s="1530"/>
      <c r="CT417" s="1530"/>
      <c r="CU417" s="1530"/>
      <c r="CV417" s="1530"/>
      <c r="CW417" s="1530"/>
      <c r="CX417" s="1530"/>
      <c r="CY417" s="1530"/>
      <c r="CZ417" s="1530"/>
      <c r="DA417" s="1530"/>
      <c r="DB417" s="1530"/>
      <c r="DC417" s="1530"/>
      <c r="DD417" s="1530"/>
      <c r="DE417" s="1530"/>
      <c r="DF417" s="1530"/>
      <c r="DG417" s="1530"/>
      <c r="DH417" s="1530"/>
      <c r="DI417" s="1530"/>
      <c r="DJ417" s="1530"/>
      <c r="DK417" s="1530"/>
      <c r="DL417" s="1530"/>
      <c r="DM417" s="1530"/>
      <c r="DN417" s="1571"/>
      <c r="DO417" s="1530"/>
      <c r="DP417" s="1530"/>
    </row>
    <row r="418" spans="1:120">
      <c r="A418" s="1451"/>
      <c r="C418" s="1451"/>
      <c r="K418" s="1451"/>
      <c r="L418" s="1451"/>
      <c r="U418" s="1530"/>
      <c r="V418" s="1530"/>
      <c r="W418" s="1530"/>
      <c r="X418" s="1530"/>
      <c r="Y418" s="1530"/>
      <c r="Z418" s="1530"/>
      <c r="AA418" s="1530"/>
      <c r="AB418" s="1530"/>
      <c r="AC418" s="1530"/>
      <c r="AD418" s="1530"/>
      <c r="AE418" s="1530"/>
      <c r="AF418" s="1530"/>
      <c r="AG418" s="1530"/>
      <c r="AH418" s="1530"/>
      <c r="AI418" s="1530"/>
      <c r="AJ418" s="1530"/>
      <c r="AK418" s="1530"/>
      <c r="AL418" s="1530"/>
      <c r="AM418" s="1530"/>
      <c r="AN418" s="1530"/>
      <c r="AO418" s="1530"/>
      <c r="AP418" s="1530"/>
      <c r="AQ418" s="1530"/>
      <c r="AR418" s="1530"/>
      <c r="AS418" s="1530"/>
      <c r="AT418" s="1530"/>
      <c r="AU418" s="1530"/>
      <c r="AV418" s="1530"/>
      <c r="AW418" s="1530"/>
      <c r="AX418" s="1530"/>
      <c r="AY418" s="1530"/>
      <c r="AZ418" s="1530"/>
      <c r="BA418" s="1530"/>
      <c r="BB418" s="1530"/>
      <c r="BC418" s="1530"/>
      <c r="BD418" s="1530"/>
      <c r="BE418" s="1530"/>
      <c r="BF418" s="1530"/>
      <c r="BG418" s="1530"/>
      <c r="BH418" s="1530"/>
      <c r="BI418" s="1530"/>
      <c r="BJ418" s="1530"/>
      <c r="BK418" s="1530"/>
      <c r="BL418" s="1530"/>
      <c r="BM418" s="1530"/>
      <c r="BN418" s="1530"/>
      <c r="BW418" s="1569"/>
      <c r="CO418" s="1530"/>
      <c r="CP418" s="1530"/>
      <c r="CQ418" s="1530"/>
      <c r="CR418" s="1530"/>
      <c r="CS418" s="1530"/>
      <c r="CT418" s="1530"/>
      <c r="CU418" s="1530"/>
      <c r="CV418" s="1530"/>
      <c r="CW418" s="1530"/>
      <c r="CX418" s="1530"/>
      <c r="CY418" s="1530"/>
      <c r="CZ418" s="1530"/>
      <c r="DA418" s="1530"/>
      <c r="DB418" s="1530"/>
      <c r="DC418" s="1530"/>
      <c r="DD418" s="1530"/>
      <c r="DE418" s="1530"/>
      <c r="DF418" s="1530"/>
      <c r="DG418" s="1530"/>
      <c r="DH418" s="1530"/>
      <c r="DI418" s="1530"/>
      <c r="DJ418" s="1530"/>
      <c r="DK418" s="1530"/>
      <c r="DL418" s="1530"/>
      <c r="DM418" s="1530"/>
      <c r="DN418" s="1571"/>
      <c r="DO418" s="1530"/>
      <c r="DP418" s="1530"/>
    </row>
    <row r="419" spans="1:120">
      <c r="A419" s="1451"/>
      <c r="C419" s="1451"/>
      <c r="K419" s="1451"/>
      <c r="L419" s="1451"/>
      <c r="U419" s="1530"/>
      <c r="V419" s="1530"/>
      <c r="W419" s="1530"/>
      <c r="X419" s="1530"/>
      <c r="Y419" s="1530"/>
      <c r="Z419" s="1530"/>
      <c r="AA419" s="1530"/>
      <c r="AB419" s="1530"/>
      <c r="AC419" s="1530"/>
      <c r="AD419" s="1530"/>
      <c r="AE419" s="1530"/>
      <c r="AF419" s="1530"/>
      <c r="AG419" s="1530"/>
      <c r="AH419" s="1530"/>
      <c r="AI419" s="1530"/>
      <c r="AJ419" s="1530"/>
      <c r="AK419" s="1530"/>
      <c r="AL419" s="1530"/>
      <c r="AM419" s="1530"/>
      <c r="AN419" s="1530"/>
      <c r="AO419" s="1530"/>
      <c r="AP419" s="1530"/>
      <c r="AQ419" s="1530"/>
      <c r="AR419" s="1530"/>
      <c r="AS419" s="1530"/>
      <c r="AT419" s="1530"/>
      <c r="AU419" s="1530"/>
      <c r="AV419" s="1530"/>
      <c r="AW419" s="1530"/>
      <c r="AX419" s="1530"/>
      <c r="AY419" s="1530"/>
      <c r="AZ419" s="1530"/>
      <c r="BA419" s="1530"/>
      <c r="BB419" s="1530"/>
      <c r="BC419" s="1530"/>
      <c r="BD419" s="1530"/>
      <c r="BE419" s="1530"/>
      <c r="BF419" s="1530"/>
      <c r="BG419" s="1530"/>
      <c r="BH419" s="1530"/>
      <c r="BI419" s="1530"/>
      <c r="BJ419" s="1530"/>
      <c r="BK419" s="1530"/>
      <c r="BL419" s="1530"/>
      <c r="BM419" s="1530"/>
      <c r="BN419" s="1530"/>
      <c r="BW419" s="1569"/>
      <c r="CO419" s="1530"/>
      <c r="CP419" s="1530"/>
      <c r="CQ419" s="1530"/>
      <c r="CR419" s="1530"/>
      <c r="CS419" s="1530"/>
      <c r="CT419" s="1530"/>
      <c r="CU419" s="1530"/>
      <c r="CV419" s="1530"/>
      <c r="CW419" s="1530"/>
      <c r="CX419" s="1530"/>
      <c r="CY419" s="1530"/>
      <c r="CZ419" s="1530"/>
      <c r="DA419" s="1530"/>
      <c r="DB419" s="1530"/>
      <c r="DC419" s="1530"/>
      <c r="DD419" s="1530"/>
      <c r="DE419" s="1530"/>
      <c r="DF419" s="1530"/>
      <c r="DG419" s="1530"/>
      <c r="DH419" s="1530"/>
      <c r="DI419" s="1530"/>
      <c r="DJ419" s="1530"/>
      <c r="DK419" s="1530"/>
      <c r="DL419" s="1530"/>
      <c r="DM419" s="1530"/>
      <c r="DN419" s="1571"/>
      <c r="DO419" s="1530"/>
      <c r="DP419" s="1530"/>
    </row>
    <row r="420" spans="1:120">
      <c r="A420" s="1451"/>
      <c r="C420" s="1451"/>
      <c r="K420" s="1451"/>
      <c r="L420" s="1451"/>
      <c r="U420" s="1530"/>
      <c r="V420" s="1530"/>
      <c r="W420" s="1530"/>
      <c r="X420" s="1530"/>
      <c r="Y420" s="1530"/>
      <c r="Z420" s="1530"/>
      <c r="AA420" s="1530"/>
      <c r="AB420" s="1530"/>
      <c r="AC420" s="1530"/>
      <c r="AD420" s="1530"/>
      <c r="AE420" s="1530"/>
      <c r="AF420" s="1530"/>
      <c r="AG420" s="1530"/>
      <c r="AH420" s="1530"/>
      <c r="AI420" s="1530"/>
      <c r="AJ420" s="1530"/>
      <c r="AK420" s="1530"/>
      <c r="AL420" s="1530"/>
      <c r="AM420" s="1530"/>
      <c r="AN420" s="1530"/>
      <c r="AO420" s="1530"/>
      <c r="AP420" s="1530"/>
      <c r="AQ420" s="1530"/>
      <c r="AR420" s="1530"/>
      <c r="AS420" s="1530"/>
      <c r="AT420" s="1530"/>
      <c r="AU420" s="1530"/>
      <c r="AV420" s="1530"/>
      <c r="AW420" s="1530"/>
      <c r="AX420" s="1530"/>
      <c r="AY420" s="1530"/>
      <c r="AZ420" s="1530"/>
      <c r="BA420" s="1530"/>
      <c r="BB420" s="1530"/>
      <c r="BC420" s="1530"/>
      <c r="BD420" s="1530"/>
      <c r="BE420" s="1530"/>
      <c r="BF420" s="1530"/>
      <c r="BG420" s="1530"/>
      <c r="BH420" s="1530"/>
      <c r="BI420" s="1530"/>
      <c r="BJ420" s="1530"/>
      <c r="BK420" s="1530"/>
      <c r="BL420" s="1530"/>
      <c r="BM420" s="1530"/>
      <c r="BN420" s="1530"/>
      <c r="BW420" s="1569"/>
      <c r="CO420" s="1530"/>
      <c r="CP420" s="1530"/>
      <c r="CQ420" s="1530"/>
      <c r="CR420" s="1530"/>
      <c r="CS420" s="1530"/>
      <c r="CT420" s="1530"/>
      <c r="CU420" s="1530"/>
      <c r="CV420" s="1530"/>
      <c r="CW420" s="1530"/>
      <c r="CX420" s="1530"/>
      <c r="CY420" s="1530"/>
      <c r="CZ420" s="1530"/>
      <c r="DA420" s="1530"/>
      <c r="DB420" s="1530"/>
      <c r="DC420" s="1530"/>
      <c r="DD420" s="1530"/>
      <c r="DE420" s="1530"/>
      <c r="DF420" s="1530"/>
      <c r="DG420" s="1530"/>
      <c r="DH420" s="1530"/>
      <c r="DI420" s="1530"/>
      <c r="DJ420" s="1530"/>
      <c r="DK420" s="1530"/>
      <c r="DL420" s="1530"/>
      <c r="DM420" s="1530"/>
      <c r="DN420" s="1571"/>
      <c r="DO420" s="1530"/>
      <c r="DP420" s="1530"/>
    </row>
    <row r="421" spans="1:120">
      <c r="A421" s="1451"/>
      <c r="C421" s="1451"/>
      <c r="K421" s="1451"/>
      <c r="L421" s="1451"/>
      <c r="U421" s="1530"/>
      <c r="V421" s="1530"/>
      <c r="W421" s="1530"/>
      <c r="X421" s="1530"/>
      <c r="Y421" s="1530"/>
      <c r="Z421" s="1530"/>
      <c r="AA421" s="1530"/>
      <c r="AB421" s="1530"/>
      <c r="AC421" s="1530"/>
      <c r="AD421" s="1530"/>
      <c r="AE421" s="1530"/>
      <c r="AF421" s="1530"/>
      <c r="AG421" s="1530"/>
      <c r="AH421" s="1530"/>
      <c r="AI421" s="1530"/>
      <c r="AJ421" s="1530"/>
      <c r="AK421" s="1530"/>
      <c r="AL421" s="1530"/>
      <c r="AM421" s="1530"/>
      <c r="AN421" s="1530"/>
      <c r="AO421" s="1530"/>
      <c r="AP421" s="1530"/>
      <c r="AQ421" s="1530"/>
      <c r="AR421" s="1530"/>
      <c r="AS421" s="1530"/>
      <c r="AT421" s="1530"/>
      <c r="AU421" s="1530"/>
      <c r="AV421" s="1530"/>
      <c r="AW421" s="1530"/>
      <c r="AX421" s="1530"/>
      <c r="AY421" s="1530"/>
      <c r="AZ421" s="1530"/>
      <c r="BA421" s="1530"/>
      <c r="BB421" s="1530"/>
      <c r="BC421" s="1530"/>
      <c r="BD421" s="1530"/>
      <c r="BE421" s="1530"/>
      <c r="BF421" s="1530"/>
      <c r="BG421" s="1530"/>
      <c r="BH421" s="1530"/>
      <c r="BI421" s="1530"/>
      <c r="BJ421" s="1530"/>
      <c r="BK421" s="1530"/>
      <c r="BL421" s="1530"/>
      <c r="BM421" s="1530"/>
      <c r="BN421" s="1530"/>
      <c r="BW421" s="1569"/>
      <c r="CO421" s="1530"/>
      <c r="CP421" s="1530"/>
      <c r="CQ421" s="1530"/>
      <c r="CR421" s="1530"/>
      <c r="CS421" s="1530"/>
      <c r="CT421" s="1530"/>
      <c r="CU421" s="1530"/>
      <c r="CV421" s="1530"/>
      <c r="CW421" s="1530"/>
      <c r="CX421" s="1530"/>
      <c r="CY421" s="1530"/>
      <c r="CZ421" s="1530"/>
      <c r="DA421" s="1530"/>
      <c r="DB421" s="1530"/>
      <c r="DC421" s="1530"/>
      <c r="DD421" s="1530"/>
      <c r="DE421" s="1530"/>
      <c r="DF421" s="1530"/>
      <c r="DG421" s="1530"/>
      <c r="DH421" s="1530"/>
      <c r="DI421" s="1530"/>
      <c r="DJ421" s="1530"/>
      <c r="DK421" s="1530"/>
      <c r="DL421" s="1530"/>
      <c r="DM421" s="1530"/>
      <c r="DN421" s="1571"/>
      <c r="DO421" s="1530"/>
      <c r="DP421" s="1530"/>
    </row>
    <row r="422" spans="1:120">
      <c r="A422" s="1451"/>
      <c r="C422" s="1451"/>
      <c r="K422" s="1451"/>
      <c r="L422" s="1451"/>
      <c r="U422" s="1530"/>
      <c r="V422" s="1530"/>
      <c r="W422" s="1530"/>
      <c r="X422" s="1530"/>
      <c r="Y422" s="1530"/>
      <c r="Z422" s="1530"/>
      <c r="AA422" s="1530"/>
      <c r="AB422" s="1530"/>
      <c r="AC422" s="1530"/>
      <c r="AD422" s="1530"/>
      <c r="AE422" s="1530"/>
      <c r="AF422" s="1530"/>
      <c r="AG422" s="1530"/>
      <c r="AH422" s="1530"/>
      <c r="AI422" s="1530"/>
      <c r="AJ422" s="1530"/>
      <c r="AK422" s="1530"/>
      <c r="AL422" s="1530"/>
      <c r="AM422" s="1530"/>
      <c r="AN422" s="1530"/>
      <c r="AO422" s="1530"/>
      <c r="AP422" s="1530"/>
      <c r="AQ422" s="1530"/>
      <c r="AR422" s="1530"/>
      <c r="AS422" s="1530"/>
      <c r="AT422" s="1530"/>
      <c r="AU422" s="1530"/>
      <c r="AV422" s="1530"/>
      <c r="AW422" s="1530"/>
      <c r="AX422" s="1530"/>
      <c r="AY422" s="1530"/>
      <c r="AZ422" s="1530"/>
      <c r="BA422" s="1530"/>
      <c r="BB422" s="1530"/>
      <c r="BC422" s="1530"/>
      <c r="BD422" s="1530"/>
      <c r="BE422" s="1530"/>
      <c r="BF422" s="1530"/>
      <c r="BG422" s="1530"/>
      <c r="BH422" s="1530"/>
      <c r="BI422" s="1530"/>
      <c r="BJ422" s="1530"/>
      <c r="BK422" s="1530"/>
      <c r="BL422" s="1530"/>
      <c r="BM422" s="1530"/>
      <c r="BN422" s="1530"/>
      <c r="BW422" s="1569"/>
      <c r="CO422" s="1530"/>
      <c r="CP422" s="1530"/>
      <c r="CQ422" s="1530"/>
      <c r="CR422" s="1530"/>
      <c r="CS422" s="1530"/>
      <c r="CT422" s="1530"/>
      <c r="CU422" s="1530"/>
      <c r="CV422" s="1530"/>
      <c r="CW422" s="1530"/>
      <c r="CX422" s="1530"/>
      <c r="CY422" s="1530"/>
      <c r="CZ422" s="1530"/>
      <c r="DA422" s="1530"/>
      <c r="DB422" s="1530"/>
      <c r="DC422" s="1530"/>
      <c r="DD422" s="1530"/>
      <c r="DE422" s="1530"/>
      <c r="DF422" s="1530"/>
      <c r="DG422" s="1530"/>
      <c r="DH422" s="1530"/>
      <c r="DI422" s="1530"/>
      <c r="DJ422" s="1530"/>
      <c r="DK422" s="1530"/>
      <c r="DL422" s="1530"/>
      <c r="DM422" s="1530"/>
      <c r="DN422" s="1571"/>
      <c r="DO422" s="1530"/>
      <c r="DP422" s="1530"/>
    </row>
    <row r="423" spans="1:120">
      <c r="A423" s="1451"/>
      <c r="C423" s="1451"/>
      <c r="K423" s="1451"/>
      <c r="L423" s="1451"/>
      <c r="U423" s="1530"/>
      <c r="V423" s="1530"/>
      <c r="W423" s="1530"/>
      <c r="X423" s="1530"/>
      <c r="Y423" s="1530"/>
      <c r="Z423" s="1530"/>
      <c r="AA423" s="1530"/>
      <c r="AB423" s="1530"/>
      <c r="AC423" s="1530"/>
      <c r="AD423" s="1530"/>
      <c r="AE423" s="1530"/>
      <c r="AF423" s="1530"/>
      <c r="AG423" s="1530"/>
      <c r="AH423" s="1530"/>
      <c r="AI423" s="1530"/>
      <c r="AJ423" s="1530"/>
      <c r="AK423" s="1530"/>
      <c r="AL423" s="1530"/>
      <c r="AM423" s="1530"/>
      <c r="AN423" s="1530"/>
      <c r="AO423" s="1530"/>
      <c r="AP423" s="1530"/>
      <c r="AQ423" s="1530"/>
      <c r="AR423" s="1530"/>
      <c r="AS423" s="1530"/>
      <c r="AT423" s="1530"/>
      <c r="AU423" s="1530"/>
      <c r="AV423" s="1530"/>
      <c r="AW423" s="1530"/>
      <c r="AX423" s="1530"/>
      <c r="AY423" s="1530"/>
      <c r="AZ423" s="1530"/>
      <c r="BA423" s="1530"/>
      <c r="BB423" s="1530"/>
      <c r="BC423" s="1530"/>
      <c r="BD423" s="1530"/>
      <c r="BE423" s="1530"/>
      <c r="BF423" s="1530"/>
      <c r="BG423" s="1530"/>
      <c r="BH423" s="1530"/>
      <c r="BI423" s="1530"/>
      <c r="BJ423" s="1530"/>
      <c r="BK423" s="1530"/>
      <c r="BL423" s="1530"/>
      <c r="BM423" s="1530"/>
      <c r="BN423" s="1530"/>
      <c r="BW423" s="1569"/>
      <c r="CO423" s="1530"/>
      <c r="CP423" s="1530"/>
      <c r="CQ423" s="1530"/>
      <c r="CR423" s="1530"/>
      <c r="CS423" s="1530"/>
      <c r="CT423" s="1530"/>
      <c r="CU423" s="1530"/>
      <c r="CV423" s="1530"/>
      <c r="CW423" s="1530"/>
      <c r="CX423" s="1530"/>
      <c r="CY423" s="1530"/>
      <c r="CZ423" s="1530"/>
      <c r="DA423" s="1530"/>
      <c r="DB423" s="1530"/>
      <c r="DC423" s="1530"/>
      <c r="DD423" s="1530"/>
      <c r="DE423" s="1530"/>
      <c r="DF423" s="1530"/>
      <c r="DG423" s="1530"/>
      <c r="DH423" s="1530"/>
      <c r="DI423" s="1530"/>
      <c r="DJ423" s="1530"/>
      <c r="DK423" s="1530"/>
      <c r="DL423" s="1530"/>
      <c r="DM423" s="1530"/>
      <c r="DN423" s="1571"/>
      <c r="DO423" s="1530"/>
      <c r="DP423" s="1530"/>
    </row>
    <row r="424" spans="1:120">
      <c r="A424" s="1451"/>
      <c r="C424" s="1451"/>
      <c r="K424" s="1451"/>
      <c r="L424" s="1451"/>
      <c r="U424" s="1530"/>
      <c r="V424" s="1530"/>
      <c r="W424" s="1530"/>
      <c r="X424" s="1530"/>
      <c r="Y424" s="1530"/>
      <c r="Z424" s="1530"/>
      <c r="AA424" s="1530"/>
      <c r="AB424" s="1530"/>
      <c r="AC424" s="1530"/>
      <c r="AD424" s="1530"/>
      <c r="AE424" s="1530"/>
      <c r="AF424" s="1530"/>
      <c r="AG424" s="1530"/>
      <c r="AH424" s="1530"/>
      <c r="AI424" s="1530"/>
      <c r="AJ424" s="1530"/>
      <c r="AK424" s="1530"/>
      <c r="AL424" s="1530"/>
      <c r="AM424" s="1530"/>
      <c r="AN424" s="1530"/>
      <c r="AO424" s="1530"/>
      <c r="AP424" s="1530"/>
      <c r="AQ424" s="1530"/>
      <c r="AR424" s="1530"/>
      <c r="AS424" s="1530"/>
      <c r="AT424" s="1530"/>
      <c r="AU424" s="1530"/>
      <c r="AV424" s="1530"/>
      <c r="AW424" s="1530"/>
      <c r="AX424" s="1530"/>
      <c r="AY424" s="1530"/>
      <c r="AZ424" s="1530"/>
      <c r="BA424" s="1530"/>
      <c r="BB424" s="1530"/>
      <c r="BC424" s="1530"/>
      <c r="BD424" s="1530"/>
      <c r="BE424" s="1530"/>
      <c r="BF424" s="1530"/>
      <c r="BG424" s="1530"/>
      <c r="BH424" s="1530"/>
      <c r="BI424" s="1530"/>
      <c r="BJ424" s="1530"/>
      <c r="BK424" s="1530"/>
      <c r="BL424" s="1530"/>
      <c r="BM424" s="1530"/>
      <c r="BN424" s="1530"/>
      <c r="BW424" s="1569"/>
      <c r="CO424" s="1530"/>
      <c r="CP424" s="1530"/>
      <c r="CQ424" s="1530"/>
      <c r="CR424" s="1530"/>
      <c r="CS424" s="1530"/>
      <c r="CT424" s="1530"/>
      <c r="CU424" s="1530"/>
      <c r="CV424" s="1530"/>
      <c r="CW424" s="1530"/>
      <c r="CX424" s="1530"/>
      <c r="CY424" s="1530"/>
      <c r="CZ424" s="1530"/>
      <c r="DA424" s="1530"/>
      <c r="DB424" s="1530"/>
      <c r="DC424" s="1530"/>
      <c r="DD424" s="1530"/>
      <c r="DE424" s="1530"/>
      <c r="DF424" s="1530"/>
      <c r="DG424" s="1530"/>
      <c r="DH424" s="1530"/>
      <c r="DI424" s="1530"/>
      <c r="DJ424" s="1530"/>
      <c r="DK424" s="1530"/>
      <c r="DL424" s="1530"/>
      <c r="DM424" s="1530"/>
      <c r="DN424" s="1571"/>
      <c r="DO424" s="1530"/>
      <c r="DP424" s="1530"/>
    </row>
    <row r="425" spans="1:120">
      <c r="A425" s="1451"/>
      <c r="C425" s="1451"/>
      <c r="K425" s="1451"/>
      <c r="L425" s="1451"/>
      <c r="U425" s="1530"/>
      <c r="V425" s="1530"/>
      <c r="W425" s="1530"/>
      <c r="X425" s="1530"/>
      <c r="Y425" s="1530"/>
      <c r="Z425" s="1530"/>
      <c r="AA425" s="1530"/>
      <c r="AB425" s="1530"/>
      <c r="AC425" s="1530"/>
      <c r="AD425" s="1530"/>
      <c r="AE425" s="1530"/>
      <c r="AF425" s="1530"/>
      <c r="AG425" s="1530"/>
      <c r="AH425" s="1530"/>
      <c r="AI425" s="1530"/>
      <c r="AJ425" s="1530"/>
      <c r="AK425" s="1530"/>
      <c r="AL425" s="1530"/>
      <c r="AM425" s="1530"/>
      <c r="AN425" s="1530"/>
      <c r="AO425" s="1530"/>
      <c r="AP425" s="1530"/>
      <c r="AQ425" s="1530"/>
      <c r="AR425" s="1530"/>
      <c r="AS425" s="1530"/>
      <c r="AT425" s="1530"/>
      <c r="AU425" s="1530"/>
      <c r="AV425" s="1530"/>
      <c r="AW425" s="1530"/>
      <c r="AX425" s="1530"/>
      <c r="AY425" s="1530"/>
      <c r="AZ425" s="1530"/>
      <c r="BA425" s="1530"/>
      <c r="BB425" s="1530"/>
      <c r="BC425" s="1530"/>
      <c r="BD425" s="1530"/>
      <c r="BE425" s="1530"/>
      <c r="BF425" s="1530"/>
      <c r="BG425" s="1530"/>
      <c r="BH425" s="1530"/>
      <c r="BI425" s="1530"/>
      <c r="BJ425" s="1530"/>
      <c r="BK425" s="1530"/>
      <c r="BL425" s="1530"/>
      <c r="BM425" s="1530"/>
      <c r="BN425" s="1530"/>
      <c r="BW425" s="1569"/>
      <c r="CO425" s="1530"/>
      <c r="CP425" s="1530"/>
      <c r="CQ425" s="1530"/>
      <c r="CR425" s="1530"/>
      <c r="CS425" s="1530"/>
      <c r="CT425" s="1530"/>
      <c r="CU425" s="1530"/>
      <c r="CV425" s="1530"/>
      <c r="CW425" s="1530"/>
      <c r="CX425" s="1530"/>
      <c r="CY425" s="1530"/>
      <c r="CZ425" s="1530"/>
      <c r="DA425" s="1530"/>
      <c r="DB425" s="1530"/>
      <c r="DC425" s="1530"/>
      <c r="DD425" s="1530"/>
      <c r="DE425" s="1530"/>
      <c r="DF425" s="1530"/>
      <c r="DG425" s="1530"/>
      <c r="DH425" s="1530"/>
      <c r="DI425" s="1530"/>
      <c r="DJ425" s="1530"/>
      <c r="DK425" s="1530"/>
      <c r="DL425" s="1530"/>
      <c r="DM425" s="1530"/>
      <c r="DN425" s="1571"/>
      <c r="DO425" s="1530"/>
      <c r="DP425" s="1530"/>
    </row>
    <row r="426" spans="1:120">
      <c r="A426" s="1451"/>
      <c r="C426" s="1451"/>
      <c r="K426" s="1451"/>
      <c r="L426" s="1451"/>
      <c r="U426" s="1530"/>
      <c r="V426" s="1530"/>
      <c r="W426" s="1530"/>
      <c r="X426" s="1530"/>
      <c r="Y426" s="1530"/>
      <c r="Z426" s="1530"/>
      <c r="AA426" s="1530"/>
      <c r="AB426" s="1530"/>
      <c r="AC426" s="1530"/>
      <c r="AD426" s="1530"/>
      <c r="AE426" s="1530"/>
      <c r="AF426" s="1530"/>
      <c r="AG426" s="1530"/>
      <c r="AH426" s="1530"/>
      <c r="AI426" s="1530"/>
      <c r="AJ426" s="1530"/>
      <c r="AK426" s="1530"/>
      <c r="AL426" s="1530"/>
      <c r="AM426" s="1530"/>
      <c r="AN426" s="1530"/>
      <c r="AO426" s="1530"/>
      <c r="AP426" s="1530"/>
      <c r="AQ426" s="1530"/>
      <c r="AR426" s="1530"/>
      <c r="AS426" s="1530"/>
      <c r="AT426" s="1530"/>
      <c r="AU426" s="1530"/>
      <c r="AV426" s="1530"/>
      <c r="AW426" s="1530"/>
      <c r="AX426" s="1530"/>
      <c r="AY426" s="1530"/>
      <c r="AZ426" s="1530"/>
      <c r="BA426" s="1530"/>
      <c r="BB426" s="1530"/>
      <c r="BC426" s="1530"/>
      <c r="BD426" s="1530"/>
      <c r="BE426" s="1530"/>
      <c r="BF426" s="1530"/>
      <c r="BG426" s="1530"/>
      <c r="BH426" s="1530"/>
      <c r="BI426" s="1530"/>
      <c r="BJ426" s="1530"/>
      <c r="BK426" s="1530"/>
      <c r="BL426" s="1530"/>
      <c r="BM426" s="1530"/>
      <c r="BN426" s="1530"/>
      <c r="BW426" s="1569"/>
      <c r="CO426" s="1530"/>
      <c r="CP426" s="1530"/>
      <c r="CQ426" s="1530"/>
      <c r="CR426" s="1530"/>
      <c r="CS426" s="1530"/>
      <c r="CT426" s="1530"/>
      <c r="CU426" s="1530"/>
      <c r="CV426" s="1530"/>
      <c r="CW426" s="1530"/>
      <c r="CX426" s="1530"/>
      <c r="CY426" s="1530"/>
      <c r="CZ426" s="1530"/>
      <c r="DA426" s="1530"/>
      <c r="DB426" s="1530"/>
      <c r="DC426" s="1530"/>
      <c r="DD426" s="1530"/>
      <c r="DE426" s="1530"/>
      <c r="DF426" s="1530"/>
      <c r="DG426" s="1530"/>
      <c r="DH426" s="1530"/>
      <c r="DI426" s="1530"/>
      <c r="DJ426" s="1530"/>
      <c r="DK426" s="1530"/>
      <c r="DL426" s="1530"/>
      <c r="DM426" s="1530"/>
      <c r="DN426" s="1571"/>
      <c r="DO426" s="1530"/>
      <c r="DP426" s="1530"/>
    </row>
    <row r="427" spans="1:120">
      <c r="A427" s="1451"/>
      <c r="C427" s="1451"/>
      <c r="K427" s="1451"/>
      <c r="L427" s="1451"/>
      <c r="U427" s="1530"/>
      <c r="V427" s="1530"/>
      <c r="W427" s="1530"/>
      <c r="X427" s="1530"/>
      <c r="Y427" s="1530"/>
      <c r="Z427" s="1530"/>
      <c r="AA427" s="1530"/>
      <c r="AB427" s="1530"/>
      <c r="AC427" s="1530"/>
      <c r="AD427" s="1530"/>
      <c r="AE427" s="1530"/>
      <c r="AF427" s="1530"/>
      <c r="AG427" s="1530"/>
      <c r="AH427" s="1530"/>
      <c r="AI427" s="1530"/>
      <c r="AJ427" s="1530"/>
      <c r="AK427" s="1530"/>
      <c r="AL427" s="1530"/>
      <c r="AM427" s="1530"/>
      <c r="AN427" s="1530"/>
      <c r="AO427" s="1530"/>
      <c r="AP427" s="1530"/>
      <c r="AQ427" s="1530"/>
      <c r="AR427" s="1530"/>
      <c r="AS427" s="1530"/>
      <c r="AT427" s="1530"/>
      <c r="AU427" s="1530"/>
      <c r="AV427" s="1530"/>
      <c r="AW427" s="1530"/>
      <c r="AX427" s="1530"/>
      <c r="AY427" s="1530"/>
      <c r="AZ427" s="1530"/>
      <c r="BA427" s="1530"/>
      <c r="BB427" s="1530"/>
      <c r="BC427" s="1530"/>
      <c r="BD427" s="1530"/>
      <c r="BE427" s="1530"/>
      <c r="BF427" s="1530"/>
      <c r="BG427" s="1530"/>
      <c r="BH427" s="1530"/>
      <c r="BI427" s="1530"/>
      <c r="BJ427" s="1530"/>
      <c r="BK427" s="1530"/>
      <c r="BL427" s="1530"/>
      <c r="BM427" s="1530"/>
      <c r="BN427" s="1530"/>
      <c r="BW427" s="1569"/>
      <c r="CO427" s="1530"/>
      <c r="CP427" s="1530"/>
      <c r="CQ427" s="1530"/>
      <c r="CR427" s="1530"/>
      <c r="CS427" s="1530"/>
      <c r="CT427" s="1530"/>
      <c r="CU427" s="1530"/>
      <c r="CV427" s="1530"/>
      <c r="CW427" s="1530"/>
      <c r="CX427" s="1530"/>
      <c r="CY427" s="1530"/>
      <c r="CZ427" s="1530"/>
      <c r="DA427" s="1530"/>
      <c r="DB427" s="1530"/>
      <c r="DC427" s="1530"/>
      <c r="DD427" s="1530"/>
      <c r="DE427" s="1530"/>
      <c r="DF427" s="1530"/>
      <c r="DG427" s="1530"/>
      <c r="DH427" s="1530"/>
      <c r="DI427" s="1530"/>
      <c r="DJ427" s="1530"/>
      <c r="DK427" s="1530"/>
      <c r="DL427" s="1530"/>
      <c r="DM427" s="1530"/>
      <c r="DN427" s="1571"/>
      <c r="DO427" s="1530"/>
      <c r="DP427" s="1530"/>
    </row>
    <row r="428" spans="1:120">
      <c r="A428" s="1451"/>
      <c r="C428" s="1451"/>
      <c r="K428" s="1451"/>
      <c r="L428" s="1451"/>
      <c r="U428" s="1530"/>
      <c r="V428" s="1530"/>
      <c r="W428" s="1530"/>
      <c r="X428" s="1530"/>
      <c r="Y428" s="1530"/>
      <c r="Z428" s="1530"/>
      <c r="AA428" s="1530"/>
      <c r="AB428" s="1530"/>
      <c r="AC428" s="1530"/>
      <c r="AD428" s="1530"/>
      <c r="AE428" s="1530"/>
      <c r="AF428" s="1530"/>
      <c r="AG428" s="1530"/>
      <c r="AH428" s="1530"/>
      <c r="AI428" s="1530"/>
      <c r="AJ428" s="1530"/>
      <c r="AK428" s="1530"/>
      <c r="AL428" s="1530"/>
      <c r="AM428" s="1530"/>
      <c r="AN428" s="1530"/>
      <c r="AO428" s="1530"/>
      <c r="AP428" s="1530"/>
      <c r="AQ428" s="1530"/>
      <c r="AR428" s="1530"/>
      <c r="AS428" s="1530"/>
      <c r="AT428" s="1530"/>
      <c r="AU428" s="1530"/>
      <c r="AV428" s="1530"/>
      <c r="AW428" s="1530"/>
      <c r="AX428" s="1530"/>
      <c r="AY428" s="1530"/>
      <c r="AZ428" s="1530"/>
      <c r="BA428" s="1530"/>
      <c r="BB428" s="1530"/>
      <c r="BC428" s="1530"/>
      <c r="BD428" s="1530"/>
      <c r="BE428" s="1530"/>
      <c r="BF428" s="1530"/>
      <c r="BG428" s="1530"/>
      <c r="BH428" s="1530"/>
      <c r="BI428" s="1530"/>
      <c r="BJ428" s="1530"/>
      <c r="BK428" s="1530"/>
      <c r="BL428" s="1530"/>
      <c r="BM428" s="1530"/>
      <c r="BN428" s="1530"/>
      <c r="BW428" s="1569"/>
      <c r="CO428" s="1530"/>
      <c r="CP428" s="1530"/>
      <c r="CQ428" s="1530"/>
      <c r="CR428" s="1530"/>
      <c r="CS428" s="1530"/>
      <c r="CT428" s="1530"/>
      <c r="CU428" s="1530"/>
      <c r="CV428" s="1530"/>
      <c r="CW428" s="1530"/>
      <c r="CX428" s="1530"/>
      <c r="CY428" s="1530"/>
      <c r="CZ428" s="1530"/>
      <c r="DA428" s="1530"/>
      <c r="DB428" s="1530"/>
      <c r="DC428" s="1530"/>
      <c r="DD428" s="1530"/>
      <c r="DE428" s="1530"/>
      <c r="DF428" s="1530"/>
      <c r="DG428" s="1530"/>
      <c r="DH428" s="1530"/>
      <c r="DI428" s="1530"/>
      <c r="DJ428" s="1530"/>
      <c r="DK428" s="1530"/>
      <c r="DL428" s="1530"/>
      <c r="DM428" s="1530"/>
      <c r="DN428" s="1571"/>
      <c r="DO428" s="1530"/>
      <c r="DP428" s="1530"/>
    </row>
    <row r="429" spans="1:120">
      <c r="A429" s="1451"/>
      <c r="C429" s="1451"/>
      <c r="K429" s="1451"/>
      <c r="L429" s="1451"/>
      <c r="U429" s="1530"/>
      <c r="V429" s="1530"/>
      <c r="W429" s="1530"/>
      <c r="X429" s="1530"/>
      <c r="Y429" s="1530"/>
      <c r="Z429" s="1530"/>
      <c r="AA429" s="1530"/>
      <c r="AB429" s="1530"/>
      <c r="AC429" s="1530"/>
      <c r="AD429" s="1530"/>
      <c r="AE429" s="1530"/>
      <c r="AF429" s="1530"/>
      <c r="AG429" s="1530"/>
      <c r="AH429" s="1530"/>
      <c r="AI429" s="1530"/>
      <c r="AJ429" s="1530"/>
      <c r="AK429" s="1530"/>
      <c r="AL429" s="1530"/>
      <c r="AM429" s="1530"/>
      <c r="AN429" s="1530"/>
      <c r="AO429" s="1530"/>
      <c r="AP429" s="1530"/>
      <c r="AQ429" s="1530"/>
      <c r="AR429" s="1530"/>
      <c r="AS429" s="1530"/>
      <c r="AT429" s="1530"/>
      <c r="AU429" s="1530"/>
      <c r="AV429" s="1530"/>
      <c r="AW429" s="1530"/>
      <c r="AX429" s="1530"/>
      <c r="AY429" s="1530"/>
      <c r="AZ429" s="1530"/>
      <c r="BA429" s="1530"/>
      <c r="BB429" s="1530"/>
      <c r="BC429" s="1530"/>
      <c r="BD429" s="1530"/>
      <c r="BE429" s="1530"/>
      <c r="BF429" s="1530"/>
      <c r="BG429" s="1530"/>
      <c r="BH429" s="1530"/>
      <c r="BI429" s="1530"/>
      <c r="BJ429" s="1530"/>
      <c r="BK429" s="1530"/>
      <c r="BL429" s="1530"/>
      <c r="BM429" s="1530"/>
      <c r="BN429" s="1530"/>
      <c r="BW429" s="1569"/>
      <c r="CO429" s="1530"/>
      <c r="CP429" s="1530"/>
      <c r="CQ429" s="1530"/>
      <c r="CR429" s="1530"/>
      <c r="CS429" s="1530"/>
      <c r="CT429" s="1530"/>
      <c r="CU429" s="1530"/>
      <c r="CV429" s="1530"/>
      <c r="CW429" s="1530"/>
      <c r="CX429" s="1530"/>
      <c r="CY429" s="1530"/>
      <c r="CZ429" s="1530"/>
      <c r="DA429" s="1530"/>
      <c r="DB429" s="1530"/>
      <c r="DC429" s="1530"/>
      <c r="DD429" s="1530"/>
      <c r="DE429" s="1530"/>
      <c r="DF429" s="1530"/>
      <c r="DG429" s="1530"/>
      <c r="DH429" s="1530"/>
      <c r="DI429" s="1530"/>
      <c r="DJ429" s="1530"/>
      <c r="DK429" s="1530"/>
      <c r="DL429" s="1530"/>
      <c r="DM429" s="1530"/>
      <c r="DN429" s="1571"/>
      <c r="DO429" s="1530"/>
      <c r="DP429" s="1530"/>
    </row>
    <row r="430" spans="1:120">
      <c r="A430" s="1451"/>
      <c r="C430" s="1451"/>
      <c r="K430" s="1451"/>
      <c r="L430" s="1451"/>
      <c r="U430" s="1530"/>
      <c r="V430" s="1530"/>
      <c r="W430" s="1530"/>
      <c r="X430" s="1530"/>
      <c r="Y430" s="1530"/>
      <c r="Z430" s="1530"/>
      <c r="AA430" s="1530"/>
      <c r="AB430" s="1530"/>
      <c r="AC430" s="1530"/>
      <c r="AD430" s="1530"/>
      <c r="AE430" s="1530"/>
      <c r="AF430" s="1530"/>
      <c r="AG430" s="1530"/>
      <c r="AH430" s="1530"/>
      <c r="AI430" s="1530"/>
      <c r="AJ430" s="1530"/>
      <c r="AK430" s="1530"/>
      <c r="AL430" s="1530"/>
      <c r="AM430" s="1530"/>
      <c r="AN430" s="1530"/>
      <c r="AO430" s="1530"/>
      <c r="AP430" s="1530"/>
      <c r="AQ430" s="1530"/>
      <c r="AR430" s="1530"/>
      <c r="AS430" s="1530"/>
      <c r="AT430" s="1530"/>
      <c r="AU430" s="1530"/>
      <c r="AV430" s="1530"/>
      <c r="AW430" s="1530"/>
      <c r="AX430" s="1530"/>
      <c r="AY430" s="1530"/>
      <c r="AZ430" s="1530"/>
      <c r="BA430" s="1530"/>
      <c r="BB430" s="1530"/>
      <c r="BC430" s="1530"/>
      <c r="BD430" s="1530"/>
      <c r="BE430" s="1530"/>
      <c r="BF430" s="1530"/>
      <c r="BG430" s="1530"/>
      <c r="BH430" s="1530"/>
      <c r="BI430" s="1530"/>
      <c r="BJ430" s="1530"/>
      <c r="BK430" s="1530"/>
      <c r="BL430" s="1530"/>
      <c r="BM430" s="1530"/>
      <c r="BN430" s="1530"/>
      <c r="BW430" s="1569"/>
      <c r="CO430" s="1530"/>
      <c r="CP430" s="1530"/>
      <c r="CQ430" s="1530"/>
      <c r="CR430" s="1530"/>
      <c r="CS430" s="1530"/>
      <c r="CT430" s="1530"/>
      <c r="CU430" s="1530"/>
      <c r="CV430" s="1530"/>
      <c r="CW430" s="1530"/>
      <c r="CX430" s="1530"/>
      <c r="CY430" s="1530"/>
      <c r="CZ430" s="1530"/>
      <c r="DA430" s="1530"/>
      <c r="DB430" s="1530"/>
      <c r="DC430" s="1530"/>
      <c r="DD430" s="1530"/>
      <c r="DE430" s="1530"/>
      <c r="DF430" s="1530"/>
      <c r="DG430" s="1530"/>
      <c r="DH430" s="1530"/>
      <c r="DI430" s="1530"/>
      <c r="DJ430" s="1530"/>
      <c r="DK430" s="1530"/>
      <c r="DL430" s="1530"/>
      <c r="DM430" s="1530"/>
      <c r="DN430" s="1571"/>
      <c r="DO430" s="1530"/>
      <c r="DP430" s="1530"/>
    </row>
    <row r="431" spans="1:120">
      <c r="A431" s="1451"/>
      <c r="C431" s="1451"/>
      <c r="K431" s="1451"/>
      <c r="L431" s="1451"/>
      <c r="U431" s="1530"/>
      <c r="V431" s="1530"/>
      <c r="W431" s="1530"/>
      <c r="X431" s="1530"/>
      <c r="Y431" s="1530"/>
      <c r="Z431" s="1530"/>
      <c r="AA431" s="1530"/>
      <c r="AB431" s="1530"/>
      <c r="AC431" s="1530"/>
      <c r="AD431" s="1530"/>
      <c r="AE431" s="1530"/>
      <c r="AF431" s="1530"/>
      <c r="AG431" s="1530"/>
      <c r="AH431" s="1530"/>
      <c r="AI431" s="1530"/>
      <c r="AJ431" s="1530"/>
      <c r="AK431" s="1530"/>
      <c r="AL431" s="1530"/>
      <c r="AM431" s="1530"/>
      <c r="AN431" s="1530"/>
      <c r="AO431" s="1530"/>
      <c r="AP431" s="1530"/>
      <c r="AQ431" s="1530"/>
      <c r="AR431" s="1530"/>
      <c r="AS431" s="1530"/>
      <c r="AT431" s="1530"/>
      <c r="AU431" s="1530"/>
      <c r="AV431" s="1530"/>
      <c r="AW431" s="1530"/>
      <c r="AX431" s="1530"/>
      <c r="AY431" s="1530"/>
      <c r="AZ431" s="1530"/>
      <c r="BA431" s="1530"/>
      <c r="BB431" s="1530"/>
      <c r="BC431" s="1530"/>
      <c r="BD431" s="1530"/>
      <c r="BE431" s="1530"/>
      <c r="BF431" s="1530"/>
      <c r="BG431" s="1530"/>
      <c r="BH431" s="1530"/>
      <c r="BI431" s="1530"/>
      <c r="BJ431" s="1530"/>
      <c r="BK431" s="1530"/>
      <c r="BL431" s="1530"/>
      <c r="BM431" s="1530"/>
      <c r="BN431" s="1530"/>
      <c r="BW431" s="1569"/>
      <c r="CO431" s="1530"/>
      <c r="CP431" s="1530"/>
      <c r="CQ431" s="1530"/>
      <c r="CR431" s="1530"/>
      <c r="CS431" s="1530"/>
      <c r="CT431" s="1530"/>
      <c r="CU431" s="1530"/>
      <c r="CV431" s="1530"/>
      <c r="CW431" s="1530"/>
      <c r="CX431" s="1530"/>
      <c r="CY431" s="1530"/>
      <c r="CZ431" s="1530"/>
      <c r="DA431" s="1530"/>
      <c r="DB431" s="1530"/>
      <c r="DC431" s="1530"/>
      <c r="DD431" s="1530"/>
      <c r="DE431" s="1530"/>
      <c r="DF431" s="1530"/>
      <c r="DG431" s="1530"/>
      <c r="DH431" s="1530"/>
      <c r="DI431" s="1530"/>
      <c r="DJ431" s="1530"/>
      <c r="DK431" s="1530"/>
      <c r="DL431" s="1530"/>
      <c r="DM431" s="1530"/>
      <c r="DN431" s="1571"/>
      <c r="DO431" s="1530"/>
      <c r="DP431" s="1530"/>
    </row>
    <row r="432" spans="1:120">
      <c r="A432" s="1451"/>
      <c r="C432" s="1451"/>
      <c r="K432" s="1451"/>
      <c r="L432" s="1451"/>
      <c r="U432" s="1530"/>
      <c r="V432" s="1530"/>
      <c r="W432" s="1530"/>
      <c r="X432" s="1530"/>
      <c r="Y432" s="1530"/>
      <c r="Z432" s="1530"/>
      <c r="AA432" s="1530"/>
      <c r="AB432" s="1530"/>
      <c r="AC432" s="1530"/>
      <c r="AD432" s="1530"/>
      <c r="AE432" s="1530"/>
      <c r="AF432" s="1530"/>
      <c r="AG432" s="1530"/>
      <c r="AH432" s="1530"/>
      <c r="AI432" s="1530"/>
      <c r="AJ432" s="1530"/>
      <c r="AK432" s="1530"/>
      <c r="AL432" s="1530"/>
      <c r="AM432" s="1530"/>
      <c r="AN432" s="1530"/>
      <c r="AO432" s="1530"/>
      <c r="AP432" s="1530"/>
      <c r="AQ432" s="1530"/>
      <c r="AR432" s="1530"/>
      <c r="AS432" s="1530"/>
      <c r="AT432" s="1530"/>
      <c r="AU432" s="1530"/>
      <c r="AV432" s="1530"/>
      <c r="AW432" s="1530"/>
      <c r="AX432" s="1530"/>
      <c r="AY432" s="1530"/>
      <c r="AZ432" s="1530"/>
      <c r="BA432" s="1530"/>
      <c r="BB432" s="1530"/>
      <c r="BC432" s="1530"/>
      <c r="BD432" s="1530"/>
      <c r="BE432" s="1530"/>
      <c r="BF432" s="1530"/>
      <c r="BG432" s="1530"/>
      <c r="BH432" s="1530"/>
      <c r="BI432" s="1530"/>
      <c r="BJ432" s="1530"/>
      <c r="BK432" s="1530"/>
      <c r="BL432" s="1530"/>
      <c r="BM432" s="1530"/>
      <c r="BN432" s="1530"/>
      <c r="BW432" s="1569"/>
      <c r="CO432" s="1530"/>
      <c r="CP432" s="1530"/>
      <c r="CQ432" s="1530"/>
      <c r="CR432" s="1530"/>
      <c r="CS432" s="1530"/>
      <c r="CT432" s="1530"/>
      <c r="CU432" s="1530"/>
      <c r="CV432" s="1530"/>
      <c r="CW432" s="1530"/>
      <c r="CX432" s="1530"/>
      <c r="CY432" s="1530"/>
      <c r="CZ432" s="1530"/>
      <c r="DA432" s="1530"/>
      <c r="DB432" s="1530"/>
      <c r="DC432" s="1530"/>
      <c r="DD432" s="1530"/>
      <c r="DE432" s="1530"/>
      <c r="DF432" s="1530"/>
      <c r="DG432" s="1530"/>
      <c r="DH432" s="1530"/>
      <c r="DI432" s="1530"/>
      <c r="DJ432" s="1530"/>
      <c r="DK432" s="1530"/>
      <c r="DL432" s="1530"/>
      <c r="DM432" s="1530"/>
      <c r="DN432" s="1571"/>
      <c r="DO432" s="1530"/>
      <c r="DP432" s="1530"/>
    </row>
    <row r="433" spans="1:120">
      <c r="A433" s="1451"/>
      <c r="C433" s="1451"/>
      <c r="K433" s="1451"/>
      <c r="L433" s="1451"/>
      <c r="U433" s="1530"/>
      <c r="V433" s="1530"/>
      <c r="W433" s="1530"/>
      <c r="X433" s="1530"/>
      <c r="Y433" s="1530"/>
      <c r="Z433" s="1530"/>
      <c r="AA433" s="1530"/>
      <c r="AB433" s="1530"/>
      <c r="AC433" s="1530"/>
      <c r="AD433" s="1530"/>
      <c r="AE433" s="1530"/>
      <c r="AF433" s="1530"/>
      <c r="AG433" s="1530"/>
      <c r="AH433" s="1530"/>
      <c r="AI433" s="1530"/>
      <c r="AJ433" s="1530"/>
      <c r="AK433" s="1530"/>
      <c r="AL433" s="1530"/>
      <c r="AM433" s="1530"/>
      <c r="AN433" s="1530"/>
      <c r="AO433" s="1530"/>
      <c r="AP433" s="1530"/>
      <c r="AQ433" s="1530"/>
      <c r="AR433" s="1530"/>
      <c r="AS433" s="1530"/>
      <c r="AT433" s="1530"/>
      <c r="AU433" s="1530"/>
      <c r="AV433" s="1530"/>
      <c r="AW433" s="1530"/>
      <c r="AX433" s="1530"/>
      <c r="AY433" s="1530"/>
      <c r="AZ433" s="1530"/>
      <c r="BA433" s="1530"/>
      <c r="BB433" s="1530"/>
      <c r="BC433" s="1530"/>
      <c r="BD433" s="1530"/>
      <c r="BE433" s="1530"/>
      <c r="BF433" s="1530"/>
      <c r="BG433" s="1530"/>
      <c r="BH433" s="1530"/>
      <c r="BI433" s="1530"/>
      <c r="BJ433" s="1530"/>
      <c r="BK433" s="1530"/>
      <c r="BL433" s="1530"/>
      <c r="BM433" s="1530"/>
      <c r="BN433" s="1530"/>
      <c r="BW433" s="1569"/>
      <c r="CO433" s="1530"/>
      <c r="CP433" s="1530"/>
      <c r="CQ433" s="1530"/>
      <c r="CR433" s="1530"/>
      <c r="CS433" s="1530"/>
      <c r="CT433" s="1530"/>
      <c r="CU433" s="1530"/>
      <c r="CV433" s="1530"/>
      <c r="CW433" s="1530"/>
      <c r="CX433" s="1530"/>
      <c r="CY433" s="1530"/>
      <c r="CZ433" s="1530"/>
      <c r="DA433" s="1530"/>
      <c r="DB433" s="1530"/>
      <c r="DC433" s="1530"/>
      <c r="DD433" s="1530"/>
      <c r="DE433" s="1530"/>
      <c r="DF433" s="1530"/>
      <c r="DG433" s="1530"/>
      <c r="DH433" s="1530"/>
      <c r="DI433" s="1530"/>
      <c r="DJ433" s="1530"/>
      <c r="DK433" s="1530"/>
      <c r="DL433" s="1530"/>
      <c r="DM433" s="1530"/>
      <c r="DN433" s="1571"/>
      <c r="DO433" s="1530"/>
      <c r="DP433" s="1530"/>
    </row>
    <row r="434" spans="1:120">
      <c r="A434" s="1451"/>
      <c r="C434" s="1451"/>
      <c r="K434" s="1451"/>
      <c r="L434" s="1451"/>
      <c r="U434" s="1530"/>
      <c r="V434" s="1530"/>
      <c r="W434" s="1530"/>
      <c r="X434" s="1530"/>
      <c r="Y434" s="1530"/>
      <c r="Z434" s="1530"/>
      <c r="AA434" s="1530"/>
      <c r="AB434" s="1530"/>
      <c r="AC434" s="1530"/>
      <c r="AD434" s="1530"/>
      <c r="AE434" s="1530"/>
      <c r="AF434" s="1530"/>
      <c r="AG434" s="1530"/>
      <c r="AH434" s="1530"/>
      <c r="AI434" s="1530"/>
      <c r="AJ434" s="1530"/>
      <c r="AK434" s="1530"/>
      <c r="AL434" s="1530"/>
      <c r="AM434" s="1530"/>
      <c r="AN434" s="1530"/>
      <c r="AO434" s="1530"/>
      <c r="AP434" s="1530"/>
      <c r="AQ434" s="1530"/>
      <c r="AR434" s="1530"/>
      <c r="AS434" s="1530"/>
      <c r="AT434" s="1530"/>
      <c r="AU434" s="1530"/>
      <c r="AV434" s="1530"/>
      <c r="AW434" s="1530"/>
      <c r="AX434" s="1530"/>
      <c r="AY434" s="1530"/>
      <c r="AZ434" s="1530"/>
      <c r="BA434" s="1530"/>
      <c r="BB434" s="1530"/>
      <c r="BC434" s="1530"/>
      <c r="BD434" s="1530"/>
      <c r="BE434" s="1530"/>
      <c r="BF434" s="1530"/>
      <c r="BG434" s="1530"/>
      <c r="BH434" s="1530"/>
      <c r="BI434" s="1530"/>
      <c r="BJ434" s="1530"/>
      <c r="BK434" s="1530"/>
      <c r="BL434" s="1530"/>
      <c r="BM434" s="1530"/>
      <c r="BN434" s="1530"/>
      <c r="BW434" s="1569"/>
      <c r="CO434" s="1530"/>
      <c r="CP434" s="1530"/>
      <c r="CQ434" s="1530"/>
      <c r="CR434" s="1530"/>
      <c r="CS434" s="1530"/>
      <c r="CT434" s="1530"/>
      <c r="CU434" s="1530"/>
      <c r="CV434" s="1530"/>
      <c r="CW434" s="1530"/>
      <c r="CX434" s="1530"/>
      <c r="CY434" s="1530"/>
      <c r="CZ434" s="1530"/>
      <c r="DA434" s="1530"/>
      <c r="DB434" s="1530"/>
      <c r="DC434" s="1530"/>
      <c r="DD434" s="1530"/>
      <c r="DE434" s="1530"/>
      <c r="DF434" s="1530"/>
      <c r="DG434" s="1530"/>
      <c r="DH434" s="1530"/>
      <c r="DI434" s="1530"/>
      <c r="DJ434" s="1530"/>
      <c r="DK434" s="1530"/>
      <c r="DL434" s="1530"/>
      <c r="DM434" s="1530"/>
      <c r="DN434" s="1571"/>
      <c r="DO434" s="1530"/>
      <c r="DP434" s="1530"/>
    </row>
    <row r="435" spans="1:120">
      <c r="A435" s="1451"/>
      <c r="C435" s="1451"/>
      <c r="K435" s="1451"/>
      <c r="L435" s="1451"/>
      <c r="U435" s="1530"/>
      <c r="V435" s="1530"/>
      <c r="W435" s="1530"/>
      <c r="X435" s="1530"/>
      <c r="Y435" s="1530"/>
      <c r="Z435" s="1530"/>
      <c r="AA435" s="1530"/>
      <c r="AB435" s="1530"/>
      <c r="AC435" s="1530"/>
      <c r="AD435" s="1530"/>
      <c r="AE435" s="1530"/>
      <c r="AF435" s="1530"/>
      <c r="AG435" s="1530"/>
      <c r="AH435" s="1530"/>
      <c r="AI435" s="1530"/>
      <c r="AJ435" s="1530"/>
      <c r="AK435" s="1530"/>
      <c r="AL435" s="1530"/>
      <c r="AM435" s="1530"/>
      <c r="AN435" s="1530"/>
      <c r="AO435" s="1530"/>
      <c r="AP435" s="1530"/>
      <c r="AQ435" s="1530"/>
      <c r="AR435" s="1530"/>
      <c r="AS435" s="1530"/>
      <c r="AT435" s="1530"/>
      <c r="AU435" s="1530"/>
      <c r="AV435" s="1530"/>
      <c r="AW435" s="1530"/>
      <c r="AX435" s="1530"/>
      <c r="AY435" s="1530"/>
      <c r="AZ435" s="1530"/>
      <c r="BA435" s="1530"/>
      <c r="BB435" s="1530"/>
      <c r="BC435" s="1530"/>
      <c r="BD435" s="1530"/>
      <c r="BE435" s="1530"/>
      <c r="BF435" s="1530"/>
      <c r="BG435" s="1530"/>
      <c r="BH435" s="1530"/>
      <c r="BI435" s="1530"/>
      <c r="BJ435" s="1530"/>
      <c r="BK435" s="1530"/>
      <c r="BL435" s="1530"/>
      <c r="BM435" s="1530"/>
      <c r="BN435" s="1530"/>
      <c r="BW435" s="1569"/>
      <c r="CO435" s="1530"/>
      <c r="CP435" s="1530"/>
      <c r="CQ435" s="1530"/>
      <c r="CR435" s="1530"/>
      <c r="CS435" s="1530"/>
      <c r="CT435" s="1530"/>
      <c r="CU435" s="1530"/>
      <c r="CV435" s="1530"/>
      <c r="CW435" s="1530"/>
      <c r="CX435" s="1530"/>
      <c r="CY435" s="1530"/>
      <c r="CZ435" s="1530"/>
      <c r="DA435" s="1530"/>
      <c r="DB435" s="1530"/>
      <c r="DC435" s="1530"/>
      <c r="DD435" s="1530"/>
      <c r="DE435" s="1530"/>
      <c r="DF435" s="1530"/>
      <c r="DG435" s="1530"/>
      <c r="DH435" s="1530"/>
      <c r="DI435" s="1530"/>
      <c r="DJ435" s="1530"/>
      <c r="DK435" s="1530"/>
      <c r="DL435" s="1530"/>
      <c r="DM435" s="1530"/>
      <c r="DN435" s="1571"/>
      <c r="DO435" s="1530"/>
      <c r="DP435" s="1530"/>
    </row>
    <row r="436" spans="1:120">
      <c r="A436" s="1451"/>
      <c r="C436" s="1451"/>
      <c r="K436" s="1451"/>
      <c r="L436" s="1451"/>
      <c r="U436" s="1530"/>
      <c r="V436" s="1530"/>
      <c r="W436" s="1530"/>
      <c r="X436" s="1530"/>
      <c r="Y436" s="1530"/>
      <c r="Z436" s="1530"/>
      <c r="AA436" s="1530"/>
      <c r="AB436" s="1530"/>
      <c r="AC436" s="1530"/>
      <c r="AD436" s="1530"/>
      <c r="AE436" s="1530"/>
      <c r="AF436" s="1530"/>
      <c r="AG436" s="1530"/>
      <c r="AH436" s="1530"/>
      <c r="AI436" s="1530"/>
      <c r="AJ436" s="1530"/>
      <c r="AK436" s="1530"/>
      <c r="AL436" s="1530"/>
      <c r="AM436" s="1530"/>
      <c r="AN436" s="1530"/>
      <c r="AO436" s="1530"/>
      <c r="AP436" s="1530"/>
      <c r="AQ436" s="1530"/>
      <c r="AR436" s="1530"/>
      <c r="AS436" s="1530"/>
      <c r="AT436" s="1530"/>
      <c r="AU436" s="1530"/>
      <c r="AV436" s="1530"/>
      <c r="AW436" s="1530"/>
      <c r="AX436" s="1530"/>
      <c r="AY436" s="1530"/>
      <c r="AZ436" s="1530"/>
      <c r="BA436" s="1530"/>
      <c r="BB436" s="1530"/>
      <c r="BC436" s="1530"/>
      <c r="BD436" s="1530"/>
      <c r="BE436" s="1530"/>
      <c r="BF436" s="1530"/>
      <c r="BG436" s="1530"/>
      <c r="BH436" s="1530"/>
      <c r="BI436" s="1530"/>
      <c r="BJ436" s="1530"/>
      <c r="BK436" s="1530"/>
      <c r="BL436" s="1530"/>
      <c r="BM436" s="1530"/>
      <c r="BN436" s="1530"/>
      <c r="BW436" s="1569"/>
      <c r="CO436" s="1530"/>
      <c r="CP436" s="1530"/>
      <c r="CQ436" s="1530"/>
      <c r="CR436" s="1530"/>
      <c r="CS436" s="1530"/>
      <c r="CT436" s="1530"/>
      <c r="CU436" s="1530"/>
      <c r="CV436" s="1530"/>
      <c r="CW436" s="1530"/>
      <c r="CX436" s="1530"/>
      <c r="CY436" s="1530"/>
      <c r="CZ436" s="1530"/>
      <c r="DA436" s="1530"/>
      <c r="DB436" s="1530"/>
      <c r="DC436" s="1530"/>
      <c r="DD436" s="1530"/>
      <c r="DE436" s="1530"/>
      <c r="DF436" s="1530"/>
      <c r="DG436" s="1530"/>
      <c r="DH436" s="1530"/>
      <c r="DI436" s="1530"/>
      <c r="DJ436" s="1530"/>
      <c r="DK436" s="1530"/>
      <c r="DL436" s="1530"/>
      <c r="DM436" s="1530"/>
      <c r="DN436" s="1571"/>
      <c r="DO436" s="1530"/>
      <c r="DP436" s="1530"/>
    </row>
    <row r="437" spans="1:120">
      <c r="A437" s="1451"/>
      <c r="C437" s="1451"/>
      <c r="K437" s="1451"/>
      <c r="L437" s="1451"/>
      <c r="U437" s="1530"/>
      <c r="V437" s="1530"/>
      <c r="W437" s="1530"/>
      <c r="X437" s="1530"/>
      <c r="Y437" s="1530"/>
      <c r="Z437" s="1530"/>
      <c r="AA437" s="1530"/>
      <c r="AB437" s="1530"/>
      <c r="AC437" s="1530"/>
      <c r="AD437" s="1530"/>
      <c r="AE437" s="1530"/>
      <c r="AF437" s="1530"/>
      <c r="AG437" s="1530"/>
      <c r="AH437" s="1530"/>
      <c r="AI437" s="1530"/>
      <c r="AJ437" s="1530"/>
      <c r="AK437" s="1530"/>
      <c r="AL437" s="1530"/>
      <c r="AM437" s="1530"/>
      <c r="AN437" s="1530"/>
      <c r="AO437" s="1530"/>
      <c r="AP437" s="1530"/>
      <c r="AQ437" s="1530"/>
      <c r="AR437" s="1530"/>
      <c r="AS437" s="1530"/>
      <c r="AT437" s="1530"/>
      <c r="AU437" s="1530"/>
      <c r="AV437" s="1530"/>
      <c r="AW437" s="1530"/>
      <c r="AX437" s="1530"/>
      <c r="AY437" s="1530"/>
      <c r="AZ437" s="1530"/>
      <c r="BA437" s="1530"/>
      <c r="BB437" s="1530"/>
      <c r="BC437" s="1530"/>
      <c r="BD437" s="1530"/>
      <c r="BE437" s="1530"/>
      <c r="BF437" s="1530"/>
      <c r="BG437" s="1530"/>
      <c r="BH437" s="1530"/>
      <c r="BI437" s="1530"/>
      <c r="BJ437" s="1530"/>
      <c r="BK437" s="1530"/>
      <c r="BL437" s="1530"/>
      <c r="BM437" s="1530"/>
      <c r="BN437" s="1530"/>
      <c r="BW437" s="1569"/>
      <c r="CO437" s="1530"/>
      <c r="CP437" s="1530"/>
      <c r="CQ437" s="1530"/>
      <c r="CR437" s="1530"/>
      <c r="CS437" s="1530"/>
      <c r="CT437" s="1530"/>
      <c r="CU437" s="1530"/>
      <c r="CV437" s="1530"/>
      <c r="CW437" s="1530"/>
      <c r="CX437" s="1530"/>
      <c r="CY437" s="1530"/>
      <c r="CZ437" s="1530"/>
      <c r="DA437" s="1530"/>
      <c r="DB437" s="1530"/>
      <c r="DC437" s="1530"/>
      <c r="DD437" s="1530"/>
      <c r="DE437" s="1530"/>
      <c r="DF437" s="1530"/>
      <c r="DG437" s="1530"/>
      <c r="DH437" s="1530"/>
      <c r="DI437" s="1530"/>
      <c r="DJ437" s="1530"/>
      <c r="DK437" s="1530"/>
      <c r="DL437" s="1530"/>
      <c r="DM437" s="1530"/>
      <c r="DN437" s="1571"/>
      <c r="DO437" s="1530"/>
      <c r="DP437" s="1530"/>
    </row>
    <row r="438" spans="1:120">
      <c r="A438" s="1451"/>
      <c r="C438" s="1451"/>
      <c r="K438" s="1451"/>
      <c r="L438" s="1451"/>
      <c r="U438" s="1530"/>
      <c r="V438" s="1530"/>
      <c r="W438" s="1530"/>
      <c r="X438" s="1530"/>
      <c r="Y438" s="1530"/>
      <c r="Z438" s="1530"/>
      <c r="AA438" s="1530"/>
      <c r="AB438" s="1530"/>
      <c r="AC438" s="1530"/>
      <c r="AD438" s="1530"/>
      <c r="AE438" s="1530"/>
      <c r="AF438" s="1530"/>
      <c r="AG438" s="1530"/>
      <c r="AH438" s="1530"/>
      <c r="AI438" s="1530"/>
      <c r="AJ438" s="1530"/>
      <c r="AK438" s="1530"/>
      <c r="AL438" s="1530"/>
      <c r="AM438" s="1530"/>
      <c r="AN438" s="1530"/>
      <c r="AO438" s="1530"/>
      <c r="AP438" s="1530"/>
      <c r="AQ438" s="1530"/>
      <c r="AR438" s="1530"/>
      <c r="AS438" s="1530"/>
      <c r="AT438" s="1530"/>
      <c r="AU438" s="1530"/>
      <c r="AV438" s="1530"/>
      <c r="AW438" s="1530"/>
      <c r="AX438" s="1530"/>
      <c r="AY438" s="1530"/>
      <c r="AZ438" s="1530"/>
      <c r="BA438" s="1530"/>
      <c r="BB438" s="1530"/>
      <c r="BC438" s="1530"/>
      <c r="BD438" s="1530"/>
      <c r="BE438" s="1530"/>
      <c r="BF438" s="1530"/>
      <c r="BG438" s="1530"/>
      <c r="BH438" s="1530"/>
      <c r="BI438" s="1530"/>
      <c r="BJ438" s="1530"/>
      <c r="BK438" s="1530"/>
      <c r="BL438" s="1530"/>
      <c r="BM438" s="1530"/>
      <c r="BN438" s="1530"/>
      <c r="BW438" s="1569"/>
      <c r="CO438" s="1530"/>
      <c r="CP438" s="1530"/>
      <c r="CQ438" s="1530"/>
      <c r="CR438" s="1530"/>
      <c r="CS438" s="1530"/>
      <c r="CT438" s="1530"/>
      <c r="CU438" s="1530"/>
      <c r="CV438" s="1530"/>
      <c r="CW438" s="1530"/>
      <c r="CX438" s="1530"/>
      <c r="CY438" s="1530"/>
      <c r="CZ438" s="1530"/>
      <c r="DA438" s="1530"/>
      <c r="DB438" s="1530"/>
      <c r="DC438" s="1530"/>
      <c r="DD438" s="1530"/>
      <c r="DE438" s="1530"/>
      <c r="DF438" s="1530"/>
      <c r="DG438" s="1530"/>
      <c r="DH438" s="1530"/>
      <c r="DI438" s="1530"/>
      <c r="DJ438" s="1530"/>
      <c r="DK438" s="1530"/>
      <c r="DL438" s="1530"/>
      <c r="DM438" s="1530"/>
      <c r="DN438" s="1571"/>
      <c r="DO438" s="1530"/>
      <c r="DP438" s="1530"/>
    </row>
    <row r="439" spans="1:120">
      <c r="A439" s="1451"/>
      <c r="C439" s="1451"/>
      <c r="K439" s="1451"/>
      <c r="L439" s="1451"/>
      <c r="U439" s="1530"/>
      <c r="V439" s="1530"/>
      <c r="W439" s="1530"/>
      <c r="X439" s="1530"/>
      <c r="Y439" s="1530"/>
      <c r="Z439" s="1530"/>
      <c r="AA439" s="1530"/>
      <c r="AB439" s="1530"/>
      <c r="AC439" s="1530"/>
      <c r="AD439" s="1530"/>
      <c r="AE439" s="1530"/>
      <c r="AF439" s="1530"/>
      <c r="AG439" s="1530"/>
      <c r="AH439" s="1530"/>
      <c r="AI439" s="1530"/>
      <c r="AJ439" s="1530"/>
      <c r="AK439" s="1530"/>
      <c r="AL439" s="1530"/>
      <c r="AM439" s="1530"/>
      <c r="AN439" s="1530"/>
      <c r="AO439" s="1530"/>
      <c r="AP439" s="1530"/>
      <c r="AQ439" s="1530"/>
      <c r="AR439" s="1530"/>
      <c r="AS439" s="1530"/>
      <c r="AT439" s="1530"/>
      <c r="AU439" s="1530"/>
      <c r="AV439" s="1530"/>
      <c r="AW439" s="1530"/>
      <c r="AX439" s="1530"/>
      <c r="AY439" s="1530"/>
      <c r="AZ439" s="1530"/>
      <c r="BA439" s="1530"/>
      <c r="BB439" s="1530"/>
      <c r="BC439" s="1530"/>
      <c r="BD439" s="1530"/>
      <c r="BE439" s="1530"/>
      <c r="BF439" s="1530"/>
      <c r="BG439" s="1530"/>
      <c r="BH439" s="1530"/>
      <c r="BI439" s="1530"/>
      <c r="BJ439" s="1530"/>
      <c r="BK439" s="1530"/>
      <c r="BL439" s="1530"/>
      <c r="BM439" s="1530"/>
      <c r="BN439" s="1530"/>
      <c r="BW439" s="1569"/>
      <c r="CO439" s="1530"/>
      <c r="CP439" s="1530"/>
      <c r="CQ439" s="1530"/>
      <c r="CR439" s="1530"/>
      <c r="CS439" s="1530"/>
      <c r="CT439" s="1530"/>
      <c r="CU439" s="1530"/>
      <c r="CV439" s="1530"/>
      <c r="CW439" s="1530"/>
      <c r="CX439" s="1530"/>
      <c r="CY439" s="1530"/>
      <c r="CZ439" s="1530"/>
      <c r="DA439" s="1530"/>
      <c r="DB439" s="1530"/>
      <c r="DC439" s="1530"/>
      <c r="DD439" s="1530"/>
      <c r="DE439" s="1530"/>
      <c r="DF439" s="1530"/>
      <c r="DG439" s="1530"/>
      <c r="DH439" s="1530"/>
      <c r="DI439" s="1530"/>
      <c r="DJ439" s="1530"/>
      <c r="DK439" s="1530"/>
      <c r="DL439" s="1530"/>
      <c r="DM439" s="1530"/>
      <c r="DN439" s="1571"/>
      <c r="DO439" s="1530"/>
      <c r="DP439" s="1530"/>
    </row>
    <row r="440" spans="1:120">
      <c r="A440" s="1451"/>
      <c r="C440" s="1451"/>
      <c r="K440" s="1451"/>
      <c r="L440" s="1451"/>
      <c r="U440" s="1530"/>
      <c r="V440" s="1530"/>
      <c r="W440" s="1530"/>
      <c r="X440" s="1530"/>
      <c r="Y440" s="1530"/>
      <c r="Z440" s="1530"/>
      <c r="AA440" s="1530"/>
      <c r="AB440" s="1530"/>
      <c r="AC440" s="1530"/>
      <c r="AD440" s="1530"/>
      <c r="AE440" s="1530"/>
      <c r="AF440" s="1530"/>
      <c r="AG440" s="1530"/>
      <c r="AH440" s="1530"/>
      <c r="AI440" s="1530"/>
      <c r="AJ440" s="1530"/>
      <c r="AK440" s="1530"/>
      <c r="AL440" s="1530"/>
      <c r="AM440" s="1530"/>
      <c r="AN440" s="1530"/>
      <c r="AO440" s="1530"/>
      <c r="AP440" s="1530"/>
      <c r="AQ440" s="1530"/>
      <c r="AR440" s="1530"/>
      <c r="AS440" s="1530"/>
      <c r="AT440" s="1530"/>
      <c r="AU440" s="1530"/>
      <c r="AV440" s="1530"/>
      <c r="AW440" s="1530"/>
      <c r="AX440" s="1530"/>
      <c r="AY440" s="1530"/>
      <c r="AZ440" s="1530"/>
      <c r="BA440" s="1530"/>
      <c r="BB440" s="1530"/>
      <c r="BC440" s="1530"/>
      <c r="BD440" s="1530"/>
      <c r="BE440" s="1530"/>
      <c r="BF440" s="1530"/>
      <c r="BG440" s="1530"/>
      <c r="BH440" s="1530"/>
      <c r="BI440" s="1530"/>
      <c r="BJ440" s="1530"/>
      <c r="BK440" s="1530"/>
      <c r="BL440" s="1530"/>
      <c r="BM440" s="1530"/>
      <c r="BN440" s="1530"/>
      <c r="BW440" s="1569"/>
      <c r="CO440" s="1530"/>
      <c r="CP440" s="1530"/>
      <c r="CQ440" s="1530"/>
      <c r="CR440" s="1530"/>
      <c r="CS440" s="1530"/>
      <c r="CT440" s="1530"/>
      <c r="CU440" s="1530"/>
      <c r="CV440" s="1530"/>
      <c r="CW440" s="1530"/>
      <c r="CX440" s="1530"/>
      <c r="CY440" s="1530"/>
      <c r="CZ440" s="1530"/>
      <c r="DA440" s="1530"/>
      <c r="DB440" s="1530"/>
      <c r="DC440" s="1530"/>
      <c r="DD440" s="1530"/>
      <c r="DE440" s="1530"/>
      <c r="DF440" s="1530"/>
      <c r="DG440" s="1530"/>
      <c r="DH440" s="1530"/>
      <c r="DI440" s="1530"/>
      <c r="DJ440" s="1530"/>
      <c r="DK440" s="1530"/>
      <c r="DL440" s="1530"/>
      <c r="DM440" s="1530"/>
      <c r="DN440" s="1571"/>
      <c r="DO440" s="1530"/>
      <c r="DP440" s="1530"/>
    </row>
    <row r="441" spans="1:120">
      <c r="A441" s="1451"/>
      <c r="C441" s="1451"/>
      <c r="K441" s="1451"/>
      <c r="L441" s="1451"/>
      <c r="U441" s="1530"/>
      <c r="V441" s="1530"/>
      <c r="W441" s="1530"/>
      <c r="X441" s="1530"/>
      <c r="Y441" s="1530"/>
      <c r="Z441" s="1530"/>
      <c r="AA441" s="1530"/>
      <c r="AB441" s="1530"/>
      <c r="AC441" s="1530"/>
      <c r="AD441" s="1530"/>
      <c r="AE441" s="1530"/>
      <c r="AF441" s="1530"/>
      <c r="AG441" s="1530"/>
      <c r="AH441" s="1530"/>
      <c r="AI441" s="1530"/>
      <c r="AJ441" s="1530"/>
      <c r="AK441" s="1530"/>
      <c r="AL441" s="1530"/>
      <c r="AM441" s="1530"/>
      <c r="AN441" s="1530"/>
      <c r="AO441" s="1530"/>
      <c r="AP441" s="1530"/>
      <c r="AQ441" s="1530"/>
      <c r="AR441" s="1530"/>
      <c r="AS441" s="1530"/>
      <c r="AT441" s="1530"/>
      <c r="AU441" s="1530"/>
      <c r="AV441" s="1530"/>
      <c r="AW441" s="1530"/>
      <c r="AX441" s="1530"/>
      <c r="AY441" s="1530"/>
      <c r="AZ441" s="1530"/>
      <c r="BA441" s="1530"/>
      <c r="BB441" s="1530"/>
      <c r="BC441" s="1530"/>
      <c r="BD441" s="1530"/>
      <c r="BE441" s="1530"/>
      <c r="BF441" s="1530"/>
      <c r="BG441" s="1530"/>
      <c r="BH441" s="1530"/>
      <c r="BI441" s="1530"/>
      <c r="BJ441" s="1530"/>
      <c r="BK441" s="1530"/>
      <c r="BL441" s="1530"/>
      <c r="BM441" s="1530"/>
      <c r="BN441" s="1530"/>
      <c r="BW441" s="1569"/>
      <c r="CO441" s="1530"/>
      <c r="CP441" s="1530"/>
      <c r="CQ441" s="1530"/>
      <c r="CR441" s="1530"/>
      <c r="CS441" s="1530"/>
      <c r="CT441" s="1530"/>
      <c r="CU441" s="1530"/>
      <c r="CV441" s="1530"/>
      <c r="CW441" s="1530"/>
      <c r="CX441" s="1530"/>
      <c r="CY441" s="1530"/>
      <c r="CZ441" s="1530"/>
      <c r="DA441" s="1530"/>
      <c r="DB441" s="1530"/>
      <c r="DC441" s="1530"/>
      <c r="DD441" s="1530"/>
      <c r="DE441" s="1530"/>
      <c r="DF441" s="1530"/>
      <c r="DG441" s="1530"/>
      <c r="DH441" s="1530"/>
      <c r="DI441" s="1530"/>
      <c r="DJ441" s="1530"/>
      <c r="DK441" s="1530"/>
      <c r="DL441" s="1530"/>
      <c r="DM441" s="1530"/>
      <c r="DN441" s="1571"/>
      <c r="DO441" s="1530"/>
      <c r="DP441" s="1530"/>
    </row>
    <row r="442" spans="1:120">
      <c r="A442" s="1451"/>
      <c r="C442" s="1451"/>
      <c r="K442" s="1451"/>
      <c r="L442" s="1451"/>
      <c r="U442" s="1530"/>
      <c r="V442" s="1530"/>
      <c r="W442" s="1530"/>
      <c r="X442" s="1530"/>
      <c r="Y442" s="1530"/>
      <c r="Z442" s="1530"/>
      <c r="AA442" s="1530"/>
      <c r="AB442" s="1530"/>
      <c r="AC442" s="1530"/>
      <c r="AD442" s="1530"/>
      <c r="AE442" s="1530"/>
      <c r="AF442" s="1530"/>
      <c r="AG442" s="1530"/>
      <c r="AH442" s="1530"/>
      <c r="AI442" s="1530"/>
      <c r="AJ442" s="1530"/>
      <c r="AK442" s="1530"/>
      <c r="AL442" s="1530"/>
      <c r="AM442" s="1530"/>
      <c r="AN442" s="1530"/>
      <c r="AO442" s="1530"/>
      <c r="AP442" s="1530"/>
      <c r="AQ442" s="1530"/>
      <c r="AR442" s="1530"/>
      <c r="AS442" s="1530"/>
      <c r="AT442" s="1530"/>
      <c r="AU442" s="1530"/>
      <c r="AV442" s="1530"/>
      <c r="AW442" s="1530"/>
      <c r="AX442" s="1530"/>
      <c r="AY442" s="1530"/>
      <c r="AZ442" s="1530"/>
      <c r="BA442" s="1530"/>
      <c r="BB442" s="1530"/>
      <c r="BC442" s="1530"/>
      <c r="BD442" s="1530"/>
      <c r="BE442" s="1530"/>
      <c r="BF442" s="1530"/>
      <c r="BG442" s="1530"/>
      <c r="BH442" s="1530"/>
      <c r="BI442" s="1530"/>
      <c r="BJ442" s="1530"/>
      <c r="BK442" s="1530"/>
      <c r="BL442" s="1530"/>
      <c r="BM442" s="1530"/>
      <c r="BN442" s="1530"/>
      <c r="BW442" s="1569"/>
      <c r="CO442" s="1530"/>
      <c r="CP442" s="1530"/>
      <c r="CQ442" s="1530"/>
      <c r="CR442" s="1530"/>
      <c r="CS442" s="1530"/>
      <c r="CT442" s="1530"/>
      <c r="CU442" s="1530"/>
      <c r="CV442" s="1530"/>
      <c r="CW442" s="1530"/>
      <c r="CX442" s="1530"/>
      <c r="CY442" s="1530"/>
      <c r="CZ442" s="1530"/>
      <c r="DA442" s="1530"/>
      <c r="DB442" s="1530"/>
      <c r="DC442" s="1530"/>
      <c r="DD442" s="1530"/>
      <c r="DE442" s="1530"/>
      <c r="DF442" s="1530"/>
      <c r="DG442" s="1530"/>
      <c r="DH442" s="1530"/>
      <c r="DI442" s="1530"/>
      <c r="DJ442" s="1530"/>
      <c r="DK442" s="1530"/>
      <c r="DL442" s="1530"/>
      <c r="DM442" s="1530"/>
      <c r="DN442" s="1571"/>
      <c r="DO442" s="1530"/>
      <c r="DP442" s="1530"/>
    </row>
    <row r="443" spans="1:120">
      <c r="A443" s="1451"/>
      <c r="C443" s="1451"/>
      <c r="K443" s="1451"/>
      <c r="L443" s="1451"/>
      <c r="U443" s="1530"/>
      <c r="V443" s="1530"/>
      <c r="W443" s="1530"/>
      <c r="X443" s="1530"/>
      <c r="Y443" s="1530"/>
      <c r="Z443" s="1530"/>
      <c r="AA443" s="1530"/>
      <c r="AB443" s="1530"/>
      <c r="AC443" s="1530"/>
      <c r="AD443" s="1530"/>
      <c r="AE443" s="1530"/>
      <c r="AF443" s="1530"/>
      <c r="AG443" s="1530"/>
      <c r="AH443" s="1530"/>
      <c r="AI443" s="1530"/>
      <c r="AJ443" s="1530"/>
      <c r="AK443" s="1530"/>
      <c r="AL443" s="1530"/>
      <c r="AM443" s="1530"/>
      <c r="AN443" s="1530"/>
      <c r="AO443" s="1530"/>
      <c r="AP443" s="1530"/>
      <c r="AQ443" s="1530"/>
      <c r="AR443" s="1530"/>
      <c r="AS443" s="1530"/>
      <c r="AT443" s="1530"/>
      <c r="AU443" s="1530"/>
      <c r="AV443" s="1530"/>
      <c r="AW443" s="1530"/>
      <c r="AX443" s="1530"/>
      <c r="AY443" s="1530"/>
      <c r="AZ443" s="1530"/>
      <c r="BA443" s="1530"/>
      <c r="BB443" s="1530"/>
      <c r="BC443" s="1530"/>
      <c r="BD443" s="1530"/>
      <c r="BE443" s="1530"/>
      <c r="BF443" s="1530"/>
      <c r="BG443" s="1530"/>
      <c r="BH443" s="1530"/>
      <c r="BI443" s="1530"/>
      <c r="BJ443" s="1530"/>
      <c r="BK443" s="1530"/>
      <c r="BL443" s="1530"/>
      <c r="BM443" s="1530"/>
      <c r="BN443" s="1530"/>
      <c r="BW443" s="1569"/>
      <c r="CO443" s="1530"/>
      <c r="CP443" s="1530"/>
      <c r="CQ443" s="1530"/>
      <c r="CR443" s="1530"/>
      <c r="CS443" s="1530"/>
      <c r="CT443" s="1530"/>
      <c r="CU443" s="1530"/>
      <c r="CV443" s="1530"/>
      <c r="CW443" s="1530"/>
      <c r="CX443" s="1530"/>
      <c r="CY443" s="1530"/>
      <c r="CZ443" s="1530"/>
      <c r="DA443" s="1530"/>
      <c r="DB443" s="1530"/>
      <c r="DC443" s="1530"/>
      <c r="DD443" s="1530"/>
      <c r="DE443" s="1530"/>
      <c r="DF443" s="1530"/>
      <c r="DG443" s="1530"/>
      <c r="DH443" s="1530"/>
      <c r="DI443" s="1530"/>
      <c r="DJ443" s="1530"/>
      <c r="DK443" s="1530"/>
      <c r="DL443" s="1530"/>
      <c r="DM443" s="1530"/>
      <c r="DN443" s="1571"/>
      <c r="DO443" s="1530"/>
      <c r="DP443" s="1530"/>
    </row>
    <row r="444" spans="1:120">
      <c r="A444" s="1451"/>
      <c r="C444" s="1451"/>
      <c r="K444" s="1451"/>
      <c r="L444" s="1451"/>
      <c r="U444" s="1530"/>
      <c r="V444" s="1530"/>
      <c r="W444" s="1530"/>
      <c r="X444" s="1530"/>
      <c r="Y444" s="1530"/>
      <c r="Z444" s="1530"/>
      <c r="AA444" s="1530"/>
      <c r="AB444" s="1530"/>
      <c r="AC444" s="1530"/>
      <c r="AD444" s="1530"/>
      <c r="AE444" s="1530"/>
      <c r="AF444" s="1530"/>
      <c r="AG444" s="1530"/>
      <c r="AH444" s="1530"/>
      <c r="AI444" s="1530"/>
      <c r="AJ444" s="1530"/>
      <c r="AK444" s="1530"/>
      <c r="AL444" s="1530"/>
      <c r="AM444" s="1530"/>
      <c r="AN444" s="1530"/>
      <c r="AO444" s="1530"/>
      <c r="AP444" s="1530"/>
      <c r="AQ444" s="1530"/>
      <c r="AR444" s="1530"/>
      <c r="AS444" s="1530"/>
      <c r="AT444" s="1530"/>
      <c r="AU444" s="1530"/>
      <c r="AV444" s="1530"/>
      <c r="AW444" s="1530"/>
      <c r="AX444" s="1530"/>
      <c r="AY444" s="1530"/>
      <c r="AZ444" s="1530"/>
      <c r="BA444" s="1530"/>
      <c r="BB444" s="1530"/>
      <c r="BC444" s="1530"/>
      <c r="BD444" s="1530"/>
      <c r="BE444" s="1530"/>
      <c r="BF444" s="1530"/>
      <c r="BG444" s="1530"/>
      <c r="BH444" s="1530"/>
      <c r="BI444" s="1530"/>
      <c r="BJ444" s="1530"/>
      <c r="BK444" s="1530"/>
      <c r="BL444" s="1530"/>
      <c r="BM444" s="1530"/>
      <c r="BN444" s="1530"/>
      <c r="BW444" s="1569"/>
      <c r="CO444" s="1530"/>
      <c r="CP444" s="1530"/>
      <c r="CQ444" s="1530"/>
      <c r="CR444" s="1530"/>
      <c r="CS444" s="1530"/>
      <c r="CT444" s="1530"/>
      <c r="CU444" s="1530"/>
      <c r="CV444" s="1530"/>
      <c r="CW444" s="1530"/>
      <c r="CX444" s="1530"/>
      <c r="CY444" s="1530"/>
      <c r="CZ444" s="1530"/>
      <c r="DA444" s="1530"/>
      <c r="DB444" s="1530"/>
      <c r="DC444" s="1530"/>
      <c r="DD444" s="1530"/>
      <c r="DE444" s="1530"/>
      <c r="DF444" s="1530"/>
      <c r="DG444" s="1530"/>
      <c r="DH444" s="1530"/>
      <c r="DI444" s="1530"/>
      <c r="DJ444" s="1530"/>
      <c r="DK444" s="1530"/>
      <c r="DL444" s="1530"/>
      <c r="DM444" s="1530"/>
      <c r="DN444" s="1571"/>
      <c r="DO444" s="1530"/>
      <c r="DP444" s="1530"/>
    </row>
    <row r="445" spans="1:120">
      <c r="A445" s="1451"/>
      <c r="C445" s="1451"/>
      <c r="K445" s="1451"/>
      <c r="L445" s="1451"/>
      <c r="U445" s="1530"/>
      <c r="V445" s="1530"/>
      <c r="W445" s="1530"/>
      <c r="X445" s="1530"/>
      <c r="Y445" s="1530"/>
      <c r="Z445" s="1530"/>
      <c r="AA445" s="1530"/>
      <c r="AB445" s="1530"/>
      <c r="AC445" s="1530"/>
      <c r="AD445" s="1530"/>
      <c r="AE445" s="1530"/>
      <c r="AF445" s="1530"/>
      <c r="AG445" s="1530"/>
      <c r="AH445" s="1530"/>
      <c r="AI445" s="1530"/>
      <c r="AJ445" s="1530"/>
      <c r="AK445" s="1530"/>
      <c r="AL445" s="1530"/>
      <c r="AM445" s="1530"/>
      <c r="AN445" s="1530"/>
      <c r="AO445" s="1530"/>
      <c r="AP445" s="1530"/>
      <c r="AQ445" s="1530"/>
      <c r="AR445" s="1530"/>
      <c r="AS445" s="1530"/>
      <c r="AT445" s="1530"/>
      <c r="AU445" s="1530"/>
      <c r="AV445" s="1530"/>
      <c r="AW445" s="1530"/>
      <c r="AX445" s="1530"/>
      <c r="AY445" s="1530"/>
      <c r="AZ445" s="1530"/>
      <c r="BA445" s="1530"/>
      <c r="BB445" s="1530"/>
      <c r="BC445" s="1530"/>
      <c r="BD445" s="1530"/>
      <c r="BE445" s="1530"/>
      <c r="BF445" s="1530"/>
      <c r="BG445" s="1530"/>
      <c r="BH445" s="1530"/>
      <c r="BI445" s="1530"/>
      <c r="BJ445" s="1530"/>
      <c r="BK445" s="1530"/>
      <c r="BL445" s="1530"/>
      <c r="BM445" s="1530"/>
      <c r="BN445" s="1530"/>
      <c r="BW445" s="1569"/>
      <c r="CO445" s="1530"/>
      <c r="CP445" s="1530"/>
      <c r="CQ445" s="1530"/>
      <c r="CR445" s="1530"/>
      <c r="CS445" s="1530"/>
      <c r="CT445" s="1530"/>
      <c r="CU445" s="1530"/>
      <c r="CV445" s="1530"/>
      <c r="CW445" s="1530"/>
      <c r="CX445" s="1530"/>
      <c r="CY445" s="1530"/>
      <c r="CZ445" s="1530"/>
      <c r="DA445" s="1530"/>
      <c r="DB445" s="1530"/>
      <c r="DC445" s="1530"/>
      <c r="DD445" s="1530"/>
      <c r="DE445" s="1530"/>
      <c r="DF445" s="1530"/>
      <c r="DG445" s="1530"/>
      <c r="DH445" s="1530"/>
      <c r="DI445" s="1530"/>
      <c r="DJ445" s="1530"/>
      <c r="DK445" s="1530"/>
      <c r="DL445" s="1530"/>
      <c r="DM445" s="1530"/>
      <c r="DN445" s="1571"/>
      <c r="DO445" s="1530"/>
      <c r="DP445" s="1530"/>
    </row>
    <row r="446" spans="1:120">
      <c r="A446" s="1451"/>
      <c r="C446" s="1451"/>
      <c r="K446" s="1451"/>
      <c r="L446" s="1451"/>
      <c r="U446" s="1530"/>
      <c r="V446" s="1530"/>
      <c r="W446" s="1530"/>
      <c r="X446" s="1530"/>
      <c r="Y446" s="1530"/>
      <c r="Z446" s="1530"/>
      <c r="AA446" s="1530"/>
      <c r="AB446" s="1530"/>
      <c r="AC446" s="1530"/>
      <c r="AD446" s="1530"/>
      <c r="AE446" s="1530"/>
      <c r="AF446" s="1530"/>
      <c r="AG446" s="1530"/>
      <c r="AH446" s="1530"/>
      <c r="AI446" s="1530"/>
      <c r="AJ446" s="1530"/>
      <c r="AK446" s="1530"/>
      <c r="AL446" s="1530"/>
      <c r="AM446" s="1530"/>
      <c r="AN446" s="1530"/>
      <c r="AO446" s="1530"/>
      <c r="AP446" s="1530"/>
      <c r="AQ446" s="1530"/>
      <c r="AR446" s="1530"/>
      <c r="AS446" s="1530"/>
      <c r="AT446" s="1530"/>
      <c r="AU446" s="1530"/>
      <c r="AV446" s="1530"/>
      <c r="AW446" s="1530"/>
      <c r="AX446" s="1530"/>
      <c r="AY446" s="1530"/>
      <c r="AZ446" s="1530"/>
      <c r="BA446" s="1530"/>
      <c r="BB446" s="1530"/>
      <c r="BC446" s="1530"/>
      <c r="BD446" s="1530"/>
      <c r="BE446" s="1530"/>
      <c r="BF446" s="1530"/>
      <c r="BG446" s="1530"/>
      <c r="BH446" s="1530"/>
      <c r="BI446" s="1530"/>
      <c r="BJ446" s="1530"/>
      <c r="BK446" s="1530"/>
      <c r="BL446" s="1530"/>
      <c r="BM446" s="1530"/>
      <c r="BN446" s="1530"/>
      <c r="BW446" s="1569"/>
      <c r="CO446" s="1530"/>
      <c r="CP446" s="1530"/>
      <c r="CQ446" s="1530"/>
      <c r="CR446" s="1530"/>
      <c r="CS446" s="1530"/>
      <c r="CT446" s="1530"/>
      <c r="CU446" s="1530"/>
      <c r="CV446" s="1530"/>
      <c r="CW446" s="1530"/>
      <c r="CX446" s="1530"/>
      <c r="CY446" s="1530"/>
      <c r="CZ446" s="1530"/>
      <c r="DA446" s="1530"/>
      <c r="DB446" s="1530"/>
      <c r="DC446" s="1530"/>
      <c r="DD446" s="1530"/>
      <c r="DE446" s="1530"/>
      <c r="DF446" s="1530"/>
      <c r="DG446" s="1530"/>
      <c r="DH446" s="1530"/>
      <c r="DI446" s="1530"/>
      <c r="DJ446" s="1530"/>
      <c r="DK446" s="1530"/>
      <c r="DL446" s="1530"/>
      <c r="DM446" s="1530"/>
      <c r="DN446" s="1571"/>
      <c r="DO446" s="1530"/>
      <c r="DP446" s="1530"/>
    </row>
    <row r="447" spans="1:120">
      <c r="A447" s="1451"/>
      <c r="C447" s="1451"/>
      <c r="K447" s="1451"/>
      <c r="L447" s="1451"/>
      <c r="U447" s="1530"/>
      <c r="V447" s="1530"/>
      <c r="W447" s="1530"/>
      <c r="X447" s="1530"/>
      <c r="Y447" s="1530"/>
      <c r="Z447" s="1530"/>
      <c r="AA447" s="1530"/>
      <c r="AB447" s="1530"/>
      <c r="AC447" s="1530"/>
      <c r="AD447" s="1530"/>
      <c r="AE447" s="1530"/>
      <c r="AF447" s="1530"/>
      <c r="AG447" s="1530"/>
      <c r="AH447" s="1530"/>
      <c r="AI447" s="1530"/>
      <c r="AJ447" s="1530"/>
      <c r="AK447" s="1530"/>
      <c r="AL447" s="1530"/>
      <c r="AM447" s="1530"/>
      <c r="AN447" s="1530"/>
      <c r="AO447" s="1530"/>
      <c r="AP447" s="1530"/>
      <c r="AQ447" s="1530"/>
      <c r="AR447" s="1530"/>
      <c r="AS447" s="1530"/>
      <c r="AT447" s="1530"/>
      <c r="AU447" s="1530"/>
      <c r="AV447" s="1530"/>
      <c r="AW447" s="1530"/>
      <c r="AX447" s="1530"/>
      <c r="AY447" s="1530"/>
      <c r="AZ447" s="1530"/>
      <c r="BA447" s="1530"/>
      <c r="BB447" s="1530"/>
      <c r="BC447" s="1530"/>
      <c r="BD447" s="1530"/>
      <c r="BE447" s="1530"/>
      <c r="BF447" s="1530"/>
      <c r="BG447" s="1530"/>
      <c r="BH447" s="1530"/>
      <c r="BI447" s="1530"/>
      <c r="BJ447" s="1530"/>
      <c r="BK447" s="1530"/>
      <c r="BL447" s="1530"/>
      <c r="BM447" s="1530"/>
      <c r="BN447" s="1530"/>
      <c r="BW447" s="1569"/>
      <c r="CO447" s="1530"/>
      <c r="CP447" s="1530"/>
      <c r="CQ447" s="1530"/>
      <c r="CR447" s="1530"/>
      <c r="CS447" s="1530"/>
      <c r="CT447" s="1530"/>
      <c r="CU447" s="1530"/>
      <c r="CV447" s="1530"/>
      <c r="CW447" s="1530"/>
      <c r="CX447" s="1530"/>
      <c r="CY447" s="1530"/>
      <c r="CZ447" s="1530"/>
      <c r="DA447" s="1530"/>
      <c r="DB447" s="1530"/>
      <c r="DC447" s="1530"/>
      <c r="DD447" s="1530"/>
      <c r="DE447" s="1530"/>
      <c r="DF447" s="1530"/>
      <c r="DG447" s="1530"/>
      <c r="DH447" s="1530"/>
      <c r="DI447" s="1530"/>
      <c r="DJ447" s="1530"/>
      <c r="DK447" s="1530"/>
      <c r="DL447" s="1530"/>
      <c r="DM447" s="1530"/>
      <c r="DN447" s="1571"/>
      <c r="DO447" s="1530"/>
      <c r="DP447" s="1530"/>
    </row>
    <row r="448" spans="1:120">
      <c r="A448" s="1451"/>
      <c r="C448" s="1451"/>
      <c r="K448" s="1451"/>
      <c r="L448" s="1451"/>
      <c r="U448" s="1530"/>
      <c r="V448" s="1530"/>
      <c r="W448" s="1530"/>
      <c r="X448" s="1530"/>
      <c r="Y448" s="1530"/>
      <c r="Z448" s="1530"/>
      <c r="AA448" s="1530"/>
      <c r="AB448" s="1530"/>
      <c r="AC448" s="1530"/>
      <c r="AD448" s="1530"/>
      <c r="AE448" s="1530"/>
      <c r="AF448" s="1530"/>
      <c r="AG448" s="1530"/>
      <c r="AH448" s="1530"/>
      <c r="AI448" s="1530"/>
      <c r="AJ448" s="1530"/>
      <c r="AK448" s="1530"/>
      <c r="AL448" s="1530"/>
      <c r="AM448" s="1530"/>
      <c r="AN448" s="1530"/>
      <c r="AO448" s="1530"/>
      <c r="AP448" s="1530"/>
      <c r="AQ448" s="1530"/>
      <c r="AR448" s="1530"/>
      <c r="AS448" s="1530"/>
      <c r="AT448" s="1530"/>
      <c r="AU448" s="1530"/>
      <c r="AV448" s="1530"/>
      <c r="AW448" s="1530"/>
      <c r="AX448" s="1530"/>
      <c r="AY448" s="1530"/>
      <c r="AZ448" s="1530"/>
      <c r="BA448" s="1530"/>
      <c r="BB448" s="1530"/>
      <c r="BC448" s="1530"/>
      <c r="BD448" s="1530"/>
      <c r="BE448" s="1530"/>
      <c r="BF448" s="1530"/>
      <c r="BG448" s="1530"/>
      <c r="BH448" s="1530"/>
      <c r="BI448" s="1530"/>
      <c r="BJ448" s="1530"/>
      <c r="BK448" s="1530"/>
      <c r="BL448" s="1530"/>
      <c r="BM448" s="1530"/>
      <c r="BN448" s="1530"/>
      <c r="BW448" s="1569"/>
      <c r="CO448" s="1530"/>
      <c r="CP448" s="1530"/>
      <c r="CQ448" s="1530"/>
      <c r="CR448" s="1530"/>
      <c r="CS448" s="1530"/>
      <c r="CT448" s="1530"/>
      <c r="CU448" s="1530"/>
      <c r="CV448" s="1530"/>
      <c r="CW448" s="1530"/>
      <c r="CX448" s="1530"/>
      <c r="CY448" s="1530"/>
      <c r="CZ448" s="1530"/>
      <c r="DA448" s="1530"/>
      <c r="DB448" s="1530"/>
      <c r="DC448" s="1530"/>
      <c r="DD448" s="1530"/>
      <c r="DE448" s="1530"/>
      <c r="DF448" s="1530"/>
      <c r="DG448" s="1530"/>
      <c r="DH448" s="1530"/>
      <c r="DI448" s="1530"/>
      <c r="DJ448" s="1530"/>
      <c r="DK448" s="1530"/>
      <c r="DL448" s="1530"/>
      <c r="DM448" s="1530"/>
      <c r="DN448" s="1571"/>
      <c r="DO448" s="1530"/>
      <c r="DP448" s="1530"/>
    </row>
    <row r="449" spans="1:120">
      <c r="A449" s="1451"/>
      <c r="C449" s="1451"/>
      <c r="K449" s="1451"/>
      <c r="L449" s="1451"/>
      <c r="U449" s="1530"/>
      <c r="V449" s="1530"/>
      <c r="W449" s="1530"/>
      <c r="X449" s="1530"/>
      <c r="Y449" s="1530"/>
      <c r="Z449" s="1530"/>
      <c r="AA449" s="1530"/>
      <c r="AB449" s="1530"/>
      <c r="AC449" s="1530"/>
      <c r="AD449" s="1530"/>
      <c r="AE449" s="1530"/>
      <c r="AF449" s="1530"/>
      <c r="AG449" s="1530"/>
      <c r="AH449" s="1530"/>
      <c r="AI449" s="1530"/>
      <c r="AJ449" s="1530"/>
      <c r="AK449" s="1530"/>
      <c r="AL449" s="1530"/>
      <c r="AM449" s="1530"/>
      <c r="AN449" s="1530"/>
      <c r="AO449" s="1530"/>
      <c r="AP449" s="1530"/>
      <c r="AQ449" s="1530"/>
      <c r="AR449" s="1530"/>
      <c r="AS449" s="1530"/>
      <c r="AT449" s="1530"/>
      <c r="AU449" s="1530"/>
      <c r="AV449" s="1530"/>
      <c r="AW449" s="1530"/>
      <c r="AX449" s="1530"/>
      <c r="AY449" s="1530"/>
      <c r="AZ449" s="1530"/>
      <c r="BA449" s="1530"/>
      <c r="BB449" s="1530"/>
      <c r="BC449" s="1530"/>
      <c r="BD449" s="1530"/>
      <c r="BE449" s="1530"/>
      <c r="BF449" s="1530"/>
      <c r="BG449" s="1530"/>
      <c r="BH449" s="1530"/>
      <c r="BI449" s="1530"/>
      <c r="BJ449" s="1530"/>
      <c r="BK449" s="1530"/>
      <c r="BL449" s="1530"/>
      <c r="BM449" s="1530"/>
      <c r="BN449" s="1530"/>
      <c r="BW449" s="1569"/>
      <c r="CO449" s="1530"/>
      <c r="CP449" s="1530"/>
      <c r="CQ449" s="1530"/>
      <c r="CR449" s="1530"/>
      <c r="CS449" s="1530"/>
      <c r="CT449" s="1530"/>
      <c r="CU449" s="1530"/>
      <c r="CV449" s="1530"/>
      <c r="CW449" s="1530"/>
      <c r="CX449" s="1530"/>
      <c r="CY449" s="1530"/>
      <c r="CZ449" s="1530"/>
      <c r="DA449" s="1530"/>
      <c r="DB449" s="1530"/>
      <c r="DC449" s="1530"/>
      <c r="DD449" s="1530"/>
      <c r="DE449" s="1530"/>
      <c r="DF449" s="1530"/>
      <c r="DG449" s="1530"/>
      <c r="DH449" s="1530"/>
      <c r="DI449" s="1530"/>
      <c r="DJ449" s="1530"/>
      <c r="DK449" s="1530"/>
      <c r="DL449" s="1530"/>
      <c r="DM449" s="1530"/>
      <c r="DN449" s="1571"/>
      <c r="DO449" s="1530"/>
      <c r="DP449" s="1530"/>
    </row>
    <row r="450" spans="1:120">
      <c r="A450" s="1451"/>
      <c r="C450" s="1451"/>
      <c r="K450" s="1451"/>
      <c r="L450" s="1451"/>
      <c r="U450" s="1530"/>
      <c r="V450" s="1530"/>
      <c r="W450" s="1530"/>
      <c r="X450" s="1530"/>
      <c r="Y450" s="1530"/>
      <c r="Z450" s="1530"/>
      <c r="AA450" s="1530"/>
      <c r="AB450" s="1530"/>
      <c r="AC450" s="1530"/>
      <c r="AD450" s="1530"/>
      <c r="AE450" s="1530"/>
      <c r="AF450" s="1530"/>
      <c r="AG450" s="1530"/>
      <c r="AH450" s="1530"/>
      <c r="AI450" s="1530"/>
      <c r="AJ450" s="1530"/>
      <c r="AK450" s="1530"/>
      <c r="AL450" s="1530"/>
      <c r="AM450" s="1530"/>
      <c r="AN450" s="1530"/>
      <c r="AO450" s="1530"/>
      <c r="AP450" s="1530"/>
      <c r="AQ450" s="1530"/>
      <c r="AR450" s="1530"/>
      <c r="AS450" s="1530"/>
      <c r="AT450" s="1530"/>
      <c r="AU450" s="1530"/>
      <c r="AV450" s="1530"/>
      <c r="AW450" s="1530"/>
      <c r="AX450" s="1530"/>
      <c r="AY450" s="1530"/>
      <c r="AZ450" s="1530"/>
      <c r="BA450" s="1530"/>
      <c r="BB450" s="1530"/>
      <c r="BC450" s="1530"/>
      <c r="BD450" s="1530"/>
      <c r="BE450" s="1530"/>
      <c r="BF450" s="1530"/>
      <c r="BG450" s="1530"/>
      <c r="BH450" s="1530"/>
      <c r="BI450" s="1530"/>
      <c r="BJ450" s="1530"/>
      <c r="BK450" s="1530"/>
      <c r="BL450" s="1530"/>
      <c r="BM450" s="1530"/>
      <c r="BN450" s="1530"/>
      <c r="BW450" s="1569"/>
      <c r="CO450" s="1530"/>
      <c r="CP450" s="1530"/>
      <c r="CQ450" s="1530"/>
      <c r="CR450" s="1530"/>
      <c r="CS450" s="1530"/>
      <c r="CT450" s="1530"/>
      <c r="CU450" s="1530"/>
      <c r="CV450" s="1530"/>
      <c r="CW450" s="1530"/>
      <c r="CX450" s="1530"/>
      <c r="CY450" s="1530"/>
      <c r="CZ450" s="1530"/>
      <c r="DA450" s="1530"/>
      <c r="DB450" s="1530"/>
      <c r="DC450" s="1530"/>
      <c r="DD450" s="1530"/>
      <c r="DE450" s="1530"/>
      <c r="DF450" s="1530"/>
      <c r="DG450" s="1530"/>
      <c r="DH450" s="1530"/>
      <c r="DI450" s="1530"/>
      <c r="DJ450" s="1530"/>
      <c r="DK450" s="1530"/>
      <c r="DL450" s="1530"/>
      <c r="DM450" s="1530"/>
      <c r="DN450" s="1571"/>
      <c r="DO450" s="1530"/>
      <c r="DP450" s="1530"/>
    </row>
    <row r="451" spans="1:120">
      <c r="A451" s="1451"/>
      <c r="C451" s="1451"/>
      <c r="K451" s="1451"/>
      <c r="L451" s="1451"/>
      <c r="U451" s="1530"/>
      <c r="V451" s="1530"/>
      <c r="W451" s="1530"/>
      <c r="X451" s="1530"/>
      <c r="Y451" s="1530"/>
      <c r="Z451" s="1530"/>
      <c r="AA451" s="1530"/>
      <c r="AB451" s="1530"/>
      <c r="AC451" s="1530"/>
      <c r="AD451" s="1530"/>
      <c r="AE451" s="1530"/>
      <c r="AF451" s="1530"/>
      <c r="AG451" s="1530"/>
      <c r="AH451" s="1530"/>
      <c r="AI451" s="1530"/>
      <c r="AJ451" s="1530"/>
      <c r="AK451" s="1530"/>
      <c r="AL451" s="1530"/>
      <c r="AM451" s="1530"/>
      <c r="AN451" s="1530"/>
      <c r="AO451" s="1530"/>
      <c r="AP451" s="1530"/>
      <c r="AQ451" s="1530"/>
      <c r="AR451" s="1530"/>
      <c r="AS451" s="1530"/>
      <c r="AT451" s="1530"/>
      <c r="AU451" s="1530"/>
      <c r="AV451" s="1530"/>
      <c r="AW451" s="1530"/>
      <c r="AX451" s="1530"/>
      <c r="AY451" s="1530"/>
      <c r="AZ451" s="1530"/>
      <c r="BA451" s="1530"/>
      <c r="BB451" s="1530"/>
      <c r="BC451" s="1530"/>
      <c r="BD451" s="1530"/>
      <c r="BE451" s="1530"/>
      <c r="BF451" s="1530"/>
      <c r="BG451" s="1530"/>
      <c r="BH451" s="1530"/>
      <c r="BI451" s="1530"/>
      <c r="BJ451" s="1530"/>
      <c r="BK451" s="1530"/>
      <c r="BL451" s="1530"/>
      <c r="BM451" s="1530"/>
      <c r="BN451" s="1530"/>
      <c r="BW451" s="1569"/>
      <c r="CO451" s="1530"/>
      <c r="CP451" s="1530"/>
      <c r="CQ451" s="1530"/>
      <c r="CR451" s="1530"/>
      <c r="CS451" s="1530"/>
      <c r="CT451" s="1530"/>
      <c r="CU451" s="1530"/>
      <c r="CV451" s="1530"/>
      <c r="CW451" s="1530"/>
      <c r="CX451" s="1530"/>
      <c r="CY451" s="1530"/>
      <c r="CZ451" s="1530"/>
      <c r="DA451" s="1530"/>
      <c r="DB451" s="1530"/>
      <c r="DC451" s="1530"/>
      <c r="DD451" s="1530"/>
      <c r="DE451" s="1530"/>
      <c r="DF451" s="1530"/>
      <c r="DG451" s="1530"/>
      <c r="DH451" s="1530"/>
      <c r="DI451" s="1530"/>
      <c r="DJ451" s="1530"/>
      <c r="DK451" s="1530"/>
      <c r="DL451" s="1530"/>
      <c r="DM451" s="1530"/>
      <c r="DN451" s="1571"/>
      <c r="DO451" s="1530"/>
      <c r="DP451" s="1530"/>
    </row>
    <row r="452" spans="1:120">
      <c r="A452" s="1451"/>
      <c r="C452" s="1451"/>
      <c r="K452" s="1451"/>
      <c r="L452" s="1451"/>
      <c r="U452" s="1530"/>
      <c r="V452" s="1530"/>
      <c r="W452" s="1530"/>
      <c r="X452" s="1530"/>
      <c r="Y452" s="1530"/>
      <c r="Z452" s="1530"/>
      <c r="AA452" s="1530"/>
      <c r="AB452" s="1530"/>
      <c r="AC452" s="1530"/>
      <c r="AD452" s="1530"/>
      <c r="AE452" s="1530"/>
      <c r="AF452" s="1530"/>
      <c r="AG452" s="1530"/>
      <c r="AH452" s="1530"/>
      <c r="AI452" s="1530"/>
      <c r="AJ452" s="1530"/>
      <c r="AK452" s="1530"/>
      <c r="AL452" s="1530"/>
      <c r="AM452" s="1530"/>
      <c r="AN452" s="1530"/>
      <c r="AO452" s="1530"/>
      <c r="AP452" s="1530"/>
      <c r="AQ452" s="1530"/>
      <c r="AR452" s="1530"/>
      <c r="AS452" s="1530"/>
      <c r="AT452" s="1530"/>
      <c r="AU452" s="1530"/>
      <c r="AV452" s="1530"/>
      <c r="AW452" s="1530"/>
      <c r="AX452" s="1530"/>
      <c r="AY452" s="1530"/>
      <c r="AZ452" s="1530"/>
      <c r="BA452" s="1530"/>
      <c r="BB452" s="1530"/>
      <c r="BC452" s="1530"/>
      <c r="BD452" s="1530"/>
      <c r="BE452" s="1530"/>
      <c r="BF452" s="1530"/>
      <c r="BG452" s="1530"/>
      <c r="BH452" s="1530"/>
      <c r="BI452" s="1530"/>
      <c r="BJ452" s="1530"/>
      <c r="BK452" s="1530"/>
      <c r="BL452" s="1530"/>
      <c r="BM452" s="1530"/>
      <c r="BN452" s="1530"/>
      <c r="BW452" s="1569"/>
      <c r="CO452" s="1530"/>
      <c r="CP452" s="1530"/>
      <c r="CQ452" s="1530"/>
      <c r="CR452" s="1530"/>
      <c r="CS452" s="1530"/>
      <c r="CT452" s="1530"/>
      <c r="CU452" s="1530"/>
      <c r="CV452" s="1530"/>
      <c r="CW452" s="1530"/>
      <c r="CX452" s="1530"/>
      <c r="CY452" s="1530"/>
      <c r="CZ452" s="1530"/>
      <c r="DA452" s="1530"/>
      <c r="DB452" s="1530"/>
      <c r="DC452" s="1530"/>
      <c r="DD452" s="1530"/>
      <c r="DE452" s="1530"/>
      <c r="DF452" s="1530"/>
      <c r="DG452" s="1530"/>
      <c r="DH452" s="1530"/>
      <c r="DI452" s="1530"/>
      <c r="DJ452" s="1530"/>
      <c r="DK452" s="1530"/>
      <c r="DL452" s="1530"/>
      <c r="DM452" s="1530"/>
      <c r="DN452" s="1571"/>
      <c r="DO452" s="1530"/>
      <c r="DP452" s="1530"/>
    </row>
    <row r="453" spans="1:120">
      <c r="A453" s="1451"/>
      <c r="C453" s="1451"/>
      <c r="K453" s="1451"/>
      <c r="L453" s="1451"/>
      <c r="U453" s="1530"/>
      <c r="V453" s="1530"/>
      <c r="W453" s="1530"/>
      <c r="X453" s="1530"/>
      <c r="Y453" s="1530"/>
      <c r="Z453" s="1530"/>
      <c r="AA453" s="1530"/>
      <c r="AB453" s="1530"/>
      <c r="AC453" s="1530"/>
      <c r="AD453" s="1530"/>
      <c r="AE453" s="1530"/>
      <c r="AF453" s="1530"/>
      <c r="AG453" s="1530"/>
      <c r="AH453" s="1530"/>
      <c r="AI453" s="1530"/>
      <c r="AJ453" s="1530"/>
      <c r="AK453" s="1530"/>
      <c r="AL453" s="1530"/>
      <c r="AM453" s="1530"/>
      <c r="AN453" s="1530"/>
      <c r="AO453" s="1530"/>
      <c r="AP453" s="1530"/>
      <c r="AQ453" s="1530"/>
      <c r="AR453" s="1530"/>
      <c r="AS453" s="1530"/>
      <c r="AT453" s="1530"/>
      <c r="AU453" s="1530"/>
      <c r="AV453" s="1530"/>
      <c r="AW453" s="1530"/>
      <c r="AX453" s="1530"/>
      <c r="AY453" s="1530"/>
      <c r="AZ453" s="1530"/>
      <c r="BA453" s="1530"/>
      <c r="BB453" s="1530"/>
      <c r="BC453" s="1530"/>
      <c r="BD453" s="1530"/>
      <c r="BE453" s="1530"/>
      <c r="BF453" s="1530"/>
      <c r="BG453" s="1530"/>
      <c r="BH453" s="1530"/>
      <c r="BI453" s="1530"/>
      <c r="BJ453" s="1530"/>
      <c r="BK453" s="1530"/>
      <c r="BL453" s="1530"/>
      <c r="BM453" s="1530"/>
      <c r="BN453" s="1530"/>
      <c r="BW453" s="1569"/>
      <c r="CO453" s="1530"/>
      <c r="CP453" s="1530"/>
      <c r="CQ453" s="1530"/>
      <c r="CR453" s="1530"/>
      <c r="CS453" s="1530"/>
      <c r="CT453" s="1530"/>
      <c r="CU453" s="1530"/>
      <c r="CV453" s="1530"/>
      <c r="CW453" s="1530"/>
      <c r="CX453" s="1530"/>
      <c r="CY453" s="1530"/>
      <c r="CZ453" s="1530"/>
      <c r="DA453" s="1530"/>
      <c r="DB453" s="1530"/>
      <c r="DC453" s="1530"/>
      <c r="DD453" s="1530"/>
      <c r="DE453" s="1530"/>
      <c r="DF453" s="1530"/>
      <c r="DG453" s="1530"/>
      <c r="DH453" s="1530"/>
      <c r="DI453" s="1530"/>
      <c r="DJ453" s="1530"/>
      <c r="DK453" s="1530"/>
      <c r="DL453" s="1530"/>
      <c r="DM453" s="1530"/>
      <c r="DN453" s="1571"/>
      <c r="DO453" s="1530"/>
      <c r="DP453" s="1530"/>
    </row>
    <row r="454" spans="1:120">
      <c r="A454" s="1451"/>
      <c r="C454" s="1451"/>
      <c r="K454" s="1451"/>
      <c r="L454" s="1451"/>
      <c r="U454" s="1530"/>
      <c r="V454" s="1530"/>
      <c r="W454" s="1530"/>
      <c r="X454" s="1530"/>
      <c r="Y454" s="1530"/>
      <c r="Z454" s="1530"/>
      <c r="AA454" s="1530"/>
      <c r="AB454" s="1530"/>
      <c r="AC454" s="1530"/>
      <c r="AD454" s="1530"/>
      <c r="AE454" s="1530"/>
      <c r="AF454" s="1530"/>
      <c r="AG454" s="1530"/>
      <c r="AH454" s="1530"/>
      <c r="AI454" s="1530"/>
      <c r="AJ454" s="1530"/>
      <c r="AK454" s="1530"/>
      <c r="AL454" s="1530"/>
      <c r="AM454" s="1530"/>
      <c r="AN454" s="1530"/>
      <c r="AO454" s="1530"/>
      <c r="AP454" s="1530"/>
      <c r="AQ454" s="1530"/>
      <c r="AR454" s="1530"/>
      <c r="AS454" s="1530"/>
      <c r="AT454" s="1530"/>
      <c r="AU454" s="1530"/>
      <c r="AV454" s="1530"/>
      <c r="AW454" s="1530"/>
      <c r="AX454" s="1530"/>
      <c r="AY454" s="1530"/>
      <c r="AZ454" s="1530"/>
      <c r="BA454" s="1530"/>
      <c r="BB454" s="1530"/>
      <c r="BC454" s="1530"/>
      <c r="BD454" s="1530"/>
      <c r="BE454" s="1530"/>
      <c r="BF454" s="1530"/>
      <c r="BG454" s="1530"/>
      <c r="BH454" s="1530"/>
      <c r="BI454" s="1530"/>
      <c r="BJ454" s="1530"/>
      <c r="BK454" s="1530"/>
      <c r="BL454" s="1530"/>
      <c r="BM454" s="1530"/>
      <c r="BN454" s="1530"/>
      <c r="BW454" s="1569"/>
      <c r="CO454" s="1530"/>
      <c r="CP454" s="1530"/>
      <c r="CQ454" s="1530"/>
      <c r="CR454" s="1530"/>
      <c r="CS454" s="1530"/>
      <c r="CT454" s="1530"/>
      <c r="CU454" s="1530"/>
      <c r="CV454" s="1530"/>
      <c r="CW454" s="1530"/>
      <c r="CX454" s="1530"/>
      <c r="CY454" s="1530"/>
      <c r="CZ454" s="1530"/>
      <c r="DA454" s="1530"/>
      <c r="DB454" s="1530"/>
      <c r="DC454" s="1530"/>
      <c r="DD454" s="1530"/>
      <c r="DE454" s="1530"/>
      <c r="DF454" s="1530"/>
      <c r="DG454" s="1530"/>
      <c r="DH454" s="1530"/>
      <c r="DI454" s="1530"/>
      <c r="DJ454" s="1530"/>
      <c r="DK454" s="1530"/>
      <c r="DL454" s="1530"/>
      <c r="DM454" s="1530"/>
      <c r="DN454" s="1571"/>
      <c r="DO454" s="1530"/>
      <c r="DP454" s="1530"/>
    </row>
    <row r="455" spans="1:120">
      <c r="A455" s="1451"/>
      <c r="C455" s="1451"/>
      <c r="K455" s="1451"/>
      <c r="L455" s="1451"/>
      <c r="U455" s="1530"/>
      <c r="V455" s="1530"/>
      <c r="W455" s="1530"/>
      <c r="X455" s="1530"/>
      <c r="Y455" s="1530"/>
      <c r="Z455" s="1530"/>
      <c r="AA455" s="1530"/>
      <c r="AB455" s="1530"/>
      <c r="AC455" s="1530"/>
      <c r="AD455" s="1530"/>
      <c r="AE455" s="1530"/>
      <c r="AF455" s="1530"/>
      <c r="AG455" s="1530"/>
      <c r="AH455" s="1530"/>
      <c r="AI455" s="1530"/>
      <c r="AJ455" s="1530"/>
      <c r="AK455" s="1530"/>
      <c r="AL455" s="1530"/>
      <c r="AM455" s="1530"/>
      <c r="AN455" s="1530"/>
      <c r="AO455" s="1530"/>
      <c r="AP455" s="1530"/>
      <c r="AQ455" s="1530"/>
      <c r="AR455" s="1530"/>
      <c r="AS455" s="1530"/>
      <c r="AT455" s="1530"/>
      <c r="AU455" s="1530"/>
      <c r="AV455" s="1530"/>
      <c r="AW455" s="1530"/>
      <c r="AX455" s="1530"/>
      <c r="AY455" s="1530"/>
      <c r="AZ455" s="1530"/>
      <c r="BA455" s="1530"/>
      <c r="BB455" s="1530"/>
      <c r="BC455" s="1530"/>
      <c r="BD455" s="1530"/>
      <c r="BE455" s="1530"/>
      <c r="BF455" s="1530"/>
      <c r="BG455" s="1530"/>
      <c r="BH455" s="1530"/>
      <c r="BI455" s="1530"/>
      <c r="BJ455" s="1530"/>
      <c r="BK455" s="1530"/>
      <c r="BL455" s="1530"/>
      <c r="BM455" s="1530"/>
      <c r="BN455" s="1530"/>
      <c r="BW455" s="1569"/>
      <c r="CO455" s="1530"/>
      <c r="CP455" s="1530"/>
      <c r="CQ455" s="1530"/>
      <c r="CR455" s="1530"/>
      <c r="CS455" s="1530"/>
      <c r="CT455" s="1530"/>
      <c r="CU455" s="1530"/>
      <c r="CV455" s="1530"/>
      <c r="CW455" s="1530"/>
      <c r="CX455" s="1530"/>
      <c r="CY455" s="1530"/>
      <c r="CZ455" s="1530"/>
      <c r="DA455" s="1530"/>
      <c r="DB455" s="1530"/>
      <c r="DC455" s="1530"/>
      <c r="DD455" s="1530"/>
      <c r="DE455" s="1530"/>
      <c r="DF455" s="1530"/>
      <c r="DG455" s="1530"/>
      <c r="DH455" s="1530"/>
      <c r="DI455" s="1530"/>
      <c r="DJ455" s="1530"/>
      <c r="DK455" s="1530"/>
      <c r="DL455" s="1530"/>
      <c r="DM455" s="1530"/>
      <c r="DN455" s="1571"/>
      <c r="DO455" s="1530"/>
      <c r="DP455" s="1530"/>
    </row>
    <row r="456" spans="1:120">
      <c r="A456" s="1451"/>
      <c r="C456" s="1451"/>
      <c r="K456" s="1451"/>
      <c r="L456" s="1451"/>
      <c r="U456" s="1530"/>
      <c r="V456" s="1530"/>
      <c r="W456" s="1530"/>
      <c r="X456" s="1530"/>
      <c r="Y456" s="1530"/>
      <c r="Z456" s="1530"/>
      <c r="AA456" s="1530"/>
      <c r="AB456" s="1530"/>
      <c r="AC456" s="1530"/>
      <c r="AD456" s="1530"/>
      <c r="AE456" s="1530"/>
      <c r="AF456" s="1530"/>
      <c r="AG456" s="1530"/>
      <c r="AH456" s="1530"/>
      <c r="AI456" s="1530"/>
      <c r="AJ456" s="1530"/>
      <c r="AK456" s="1530"/>
      <c r="AL456" s="1530"/>
      <c r="AM456" s="1530"/>
      <c r="AN456" s="1530"/>
      <c r="AO456" s="1530"/>
      <c r="AP456" s="1530"/>
      <c r="AQ456" s="1530"/>
      <c r="AR456" s="1530"/>
      <c r="AS456" s="1530"/>
      <c r="AT456" s="1530"/>
      <c r="AU456" s="1530"/>
      <c r="AV456" s="1530"/>
      <c r="AW456" s="1530"/>
      <c r="AX456" s="1530"/>
      <c r="AY456" s="1530"/>
      <c r="AZ456" s="1530"/>
      <c r="BA456" s="1530"/>
      <c r="BB456" s="1530"/>
      <c r="BC456" s="1530"/>
      <c r="BD456" s="1530"/>
      <c r="BE456" s="1530"/>
      <c r="BF456" s="1530"/>
      <c r="BG456" s="1530"/>
      <c r="BH456" s="1530"/>
      <c r="BI456" s="1530"/>
      <c r="BJ456" s="1530"/>
      <c r="BK456" s="1530"/>
      <c r="BL456" s="1530"/>
      <c r="BM456" s="1530"/>
      <c r="BN456" s="1530"/>
      <c r="BW456" s="1569"/>
      <c r="CO456" s="1530"/>
      <c r="CP456" s="1530"/>
      <c r="CQ456" s="1530"/>
      <c r="CR456" s="1530"/>
      <c r="CS456" s="1530"/>
      <c r="CT456" s="1530"/>
      <c r="CU456" s="1530"/>
      <c r="CV456" s="1530"/>
      <c r="CW456" s="1530"/>
      <c r="CX456" s="1530"/>
      <c r="CY456" s="1530"/>
      <c r="CZ456" s="1530"/>
      <c r="DA456" s="1530"/>
      <c r="DB456" s="1530"/>
      <c r="DC456" s="1530"/>
      <c r="DD456" s="1530"/>
      <c r="DE456" s="1530"/>
      <c r="DF456" s="1530"/>
      <c r="DG456" s="1530"/>
      <c r="DH456" s="1530"/>
      <c r="DI456" s="1530"/>
      <c r="DJ456" s="1530"/>
      <c r="DK456" s="1530"/>
      <c r="DL456" s="1530"/>
      <c r="DM456" s="1530"/>
      <c r="DN456" s="1571"/>
      <c r="DO456" s="1530"/>
      <c r="DP456" s="1530"/>
    </row>
    <row r="457" spans="1:120">
      <c r="A457" s="1451"/>
      <c r="C457" s="1451"/>
      <c r="K457" s="1451"/>
      <c r="L457" s="1451"/>
      <c r="U457" s="1530"/>
      <c r="V457" s="1530"/>
      <c r="W457" s="1530"/>
      <c r="X457" s="1530"/>
      <c r="Y457" s="1530"/>
      <c r="Z457" s="1530"/>
      <c r="AA457" s="1530"/>
      <c r="AB457" s="1530"/>
      <c r="AC457" s="1530"/>
      <c r="AD457" s="1530"/>
      <c r="AE457" s="1530"/>
      <c r="AF457" s="1530"/>
      <c r="AG457" s="1530"/>
      <c r="AH457" s="1530"/>
      <c r="AI457" s="1530"/>
      <c r="AJ457" s="1530"/>
      <c r="AK457" s="1530"/>
      <c r="AL457" s="1530"/>
      <c r="AM457" s="1530"/>
      <c r="AN457" s="1530"/>
      <c r="AO457" s="1530"/>
      <c r="AP457" s="1530"/>
      <c r="AQ457" s="1530"/>
      <c r="AR457" s="1530"/>
      <c r="AS457" s="1530"/>
      <c r="AT457" s="1530"/>
      <c r="AU457" s="1530"/>
      <c r="AV457" s="1530"/>
      <c r="AW457" s="1530"/>
      <c r="AX457" s="1530"/>
      <c r="AY457" s="1530"/>
      <c r="AZ457" s="1530"/>
      <c r="BA457" s="1530"/>
      <c r="BB457" s="1530"/>
      <c r="BC457" s="1530"/>
      <c r="BD457" s="1530"/>
      <c r="BE457" s="1530"/>
      <c r="BF457" s="1530"/>
      <c r="BG457" s="1530"/>
      <c r="BH457" s="1530"/>
      <c r="BI457" s="1530"/>
      <c r="BJ457" s="1530"/>
      <c r="BK457" s="1530"/>
      <c r="BL457" s="1530"/>
      <c r="BM457" s="1530"/>
      <c r="BN457" s="1530"/>
      <c r="BW457" s="1569"/>
      <c r="CO457" s="1530"/>
      <c r="CP457" s="1530"/>
      <c r="CQ457" s="1530"/>
      <c r="CR457" s="1530"/>
      <c r="CS457" s="1530"/>
      <c r="CT457" s="1530"/>
      <c r="CU457" s="1530"/>
      <c r="CV457" s="1530"/>
      <c r="CW457" s="1530"/>
      <c r="CX457" s="1530"/>
      <c r="CY457" s="1530"/>
      <c r="CZ457" s="1530"/>
      <c r="DA457" s="1530"/>
      <c r="DB457" s="1530"/>
      <c r="DC457" s="1530"/>
      <c r="DD457" s="1530"/>
      <c r="DE457" s="1530"/>
      <c r="DF457" s="1530"/>
      <c r="DG457" s="1530"/>
      <c r="DH457" s="1530"/>
      <c r="DI457" s="1530"/>
      <c r="DJ457" s="1530"/>
      <c r="DK457" s="1530"/>
      <c r="DL457" s="1530"/>
      <c r="DM457" s="1530"/>
      <c r="DN457" s="1571"/>
      <c r="DO457" s="1530"/>
      <c r="DP457" s="1530"/>
    </row>
    <row r="458" spans="1:120">
      <c r="A458" s="1451"/>
      <c r="C458" s="1451"/>
      <c r="K458" s="1451"/>
      <c r="L458" s="1451"/>
      <c r="U458" s="1530"/>
      <c r="V458" s="1530"/>
      <c r="W458" s="1530"/>
      <c r="X458" s="1530"/>
      <c r="Y458" s="1530"/>
      <c r="Z458" s="1530"/>
      <c r="AA458" s="1530"/>
      <c r="AB458" s="1530"/>
      <c r="AC458" s="1530"/>
      <c r="AD458" s="1530"/>
      <c r="AE458" s="1530"/>
      <c r="AF458" s="1530"/>
      <c r="AG458" s="1530"/>
      <c r="AH458" s="1530"/>
      <c r="AI458" s="1530"/>
      <c r="AJ458" s="1530"/>
      <c r="AK458" s="1530"/>
      <c r="AL458" s="1530"/>
      <c r="AM458" s="1530"/>
      <c r="AN458" s="1530"/>
      <c r="AO458" s="1530"/>
      <c r="AP458" s="1530"/>
      <c r="AQ458" s="1530"/>
      <c r="AR458" s="1530"/>
      <c r="AS458" s="1530"/>
      <c r="AT458" s="1530"/>
      <c r="AU458" s="1530"/>
      <c r="AV458" s="1530"/>
      <c r="AW458" s="1530"/>
      <c r="AX458" s="1530"/>
      <c r="AY458" s="1530"/>
      <c r="AZ458" s="1530"/>
      <c r="BA458" s="1530"/>
      <c r="BB458" s="1530"/>
      <c r="BC458" s="1530"/>
      <c r="BD458" s="1530"/>
      <c r="BE458" s="1530"/>
      <c r="BF458" s="1530"/>
      <c r="BG458" s="1530"/>
      <c r="BH458" s="1530"/>
      <c r="BI458" s="1530"/>
      <c r="BJ458" s="1530"/>
      <c r="BK458" s="1530"/>
      <c r="BL458" s="1530"/>
      <c r="BM458" s="1530"/>
      <c r="BN458" s="1530"/>
      <c r="BW458" s="1569"/>
      <c r="CO458" s="1530"/>
      <c r="CP458" s="1530"/>
      <c r="CQ458" s="1530"/>
      <c r="CR458" s="1530"/>
      <c r="CS458" s="1530"/>
      <c r="CT458" s="1530"/>
      <c r="CU458" s="1530"/>
      <c r="CV458" s="1530"/>
      <c r="CW458" s="1530"/>
      <c r="CX458" s="1530"/>
      <c r="CY458" s="1530"/>
      <c r="CZ458" s="1530"/>
      <c r="DA458" s="1530"/>
      <c r="DB458" s="1530"/>
      <c r="DC458" s="1530"/>
      <c r="DD458" s="1530"/>
      <c r="DE458" s="1530"/>
      <c r="DF458" s="1530"/>
      <c r="DG458" s="1530"/>
      <c r="DH458" s="1530"/>
      <c r="DI458" s="1530"/>
      <c r="DJ458" s="1530"/>
      <c r="DK458" s="1530"/>
      <c r="DL458" s="1530"/>
      <c r="DM458" s="1530"/>
      <c r="DN458" s="1571"/>
      <c r="DO458" s="1530"/>
      <c r="DP458" s="1530"/>
    </row>
    <row r="459" spans="1:120">
      <c r="A459" s="1451"/>
      <c r="C459" s="1451"/>
      <c r="K459" s="1451"/>
      <c r="L459" s="1451"/>
      <c r="U459" s="1530"/>
      <c r="V459" s="1530"/>
      <c r="W459" s="1530"/>
      <c r="X459" s="1530"/>
      <c r="Y459" s="1530"/>
      <c r="Z459" s="1530"/>
      <c r="AA459" s="1530"/>
      <c r="AB459" s="1530"/>
      <c r="AC459" s="1530"/>
      <c r="AD459" s="1530"/>
      <c r="AE459" s="1530"/>
      <c r="AF459" s="1530"/>
      <c r="AG459" s="1530"/>
      <c r="AH459" s="1530"/>
      <c r="AI459" s="1530"/>
      <c r="AJ459" s="1530"/>
      <c r="AK459" s="1530"/>
      <c r="AL459" s="1530"/>
      <c r="AM459" s="1530"/>
      <c r="AN459" s="1530"/>
      <c r="AO459" s="1530"/>
      <c r="AP459" s="1530"/>
      <c r="AQ459" s="1530"/>
      <c r="AR459" s="1530"/>
      <c r="AS459" s="1530"/>
      <c r="AT459" s="1530"/>
      <c r="AU459" s="1530"/>
      <c r="AV459" s="1530"/>
      <c r="AW459" s="1530"/>
      <c r="AX459" s="1530"/>
      <c r="AY459" s="1530"/>
      <c r="AZ459" s="1530"/>
      <c r="BA459" s="1530"/>
      <c r="BB459" s="1530"/>
      <c r="BC459" s="1530"/>
      <c r="BD459" s="1530"/>
      <c r="BE459" s="1530"/>
      <c r="BF459" s="1530"/>
      <c r="BG459" s="1530"/>
      <c r="BH459" s="1530"/>
      <c r="BI459" s="1530"/>
      <c r="BJ459" s="1530"/>
      <c r="BK459" s="1530"/>
      <c r="BL459" s="1530"/>
      <c r="BM459" s="1530"/>
      <c r="BN459" s="1530"/>
      <c r="BW459" s="1569"/>
      <c r="CO459" s="1530"/>
      <c r="CP459" s="1530"/>
      <c r="CQ459" s="1530"/>
      <c r="CR459" s="1530"/>
      <c r="CS459" s="1530"/>
      <c r="CT459" s="1530"/>
      <c r="CU459" s="1530"/>
      <c r="CV459" s="1530"/>
      <c r="CW459" s="1530"/>
      <c r="CX459" s="1530"/>
      <c r="CY459" s="1530"/>
      <c r="CZ459" s="1530"/>
      <c r="DA459" s="1530"/>
      <c r="DB459" s="1530"/>
      <c r="DC459" s="1530"/>
      <c r="DD459" s="1530"/>
      <c r="DE459" s="1530"/>
      <c r="DF459" s="1530"/>
      <c r="DG459" s="1530"/>
      <c r="DH459" s="1530"/>
      <c r="DI459" s="1530"/>
      <c r="DJ459" s="1530"/>
      <c r="DK459" s="1530"/>
      <c r="DL459" s="1530"/>
      <c r="DM459" s="1530"/>
      <c r="DN459" s="1571"/>
      <c r="DO459" s="1530"/>
      <c r="DP459" s="1530"/>
    </row>
    <row r="460" spans="1:120">
      <c r="A460" s="1451"/>
      <c r="C460" s="1451"/>
      <c r="K460" s="1451"/>
      <c r="L460" s="1451"/>
      <c r="U460" s="1530"/>
      <c r="V460" s="1530"/>
      <c r="W460" s="1530"/>
      <c r="X460" s="1530"/>
      <c r="Y460" s="1530"/>
      <c r="Z460" s="1530"/>
      <c r="AA460" s="1530"/>
      <c r="AB460" s="1530"/>
      <c r="AC460" s="1530"/>
      <c r="AD460" s="1530"/>
      <c r="AE460" s="1530"/>
      <c r="AF460" s="1530"/>
      <c r="AG460" s="1530"/>
      <c r="AH460" s="1530"/>
      <c r="AI460" s="1530"/>
      <c r="AJ460" s="1530"/>
      <c r="AK460" s="1530"/>
      <c r="AL460" s="1530"/>
      <c r="AM460" s="1530"/>
      <c r="AN460" s="1530"/>
      <c r="AO460" s="1530"/>
      <c r="AP460" s="1530"/>
      <c r="AQ460" s="1530"/>
      <c r="AR460" s="1530"/>
      <c r="AS460" s="1530"/>
      <c r="AT460" s="1530"/>
      <c r="AU460" s="1530"/>
      <c r="AV460" s="1530"/>
      <c r="AW460" s="1530"/>
      <c r="AX460" s="1530"/>
      <c r="AY460" s="1530"/>
      <c r="AZ460" s="1530"/>
      <c r="BA460" s="1530"/>
      <c r="BB460" s="1530"/>
      <c r="BC460" s="1530"/>
      <c r="BD460" s="1530"/>
      <c r="BE460" s="1530"/>
      <c r="BF460" s="1530"/>
      <c r="BG460" s="1530"/>
      <c r="BH460" s="1530"/>
      <c r="BI460" s="1530"/>
      <c r="BJ460" s="1530"/>
      <c r="BK460" s="1530"/>
      <c r="BL460" s="1530"/>
      <c r="BM460" s="1530"/>
      <c r="BN460" s="1530"/>
      <c r="BW460" s="1569"/>
      <c r="CO460" s="1530"/>
      <c r="CP460" s="1530"/>
      <c r="CQ460" s="1530"/>
      <c r="CR460" s="1530"/>
      <c r="CS460" s="1530"/>
      <c r="CT460" s="1530"/>
      <c r="CU460" s="1530"/>
      <c r="CV460" s="1530"/>
      <c r="CW460" s="1530"/>
      <c r="CX460" s="1530"/>
      <c r="CY460" s="1530"/>
      <c r="CZ460" s="1530"/>
      <c r="DA460" s="1530"/>
      <c r="DB460" s="1530"/>
      <c r="DC460" s="1530"/>
      <c r="DD460" s="1530"/>
      <c r="DE460" s="1530"/>
      <c r="DF460" s="1530"/>
      <c r="DG460" s="1530"/>
      <c r="DH460" s="1530"/>
      <c r="DI460" s="1530"/>
      <c r="DJ460" s="1530"/>
      <c r="DK460" s="1530"/>
      <c r="DL460" s="1530"/>
      <c r="DM460" s="1530"/>
      <c r="DN460" s="1571"/>
      <c r="DO460" s="1530"/>
      <c r="DP460" s="1530"/>
    </row>
    <row r="461" spans="1:120">
      <c r="A461" s="1451"/>
      <c r="C461" s="1451"/>
      <c r="K461" s="1451"/>
      <c r="L461" s="1451"/>
      <c r="U461" s="1530"/>
      <c r="V461" s="1530"/>
      <c r="W461" s="1530"/>
      <c r="X461" s="1530"/>
      <c r="Y461" s="1530"/>
      <c r="Z461" s="1530"/>
      <c r="AA461" s="1530"/>
      <c r="AB461" s="1530"/>
      <c r="AC461" s="1530"/>
      <c r="AD461" s="1530"/>
      <c r="AE461" s="1530"/>
      <c r="AF461" s="1530"/>
      <c r="AG461" s="1530"/>
      <c r="AH461" s="1530"/>
      <c r="AI461" s="1530"/>
      <c r="AJ461" s="1530"/>
      <c r="AK461" s="1530"/>
      <c r="AL461" s="1530"/>
      <c r="AM461" s="1530"/>
      <c r="AN461" s="1530"/>
      <c r="AO461" s="1530"/>
      <c r="AP461" s="1530"/>
      <c r="AQ461" s="1530"/>
      <c r="AR461" s="1530"/>
      <c r="AS461" s="1530"/>
      <c r="AT461" s="1530"/>
      <c r="AU461" s="1530"/>
      <c r="AV461" s="1530"/>
      <c r="AW461" s="1530"/>
      <c r="AX461" s="1530"/>
      <c r="AY461" s="1530"/>
      <c r="AZ461" s="1530"/>
      <c r="BA461" s="1530"/>
      <c r="BB461" s="1530"/>
      <c r="BC461" s="1530"/>
      <c r="BD461" s="1530"/>
      <c r="BE461" s="1530"/>
      <c r="BF461" s="1530"/>
      <c r="BG461" s="1530"/>
      <c r="BH461" s="1530"/>
      <c r="BI461" s="1530"/>
      <c r="BJ461" s="1530"/>
      <c r="BK461" s="1530"/>
      <c r="BL461" s="1530"/>
      <c r="BM461" s="1530"/>
      <c r="BN461" s="1530"/>
      <c r="BW461" s="1569"/>
      <c r="CO461" s="1530"/>
      <c r="CP461" s="1530"/>
      <c r="CQ461" s="1530"/>
      <c r="CR461" s="1530"/>
      <c r="CS461" s="1530"/>
      <c r="CT461" s="1530"/>
      <c r="CU461" s="1530"/>
      <c r="CV461" s="1530"/>
      <c r="CW461" s="1530"/>
      <c r="CX461" s="1530"/>
      <c r="CY461" s="1530"/>
      <c r="CZ461" s="1530"/>
      <c r="DA461" s="1530"/>
      <c r="DB461" s="1530"/>
      <c r="DC461" s="1530"/>
      <c r="DD461" s="1530"/>
      <c r="DE461" s="1530"/>
      <c r="DF461" s="1530"/>
      <c r="DG461" s="1530"/>
      <c r="DH461" s="1530"/>
      <c r="DI461" s="1530"/>
      <c r="DJ461" s="1530"/>
      <c r="DK461" s="1530"/>
      <c r="DL461" s="1530"/>
      <c r="DM461" s="1530"/>
      <c r="DN461" s="1571"/>
      <c r="DO461" s="1530"/>
      <c r="DP461" s="1530"/>
    </row>
    <row r="462" spans="1:120">
      <c r="A462" s="1451"/>
      <c r="C462" s="1451"/>
      <c r="K462" s="1451"/>
      <c r="L462" s="1451"/>
      <c r="U462" s="1530"/>
      <c r="V462" s="1530"/>
      <c r="W462" s="1530"/>
      <c r="X462" s="1530"/>
      <c r="Y462" s="1530"/>
      <c r="Z462" s="1530"/>
      <c r="AA462" s="1530"/>
      <c r="AB462" s="1530"/>
      <c r="AC462" s="1530"/>
      <c r="AD462" s="1530"/>
      <c r="AE462" s="1530"/>
      <c r="AF462" s="1530"/>
      <c r="AG462" s="1530"/>
      <c r="AH462" s="1530"/>
      <c r="AI462" s="1530"/>
      <c r="AJ462" s="1530"/>
      <c r="AK462" s="1530"/>
      <c r="AL462" s="1530"/>
      <c r="AM462" s="1530"/>
      <c r="AN462" s="1530"/>
      <c r="AO462" s="1530"/>
      <c r="AP462" s="1530"/>
      <c r="AQ462" s="1530"/>
      <c r="AR462" s="1530"/>
      <c r="AS462" s="1530"/>
      <c r="AT462" s="1530"/>
      <c r="AU462" s="1530"/>
      <c r="AV462" s="1530"/>
      <c r="AW462" s="1530"/>
      <c r="AX462" s="1530"/>
      <c r="AY462" s="1530"/>
      <c r="AZ462" s="1530"/>
      <c r="BA462" s="1530"/>
      <c r="BB462" s="1530"/>
      <c r="BC462" s="1530"/>
      <c r="BD462" s="1530"/>
      <c r="BE462" s="1530"/>
      <c r="BF462" s="1530"/>
      <c r="BG462" s="1530"/>
      <c r="BH462" s="1530"/>
      <c r="BI462" s="1530"/>
      <c r="BJ462" s="1530"/>
      <c r="BK462" s="1530"/>
      <c r="BL462" s="1530"/>
      <c r="BM462" s="1530"/>
      <c r="BN462" s="1530"/>
      <c r="BW462" s="1569"/>
      <c r="CO462" s="1530"/>
      <c r="CP462" s="1530"/>
      <c r="CQ462" s="1530"/>
      <c r="CR462" s="1530"/>
      <c r="CS462" s="1530"/>
      <c r="CT462" s="1530"/>
      <c r="CU462" s="1530"/>
      <c r="CV462" s="1530"/>
      <c r="CW462" s="1530"/>
      <c r="CX462" s="1530"/>
      <c r="CY462" s="1530"/>
      <c r="CZ462" s="1530"/>
      <c r="DA462" s="1530"/>
      <c r="DB462" s="1530"/>
      <c r="DC462" s="1530"/>
      <c r="DD462" s="1530"/>
      <c r="DE462" s="1530"/>
      <c r="DF462" s="1530"/>
      <c r="DG462" s="1530"/>
      <c r="DH462" s="1530"/>
      <c r="DI462" s="1530"/>
      <c r="DJ462" s="1530"/>
      <c r="DK462" s="1530"/>
      <c r="DL462" s="1530"/>
      <c r="DM462" s="1530"/>
      <c r="DN462" s="1571"/>
      <c r="DO462" s="1530"/>
      <c r="DP462" s="1530"/>
    </row>
    <row r="463" spans="1:120">
      <c r="A463" s="1451"/>
      <c r="C463" s="1451"/>
      <c r="K463" s="1451"/>
      <c r="L463" s="1451"/>
      <c r="U463" s="1530"/>
      <c r="V463" s="1530"/>
      <c r="W463" s="1530"/>
      <c r="X463" s="1530"/>
      <c r="Y463" s="1530"/>
      <c r="Z463" s="1530"/>
      <c r="AA463" s="1530"/>
      <c r="AB463" s="1530"/>
      <c r="AC463" s="1530"/>
      <c r="AD463" s="1530"/>
      <c r="AE463" s="1530"/>
      <c r="AF463" s="1530"/>
      <c r="AG463" s="1530"/>
      <c r="AH463" s="1530"/>
      <c r="AI463" s="1530"/>
      <c r="AJ463" s="1530"/>
      <c r="AK463" s="1530"/>
      <c r="AL463" s="1530"/>
      <c r="AM463" s="1530"/>
      <c r="AN463" s="1530"/>
      <c r="AO463" s="1530"/>
      <c r="AP463" s="1530"/>
      <c r="AQ463" s="1530"/>
      <c r="AR463" s="1530"/>
      <c r="AS463" s="1530"/>
      <c r="AT463" s="1530"/>
      <c r="AU463" s="1530"/>
      <c r="AV463" s="1530"/>
      <c r="AW463" s="1530"/>
      <c r="AX463" s="1530"/>
      <c r="AY463" s="1530"/>
      <c r="AZ463" s="1530"/>
      <c r="BA463" s="1530"/>
      <c r="BB463" s="1530"/>
      <c r="BC463" s="1530"/>
      <c r="BD463" s="1530"/>
      <c r="BE463" s="1530"/>
      <c r="BF463" s="1530"/>
      <c r="BG463" s="1530"/>
      <c r="BH463" s="1530"/>
      <c r="BI463" s="1530"/>
      <c r="BJ463" s="1530"/>
      <c r="BK463" s="1530"/>
      <c r="BL463" s="1530"/>
      <c r="BM463" s="1530"/>
      <c r="BN463" s="1530"/>
      <c r="BW463" s="1569"/>
      <c r="CO463" s="1530"/>
      <c r="CP463" s="1530"/>
      <c r="CQ463" s="1530"/>
      <c r="CR463" s="1530"/>
      <c r="CS463" s="1530"/>
      <c r="CT463" s="1530"/>
      <c r="CU463" s="1530"/>
      <c r="CV463" s="1530"/>
      <c r="CW463" s="1530"/>
      <c r="CX463" s="1530"/>
      <c r="CY463" s="1530"/>
      <c r="CZ463" s="1530"/>
      <c r="DA463" s="1530"/>
      <c r="DB463" s="1530"/>
      <c r="DC463" s="1530"/>
      <c r="DD463" s="1530"/>
      <c r="DE463" s="1530"/>
      <c r="DF463" s="1530"/>
      <c r="DG463" s="1530"/>
      <c r="DH463" s="1530"/>
      <c r="DI463" s="1530"/>
      <c r="DJ463" s="1530"/>
      <c r="DK463" s="1530"/>
      <c r="DL463" s="1530"/>
      <c r="DM463" s="1530"/>
      <c r="DN463" s="1571"/>
      <c r="DO463" s="1530"/>
      <c r="DP463" s="1530"/>
    </row>
    <row r="464" spans="1:120">
      <c r="A464" s="1451"/>
      <c r="C464" s="1451"/>
      <c r="K464" s="1451"/>
      <c r="L464" s="1451"/>
      <c r="U464" s="1530"/>
      <c r="V464" s="1530"/>
      <c r="W464" s="1530"/>
      <c r="X464" s="1530"/>
      <c r="Y464" s="1530"/>
      <c r="Z464" s="1530"/>
      <c r="AA464" s="1530"/>
      <c r="AB464" s="1530"/>
      <c r="AC464" s="1530"/>
      <c r="AD464" s="1530"/>
      <c r="AE464" s="1530"/>
      <c r="AF464" s="1530"/>
      <c r="AG464" s="1530"/>
      <c r="AH464" s="1530"/>
      <c r="AI464" s="1530"/>
      <c r="AJ464" s="1530"/>
      <c r="AK464" s="1530"/>
      <c r="AL464" s="1530"/>
      <c r="AM464" s="1530"/>
      <c r="AN464" s="1530"/>
      <c r="AO464" s="1530"/>
      <c r="AP464" s="1530"/>
      <c r="AQ464" s="1530"/>
      <c r="AR464" s="1530"/>
      <c r="AS464" s="1530"/>
      <c r="AT464" s="1530"/>
      <c r="AU464" s="1530"/>
      <c r="AV464" s="1530"/>
      <c r="AW464" s="1530"/>
      <c r="AX464" s="1530"/>
      <c r="AY464" s="1530"/>
      <c r="AZ464" s="1530"/>
      <c r="BA464" s="1530"/>
      <c r="BB464" s="1530"/>
      <c r="BC464" s="1530"/>
      <c r="BD464" s="1530"/>
      <c r="BE464" s="1530"/>
      <c r="BF464" s="1530"/>
      <c r="BG464" s="1530"/>
      <c r="BH464" s="1530"/>
      <c r="BI464" s="1530"/>
      <c r="BJ464" s="1530"/>
      <c r="BK464" s="1530"/>
      <c r="BL464" s="1530"/>
      <c r="BM464" s="1530"/>
      <c r="BN464" s="1530"/>
      <c r="BW464" s="1569"/>
      <c r="CO464" s="1530"/>
      <c r="CP464" s="1530"/>
      <c r="CQ464" s="1530"/>
      <c r="CR464" s="1530"/>
      <c r="CS464" s="1530"/>
      <c r="CT464" s="1530"/>
      <c r="CU464" s="1530"/>
      <c r="CV464" s="1530"/>
      <c r="CW464" s="1530"/>
      <c r="CX464" s="1530"/>
      <c r="CY464" s="1530"/>
      <c r="CZ464" s="1530"/>
      <c r="DA464" s="1530"/>
      <c r="DB464" s="1530"/>
      <c r="DC464" s="1530"/>
      <c r="DD464" s="1530"/>
      <c r="DE464" s="1530"/>
      <c r="DF464" s="1530"/>
      <c r="DG464" s="1530"/>
      <c r="DH464" s="1530"/>
      <c r="DI464" s="1530"/>
      <c r="DJ464" s="1530"/>
      <c r="DK464" s="1530"/>
      <c r="DL464" s="1530"/>
      <c r="DM464" s="1530"/>
      <c r="DN464" s="1571"/>
      <c r="DO464" s="1530"/>
      <c r="DP464" s="1530"/>
    </row>
    <row r="465" spans="1:120">
      <c r="A465" s="1451"/>
      <c r="C465" s="1451"/>
      <c r="K465" s="1451"/>
      <c r="L465" s="1451"/>
      <c r="U465" s="1530"/>
      <c r="V465" s="1530"/>
      <c r="W465" s="1530"/>
      <c r="X465" s="1530"/>
      <c r="Y465" s="1530"/>
      <c r="Z465" s="1530"/>
      <c r="AA465" s="1530"/>
      <c r="AB465" s="1530"/>
      <c r="AC465" s="1530"/>
      <c r="AD465" s="1530"/>
      <c r="AE465" s="1530"/>
      <c r="AF465" s="1530"/>
      <c r="AG465" s="1530"/>
      <c r="AH465" s="1530"/>
      <c r="AI465" s="1530"/>
      <c r="AJ465" s="1530"/>
      <c r="AK465" s="1530"/>
      <c r="AL465" s="1530"/>
      <c r="AM465" s="1530"/>
      <c r="AN465" s="1530"/>
      <c r="AO465" s="1530"/>
      <c r="AP465" s="1530"/>
      <c r="AQ465" s="1530"/>
      <c r="AR465" s="1530"/>
      <c r="AS465" s="1530"/>
      <c r="AT465" s="1530"/>
      <c r="AU465" s="1530"/>
      <c r="AV465" s="1530"/>
      <c r="AW465" s="1530"/>
      <c r="AX465" s="1530"/>
      <c r="AY465" s="1530"/>
      <c r="AZ465" s="1530"/>
      <c r="BA465" s="1530"/>
      <c r="BB465" s="1530"/>
      <c r="BC465" s="1530"/>
      <c r="BD465" s="1530"/>
      <c r="BE465" s="1530"/>
      <c r="BF465" s="1530"/>
      <c r="BG465" s="1530"/>
      <c r="BH465" s="1530"/>
      <c r="BI465" s="1530"/>
      <c r="BJ465" s="1530"/>
      <c r="BK465" s="1530"/>
      <c r="BL465" s="1530"/>
      <c r="BM465" s="1530"/>
      <c r="BN465" s="1530"/>
      <c r="BW465" s="1569"/>
      <c r="CO465" s="1530"/>
      <c r="CP465" s="1530"/>
      <c r="CQ465" s="1530"/>
      <c r="CR465" s="1530"/>
      <c r="CS465" s="1530"/>
      <c r="CT465" s="1530"/>
      <c r="CU465" s="1530"/>
      <c r="CV465" s="1530"/>
      <c r="CW465" s="1530"/>
      <c r="CX465" s="1530"/>
      <c r="CY465" s="1530"/>
      <c r="CZ465" s="1530"/>
      <c r="DA465" s="1530"/>
      <c r="DB465" s="1530"/>
      <c r="DC465" s="1530"/>
      <c r="DD465" s="1530"/>
      <c r="DE465" s="1530"/>
      <c r="DF465" s="1530"/>
      <c r="DG465" s="1530"/>
      <c r="DH465" s="1530"/>
      <c r="DI465" s="1530"/>
      <c r="DJ465" s="1530"/>
      <c r="DK465" s="1530"/>
      <c r="DL465" s="1530"/>
      <c r="DM465" s="1530"/>
      <c r="DN465" s="1571"/>
      <c r="DO465" s="1530"/>
      <c r="DP465" s="1530"/>
    </row>
    <row r="466" spans="1:120">
      <c r="A466" s="1451"/>
      <c r="C466" s="1451"/>
      <c r="K466" s="1451"/>
      <c r="L466" s="1451"/>
      <c r="U466" s="1530"/>
      <c r="V466" s="1530"/>
      <c r="W466" s="1530"/>
      <c r="X466" s="1530"/>
      <c r="Y466" s="1530"/>
      <c r="Z466" s="1530"/>
      <c r="AA466" s="1530"/>
      <c r="AB466" s="1530"/>
      <c r="AC466" s="1530"/>
      <c r="AD466" s="1530"/>
      <c r="AE466" s="1530"/>
      <c r="AF466" s="1530"/>
      <c r="AG466" s="1530"/>
      <c r="AH466" s="1530"/>
      <c r="AI466" s="1530"/>
      <c r="AJ466" s="1530"/>
      <c r="AK466" s="1530"/>
      <c r="AL466" s="1530"/>
      <c r="AM466" s="1530"/>
      <c r="AN466" s="1530"/>
      <c r="AO466" s="1530"/>
      <c r="AP466" s="1530"/>
      <c r="AQ466" s="1530"/>
      <c r="AR466" s="1530"/>
      <c r="AS466" s="1530"/>
      <c r="AT466" s="1530"/>
      <c r="AU466" s="1530"/>
      <c r="AV466" s="1530"/>
      <c r="AW466" s="1530"/>
      <c r="AX466" s="1530"/>
      <c r="AY466" s="1530"/>
      <c r="AZ466" s="1530"/>
      <c r="BA466" s="1530"/>
      <c r="BB466" s="1530"/>
      <c r="BC466" s="1530"/>
      <c r="BD466" s="1530"/>
      <c r="BE466" s="1530"/>
      <c r="BF466" s="1530"/>
      <c r="BG466" s="1530"/>
      <c r="BH466" s="1530"/>
      <c r="BI466" s="1530"/>
      <c r="BJ466" s="1530"/>
      <c r="BK466" s="1530"/>
      <c r="BL466" s="1530"/>
      <c r="BM466" s="1530"/>
      <c r="BN466" s="1530"/>
      <c r="BW466" s="1569"/>
      <c r="CO466" s="1530"/>
      <c r="CP466" s="1530"/>
      <c r="CQ466" s="1530"/>
      <c r="CR466" s="1530"/>
      <c r="CS466" s="1530"/>
      <c r="CT466" s="1530"/>
      <c r="CU466" s="1530"/>
      <c r="CV466" s="1530"/>
      <c r="CW466" s="1530"/>
      <c r="CX466" s="1530"/>
      <c r="CY466" s="1530"/>
      <c r="CZ466" s="1530"/>
      <c r="DA466" s="1530"/>
      <c r="DB466" s="1530"/>
      <c r="DC466" s="1530"/>
      <c r="DD466" s="1530"/>
      <c r="DE466" s="1530"/>
      <c r="DF466" s="1530"/>
      <c r="DG466" s="1530"/>
      <c r="DH466" s="1530"/>
      <c r="DI466" s="1530"/>
      <c r="DJ466" s="1530"/>
      <c r="DK466" s="1530"/>
      <c r="DL466" s="1530"/>
      <c r="DM466" s="1530"/>
      <c r="DN466" s="1571"/>
      <c r="DO466" s="1530"/>
      <c r="DP466" s="1530"/>
    </row>
    <row r="467" spans="1:120">
      <c r="A467" s="1451"/>
      <c r="C467" s="1451"/>
      <c r="K467" s="1451"/>
      <c r="L467" s="1451"/>
      <c r="U467" s="1530"/>
      <c r="V467" s="1530"/>
      <c r="W467" s="1530"/>
      <c r="X467" s="1530"/>
      <c r="Y467" s="1530"/>
      <c r="Z467" s="1530"/>
      <c r="AA467" s="1530"/>
      <c r="AB467" s="1530"/>
      <c r="AC467" s="1530"/>
      <c r="AD467" s="1530"/>
      <c r="AE467" s="1530"/>
      <c r="AF467" s="1530"/>
      <c r="AG467" s="1530"/>
      <c r="AH467" s="1530"/>
      <c r="AI467" s="1530"/>
      <c r="AJ467" s="1530"/>
      <c r="AK467" s="1530"/>
      <c r="AL467" s="1530"/>
      <c r="AM467" s="1530"/>
      <c r="AN467" s="1530"/>
      <c r="AO467" s="1530"/>
      <c r="AP467" s="1530"/>
      <c r="AQ467" s="1530"/>
      <c r="AR467" s="1530"/>
      <c r="AS467" s="1530"/>
      <c r="AT467" s="1530"/>
      <c r="AU467" s="1530"/>
      <c r="AV467" s="1530"/>
      <c r="AW467" s="1530"/>
      <c r="AX467" s="1530"/>
      <c r="AY467" s="1530"/>
      <c r="AZ467" s="1530"/>
      <c r="BA467" s="1530"/>
      <c r="BB467" s="1530"/>
      <c r="BC467" s="1530"/>
      <c r="BD467" s="1530"/>
      <c r="BE467" s="1530"/>
      <c r="BF467" s="1530"/>
      <c r="BG467" s="1530"/>
      <c r="BH467" s="1530"/>
      <c r="BI467" s="1530"/>
      <c r="BJ467" s="1530"/>
      <c r="BK467" s="1530"/>
      <c r="BL467" s="1530"/>
      <c r="BM467" s="1530"/>
      <c r="BN467" s="1530"/>
      <c r="BW467" s="1569"/>
      <c r="CO467" s="1530"/>
      <c r="CP467" s="1530"/>
      <c r="CQ467" s="1530"/>
      <c r="CR467" s="1530"/>
      <c r="CS467" s="1530"/>
      <c r="CT467" s="1530"/>
      <c r="CU467" s="1530"/>
      <c r="CV467" s="1530"/>
      <c r="CW467" s="1530"/>
      <c r="CX467" s="1530"/>
      <c r="CY467" s="1530"/>
      <c r="CZ467" s="1530"/>
      <c r="DA467" s="1530"/>
      <c r="DB467" s="1530"/>
      <c r="DC467" s="1530"/>
      <c r="DD467" s="1530"/>
      <c r="DE467" s="1530"/>
      <c r="DF467" s="1530"/>
      <c r="DG467" s="1530"/>
      <c r="DH467" s="1530"/>
      <c r="DI467" s="1530"/>
      <c r="DJ467" s="1530"/>
      <c r="DK467" s="1530"/>
      <c r="DL467" s="1530"/>
      <c r="DM467" s="1530"/>
      <c r="DN467" s="1571"/>
      <c r="DO467" s="1530"/>
      <c r="DP467" s="1530"/>
    </row>
    <row r="468" spans="1:120">
      <c r="A468" s="1451"/>
      <c r="C468" s="1451"/>
      <c r="K468" s="1451"/>
      <c r="L468" s="1451"/>
      <c r="U468" s="1530"/>
      <c r="V468" s="1530"/>
      <c r="W468" s="1530"/>
      <c r="X468" s="1530"/>
      <c r="Y468" s="1530"/>
      <c r="Z468" s="1530"/>
      <c r="AA468" s="1530"/>
      <c r="AB468" s="1530"/>
      <c r="AC468" s="1530"/>
      <c r="AD468" s="1530"/>
      <c r="AE468" s="1530"/>
      <c r="AF468" s="1530"/>
      <c r="AG468" s="1530"/>
      <c r="AH468" s="1530"/>
      <c r="AI468" s="1530"/>
      <c r="AJ468" s="1530"/>
      <c r="AK468" s="1530"/>
      <c r="AL468" s="1530"/>
      <c r="AM468" s="1530"/>
      <c r="AN468" s="1530"/>
      <c r="AO468" s="1530"/>
      <c r="AP468" s="1530"/>
      <c r="AQ468" s="1530"/>
      <c r="AR468" s="1530"/>
      <c r="AS468" s="1530"/>
      <c r="AT468" s="1530"/>
      <c r="AU468" s="1530"/>
      <c r="AV468" s="1530"/>
      <c r="AW468" s="1530"/>
      <c r="AX468" s="1530"/>
      <c r="AY468" s="1530"/>
      <c r="AZ468" s="1530"/>
      <c r="BA468" s="1530"/>
      <c r="BB468" s="1530"/>
      <c r="BC468" s="1530"/>
      <c r="BD468" s="1530"/>
      <c r="BE468" s="1530"/>
      <c r="BF468" s="1530"/>
      <c r="BG468" s="1530"/>
      <c r="BH468" s="1530"/>
      <c r="BI468" s="1530"/>
      <c r="BJ468" s="1530"/>
      <c r="BK468" s="1530"/>
      <c r="BL468" s="1530"/>
      <c r="BM468" s="1530"/>
      <c r="BN468" s="1530"/>
      <c r="BW468" s="1569"/>
      <c r="CO468" s="1530"/>
      <c r="CP468" s="1530"/>
      <c r="CQ468" s="1530"/>
      <c r="CR468" s="1530"/>
      <c r="CS468" s="1530"/>
      <c r="CT468" s="1530"/>
      <c r="CU468" s="1530"/>
      <c r="CV468" s="1530"/>
      <c r="CW468" s="1530"/>
      <c r="CX468" s="1530"/>
      <c r="CY468" s="1530"/>
      <c r="CZ468" s="1530"/>
      <c r="DA468" s="1530"/>
      <c r="DB468" s="1530"/>
      <c r="DC468" s="1530"/>
      <c r="DD468" s="1530"/>
      <c r="DE468" s="1530"/>
      <c r="DF468" s="1530"/>
      <c r="DG468" s="1530"/>
      <c r="DH468" s="1530"/>
      <c r="DI468" s="1530"/>
      <c r="DJ468" s="1530"/>
      <c r="DK468" s="1530"/>
      <c r="DL468" s="1530"/>
      <c r="DM468" s="1530"/>
      <c r="DN468" s="1571"/>
      <c r="DO468" s="1530"/>
      <c r="DP468" s="1530"/>
    </row>
    <row r="469" spans="1:120">
      <c r="A469" s="1451"/>
      <c r="C469" s="1451"/>
      <c r="K469" s="1451"/>
      <c r="L469" s="1451"/>
      <c r="U469" s="1530"/>
      <c r="V469" s="1530"/>
      <c r="W469" s="1530"/>
      <c r="X469" s="1530"/>
      <c r="Y469" s="1530"/>
      <c r="Z469" s="1530"/>
      <c r="AA469" s="1530"/>
      <c r="AB469" s="1530"/>
      <c r="AC469" s="1530"/>
      <c r="AD469" s="1530"/>
      <c r="AE469" s="1530"/>
      <c r="AF469" s="1530"/>
      <c r="AG469" s="1530"/>
      <c r="AH469" s="1530"/>
      <c r="AI469" s="1530"/>
      <c r="AJ469" s="1530"/>
      <c r="AK469" s="1530"/>
      <c r="AL469" s="1530"/>
      <c r="AM469" s="1530"/>
      <c r="AN469" s="1530"/>
      <c r="AO469" s="1530"/>
      <c r="AP469" s="1530"/>
      <c r="AQ469" s="1530"/>
      <c r="AR469" s="1530"/>
      <c r="AS469" s="1530"/>
      <c r="AT469" s="1530"/>
      <c r="AU469" s="1530"/>
      <c r="AV469" s="1530"/>
      <c r="AW469" s="1530"/>
      <c r="AX469" s="1530"/>
      <c r="AY469" s="1530"/>
      <c r="AZ469" s="1530"/>
      <c r="BA469" s="1530"/>
      <c r="BB469" s="1530"/>
      <c r="BC469" s="1530"/>
      <c r="BD469" s="1530"/>
      <c r="BE469" s="1530"/>
      <c r="BF469" s="1530"/>
      <c r="BG469" s="1530"/>
      <c r="BH469" s="1530"/>
      <c r="BI469" s="1530"/>
      <c r="BJ469" s="1530"/>
      <c r="BK469" s="1530"/>
      <c r="BL469" s="1530"/>
      <c r="BM469" s="1530"/>
      <c r="BN469" s="1530"/>
      <c r="BW469" s="1569"/>
      <c r="CO469" s="1530"/>
      <c r="CP469" s="1530"/>
      <c r="CQ469" s="1530"/>
      <c r="CR469" s="1530"/>
      <c r="CS469" s="1530"/>
      <c r="CT469" s="1530"/>
      <c r="CU469" s="1530"/>
      <c r="CV469" s="1530"/>
      <c r="CW469" s="1530"/>
      <c r="CX469" s="1530"/>
      <c r="CY469" s="1530"/>
      <c r="CZ469" s="1530"/>
      <c r="DA469" s="1530"/>
      <c r="DB469" s="1530"/>
      <c r="DC469" s="1530"/>
      <c r="DD469" s="1530"/>
      <c r="DE469" s="1530"/>
      <c r="DF469" s="1530"/>
      <c r="DG469" s="1530"/>
      <c r="DH469" s="1530"/>
      <c r="DI469" s="1530"/>
      <c r="DJ469" s="1530"/>
      <c r="DK469" s="1530"/>
      <c r="DL469" s="1530"/>
      <c r="DM469" s="1530"/>
      <c r="DN469" s="1571"/>
      <c r="DO469" s="1530"/>
      <c r="DP469" s="1530"/>
    </row>
    <row r="470" spans="1:120">
      <c r="A470" s="1451"/>
      <c r="C470" s="1451"/>
      <c r="K470" s="1451"/>
      <c r="L470" s="1451"/>
      <c r="U470" s="1530"/>
      <c r="V470" s="1530"/>
      <c r="W470" s="1530"/>
      <c r="X470" s="1530"/>
      <c r="Y470" s="1530"/>
      <c r="Z470" s="1530"/>
      <c r="AA470" s="1530"/>
      <c r="AB470" s="1530"/>
      <c r="AC470" s="1530"/>
      <c r="AD470" s="1530"/>
      <c r="AE470" s="1530"/>
      <c r="AF470" s="1530"/>
      <c r="AG470" s="1530"/>
      <c r="AH470" s="1530"/>
      <c r="AI470" s="1530"/>
      <c r="AJ470" s="1530"/>
      <c r="AK470" s="1530"/>
      <c r="AL470" s="1530"/>
      <c r="AM470" s="1530"/>
      <c r="AN470" s="1530"/>
      <c r="AO470" s="1530"/>
      <c r="AP470" s="1530"/>
      <c r="AQ470" s="1530"/>
      <c r="AR470" s="1530"/>
      <c r="AS470" s="1530"/>
      <c r="AT470" s="1530"/>
      <c r="AU470" s="1530"/>
      <c r="AV470" s="1530"/>
      <c r="AW470" s="1530"/>
      <c r="AX470" s="1530"/>
      <c r="AY470" s="1530"/>
      <c r="AZ470" s="1530"/>
      <c r="BA470" s="1530"/>
      <c r="BB470" s="1530"/>
      <c r="BC470" s="1530"/>
      <c r="BD470" s="1530"/>
      <c r="BE470" s="1530"/>
      <c r="BF470" s="1530"/>
      <c r="BG470" s="1530"/>
      <c r="BH470" s="1530"/>
      <c r="BI470" s="1530"/>
      <c r="BJ470" s="1530"/>
      <c r="BK470" s="1530"/>
      <c r="BL470" s="1530"/>
      <c r="BM470" s="1530"/>
      <c r="BN470" s="1530"/>
      <c r="BW470" s="1569"/>
      <c r="CO470" s="1530"/>
      <c r="CP470" s="1530"/>
      <c r="CQ470" s="1530"/>
      <c r="CR470" s="1530"/>
      <c r="CS470" s="1530"/>
      <c r="CT470" s="1530"/>
      <c r="CU470" s="1530"/>
      <c r="CV470" s="1530"/>
      <c r="CW470" s="1530"/>
      <c r="CX470" s="1530"/>
      <c r="CY470" s="1530"/>
      <c r="CZ470" s="1530"/>
      <c r="DA470" s="1530"/>
      <c r="DB470" s="1530"/>
      <c r="DC470" s="1530"/>
      <c r="DD470" s="1530"/>
      <c r="DE470" s="1530"/>
      <c r="DF470" s="1530"/>
      <c r="DG470" s="1530"/>
      <c r="DH470" s="1530"/>
      <c r="DI470" s="1530"/>
      <c r="DJ470" s="1530"/>
      <c r="DK470" s="1530"/>
      <c r="DL470" s="1530"/>
      <c r="DM470" s="1530"/>
      <c r="DN470" s="1571"/>
      <c r="DO470" s="1530"/>
      <c r="DP470" s="1530"/>
    </row>
    <row r="471" spans="1:120">
      <c r="A471" s="1451"/>
      <c r="C471" s="1451"/>
      <c r="K471" s="1451"/>
      <c r="L471" s="1451"/>
      <c r="U471" s="1530"/>
      <c r="V471" s="1530"/>
      <c r="W471" s="1530"/>
      <c r="X471" s="1530"/>
      <c r="Y471" s="1530"/>
      <c r="Z471" s="1530"/>
      <c r="AA471" s="1530"/>
      <c r="AB471" s="1530"/>
      <c r="AC471" s="1530"/>
      <c r="AD471" s="1530"/>
      <c r="AE471" s="1530"/>
      <c r="AF471" s="1530"/>
      <c r="AG471" s="1530"/>
      <c r="AH471" s="1530"/>
      <c r="AI471" s="1530"/>
      <c r="AJ471" s="1530"/>
      <c r="AK471" s="1530"/>
      <c r="AL471" s="1530"/>
      <c r="AM471" s="1530"/>
      <c r="AN471" s="1530"/>
      <c r="AO471" s="1530"/>
      <c r="AP471" s="1530"/>
      <c r="AQ471" s="1530"/>
      <c r="AR471" s="1530"/>
      <c r="AS471" s="1530"/>
      <c r="AT471" s="1530"/>
      <c r="AU471" s="1530"/>
      <c r="AV471" s="1530"/>
      <c r="AW471" s="1530"/>
      <c r="AX471" s="1530"/>
      <c r="AY471" s="1530"/>
      <c r="AZ471" s="1530"/>
      <c r="BA471" s="1530"/>
      <c r="BB471" s="1530"/>
      <c r="BC471" s="1530"/>
      <c r="BD471" s="1530"/>
      <c r="BE471" s="1530"/>
      <c r="BF471" s="1530"/>
      <c r="BG471" s="1530"/>
      <c r="BH471" s="1530"/>
      <c r="BI471" s="1530"/>
      <c r="BJ471" s="1530"/>
      <c r="BK471" s="1530"/>
      <c r="BL471" s="1530"/>
      <c r="BM471" s="1530"/>
      <c r="BN471" s="1530"/>
      <c r="BW471" s="1569"/>
      <c r="CO471" s="1530"/>
      <c r="CP471" s="1530"/>
      <c r="CQ471" s="1530"/>
      <c r="CR471" s="1530"/>
      <c r="CS471" s="1530"/>
      <c r="CT471" s="1530"/>
      <c r="CU471" s="1530"/>
      <c r="CV471" s="1530"/>
      <c r="CW471" s="1530"/>
      <c r="CX471" s="1530"/>
      <c r="CY471" s="1530"/>
      <c r="CZ471" s="1530"/>
      <c r="DA471" s="1530"/>
      <c r="DB471" s="1530"/>
      <c r="DC471" s="1530"/>
      <c r="DD471" s="1530"/>
      <c r="DE471" s="1530"/>
      <c r="DF471" s="1530"/>
      <c r="DG471" s="1530"/>
      <c r="DH471" s="1530"/>
      <c r="DI471" s="1530"/>
      <c r="DJ471" s="1530"/>
      <c r="DK471" s="1530"/>
      <c r="DL471" s="1530"/>
      <c r="DM471" s="1530"/>
      <c r="DN471" s="1571"/>
      <c r="DO471" s="1530"/>
      <c r="DP471" s="1530"/>
    </row>
    <row r="472" spans="1:120">
      <c r="A472" s="1451"/>
      <c r="C472" s="1451"/>
      <c r="K472" s="1451"/>
      <c r="L472" s="1451"/>
      <c r="U472" s="1530"/>
      <c r="V472" s="1530"/>
      <c r="W472" s="1530"/>
      <c r="X472" s="1530"/>
      <c r="Y472" s="1530"/>
      <c r="Z472" s="1530"/>
      <c r="AA472" s="1530"/>
      <c r="AB472" s="1530"/>
      <c r="AC472" s="1530"/>
      <c r="AD472" s="1530"/>
      <c r="AE472" s="1530"/>
      <c r="AF472" s="1530"/>
      <c r="AG472" s="1530"/>
      <c r="AH472" s="1530"/>
      <c r="AI472" s="1530"/>
      <c r="AJ472" s="1530"/>
      <c r="AK472" s="1530"/>
      <c r="AL472" s="1530"/>
      <c r="AM472" s="1530"/>
      <c r="AN472" s="1530"/>
      <c r="AO472" s="1530"/>
      <c r="AP472" s="1530"/>
      <c r="AQ472" s="1530"/>
      <c r="AR472" s="1530"/>
      <c r="AS472" s="1530"/>
      <c r="AT472" s="1530"/>
      <c r="AU472" s="1530"/>
      <c r="AV472" s="1530"/>
      <c r="AW472" s="1530"/>
      <c r="AX472" s="1530"/>
      <c r="AY472" s="1530"/>
      <c r="AZ472" s="1530"/>
      <c r="BA472" s="1530"/>
      <c r="BB472" s="1530"/>
      <c r="BC472" s="1530"/>
      <c r="BD472" s="1530"/>
      <c r="BE472" s="1530"/>
      <c r="BF472" s="1530"/>
      <c r="BG472" s="1530"/>
      <c r="BH472" s="1530"/>
      <c r="BI472" s="1530"/>
      <c r="BJ472" s="1530"/>
      <c r="BK472" s="1530"/>
      <c r="BL472" s="1530"/>
      <c r="BM472" s="1530"/>
      <c r="BN472" s="1530"/>
      <c r="BW472" s="1569"/>
      <c r="CO472" s="1530"/>
      <c r="CP472" s="1530"/>
      <c r="CQ472" s="1530"/>
      <c r="CR472" s="1530"/>
      <c r="CS472" s="1530"/>
      <c r="CT472" s="1530"/>
      <c r="CU472" s="1530"/>
      <c r="CV472" s="1530"/>
      <c r="CW472" s="1530"/>
      <c r="CX472" s="1530"/>
      <c r="CY472" s="1530"/>
      <c r="CZ472" s="1530"/>
      <c r="DA472" s="1530"/>
      <c r="DB472" s="1530"/>
      <c r="DC472" s="1530"/>
      <c r="DD472" s="1530"/>
      <c r="DE472" s="1530"/>
      <c r="DF472" s="1530"/>
      <c r="DG472" s="1530"/>
      <c r="DH472" s="1530"/>
      <c r="DI472" s="1530"/>
      <c r="DJ472" s="1530"/>
      <c r="DK472" s="1530"/>
      <c r="DL472" s="1530"/>
      <c r="DM472" s="1530"/>
      <c r="DN472" s="1571"/>
      <c r="DO472" s="1530"/>
      <c r="DP472" s="1530"/>
    </row>
    <row r="473" spans="1:120">
      <c r="A473" s="1451"/>
      <c r="C473" s="1451"/>
      <c r="K473" s="1451"/>
      <c r="L473" s="1451"/>
      <c r="U473" s="1530"/>
      <c r="V473" s="1530"/>
      <c r="W473" s="1530"/>
      <c r="X473" s="1530"/>
      <c r="Y473" s="1530"/>
      <c r="Z473" s="1530"/>
      <c r="AA473" s="1530"/>
      <c r="AB473" s="1530"/>
      <c r="AC473" s="1530"/>
      <c r="AD473" s="1530"/>
      <c r="AE473" s="1530"/>
      <c r="AF473" s="1530"/>
      <c r="AG473" s="1530"/>
      <c r="AH473" s="1530"/>
      <c r="AI473" s="1530"/>
      <c r="AJ473" s="1530"/>
      <c r="AK473" s="1530"/>
      <c r="AL473" s="1530"/>
      <c r="AM473" s="1530"/>
      <c r="AN473" s="1530"/>
      <c r="AO473" s="1530"/>
      <c r="AP473" s="1530"/>
      <c r="AQ473" s="1530"/>
      <c r="AR473" s="1530"/>
      <c r="AS473" s="1530"/>
      <c r="AT473" s="1530"/>
      <c r="AU473" s="1530"/>
      <c r="AV473" s="1530"/>
      <c r="AW473" s="1530"/>
      <c r="AX473" s="1530"/>
      <c r="AY473" s="1530"/>
      <c r="AZ473" s="1530"/>
      <c r="BA473" s="1530"/>
      <c r="BB473" s="1530"/>
      <c r="BC473" s="1530"/>
      <c r="BD473" s="1530"/>
      <c r="BE473" s="1530"/>
      <c r="BF473" s="1530"/>
      <c r="BG473" s="1530"/>
      <c r="BH473" s="1530"/>
      <c r="BI473" s="1530"/>
      <c r="BJ473" s="1530"/>
      <c r="BK473" s="1530"/>
      <c r="BL473" s="1530"/>
      <c r="BM473" s="1530"/>
      <c r="BN473" s="1530"/>
      <c r="BW473" s="1569"/>
      <c r="CO473" s="1530"/>
      <c r="CP473" s="1530"/>
      <c r="CQ473" s="1530"/>
      <c r="CR473" s="1530"/>
      <c r="CS473" s="1530"/>
      <c r="CT473" s="1530"/>
      <c r="CU473" s="1530"/>
      <c r="CV473" s="1530"/>
      <c r="CW473" s="1530"/>
      <c r="CX473" s="1530"/>
      <c r="CY473" s="1530"/>
      <c r="CZ473" s="1530"/>
      <c r="DA473" s="1530"/>
      <c r="DB473" s="1530"/>
      <c r="DC473" s="1530"/>
      <c r="DD473" s="1530"/>
      <c r="DE473" s="1530"/>
      <c r="DF473" s="1530"/>
      <c r="DG473" s="1530"/>
      <c r="DH473" s="1530"/>
      <c r="DI473" s="1530"/>
      <c r="DJ473" s="1530"/>
      <c r="DK473" s="1530"/>
      <c r="DL473" s="1530"/>
      <c r="DM473" s="1530"/>
      <c r="DN473" s="1571"/>
      <c r="DO473" s="1530"/>
      <c r="DP473" s="1530"/>
    </row>
    <row r="474" spans="1:120">
      <c r="A474" s="1451"/>
      <c r="C474" s="1451"/>
      <c r="K474" s="1451"/>
      <c r="L474" s="1451"/>
      <c r="U474" s="1530"/>
      <c r="V474" s="1530"/>
      <c r="W474" s="1530"/>
      <c r="X474" s="1530"/>
      <c r="Y474" s="1530"/>
      <c r="Z474" s="1530"/>
      <c r="AA474" s="1530"/>
      <c r="AB474" s="1530"/>
      <c r="AC474" s="1530"/>
      <c r="AD474" s="1530"/>
      <c r="AE474" s="1530"/>
      <c r="AF474" s="1530"/>
      <c r="AG474" s="1530"/>
      <c r="AH474" s="1530"/>
      <c r="AI474" s="1530"/>
      <c r="AJ474" s="1530"/>
      <c r="AK474" s="1530"/>
      <c r="AL474" s="1530"/>
      <c r="AM474" s="1530"/>
      <c r="AN474" s="1530"/>
      <c r="AO474" s="1530"/>
      <c r="AP474" s="1530"/>
      <c r="AQ474" s="1530"/>
      <c r="AR474" s="1530"/>
      <c r="AS474" s="1530"/>
      <c r="AT474" s="1530"/>
      <c r="AU474" s="1530"/>
      <c r="AV474" s="1530"/>
      <c r="AW474" s="1530"/>
      <c r="AX474" s="1530"/>
      <c r="AY474" s="1530"/>
      <c r="AZ474" s="1530"/>
      <c r="BA474" s="1530"/>
      <c r="BB474" s="1530"/>
      <c r="BC474" s="1530"/>
      <c r="BD474" s="1530"/>
      <c r="BE474" s="1530"/>
      <c r="BF474" s="1530"/>
      <c r="BG474" s="1530"/>
      <c r="BH474" s="1530"/>
      <c r="BI474" s="1530"/>
      <c r="BJ474" s="1530"/>
      <c r="BK474" s="1530"/>
      <c r="BL474" s="1530"/>
      <c r="BM474" s="1530"/>
      <c r="BN474" s="1530"/>
      <c r="BW474" s="1569"/>
      <c r="CO474" s="1530"/>
      <c r="CP474" s="1530"/>
      <c r="CQ474" s="1530"/>
      <c r="CR474" s="1530"/>
      <c r="CS474" s="1530"/>
      <c r="CT474" s="1530"/>
      <c r="CU474" s="1530"/>
      <c r="CV474" s="1530"/>
      <c r="CW474" s="1530"/>
      <c r="CX474" s="1530"/>
      <c r="CY474" s="1530"/>
      <c r="CZ474" s="1530"/>
      <c r="DA474" s="1530"/>
      <c r="DB474" s="1530"/>
      <c r="DC474" s="1530"/>
      <c r="DD474" s="1530"/>
      <c r="DE474" s="1530"/>
      <c r="DF474" s="1530"/>
      <c r="DG474" s="1530"/>
      <c r="DH474" s="1530"/>
      <c r="DI474" s="1530"/>
      <c r="DJ474" s="1530"/>
      <c r="DK474" s="1530"/>
      <c r="DL474" s="1530"/>
      <c r="DM474" s="1530"/>
      <c r="DN474" s="1571"/>
      <c r="DO474" s="1530"/>
      <c r="DP474" s="1530"/>
    </row>
    <row r="475" spans="1:120">
      <c r="A475" s="1451"/>
      <c r="C475" s="1451"/>
      <c r="K475" s="1451"/>
      <c r="L475" s="1451"/>
      <c r="U475" s="1530"/>
      <c r="V475" s="1530"/>
      <c r="W475" s="1530"/>
      <c r="X475" s="1530"/>
      <c r="Y475" s="1530"/>
      <c r="Z475" s="1530"/>
      <c r="AA475" s="1530"/>
      <c r="AB475" s="1530"/>
      <c r="AC475" s="1530"/>
      <c r="AD475" s="1530"/>
      <c r="AE475" s="1530"/>
      <c r="AF475" s="1530"/>
      <c r="AG475" s="1530"/>
      <c r="AH475" s="1530"/>
      <c r="AI475" s="1530"/>
      <c r="AJ475" s="1530"/>
      <c r="AK475" s="1530"/>
      <c r="AL475" s="1530"/>
      <c r="AM475" s="1530"/>
      <c r="AN475" s="1530"/>
      <c r="AO475" s="1530"/>
      <c r="AP475" s="1530"/>
      <c r="AQ475" s="1530"/>
      <c r="AR475" s="1530"/>
      <c r="AS475" s="1530"/>
      <c r="AT475" s="1530"/>
      <c r="AU475" s="1530"/>
      <c r="AV475" s="1530"/>
      <c r="AW475" s="1530"/>
      <c r="AX475" s="1530"/>
      <c r="AY475" s="1530"/>
      <c r="AZ475" s="1530"/>
      <c r="BA475" s="1530"/>
      <c r="BB475" s="1530"/>
      <c r="BC475" s="1530"/>
      <c r="BD475" s="1530"/>
      <c r="BE475" s="1530"/>
      <c r="BF475" s="1530"/>
      <c r="BG475" s="1530"/>
      <c r="BH475" s="1530"/>
      <c r="BI475" s="1530"/>
      <c r="BJ475" s="1530"/>
      <c r="BK475" s="1530"/>
      <c r="BL475" s="1530"/>
      <c r="BM475" s="1530"/>
      <c r="BN475" s="1530"/>
      <c r="BW475" s="1569"/>
      <c r="CO475" s="1530"/>
      <c r="CP475" s="1530"/>
      <c r="CQ475" s="1530"/>
      <c r="CR475" s="1530"/>
      <c r="CS475" s="1530"/>
      <c r="CT475" s="1530"/>
      <c r="CU475" s="1530"/>
      <c r="CV475" s="1530"/>
      <c r="CW475" s="1530"/>
      <c r="CX475" s="1530"/>
      <c r="CY475" s="1530"/>
      <c r="CZ475" s="1530"/>
      <c r="DA475" s="1530"/>
      <c r="DB475" s="1530"/>
      <c r="DC475" s="1530"/>
      <c r="DD475" s="1530"/>
      <c r="DE475" s="1530"/>
      <c r="DF475" s="1530"/>
      <c r="DG475" s="1530"/>
      <c r="DH475" s="1530"/>
      <c r="DI475" s="1530"/>
      <c r="DJ475" s="1530"/>
      <c r="DK475" s="1530"/>
      <c r="DL475" s="1530"/>
      <c r="DM475" s="1530"/>
      <c r="DN475" s="1571"/>
      <c r="DO475" s="1530"/>
      <c r="DP475" s="1530"/>
    </row>
    <row r="476" spans="1:120">
      <c r="A476" s="1451"/>
      <c r="C476" s="1451"/>
      <c r="K476" s="1451"/>
      <c r="L476" s="1451"/>
      <c r="U476" s="1530"/>
      <c r="V476" s="1530"/>
      <c r="W476" s="1530"/>
      <c r="X476" s="1530"/>
      <c r="Y476" s="1530"/>
      <c r="Z476" s="1530"/>
      <c r="AA476" s="1530"/>
      <c r="AB476" s="1530"/>
      <c r="AC476" s="1530"/>
      <c r="AD476" s="1530"/>
      <c r="AE476" s="1530"/>
      <c r="AF476" s="1530"/>
      <c r="AG476" s="1530"/>
      <c r="AH476" s="1530"/>
      <c r="AI476" s="1530"/>
      <c r="AJ476" s="1530"/>
      <c r="AK476" s="1530"/>
      <c r="AL476" s="1530"/>
      <c r="AM476" s="1530"/>
      <c r="AN476" s="1530"/>
      <c r="AO476" s="1530"/>
      <c r="AP476" s="1530"/>
      <c r="AQ476" s="1530"/>
      <c r="AR476" s="1530"/>
      <c r="AS476" s="1530"/>
      <c r="AT476" s="1530"/>
      <c r="AU476" s="1530"/>
      <c r="AV476" s="1530"/>
      <c r="AW476" s="1530"/>
      <c r="AX476" s="1530"/>
      <c r="AY476" s="1530"/>
      <c r="AZ476" s="1530"/>
      <c r="BA476" s="1530"/>
      <c r="BB476" s="1530"/>
      <c r="BC476" s="1530"/>
      <c r="BD476" s="1530"/>
      <c r="BE476" s="1530"/>
      <c r="BF476" s="1530"/>
      <c r="BG476" s="1530"/>
      <c r="BH476" s="1530"/>
      <c r="BI476" s="1530"/>
      <c r="BJ476" s="1530"/>
      <c r="BK476" s="1530"/>
      <c r="BL476" s="1530"/>
      <c r="BM476" s="1530"/>
      <c r="BN476" s="1530"/>
      <c r="BW476" s="1569"/>
      <c r="CO476" s="1530"/>
      <c r="CP476" s="1530"/>
      <c r="CQ476" s="1530"/>
      <c r="CR476" s="1530"/>
      <c r="CS476" s="1530"/>
      <c r="CT476" s="1530"/>
      <c r="CU476" s="1530"/>
      <c r="CV476" s="1530"/>
      <c r="CW476" s="1530"/>
      <c r="CX476" s="1530"/>
      <c r="CY476" s="1530"/>
      <c r="CZ476" s="1530"/>
      <c r="DA476" s="1530"/>
      <c r="DB476" s="1530"/>
      <c r="DC476" s="1530"/>
      <c r="DD476" s="1530"/>
      <c r="DE476" s="1530"/>
      <c r="DF476" s="1530"/>
      <c r="DG476" s="1530"/>
      <c r="DH476" s="1530"/>
      <c r="DI476" s="1530"/>
      <c r="DJ476" s="1530"/>
      <c r="DK476" s="1530"/>
      <c r="DL476" s="1530"/>
      <c r="DM476" s="1530"/>
      <c r="DN476" s="1571"/>
      <c r="DO476" s="1530"/>
      <c r="DP476" s="1530"/>
    </row>
    <row r="477" spans="1:120">
      <c r="A477" s="1451"/>
      <c r="C477" s="1451"/>
      <c r="K477" s="1451"/>
      <c r="L477" s="1451"/>
      <c r="U477" s="1530"/>
      <c r="V477" s="1530"/>
      <c r="W477" s="1530"/>
      <c r="X477" s="1530"/>
      <c r="Y477" s="1530"/>
      <c r="Z477" s="1530"/>
      <c r="AA477" s="1530"/>
      <c r="AB477" s="1530"/>
      <c r="AC477" s="1530"/>
      <c r="AD477" s="1530"/>
      <c r="AE477" s="1530"/>
      <c r="AF477" s="1530"/>
      <c r="AG477" s="1530"/>
      <c r="AH477" s="1530"/>
      <c r="AI477" s="1530"/>
      <c r="AJ477" s="1530"/>
      <c r="AK477" s="1530"/>
      <c r="AL477" s="1530"/>
      <c r="AM477" s="1530"/>
      <c r="AN477" s="1530"/>
      <c r="AO477" s="1530"/>
      <c r="AP477" s="1530"/>
      <c r="AQ477" s="1530"/>
      <c r="AR477" s="1530"/>
      <c r="AS477" s="1530"/>
      <c r="AT477" s="1530"/>
      <c r="AU477" s="1530"/>
      <c r="AV477" s="1530"/>
      <c r="AW477" s="1530"/>
      <c r="AX477" s="1530"/>
      <c r="AY477" s="1530"/>
      <c r="AZ477" s="1530"/>
      <c r="BA477" s="1530"/>
      <c r="BB477" s="1530"/>
      <c r="BC477" s="1530"/>
      <c r="BD477" s="1530"/>
      <c r="BE477" s="1530"/>
      <c r="BF477" s="1530"/>
      <c r="BG477" s="1530"/>
      <c r="BH477" s="1530"/>
      <c r="BI477" s="1530"/>
      <c r="BJ477" s="1530"/>
      <c r="BK477" s="1530"/>
      <c r="BL477" s="1530"/>
      <c r="BM477" s="1530"/>
      <c r="BN477" s="1530"/>
      <c r="BW477" s="1569"/>
      <c r="CO477" s="1530"/>
      <c r="CP477" s="1530"/>
      <c r="CQ477" s="1530"/>
      <c r="CR477" s="1530"/>
      <c r="CS477" s="1530"/>
      <c r="CT477" s="1530"/>
      <c r="CU477" s="1530"/>
      <c r="CV477" s="1530"/>
      <c r="CW477" s="1530"/>
      <c r="CX477" s="1530"/>
      <c r="CY477" s="1530"/>
      <c r="CZ477" s="1530"/>
      <c r="DA477" s="1530"/>
      <c r="DB477" s="1530"/>
      <c r="DC477" s="1530"/>
      <c r="DD477" s="1530"/>
      <c r="DE477" s="1530"/>
      <c r="DF477" s="1530"/>
      <c r="DG477" s="1530"/>
      <c r="DH477" s="1530"/>
      <c r="DI477" s="1530"/>
      <c r="DJ477" s="1530"/>
      <c r="DK477" s="1530"/>
      <c r="DL477" s="1530"/>
      <c r="DM477" s="1530"/>
      <c r="DN477" s="1571"/>
      <c r="DO477" s="1530"/>
      <c r="DP477" s="1530"/>
    </row>
    <row r="478" spans="1:120">
      <c r="A478" s="1451"/>
      <c r="C478" s="1451"/>
      <c r="K478" s="1451"/>
      <c r="L478" s="1451"/>
      <c r="U478" s="1530"/>
      <c r="V478" s="1530"/>
      <c r="W478" s="1530"/>
      <c r="X478" s="1530"/>
      <c r="Y478" s="1530"/>
      <c r="Z478" s="1530"/>
      <c r="AA478" s="1530"/>
      <c r="AB478" s="1530"/>
      <c r="AC478" s="1530"/>
      <c r="AD478" s="1530"/>
      <c r="AE478" s="1530"/>
      <c r="AF478" s="1530"/>
      <c r="AG478" s="1530"/>
      <c r="AH478" s="1530"/>
      <c r="AI478" s="1530"/>
      <c r="AJ478" s="1530"/>
      <c r="AK478" s="1530"/>
      <c r="AL478" s="1530"/>
      <c r="AM478" s="1530"/>
      <c r="AN478" s="1530"/>
      <c r="AO478" s="1530"/>
      <c r="AP478" s="1530"/>
      <c r="AQ478" s="1530"/>
      <c r="AR478" s="1530"/>
      <c r="AS478" s="1530"/>
      <c r="AT478" s="1530"/>
      <c r="AU478" s="1530"/>
      <c r="AV478" s="1530"/>
      <c r="AW478" s="1530"/>
      <c r="AX478" s="1530"/>
      <c r="AY478" s="1530"/>
      <c r="AZ478" s="1530"/>
      <c r="BA478" s="1530"/>
      <c r="BB478" s="1530"/>
      <c r="BC478" s="1530"/>
      <c r="BD478" s="1530"/>
      <c r="BE478" s="1530"/>
      <c r="BF478" s="1530"/>
      <c r="BG478" s="1530"/>
      <c r="BH478" s="1530"/>
      <c r="BI478" s="1530"/>
      <c r="BJ478" s="1530"/>
      <c r="BK478" s="1530"/>
      <c r="BL478" s="1530"/>
      <c r="BM478" s="1530"/>
      <c r="BN478" s="1530"/>
      <c r="BW478" s="1569"/>
      <c r="CO478" s="1530"/>
      <c r="CP478" s="1530"/>
      <c r="CQ478" s="1530"/>
      <c r="CR478" s="1530"/>
      <c r="CS478" s="1530"/>
      <c r="CT478" s="1530"/>
      <c r="CU478" s="1530"/>
      <c r="CV478" s="1530"/>
      <c r="CW478" s="1530"/>
      <c r="CX478" s="1530"/>
      <c r="CY478" s="1530"/>
      <c r="CZ478" s="1530"/>
      <c r="DA478" s="1530"/>
      <c r="DB478" s="1530"/>
      <c r="DC478" s="1530"/>
      <c r="DD478" s="1530"/>
      <c r="DE478" s="1530"/>
      <c r="DF478" s="1530"/>
      <c r="DG478" s="1530"/>
      <c r="DH478" s="1530"/>
      <c r="DI478" s="1530"/>
      <c r="DJ478" s="1530"/>
      <c r="DK478" s="1530"/>
      <c r="DL478" s="1530"/>
      <c r="DM478" s="1530"/>
      <c r="DN478" s="1571"/>
      <c r="DO478" s="1530"/>
      <c r="DP478" s="1530"/>
    </row>
    <row r="479" spans="1:120">
      <c r="A479" s="1451"/>
      <c r="C479" s="1451"/>
      <c r="K479" s="1451"/>
      <c r="L479" s="1451"/>
      <c r="U479" s="1530"/>
      <c r="V479" s="1530"/>
      <c r="W479" s="1530"/>
      <c r="X479" s="1530"/>
      <c r="Y479" s="1530"/>
      <c r="Z479" s="1530"/>
      <c r="AA479" s="1530"/>
      <c r="AB479" s="1530"/>
      <c r="AC479" s="1530"/>
      <c r="AD479" s="1530"/>
      <c r="AE479" s="1530"/>
      <c r="AF479" s="1530"/>
      <c r="AG479" s="1530"/>
      <c r="AH479" s="1530"/>
      <c r="AI479" s="1530"/>
      <c r="AJ479" s="1530"/>
      <c r="AK479" s="1530"/>
      <c r="AL479" s="1530"/>
      <c r="AM479" s="1530"/>
      <c r="AN479" s="1530"/>
      <c r="AO479" s="1530"/>
      <c r="AP479" s="1530"/>
      <c r="AQ479" s="1530"/>
      <c r="AR479" s="1530"/>
      <c r="AS479" s="1530"/>
      <c r="AT479" s="1530"/>
      <c r="AU479" s="1530"/>
      <c r="AV479" s="1530"/>
      <c r="AW479" s="1530"/>
      <c r="AX479" s="1530"/>
      <c r="AY479" s="1530"/>
      <c r="AZ479" s="1530"/>
      <c r="BA479" s="1530"/>
      <c r="BB479" s="1530"/>
      <c r="BC479" s="1530"/>
      <c r="BD479" s="1530"/>
      <c r="BE479" s="1530"/>
      <c r="BF479" s="1530"/>
      <c r="BG479" s="1530"/>
      <c r="BH479" s="1530"/>
      <c r="BI479" s="1530"/>
      <c r="BJ479" s="1530"/>
      <c r="BK479" s="1530"/>
      <c r="BL479" s="1530"/>
      <c r="BM479" s="1530"/>
      <c r="BN479" s="1530"/>
      <c r="BW479" s="1569"/>
      <c r="CO479" s="1530"/>
      <c r="CP479" s="1530"/>
      <c r="CQ479" s="1530"/>
      <c r="CR479" s="1530"/>
      <c r="CS479" s="1530"/>
      <c r="CT479" s="1530"/>
      <c r="CU479" s="1530"/>
      <c r="CV479" s="1530"/>
      <c r="CW479" s="1530"/>
      <c r="CX479" s="1530"/>
      <c r="CY479" s="1530"/>
      <c r="CZ479" s="1530"/>
      <c r="DA479" s="1530"/>
      <c r="DB479" s="1530"/>
      <c r="DC479" s="1530"/>
      <c r="DD479" s="1530"/>
      <c r="DE479" s="1530"/>
      <c r="DF479" s="1530"/>
      <c r="DG479" s="1530"/>
      <c r="DH479" s="1530"/>
      <c r="DI479" s="1530"/>
      <c r="DJ479" s="1530"/>
      <c r="DK479" s="1530"/>
      <c r="DL479" s="1530"/>
      <c r="DM479" s="1530"/>
      <c r="DN479" s="1571"/>
      <c r="DO479" s="1530"/>
      <c r="DP479" s="1530"/>
    </row>
    <row r="480" spans="1:120">
      <c r="A480" s="1451"/>
      <c r="C480" s="1451"/>
      <c r="K480" s="1451"/>
      <c r="L480" s="1451"/>
      <c r="U480" s="1530"/>
      <c r="V480" s="1530"/>
      <c r="W480" s="1530"/>
      <c r="X480" s="1530"/>
      <c r="Y480" s="1530"/>
      <c r="Z480" s="1530"/>
      <c r="AA480" s="1530"/>
      <c r="AB480" s="1530"/>
      <c r="AC480" s="1530"/>
      <c r="AD480" s="1530"/>
      <c r="AE480" s="1530"/>
      <c r="AF480" s="1530"/>
      <c r="AG480" s="1530"/>
      <c r="AH480" s="1530"/>
      <c r="AI480" s="1530"/>
      <c r="AJ480" s="1530"/>
      <c r="AK480" s="1530"/>
      <c r="AL480" s="1530"/>
      <c r="AM480" s="1530"/>
      <c r="AN480" s="1530"/>
      <c r="AO480" s="1530"/>
      <c r="AP480" s="1530"/>
      <c r="AQ480" s="1530"/>
      <c r="AR480" s="1530"/>
      <c r="AS480" s="1530"/>
      <c r="AT480" s="1530"/>
      <c r="AU480" s="1530"/>
      <c r="AV480" s="1530"/>
      <c r="AW480" s="1530"/>
      <c r="AX480" s="1530"/>
      <c r="AY480" s="1530"/>
      <c r="AZ480" s="1530"/>
      <c r="BA480" s="1530"/>
      <c r="BB480" s="1530"/>
      <c r="BC480" s="1530"/>
      <c r="BD480" s="1530"/>
      <c r="BE480" s="1530"/>
      <c r="BF480" s="1530"/>
      <c r="BG480" s="1530"/>
      <c r="BH480" s="1530"/>
      <c r="BI480" s="1530"/>
      <c r="BJ480" s="1530"/>
      <c r="BK480" s="1530"/>
      <c r="BL480" s="1530"/>
      <c r="BM480" s="1530"/>
      <c r="BN480" s="1530"/>
      <c r="BW480" s="1569"/>
      <c r="CO480" s="1530"/>
      <c r="CP480" s="1530"/>
      <c r="CQ480" s="1530"/>
      <c r="CR480" s="1530"/>
      <c r="CS480" s="1530"/>
      <c r="CT480" s="1530"/>
      <c r="CU480" s="1530"/>
      <c r="CV480" s="1530"/>
      <c r="CW480" s="1530"/>
      <c r="CX480" s="1530"/>
      <c r="CY480" s="1530"/>
      <c r="CZ480" s="1530"/>
      <c r="DA480" s="1530"/>
      <c r="DB480" s="1530"/>
      <c r="DC480" s="1530"/>
      <c r="DD480" s="1530"/>
      <c r="DE480" s="1530"/>
      <c r="DF480" s="1530"/>
      <c r="DG480" s="1530"/>
      <c r="DH480" s="1530"/>
      <c r="DI480" s="1530"/>
      <c r="DJ480" s="1530"/>
      <c r="DK480" s="1530"/>
      <c r="DL480" s="1530"/>
      <c r="DM480" s="1530"/>
      <c r="DN480" s="1571"/>
      <c r="DO480" s="1530"/>
      <c r="DP480" s="1530"/>
    </row>
    <row r="481" spans="1:120">
      <c r="A481" s="1451"/>
      <c r="C481" s="1451"/>
      <c r="K481" s="1451"/>
      <c r="L481" s="1451"/>
      <c r="U481" s="1530"/>
      <c r="V481" s="1530"/>
      <c r="W481" s="1530"/>
      <c r="X481" s="1530"/>
      <c r="Y481" s="1530"/>
      <c r="Z481" s="1530"/>
      <c r="AA481" s="1530"/>
      <c r="AB481" s="1530"/>
      <c r="AC481" s="1530"/>
      <c r="AD481" s="1530"/>
      <c r="AE481" s="1530"/>
      <c r="AF481" s="1530"/>
      <c r="AG481" s="1530"/>
      <c r="AH481" s="1530"/>
      <c r="AI481" s="1530"/>
      <c r="AJ481" s="1530"/>
      <c r="AK481" s="1530"/>
      <c r="AL481" s="1530"/>
      <c r="AM481" s="1530"/>
      <c r="AN481" s="1530"/>
      <c r="AO481" s="1530"/>
      <c r="AP481" s="1530"/>
      <c r="AQ481" s="1530"/>
      <c r="AR481" s="1530"/>
      <c r="AS481" s="1530"/>
      <c r="AT481" s="1530"/>
      <c r="AU481" s="1530"/>
      <c r="AV481" s="1530"/>
      <c r="AW481" s="1530"/>
      <c r="AX481" s="1530"/>
      <c r="AY481" s="1530"/>
      <c r="AZ481" s="1530"/>
      <c r="BA481" s="1530"/>
      <c r="BB481" s="1530"/>
      <c r="BC481" s="1530"/>
      <c r="BD481" s="1530"/>
      <c r="BE481" s="1530"/>
      <c r="BF481" s="1530"/>
      <c r="BG481" s="1530"/>
      <c r="BH481" s="1530"/>
      <c r="BI481" s="1530"/>
      <c r="BJ481" s="1530"/>
      <c r="BK481" s="1530"/>
      <c r="BL481" s="1530"/>
      <c r="BM481" s="1530"/>
      <c r="BN481" s="1530"/>
      <c r="BW481" s="1569"/>
      <c r="CO481" s="1530"/>
      <c r="CP481" s="1530"/>
      <c r="CQ481" s="1530"/>
      <c r="CR481" s="1530"/>
      <c r="CS481" s="1530"/>
      <c r="CT481" s="1530"/>
      <c r="CU481" s="1530"/>
      <c r="CV481" s="1530"/>
      <c r="CW481" s="1530"/>
      <c r="CX481" s="1530"/>
      <c r="CY481" s="1530"/>
      <c r="CZ481" s="1530"/>
      <c r="DA481" s="1530"/>
      <c r="DB481" s="1530"/>
      <c r="DC481" s="1530"/>
      <c r="DD481" s="1530"/>
      <c r="DE481" s="1530"/>
      <c r="DF481" s="1530"/>
      <c r="DG481" s="1530"/>
      <c r="DH481" s="1530"/>
      <c r="DI481" s="1530"/>
      <c r="DJ481" s="1530"/>
      <c r="DK481" s="1530"/>
      <c r="DL481" s="1530"/>
      <c r="DM481" s="1530"/>
      <c r="DN481" s="1571"/>
      <c r="DO481" s="1530"/>
      <c r="DP481" s="1530"/>
    </row>
    <row r="482" spans="1:120">
      <c r="A482" s="1451"/>
      <c r="C482" s="1451"/>
      <c r="K482" s="1451"/>
      <c r="L482" s="1451"/>
      <c r="U482" s="1530"/>
      <c r="V482" s="1530"/>
      <c r="W482" s="1530"/>
      <c r="X482" s="1530"/>
      <c r="Y482" s="1530"/>
      <c r="Z482" s="1530"/>
      <c r="AA482" s="1530"/>
      <c r="AB482" s="1530"/>
      <c r="AC482" s="1530"/>
      <c r="AD482" s="1530"/>
      <c r="AE482" s="1530"/>
      <c r="AF482" s="1530"/>
      <c r="AG482" s="1530"/>
      <c r="AH482" s="1530"/>
      <c r="AI482" s="1530"/>
      <c r="AJ482" s="1530"/>
      <c r="AK482" s="1530"/>
      <c r="AL482" s="1530"/>
      <c r="AM482" s="1530"/>
      <c r="AN482" s="1530"/>
      <c r="AO482" s="1530"/>
      <c r="AP482" s="1530"/>
      <c r="AQ482" s="1530"/>
      <c r="AR482" s="1530"/>
      <c r="AS482" s="1530"/>
      <c r="AT482" s="1530"/>
      <c r="AU482" s="1530"/>
      <c r="AV482" s="1530"/>
      <c r="AW482" s="1530"/>
      <c r="AX482" s="1530"/>
      <c r="AY482" s="1530"/>
      <c r="AZ482" s="1530"/>
      <c r="BA482" s="1530"/>
      <c r="BB482" s="1530"/>
      <c r="BC482" s="1530"/>
      <c r="BD482" s="1530"/>
      <c r="BE482" s="1530"/>
      <c r="BF482" s="1530"/>
      <c r="BG482" s="1530"/>
      <c r="BH482" s="1530"/>
      <c r="BI482" s="1530"/>
      <c r="BJ482" s="1530"/>
      <c r="BK482" s="1530"/>
      <c r="BL482" s="1530"/>
      <c r="BM482" s="1530"/>
      <c r="BN482" s="1530"/>
      <c r="BW482" s="1569"/>
      <c r="CO482" s="1530"/>
      <c r="CP482" s="1530"/>
      <c r="CQ482" s="1530"/>
      <c r="CR482" s="1530"/>
      <c r="CS482" s="1530"/>
      <c r="CT482" s="1530"/>
      <c r="CU482" s="1530"/>
      <c r="CV482" s="1530"/>
      <c r="CW482" s="1530"/>
      <c r="CX482" s="1530"/>
      <c r="CY482" s="1530"/>
      <c r="CZ482" s="1530"/>
      <c r="DA482" s="1530"/>
      <c r="DB482" s="1530"/>
      <c r="DC482" s="1530"/>
      <c r="DD482" s="1530"/>
      <c r="DE482" s="1530"/>
      <c r="DF482" s="1530"/>
      <c r="DG482" s="1530"/>
      <c r="DH482" s="1530"/>
      <c r="DI482" s="1530"/>
      <c r="DJ482" s="1530"/>
      <c r="DK482" s="1530"/>
      <c r="DL482" s="1530"/>
      <c r="DM482" s="1530"/>
      <c r="DN482" s="1571"/>
      <c r="DO482" s="1530"/>
      <c r="DP482" s="1530"/>
    </row>
    <row r="483" spans="1:120">
      <c r="A483" s="1451"/>
      <c r="C483" s="1451"/>
      <c r="K483" s="1451"/>
      <c r="L483" s="1451"/>
      <c r="U483" s="1530"/>
      <c r="V483" s="1530"/>
      <c r="W483" s="1530"/>
      <c r="X483" s="1530"/>
      <c r="Y483" s="1530"/>
      <c r="Z483" s="1530"/>
      <c r="AA483" s="1530"/>
      <c r="AB483" s="1530"/>
      <c r="AC483" s="1530"/>
      <c r="AD483" s="1530"/>
      <c r="AE483" s="1530"/>
      <c r="AF483" s="1530"/>
      <c r="AG483" s="1530"/>
      <c r="AH483" s="1530"/>
      <c r="AI483" s="1530"/>
      <c r="AJ483" s="1530"/>
      <c r="AK483" s="1530"/>
      <c r="AL483" s="1530"/>
      <c r="AM483" s="1530"/>
      <c r="AN483" s="1530"/>
      <c r="AO483" s="1530"/>
      <c r="AP483" s="1530"/>
      <c r="AQ483" s="1530"/>
      <c r="AR483" s="1530"/>
      <c r="AS483" s="1530"/>
      <c r="AT483" s="1530"/>
      <c r="AU483" s="1530"/>
      <c r="AV483" s="1530"/>
      <c r="AW483" s="1530"/>
      <c r="AX483" s="1530"/>
      <c r="AY483" s="1530"/>
      <c r="AZ483" s="1530"/>
      <c r="BA483" s="1530"/>
      <c r="BB483" s="1530"/>
      <c r="BC483" s="1530"/>
      <c r="BD483" s="1530"/>
      <c r="BE483" s="1530"/>
      <c r="BF483" s="1530"/>
      <c r="BG483" s="1530"/>
      <c r="BH483" s="1530"/>
      <c r="BI483" s="1530"/>
      <c r="BJ483" s="1530"/>
      <c r="BK483" s="1530"/>
      <c r="BL483" s="1530"/>
      <c r="BM483" s="1530"/>
      <c r="BN483" s="1530"/>
      <c r="BW483" s="1569"/>
      <c r="CO483" s="1530"/>
      <c r="CP483" s="1530"/>
      <c r="CQ483" s="1530"/>
      <c r="CR483" s="1530"/>
      <c r="CS483" s="1530"/>
      <c r="CT483" s="1530"/>
      <c r="CU483" s="1530"/>
      <c r="CV483" s="1530"/>
      <c r="CW483" s="1530"/>
      <c r="CX483" s="1530"/>
      <c r="CY483" s="1530"/>
      <c r="CZ483" s="1530"/>
      <c r="DA483" s="1530"/>
      <c r="DB483" s="1530"/>
      <c r="DC483" s="1530"/>
      <c r="DD483" s="1530"/>
      <c r="DE483" s="1530"/>
      <c r="DF483" s="1530"/>
      <c r="DG483" s="1530"/>
      <c r="DH483" s="1530"/>
      <c r="DI483" s="1530"/>
      <c r="DJ483" s="1530"/>
      <c r="DK483" s="1530"/>
      <c r="DL483" s="1530"/>
      <c r="DM483" s="1530"/>
      <c r="DN483" s="1571"/>
      <c r="DO483" s="1530"/>
      <c r="DP483" s="1530"/>
    </row>
    <row r="484" spans="1:120">
      <c r="A484" s="1451"/>
      <c r="C484" s="1451"/>
      <c r="K484" s="1451"/>
      <c r="L484" s="1451"/>
      <c r="U484" s="1530"/>
      <c r="V484" s="1530"/>
      <c r="W484" s="1530"/>
      <c r="X484" s="1530"/>
      <c r="Y484" s="1530"/>
      <c r="Z484" s="1530"/>
      <c r="AA484" s="1530"/>
      <c r="AB484" s="1530"/>
      <c r="AC484" s="1530"/>
      <c r="AD484" s="1530"/>
      <c r="AE484" s="1530"/>
      <c r="AF484" s="1530"/>
      <c r="AG484" s="1530"/>
      <c r="AH484" s="1530"/>
      <c r="AI484" s="1530"/>
      <c r="AJ484" s="1530"/>
      <c r="AK484" s="1530"/>
      <c r="AL484" s="1530"/>
      <c r="AM484" s="1530"/>
      <c r="AN484" s="1530"/>
      <c r="AO484" s="1530"/>
      <c r="AP484" s="1530"/>
      <c r="AQ484" s="1530"/>
      <c r="AR484" s="1530"/>
      <c r="AS484" s="1530"/>
      <c r="AT484" s="1530"/>
      <c r="AU484" s="1530"/>
      <c r="AV484" s="1530"/>
      <c r="AW484" s="1530"/>
      <c r="AX484" s="1530"/>
      <c r="AY484" s="1530"/>
      <c r="AZ484" s="1530"/>
      <c r="BA484" s="1530"/>
      <c r="BB484" s="1530"/>
      <c r="BC484" s="1530"/>
      <c r="BD484" s="1530"/>
      <c r="BE484" s="1530"/>
      <c r="BF484" s="1530"/>
      <c r="BG484" s="1530"/>
      <c r="BH484" s="1530"/>
      <c r="BI484" s="1530"/>
      <c r="BJ484" s="1530"/>
      <c r="BK484" s="1530"/>
      <c r="BL484" s="1530"/>
      <c r="BM484" s="1530"/>
      <c r="BN484" s="1530"/>
      <c r="BW484" s="1569"/>
      <c r="CO484" s="1530"/>
      <c r="CP484" s="1530"/>
      <c r="CQ484" s="1530"/>
      <c r="CR484" s="1530"/>
      <c r="CS484" s="1530"/>
      <c r="CT484" s="1530"/>
      <c r="CU484" s="1530"/>
      <c r="CV484" s="1530"/>
      <c r="CW484" s="1530"/>
      <c r="CX484" s="1530"/>
      <c r="CY484" s="1530"/>
      <c r="CZ484" s="1530"/>
      <c r="DA484" s="1530"/>
      <c r="DB484" s="1530"/>
      <c r="DC484" s="1530"/>
      <c r="DD484" s="1530"/>
      <c r="DE484" s="1530"/>
      <c r="DF484" s="1530"/>
      <c r="DG484" s="1530"/>
      <c r="DH484" s="1530"/>
      <c r="DI484" s="1530"/>
      <c r="DJ484" s="1530"/>
      <c r="DK484" s="1530"/>
      <c r="DL484" s="1530"/>
      <c r="DM484" s="1530"/>
      <c r="DN484" s="1571"/>
      <c r="DO484" s="1530"/>
      <c r="DP484" s="1530"/>
    </row>
    <row r="485" spans="1:120">
      <c r="A485" s="1451"/>
      <c r="C485" s="1451"/>
      <c r="K485" s="1451"/>
      <c r="L485" s="1451"/>
      <c r="U485" s="1530"/>
      <c r="V485" s="1530"/>
      <c r="W485" s="1530"/>
      <c r="X485" s="1530"/>
      <c r="Y485" s="1530"/>
      <c r="Z485" s="1530"/>
      <c r="AA485" s="1530"/>
      <c r="AB485" s="1530"/>
      <c r="AC485" s="1530"/>
      <c r="AD485" s="1530"/>
      <c r="AE485" s="1530"/>
      <c r="AF485" s="1530"/>
      <c r="AG485" s="1530"/>
      <c r="AH485" s="1530"/>
      <c r="AI485" s="1530"/>
      <c r="AJ485" s="1530"/>
      <c r="AK485" s="1530"/>
      <c r="AL485" s="1530"/>
      <c r="AM485" s="1530"/>
      <c r="AN485" s="1530"/>
      <c r="AO485" s="1530"/>
      <c r="AP485" s="1530"/>
      <c r="AQ485" s="1530"/>
      <c r="AR485" s="1530"/>
      <c r="AS485" s="1530"/>
      <c r="AT485" s="1530"/>
      <c r="AU485" s="1530"/>
      <c r="AV485" s="1530"/>
      <c r="AW485" s="1530"/>
      <c r="AX485" s="1530"/>
      <c r="AY485" s="1530"/>
      <c r="AZ485" s="1530"/>
      <c r="BA485" s="1530"/>
      <c r="BB485" s="1530"/>
      <c r="BC485" s="1530"/>
      <c r="BD485" s="1530"/>
      <c r="BE485" s="1530"/>
      <c r="BF485" s="1530"/>
      <c r="BG485" s="1530"/>
      <c r="BH485" s="1530"/>
      <c r="BI485" s="1530"/>
      <c r="BJ485" s="1530"/>
      <c r="BK485" s="1530"/>
      <c r="BL485" s="1530"/>
      <c r="BM485" s="1530"/>
      <c r="BN485" s="1530"/>
      <c r="BW485" s="1569"/>
      <c r="CO485" s="1530"/>
      <c r="CP485" s="1530"/>
      <c r="CQ485" s="1530"/>
      <c r="CR485" s="1530"/>
      <c r="CS485" s="1530"/>
      <c r="CT485" s="1530"/>
      <c r="CU485" s="1530"/>
      <c r="CV485" s="1530"/>
      <c r="CW485" s="1530"/>
      <c r="CX485" s="1530"/>
      <c r="CY485" s="1530"/>
      <c r="CZ485" s="1530"/>
      <c r="DA485" s="1530"/>
      <c r="DB485" s="1530"/>
      <c r="DC485" s="1530"/>
      <c r="DD485" s="1530"/>
      <c r="DE485" s="1530"/>
      <c r="DF485" s="1530"/>
      <c r="DG485" s="1530"/>
      <c r="DH485" s="1530"/>
      <c r="DI485" s="1530"/>
      <c r="DJ485" s="1530"/>
      <c r="DK485" s="1530"/>
      <c r="DL485" s="1530"/>
      <c r="DM485" s="1530"/>
      <c r="DN485" s="1571"/>
      <c r="DO485" s="1530"/>
      <c r="DP485" s="1530"/>
    </row>
    <row r="486" spans="1:120">
      <c r="A486" s="1451"/>
      <c r="C486" s="1451"/>
      <c r="K486" s="1451"/>
      <c r="L486" s="1451"/>
      <c r="U486" s="1530"/>
      <c r="V486" s="1530"/>
      <c r="W486" s="1530"/>
      <c r="X486" s="1530"/>
      <c r="Y486" s="1530"/>
      <c r="Z486" s="1530"/>
      <c r="AA486" s="1530"/>
      <c r="AB486" s="1530"/>
      <c r="AC486" s="1530"/>
      <c r="AD486" s="1530"/>
      <c r="AE486" s="1530"/>
      <c r="AF486" s="1530"/>
      <c r="AG486" s="1530"/>
      <c r="AH486" s="1530"/>
      <c r="AI486" s="1530"/>
      <c r="AJ486" s="1530"/>
      <c r="AK486" s="1530"/>
      <c r="AL486" s="1530"/>
      <c r="AM486" s="1530"/>
      <c r="AN486" s="1530"/>
      <c r="AO486" s="1530"/>
      <c r="AP486" s="1530"/>
      <c r="AQ486" s="1530"/>
      <c r="AR486" s="1530"/>
      <c r="AS486" s="1530"/>
      <c r="AT486" s="1530"/>
      <c r="AU486" s="1530"/>
      <c r="AV486" s="1530"/>
      <c r="AW486" s="1530"/>
      <c r="AX486" s="1530"/>
      <c r="AY486" s="1530"/>
      <c r="AZ486" s="1530"/>
      <c r="BA486" s="1530"/>
      <c r="BB486" s="1530"/>
      <c r="BC486" s="1530"/>
      <c r="BD486" s="1530"/>
      <c r="BE486" s="1530"/>
      <c r="BF486" s="1530"/>
      <c r="BG486" s="1530"/>
      <c r="BH486" s="1530"/>
      <c r="BI486" s="1530"/>
      <c r="BJ486" s="1530"/>
      <c r="BK486" s="1530"/>
      <c r="BL486" s="1530"/>
      <c r="BM486" s="1530"/>
      <c r="BN486" s="1530"/>
      <c r="BW486" s="1569"/>
      <c r="CO486" s="1530"/>
      <c r="CP486" s="1530"/>
      <c r="CQ486" s="1530"/>
      <c r="CR486" s="1530"/>
      <c r="CS486" s="1530"/>
      <c r="CT486" s="1530"/>
      <c r="CU486" s="1530"/>
      <c r="CV486" s="1530"/>
      <c r="CW486" s="1530"/>
      <c r="CX486" s="1530"/>
      <c r="CY486" s="1530"/>
      <c r="CZ486" s="1530"/>
      <c r="DA486" s="1530"/>
      <c r="DB486" s="1530"/>
      <c r="DC486" s="1530"/>
      <c r="DD486" s="1530"/>
      <c r="DE486" s="1530"/>
      <c r="DF486" s="1530"/>
      <c r="DG486" s="1530"/>
      <c r="DH486" s="1530"/>
      <c r="DI486" s="1530"/>
      <c r="DJ486" s="1530"/>
      <c r="DK486" s="1530"/>
      <c r="DL486" s="1530"/>
      <c r="DM486" s="1530"/>
      <c r="DN486" s="1571"/>
      <c r="DO486" s="1530"/>
      <c r="DP486" s="1530"/>
    </row>
    <row r="487" spans="1:120">
      <c r="A487" s="1451"/>
      <c r="C487" s="1451"/>
      <c r="K487" s="1451"/>
      <c r="L487" s="1451"/>
      <c r="U487" s="1530"/>
      <c r="V487" s="1530"/>
      <c r="W487" s="1530"/>
      <c r="X487" s="1530"/>
      <c r="Y487" s="1530"/>
      <c r="Z487" s="1530"/>
      <c r="AA487" s="1530"/>
      <c r="AB487" s="1530"/>
      <c r="AC487" s="1530"/>
      <c r="AD487" s="1530"/>
      <c r="AE487" s="1530"/>
      <c r="AF487" s="1530"/>
      <c r="AG487" s="1530"/>
      <c r="AH487" s="1530"/>
      <c r="AI487" s="1530"/>
      <c r="AJ487" s="1530"/>
      <c r="AK487" s="1530"/>
      <c r="AL487" s="1530"/>
      <c r="AM487" s="1530"/>
      <c r="AN487" s="1530"/>
      <c r="AO487" s="1530"/>
      <c r="AP487" s="1530"/>
      <c r="AQ487" s="1530"/>
      <c r="AR487" s="1530"/>
      <c r="AS487" s="1530"/>
      <c r="AT487" s="1530"/>
      <c r="AU487" s="1530"/>
      <c r="AV487" s="1530"/>
      <c r="AW487" s="1530"/>
      <c r="AX487" s="1530"/>
      <c r="AY487" s="1530"/>
      <c r="AZ487" s="1530"/>
      <c r="BA487" s="1530"/>
      <c r="BB487" s="1530"/>
      <c r="BC487" s="1530"/>
      <c r="BD487" s="1530"/>
      <c r="BE487" s="1530"/>
      <c r="BF487" s="1530"/>
      <c r="BG487" s="1530"/>
      <c r="BH487" s="1530"/>
      <c r="BI487" s="1530"/>
      <c r="BJ487" s="1530"/>
      <c r="BK487" s="1530"/>
      <c r="BL487" s="1530"/>
      <c r="BM487" s="1530"/>
      <c r="BN487" s="1530"/>
      <c r="BW487" s="1569"/>
      <c r="CO487" s="1530"/>
      <c r="CP487" s="1530"/>
      <c r="CQ487" s="1530"/>
      <c r="CR487" s="1530"/>
      <c r="CS487" s="1530"/>
      <c r="CT487" s="1530"/>
      <c r="CU487" s="1530"/>
      <c r="CV487" s="1530"/>
      <c r="CW487" s="1530"/>
      <c r="CX487" s="1530"/>
      <c r="CY487" s="1530"/>
      <c r="CZ487" s="1530"/>
      <c r="DA487" s="1530"/>
      <c r="DB487" s="1530"/>
      <c r="DC487" s="1530"/>
      <c r="DD487" s="1530"/>
      <c r="DE487" s="1530"/>
      <c r="DF487" s="1530"/>
      <c r="DG487" s="1530"/>
      <c r="DH487" s="1530"/>
      <c r="DI487" s="1530"/>
      <c r="DJ487" s="1530"/>
      <c r="DK487" s="1530"/>
      <c r="DL487" s="1530"/>
      <c r="DM487" s="1530"/>
      <c r="DN487" s="1571"/>
      <c r="DO487" s="1530"/>
      <c r="DP487" s="1530"/>
    </row>
    <row r="488" spans="1:120">
      <c r="A488" s="1451"/>
      <c r="C488" s="1451"/>
      <c r="K488" s="1451"/>
      <c r="L488" s="1451"/>
      <c r="U488" s="1530"/>
      <c r="V488" s="1530"/>
      <c r="W488" s="1530"/>
      <c r="X488" s="1530"/>
      <c r="Y488" s="1530"/>
      <c r="Z488" s="1530"/>
      <c r="AA488" s="1530"/>
      <c r="AB488" s="1530"/>
      <c r="AC488" s="1530"/>
      <c r="AD488" s="1530"/>
      <c r="AE488" s="1530"/>
      <c r="AF488" s="1530"/>
      <c r="AG488" s="1530"/>
      <c r="AH488" s="1530"/>
      <c r="AI488" s="1530"/>
      <c r="AJ488" s="1530"/>
      <c r="AK488" s="1530"/>
      <c r="AL488" s="1530"/>
      <c r="AM488" s="1530"/>
      <c r="AN488" s="1530"/>
      <c r="AO488" s="1530"/>
      <c r="AP488" s="1530"/>
      <c r="AQ488" s="1530"/>
      <c r="AR488" s="1530"/>
      <c r="AS488" s="1530"/>
      <c r="AT488" s="1530"/>
      <c r="AU488" s="1530"/>
      <c r="AV488" s="1530"/>
      <c r="AW488" s="1530"/>
      <c r="AX488" s="1530"/>
      <c r="AY488" s="1530"/>
      <c r="AZ488" s="1530"/>
      <c r="BA488" s="1530"/>
      <c r="BB488" s="1530"/>
      <c r="BC488" s="1530"/>
      <c r="BD488" s="1530"/>
      <c r="BE488" s="1530"/>
      <c r="BF488" s="1530"/>
      <c r="BG488" s="1530"/>
      <c r="BH488" s="1530"/>
      <c r="BI488" s="1530"/>
      <c r="BJ488" s="1530"/>
      <c r="BK488" s="1530"/>
      <c r="BL488" s="1530"/>
      <c r="BM488" s="1530"/>
      <c r="BN488" s="1530"/>
      <c r="BW488" s="1569"/>
      <c r="CO488" s="1530"/>
      <c r="CP488" s="1530"/>
      <c r="CQ488" s="1530"/>
      <c r="CR488" s="1530"/>
      <c r="CS488" s="1530"/>
      <c r="CT488" s="1530"/>
      <c r="CU488" s="1530"/>
      <c r="CV488" s="1530"/>
      <c r="CW488" s="1530"/>
      <c r="CX488" s="1530"/>
      <c r="CY488" s="1530"/>
      <c r="CZ488" s="1530"/>
      <c r="DA488" s="1530"/>
      <c r="DB488" s="1530"/>
      <c r="DC488" s="1530"/>
      <c r="DD488" s="1530"/>
      <c r="DE488" s="1530"/>
      <c r="DF488" s="1530"/>
      <c r="DG488" s="1530"/>
      <c r="DH488" s="1530"/>
      <c r="DI488" s="1530"/>
      <c r="DJ488" s="1530"/>
      <c r="DK488" s="1530"/>
      <c r="DL488" s="1530"/>
      <c r="DM488" s="1530"/>
      <c r="DN488" s="1571"/>
      <c r="DO488" s="1530"/>
      <c r="DP488" s="1530"/>
    </row>
    <row r="489" spans="1:120">
      <c r="A489" s="1451"/>
      <c r="C489" s="1451"/>
      <c r="K489" s="1451"/>
      <c r="L489" s="1451"/>
      <c r="U489" s="1530"/>
      <c r="V489" s="1530"/>
      <c r="W489" s="1530"/>
      <c r="X489" s="1530"/>
      <c r="Y489" s="1530"/>
      <c r="Z489" s="1530"/>
      <c r="AA489" s="1530"/>
      <c r="AB489" s="1530"/>
      <c r="AC489" s="1530"/>
      <c r="AD489" s="1530"/>
      <c r="AE489" s="1530"/>
      <c r="AF489" s="1530"/>
      <c r="AG489" s="1530"/>
      <c r="AH489" s="1530"/>
      <c r="AI489" s="1530"/>
      <c r="AJ489" s="1530"/>
      <c r="AK489" s="1530"/>
      <c r="AL489" s="1530"/>
      <c r="AM489" s="1530"/>
      <c r="AN489" s="1530"/>
      <c r="AO489" s="1530"/>
      <c r="AP489" s="1530"/>
      <c r="AQ489" s="1530"/>
      <c r="AR489" s="1530"/>
      <c r="AS489" s="1530"/>
      <c r="AT489" s="1530"/>
      <c r="AU489" s="1530"/>
      <c r="AV489" s="1530"/>
      <c r="AW489" s="1530"/>
      <c r="AX489" s="1530"/>
      <c r="AY489" s="1530"/>
      <c r="AZ489" s="1530"/>
      <c r="BA489" s="1530"/>
      <c r="BB489" s="1530"/>
      <c r="BC489" s="1530"/>
      <c r="BD489" s="1530"/>
      <c r="BE489" s="1530"/>
      <c r="BF489" s="1530"/>
      <c r="BG489" s="1530"/>
      <c r="BH489" s="1530"/>
      <c r="BI489" s="1530"/>
      <c r="BJ489" s="1530"/>
      <c r="BK489" s="1530"/>
      <c r="BL489" s="1530"/>
      <c r="BM489" s="1530"/>
      <c r="BN489" s="1530"/>
      <c r="BW489" s="1569"/>
      <c r="CO489" s="1530"/>
      <c r="CP489" s="1530"/>
      <c r="CQ489" s="1530"/>
      <c r="CR489" s="1530"/>
      <c r="CS489" s="1530"/>
      <c r="CT489" s="1530"/>
      <c r="CU489" s="1530"/>
      <c r="CV489" s="1530"/>
      <c r="CW489" s="1530"/>
      <c r="CX489" s="1530"/>
      <c r="CY489" s="1530"/>
      <c r="CZ489" s="1530"/>
      <c r="DA489" s="1530"/>
      <c r="DB489" s="1530"/>
      <c r="DC489" s="1530"/>
      <c r="DD489" s="1530"/>
      <c r="DE489" s="1530"/>
      <c r="DF489" s="1530"/>
      <c r="DG489" s="1530"/>
      <c r="DH489" s="1530"/>
      <c r="DI489" s="1530"/>
      <c r="DJ489" s="1530"/>
      <c r="DK489" s="1530"/>
      <c r="DL489" s="1530"/>
      <c r="DM489" s="1530"/>
      <c r="DN489" s="1571"/>
      <c r="DO489" s="1530"/>
      <c r="DP489" s="1530"/>
    </row>
    <row r="490" spans="1:120">
      <c r="A490" s="1451"/>
      <c r="C490" s="1451"/>
      <c r="K490" s="1451"/>
      <c r="L490" s="1451"/>
      <c r="U490" s="1530"/>
      <c r="V490" s="1530"/>
      <c r="W490" s="1530"/>
      <c r="X490" s="1530"/>
      <c r="Y490" s="1530"/>
      <c r="Z490" s="1530"/>
      <c r="AA490" s="1530"/>
      <c r="AB490" s="1530"/>
      <c r="AC490" s="1530"/>
      <c r="AD490" s="1530"/>
      <c r="AE490" s="1530"/>
      <c r="AF490" s="1530"/>
      <c r="AG490" s="1530"/>
      <c r="AH490" s="1530"/>
      <c r="AI490" s="1530"/>
      <c r="AJ490" s="1530"/>
      <c r="AK490" s="1530"/>
      <c r="AL490" s="1530"/>
      <c r="AM490" s="1530"/>
      <c r="AN490" s="1530"/>
      <c r="AO490" s="1530"/>
      <c r="AP490" s="1530"/>
      <c r="AQ490" s="1530"/>
      <c r="AR490" s="1530"/>
      <c r="AS490" s="1530"/>
      <c r="AT490" s="1530"/>
      <c r="AU490" s="1530"/>
      <c r="AV490" s="1530"/>
      <c r="AW490" s="1530"/>
      <c r="AX490" s="1530"/>
      <c r="AY490" s="1530"/>
      <c r="AZ490" s="1530"/>
      <c r="BA490" s="1530"/>
      <c r="BB490" s="1530"/>
      <c r="BC490" s="1530"/>
      <c r="BD490" s="1530"/>
      <c r="BE490" s="1530"/>
      <c r="BF490" s="1530"/>
      <c r="BG490" s="1530"/>
      <c r="BH490" s="1530"/>
      <c r="BI490" s="1530"/>
      <c r="BJ490" s="1530"/>
      <c r="BK490" s="1530"/>
      <c r="BL490" s="1530"/>
      <c r="BM490" s="1530"/>
      <c r="BN490" s="1530"/>
      <c r="BW490" s="1569"/>
      <c r="CO490" s="1530"/>
      <c r="CP490" s="1530"/>
      <c r="CQ490" s="1530"/>
      <c r="CR490" s="1530"/>
      <c r="CS490" s="1530"/>
      <c r="CT490" s="1530"/>
      <c r="CU490" s="1530"/>
      <c r="CV490" s="1530"/>
      <c r="CW490" s="1530"/>
      <c r="CX490" s="1530"/>
      <c r="CY490" s="1530"/>
      <c r="CZ490" s="1530"/>
      <c r="DA490" s="1530"/>
      <c r="DB490" s="1530"/>
      <c r="DC490" s="1530"/>
      <c r="DD490" s="1530"/>
      <c r="DE490" s="1530"/>
      <c r="DF490" s="1530"/>
      <c r="DG490" s="1530"/>
      <c r="DH490" s="1530"/>
      <c r="DI490" s="1530"/>
      <c r="DJ490" s="1530"/>
      <c r="DK490" s="1530"/>
      <c r="DL490" s="1530"/>
      <c r="DM490" s="1530"/>
      <c r="DN490" s="1571"/>
      <c r="DO490" s="1530"/>
      <c r="DP490" s="1530"/>
    </row>
    <row r="491" spans="1:120">
      <c r="A491" s="1451"/>
      <c r="C491" s="1451"/>
      <c r="K491" s="1451"/>
      <c r="L491" s="1451"/>
      <c r="U491" s="1530"/>
      <c r="V491" s="1530"/>
      <c r="W491" s="1530"/>
      <c r="X491" s="1530"/>
      <c r="Y491" s="1530"/>
      <c r="Z491" s="1530"/>
      <c r="AA491" s="1530"/>
      <c r="AB491" s="1530"/>
      <c r="AC491" s="1530"/>
      <c r="AD491" s="1530"/>
      <c r="AE491" s="1530"/>
      <c r="AF491" s="1530"/>
      <c r="AG491" s="1530"/>
      <c r="AH491" s="1530"/>
      <c r="AI491" s="1530"/>
      <c r="AJ491" s="1530"/>
      <c r="AK491" s="1530"/>
      <c r="AL491" s="1530"/>
      <c r="AM491" s="1530"/>
      <c r="AN491" s="1530"/>
      <c r="AO491" s="1530"/>
      <c r="AP491" s="1530"/>
      <c r="AQ491" s="1530"/>
      <c r="AR491" s="1530"/>
      <c r="AS491" s="1530"/>
      <c r="AT491" s="1530"/>
      <c r="AU491" s="1530"/>
      <c r="AV491" s="1530"/>
      <c r="AW491" s="1530"/>
      <c r="AX491" s="1530"/>
      <c r="AY491" s="1530"/>
      <c r="AZ491" s="1530"/>
      <c r="BA491" s="1530"/>
      <c r="BB491" s="1530"/>
      <c r="BC491" s="1530"/>
      <c r="BD491" s="1530"/>
      <c r="BE491" s="1530"/>
      <c r="BF491" s="1530"/>
      <c r="BG491" s="1530"/>
      <c r="BH491" s="1530"/>
      <c r="BI491" s="1530"/>
      <c r="BJ491" s="1530"/>
      <c r="BK491" s="1530"/>
      <c r="BL491" s="1530"/>
      <c r="BM491" s="1530"/>
      <c r="BN491" s="1530"/>
      <c r="BW491" s="1569"/>
      <c r="CO491" s="1530"/>
      <c r="CP491" s="1530"/>
      <c r="CQ491" s="1530"/>
      <c r="CR491" s="1530"/>
      <c r="CS491" s="1530"/>
      <c r="CT491" s="1530"/>
      <c r="CU491" s="1530"/>
      <c r="CV491" s="1530"/>
      <c r="CW491" s="1530"/>
      <c r="CX491" s="1530"/>
      <c r="CY491" s="1530"/>
      <c r="CZ491" s="1530"/>
      <c r="DA491" s="1530"/>
      <c r="DB491" s="1530"/>
      <c r="DC491" s="1530"/>
      <c r="DD491" s="1530"/>
      <c r="DE491" s="1530"/>
      <c r="DF491" s="1530"/>
      <c r="DG491" s="1530"/>
      <c r="DH491" s="1530"/>
      <c r="DI491" s="1530"/>
      <c r="DJ491" s="1530"/>
      <c r="DK491" s="1530"/>
      <c r="DL491" s="1530"/>
      <c r="DM491" s="1530"/>
      <c r="DN491" s="1571"/>
      <c r="DO491" s="1530"/>
      <c r="DP491" s="1530"/>
    </row>
    <row r="492" spans="1:120">
      <c r="A492" s="1451"/>
      <c r="C492" s="1451"/>
      <c r="K492" s="1451"/>
      <c r="L492" s="1451"/>
      <c r="U492" s="1530"/>
      <c r="V492" s="1530"/>
      <c r="W492" s="1530"/>
      <c r="X492" s="1530"/>
      <c r="Y492" s="1530"/>
      <c r="Z492" s="1530"/>
      <c r="AA492" s="1530"/>
      <c r="AB492" s="1530"/>
      <c r="AC492" s="1530"/>
      <c r="AD492" s="1530"/>
      <c r="AE492" s="1530"/>
      <c r="AF492" s="1530"/>
      <c r="AG492" s="1530"/>
      <c r="AH492" s="1530"/>
      <c r="AI492" s="1530"/>
      <c r="AJ492" s="1530"/>
      <c r="AK492" s="1530"/>
      <c r="AL492" s="1530"/>
      <c r="AM492" s="1530"/>
      <c r="AN492" s="1530"/>
      <c r="AO492" s="1530"/>
      <c r="AP492" s="1530"/>
      <c r="AQ492" s="1530"/>
      <c r="AR492" s="1530"/>
      <c r="AS492" s="1530"/>
      <c r="AT492" s="1530"/>
      <c r="AU492" s="1530"/>
      <c r="AV492" s="1530"/>
      <c r="AW492" s="1530"/>
      <c r="AX492" s="1530"/>
      <c r="AY492" s="1530"/>
      <c r="AZ492" s="1530"/>
      <c r="BA492" s="1530"/>
      <c r="BB492" s="1530"/>
      <c r="BC492" s="1530"/>
      <c r="BD492" s="1530"/>
      <c r="BE492" s="1530"/>
      <c r="BF492" s="1530"/>
      <c r="BG492" s="1530"/>
      <c r="BH492" s="1530"/>
      <c r="BI492" s="1530"/>
      <c r="BJ492" s="1530"/>
      <c r="BK492" s="1530"/>
      <c r="BL492" s="1530"/>
      <c r="BM492" s="1530"/>
      <c r="BN492" s="1530"/>
      <c r="BW492" s="1569"/>
      <c r="CO492" s="1530"/>
      <c r="CP492" s="1530"/>
      <c r="CQ492" s="1530"/>
      <c r="CR492" s="1530"/>
      <c r="CS492" s="1530"/>
      <c r="CT492" s="1530"/>
      <c r="CU492" s="1530"/>
      <c r="CV492" s="1530"/>
      <c r="CW492" s="1530"/>
      <c r="CX492" s="1530"/>
      <c r="CY492" s="1530"/>
      <c r="CZ492" s="1530"/>
      <c r="DA492" s="1530"/>
      <c r="DB492" s="1530"/>
      <c r="DC492" s="1530"/>
      <c r="DD492" s="1530"/>
      <c r="DE492" s="1530"/>
      <c r="DF492" s="1530"/>
      <c r="DG492" s="1530"/>
      <c r="DH492" s="1530"/>
      <c r="DI492" s="1530"/>
      <c r="DJ492" s="1530"/>
      <c r="DK492" s="1530"/>
      <c r="DL492" s="1530"/>
      <c r="DM492" s="1530"/>
      <c r="DN492" s="1571"/>
      <c r="DO492" s="1530"/>
      <c r="DP492" s="1530"/>
    </row>
    <row r="493" spans="1:120">
      <c r="A493" s="1451"/>
      <c r="C493" s="1451"/>
      <c r="K493" s="1451"/>
      <c r="L493" s="1451"/>
      <c r="U493" s="1530"/>
      <c r="V493" s="1530"/>
      <c r="W493" s="1530"/>
      <c r="X493" s="1530"/>
      <c r="Y493" s="1530"/>
      <c r="Z493" s="1530"/>
      <c r="AA493" s="1530"/>
      <c r="AB493" s="1530"/>
      <c r="AC493" s="1530"/>
      <c r="AD493" s="1530"/>
      <c r="AE493" s="1530"/>
      <c r="AF493" s="1530"/>
      <c r="AG493" s="1530"/>
      <c r="AH493" s="1530"/>
      <c r="AI493" s="1530"/>
      <c r="AJ493" s="1530"/>
      <c r="AK493" s="1530"/>
      <c r="AL493" s="1530"/>
      <c r="AM493" s="1530"/>
      <c r="AN493" s="1530"/>
      <c r="AO493" s="1530"/>
      <c r="AP493" s="1530"/>
      <c r="AQ493" s="1530"/>
      <c r="AR493" s="1530"/>
      <c r="AS493" s="1530"/>
      <c r="AT493" s="1530"/>
      <c r="AU493" s="1530"/>
      <c r="AV493" s="1530"/>
      <c r="AW493" s="1530"/>
      <c r="AX493" s="1530"/>
      <c r="AY493" s="1530"/>
      <c r="AZ493" s="1530"/>
      <c r="BA493" s="1530"/>
      <c r="BB493" s="1530"/>
      <c r="BC493" s="1530"/>
      <c r="BD493" s="1530"/>
      <c r="BE493" s="1530"/>
      <c r="BF493" s="1530"/>
      <c r="BG493" s="1530"/>
      <c r="BH493" s="1530"/>
      <c r="BI493" s="1530"/>
      <c r="BJ493" s="1530"/>
      <c r="BK493" s="1530"/>
      <c r="BL493" s="1530"/>
      <c r="BM493" s="1530"/>
      <c r="BN493" s="1530"/>
      <c r="BW493" s="1569"/>
      <c r="CO493" s="1530"/>
      <c r="CP493" s="1530"/>
      <c r="CQ493" s="1530"/>
      <c r="CR493" s="1530"/>
      <c r="CS493" s="1530"/>
      <c r="CT493" s="1530"/>
      <c r="CU493" s="1530"/>
      <c r="CV493" s="1530"/>
      <c r="CW493" s="1530"/>
      <c r="CX493" s="1530"/>
      <c r="CY493" s="1530"/>
      <c r="CZ493" s="1530"/>
      <c r="DA493" s="1530"/>
      <c r="DB493" s="1530"/>
      <c r="DC493" s="1530"/>
      <c r="DD493" s="1530"/>
      <c r="DE493" s="1530"/>
      <c r="DF493" s="1530"/>
      <c r="DG493" s="1530"/>
      <c r="DH493" s="1530"/>
      <c r="DI493" s="1530"/>
      <c r="DJ493" s="1530"/>
      <c r="DK493" s="1530"/>
      <c r="DL493" s="1530"/>
      <c r="DM493" s="1530"/>
      <c r="DN493" s="1571"/>
      <c r="DO493" s="1530"/>
      <c r="DP493" s="1530"/>
    </row>
    <row r="494" spans="1:120">
      <c r="A494" s="1451"/>
      <c r="C494" s="1451"/>
      <c r="K494" s="1451"/>
      <c r="L494" s="1451"/>
      <c r="U494" s="1530"/>
      <c r="V494" s="1530"/>
      <c r="W494" s="1530"/>
      <c r="X494" s="1530"/>
      <c r="Y494" s="1530"/>
      <c r="Z494" s="1530"/>
      <c r="AA494" s="1530"/>
      <c r="AB494" s="1530"/>
      <c r="AC494" s="1530"/>
      <c r="AD494" s="1530"/>
      <c r="AE494" s="1530"/>
      <c r="AF494" s="1530"/>
      <c r="AG494" s="1530"/>
      <c r="AH494" s="1530"/>
      <c r="AI494" s="1530"/>
      <c r="AJ494" s="1530"/>
      <c r="AK494" s="1530"/>
      <c r="AL494" s="1530"/>
      <c r="AM494" s="1530"/>
      <c r="AN494" s="1530"/>
      <c r="AO494" s="1530"/>
      <c r="AP494" s="1530"/>
      <c r="AQ494" s="1530"/>
      <c r="AR494" s="1530"/>
      <c r="AS494" s="1530"/>
      <c r="AT494" s="1530"/>
      <c r="AU494" s="1530"/>
      <c r="AV494" s="1530"/>
      <c r="AW494" s="1530"/>
      <c r="AX494" s="1530"/>
      <c r="AY494" s="1530"/>
      <c r="AZ494" s="1530"/>
      <c r="BA494" s="1530"/>
      <c r="BB494" s="1530"/>
      <c r="BC494" s="1530"/>
      <c r="BD494" s="1530"/>
      <c r="BE494" s="1530"/>
      <c r="BF494" s="1530"/>
      <c r="BG494" s="1530"/>
      <c r="BH494" s="1530"/>
      <c r="BI494" s="1530"/>
      <c r="BJ494" s="1530"/>
      <c r="BK494" s="1530"/>
      <c r="BL494" s="1530"/>
      <c r="BM494" s="1530"/>
      <c r="BN494" s="1530"/>
      <c r="BW494" s="1569"/>
      <c r="CO494" s="1530"/>
      <c r="CP494" s="1530"/>
      <c r="CQ494" s="1530"/>
      <c r="CR494" s="1530"/>
      <c r="CS494" s="1530"/>
      <c r="CT494" s="1530"/>
      <c r="CU494" s="1530"/>
      <c r="CV494" s="1530"/>
      <c r="CW494" s="1530"/>
      <c r="CX494" s="1530"/>
      <c r="CY494" s="1530"/>
      <c r="CZ494" s="1530"/>
      <c r="DA494" s="1530"/>
      <c r="DB494" s="1530"/>
      <c r="DC494" s="1530"/>
      <c r="DD494" s="1530"/>
      <c r="DE494" s="1530"/>
      <c r="DF494" s="1530"/>
      <c r="DG494" s="1530"/>
      <c r="DH494" s="1530"/>
      <c r="DI494" s="1530"/>
      <c r="DJ494" s="1530"/>
      <c r="DK494" s="1530"/>
      <c r="DL494" s="1530"/>
      <c r="DM494" s="1530"/>
      <c r="DN494" s="1571"/>
      <c r="DO494" s="1530"/>
      <c r="DP494" s="1530"/>
    </row>
    <row r="495" spans="1:120">
      <c r="A495" s="1451"/>
      <c r="C495" s="1451"/>
      <c r="K495" s="1451"/>
      <c r="L495" s="1451"/>
      <c r="U495" s="1530"/>
      <c r="V495" s="1530"/>
      <c r="W495" s="1530"/>
      <c r="X495" s="1530"/>
      <c r="Y495" s="1530"/>
      <c r="Z495" s="1530"/>
      <c r="AA495" s="1530"/>
      <c r="AB495" s="1530"/>
      <c r="AC495" s="1530"/>
      <c r="AD495" s="1530"/>
      <c r="AE495" s="1530"/>
      <c r="AF495" s="1530"/>
      <c r="AG495" s="1530"/>
      <c r="AH495" s="1530"/>
      <c r="AI495" s="1530"/>
      <c r="AJ495" s="1530"/>
      <c r="AK495" s="1530"/>
      <c r="AL495" s="1530"/>
      <c r="AM495" s="1530"/>
      <c r="AN495" s="1530"/>
      <c r="AO495" s="1530"/>
      <c r="AP495" s="1530"/>
      <c r="AQ495" s="1530"/>
      <c r="AR495" s="1530"/>
      <c r="AS495" s="1530"/>
      <c r="AT495" s="1530"/>
      <c r="AU495" s="1530"/>
      <c r="AV495" s="1530"/>
      <c r="AW495" s="1530"/>
      <c r="AX495" s="1530"/>
      <c r="AY495" s="1530"/>
      <c r="AZ495" s="1530"/>
      <c r="BA495" s="1530"/>
      <c r="BB495" s="1530"/>
      <c r="BC495" s="1530"/>
      <c r="BD495" s="1530"/>
      <c r="BE495" s="1530"/>
      <c r="BF495" s="1530"/>
      <c r="BG495" s="1530"/>
      <c r="BH495" s="1530"/>
      <c r="BI495" s="1530"/>
      <c r="BJ495" s="1530"/>
      <c r="BK495" s="1530"/>
      <c r="BL495" s="1530"/>
      <c r="BM495" s="1530"/>
      <c r="BN495" s="1530"/>
      <c r="BW495" s="1569"/>
      <c r="CO495" s="1530"/>
      <c r="CP495" s="1530"/>
      <c r="CQ495" s="1530"/>
      <c r="CR495" s="1530"/>
      <c r="CS495" s="1530"/>
      <c r="CT495" s="1530"/>
      <c r="CU495" s="1530"/>
      <c r="CV495" s="1530"/>
      <c r="CW495" s="1530"/>
      <c r="CX495" s="1530"/>
      <c r="CY495" s="1530"/>
      <c r="CZ495" s="1530"/>
      <c r="DA495" s="1530"/>
      <c r="DB495" s="1530"/>
      <c r="DC495" s="1530"/>
      <c r="DD495" s="1530"/>
      <c r="DE495" s="1530"/>
      <c r="DF495" s="1530"/>
      <c r="DG495" s="1530"/>
      <c r="DH495" s="1530"/>
      <c r="DI495" s="1530"/>
      <c r="DJ495" s="1530"/>
      <c r="DK495" s="1530"/>
      <c r="DL495" s="1530"/>
      <c r="DM495" s="1530"/>
      <c r="DN495" s="1571"/>
      <c r="DO495" s="1530"/>
      <c r="DP495" s="1530"/>
    </row>
    <row r="496" spans="1:120">
      <c r="A496" s="1451"/>
      <c r="C496" s="1451"/>
      <c r="K496" s="1451"/>
      <c r="L496" s="1451"/>
      <c r="U496" s="1530"/>
      <c r="V496" s="1530"/>
      <c r="W496" s="1530"/>
      <c r="X496" s="1530"/>
      <c r="Y496" s="1530"/>
      <c r="Z496" s="1530"/>
      <c r="AA496" s="1530"/>
      <c r="AB496" s="1530"/>
      <c r="AC496" s="1530"/>
      <c r="AD496" s="1530"/>
      <c r="AE496" s="1530"/>
      <c r="AF496" s="1530"/>
      <c r="AG496" s="1530"/>
      <c r="AH496" s="1530"/>
      <c r="AI496" s="1530"/>
      <c r="AJ496" s="1530"/>
      <c r="AK496" s="1530"/>
      <c r="AL496" s="1530"/>
      <c r="AM496" s="1530"/>
      <c r="AN496" s="1530"/>
      <c r="AO496" s="1530"/>
      <c r="AP496" s="1530"/>
      <c r="AQ496" s="1530"/>
      <c r="AR496" s="1530"/>
      <c r="AS496" s="1530"/>
      <c r="AT496" s="1530"/>
      <c r="AU496" s="1530"/>
      <c r="AV496" s="1530"/>
      <c r="AW496" s="1530"/>
      <c r="AX496" s="1530"/>
      <c r="AY496" s="1530"/>
      <c r="AZ496" s="1530"/>
      <c r="BA496" s="1530"/>
      <c r="BB496" s="1530"/>
      <c r="BC496" s="1530"/>
      <c r="BD496" s="1530"/>
      <c r="BE496" s="1530"/>
      <c r="BF496" s="1530"/>
      <c r="BG496" s="1530"/>
      <c r="BH496" s="1530"/>
      <c r="BI496" s="1530"/>
      <c r="BJ496" s="1530"/>
      <c r="BK496" s="1530"/>
      <c r="BL496" s="1530"/>
      <c r="BM496" s="1530"/>
      <c r="BN496" s="1530"/>
      <c r="BW496" s="1569"/>
      <c r="CO496" s="1530"/>
      <c r="CP496" s="1530"/>
      <c r="CQ496" s="1530"/>
      <c r="CR496" s="1530"/>
      <c r="CS496" s="1530"/>
      <c r="CT496" s="1530"/>
      <c r="CU496" s="1530"/>
      <c r="CV496" s="1530"/>
      <c r="CW496" s="1530"/>
      <c r="CX496" s="1530"/>
      <c r="CY496" s="1530"/>
      <c r="CZ496" s="1530"/>
      <c r="DA496" s="1530"/>
      <c r="DB496" s="1530"/>
      <c r="DC496" s="1530"/>
      <c r="DD496" s="1530"/>
      <c r="DE496" s="1530"/>
      <c r="DF496" s="1530"/>
      <c r="DG496" s="1530"/>
      <c r="DH496" s="1530"/>
      <c r="DI496" s="1530"/>
      <c r="DJ496" s="1530"/>
      <c r="DK496" s="1530"/>
      <c r="DL496" s="1530"/>
      <c r="DM496" s="1530"/>
      <c r="DN496" s="1571"/>
      <c r="DO496" s="1530"/>
      <c r="DP496" s="1530"/>
    </row>
    <row r="497" spans="1:120">
      <c r="A497" s="1451"/>
      <c r="C497" s="1451"/>
      <c r="K497" s="1451"/>
      <c r="L497" s="1451"/>
      <c r="U497" s="1530"/>
      <c r="V497" s="1530"/>
      <c r="W497" s="1530"/>
      <c r="X497" s="1530"/>
      <c r="Y497" s="1530"/>
      <c r="Z497" s="1530"/>
      <c r="AA497" s="1530"/>
      <c r="AB497" s="1530"/>
      <c r="AC497" s="1530"/>
      <c r="AD497" s="1530"/>
      <c r="AE497" s="1530"/>
      <c r="AF497" s="1530"/>
      <c r="AG497" s="1530"/>
      <c r="AH497" s="1530"/>
      <c r="AI497" s="1530"/>
      <c r="AJ497" s="1530"/>
      <c r="AK497" s="1530"/>
      <c r="AL497" s="1530"/>
      <c r="AM497" s="1530"/>
      <c r="AN497" s="1530"/>
      <c r="AO497" s="1530"/>
      <c r="AP497" s="1530"/>
      <c r="AQ497" s="1530"/>
      <c r="AR497" s="1530"/>
      <c r="AS497" s="1530"/>
      <c r="AT497" s="1530"/>
      <c r="AU497" s="1530"/>
      <c r="AV497" s="1530"/>
      <c r="AW497" s="1530"/>
      <c r="AX497" s="1530"/>
      <c r="AY497" s="1530"/>
      <c r="AZ497" s="1530"/>
      <c r="BA497" s="1530"/>
      <c r="BB497" s="1530"/>
      <c r="BC497" s="1530"/>
      <c r="BD497" s="1530"/>
      <c r="BE497" s="1530"/>
      <c r="BF497" s="1530"/>
      <c r="BG497" s="1530"/>
      <c r="BH497" s="1530"/>
      <c r="BI497" s="1530"/>
      <c r="BJ497" s="1530"/>
      <c r="BK497" s="1530"/>
      <c r="BL497" s="1530"/>
      <c r="BM497" s="1530"/>
      <c r="BN497" s="1530"/>
      <c r="BW497" s="1569"/>
      <c r="CO497" s="1530"/>
      <c r="CP497" s="1530"/>
      <c r="CQ497" s="1530"/>
      <c r="CR497" s="1530"/>
      <c r="CS497" s="1530"/>
      <c r="CT497" s="1530"/>
      <c r="CU497" s="1530"/>
      <c r="CV497" s="1530"/>
      <c r="CW497" s="1530"/>
      <c r="CX497" s="1530"/>
      <c r="CY497" s="1530"/>
      <c r="CZ497" s="1530"/>
      <c r="DA497" s="1530"/>
      <c r="DB497" s="1530"/>
      <c r="DC497" s="1530"/>
      <c r="DD497" s="1530"/>
      <c r="DE497" s="1530"/>
      <c r="DF497" s="1530"/>
      <c r="DG497" s="1530"/>
      <c r="DH497" s="1530"/>
      <c r="DI497" s="1530"/>
      <c r="DJ497" s="1530"/>
      <c r="DK497" s="1530"/>
      <c r="DL497" s="1530"/>
      <c r="DM497" s="1530"/>
      <c r="DN497" s="1571"/>
      <c r="DO497" s="1530"/>
      <c r="DP497" s="1530"/>
    </row>
    <row r="498" spans="1:120">
      <c r="A498" s="1451"/>
      <c r="C498" s="1451"/>
      <c r="K498" s="1451"/>
      <c r="L498" s="1451"/>
      <c r="U498" s="1530"/>
      <c r="V498" s="1530"/>
      <c r="W498" s="1530"/>
      <c r="X498" s="1530"/>
      <c r="Y498" s="1530"/>
      <c r="Z498" s="1530"/>
      <c r="AA498" s="1530"/>
      <c r="AB498" s="1530"/>
      <c r="AC498" s="1530"/>
      <c r="AD498" s="1530"/>
      <c r="AE498" s="1530"/>
      <c r="AF498" s="1530"/>
      <c r="AG498" s="1530"/>
      <c r="AH498" s="1530"/>
      <c r="AI498" s="1530"/>
      <c r="AJ498" s="1530"/>
      <c r="AK498" s="1530"/>
      <c r="AL498" s="1530"/>
      <c r="AM498" s="1530"/>
      <c r="AN498" s="1530"/>
      <c r="AO498" s="1530"/>
      <c r="AP498" s="1530"/>
      <c r="AQ498" s="1530"/>
      <c r="AR498" s="1530"/>
      <c r="AS498" s="1530"/>
      <c r="AT498" s="1530"/>
      <c r="AU498" s="1530"/>
      <c r="AV498" s="1530"/>
      <c r="AW498" s="1530"/>
      <c r="AX498" s="1530"/>
      <c r="AY498" s="1530"/>
      <c r="AZ498" s="1530"/>
      <c r="BA498" s="1530"/>
      <c r="BB498" s="1530"/>
      <c r="BC498" s="1530"/>
      <c r="BD498" s="1530"/>
      <c r="BE498" s="1530"/>
      <c r="BF498" s="1530"/>
      <c r="BG498" s="1530"/>
      <c r="BH498" s="1530"/>
      <c r="BI498" s="1530"/>
      <c r="BJ498" s="1530"/>
      <c r="BK498" s="1530"/>
      <c r="BL498" s="1530"/>
      <c r="BM498" s="1530"/>
      <c r="BN498" s="1530"/>
      <c r="BW498" s="1569"/>
      <c r="CO498" s="1530"/>
      <c r="CP498" s="1530"/>
      <c r="CQ498" s="1530"/>
      <c r="CR498" s="1530"/>
      <c r="CS498" s="1530"/>
      <c r="CT498" s="1530"/>
      <c r="CU498" s="1530"/>
      <c r="CV498" s="1530"/>
      <c r="CW498" s="1530"/>
      <c r="CX498" s="1530"/>
      <c r="CY498" s="1530"/>
      <c r="CZ498" s="1530"/>
      <c r="DA498" s="1530"/>
      <c r="DB498" s="1530"/>
      <c r="DC498" s="1530"/>
      <c r="DD498" s="1530"/>
      <c r="DE498" s="1530"/>
      <c r="DF498" s="1530"/>
      <c r="DG498" s="1530"/>
      <c r="DH498" s="1530"/>
      <c r="DI498" s="1530"/>
      <c r="DJ498" s="1530"/>
      <c r="DK498" s="1530"/>
      <c r="DL498" s="1530"/>
      <c r="DM498" s="1530"/>
      <c r="DN498" s="1571"/>
      <c r="DO498" s="1530"/>
      <c r="DP498" s="1530"/>
    </row>
    <row r="499" spans="1:120">
      <c r="A499" s="1451"/>
      <c r="C499" s="1451"/>
      <c r="K499" s="1451"/>
      <c r="L499" s="1451"/>
      <c r="U499" s="1530"/>
      <c r="V499" s="1530"/>
      <c r="W499" s="1530"/>
      <c r="X499" s="1530"/>
      <c r="Y499" s="1530"/>
      <c r="Z499" s="1530"/>
      <c r="AA499" s="1530"/>
      <c r="AB499" s="1530"/>
      <c r="AC499" s="1530"/>
      <c r="AD499" s="1530"/>
      <c r="AE499" s="1530"/>
      <c r="AF499" s="1530"/>
      <c r="AG499" s="1530"/>
      <c r="AH499" s="1530"/>
      <c r="AI499" s="1530"/>
      <c r="AJ499" s="1530"/>
      <c r="AK499" s="1530"/>
      <c r="AL499" s="1530"/>
      <c r="AM499" s="1530"/>
      <c r="AN499" s="1530"/>
      <c r="AO499" s="1530"/>
      <c r="AP499" s="1530"/>
      <c r="AQ499" s="1530"/>
      <c r="AR499" s="1530"/>
      <c r="AS499" s="1530"/>
      <c r="AT499" s="1530"/>
      <c r="AU499" s="1530"/>
      <c r="AV499" s="1530"/>
      <c r="AW499" s="1530"/>
      <c r="AX499" s="1530"/>
      <c r="AY499" s="1530"/>
      <c r="AZ499" s="1530"/>
      <c r="BA499" s="1530"/>
      <c r="BB499" s="1530"/>
      <c r="BC499" s="1530"/>
      <c r="BD499" s="1530"/>
      <c r="BE499" s="1530"/>
      <c r="BF499" s="1530"/>
      <c r="BG499" s="1530"/>
      <c r="BH499" s="1530"/>
      <c r="BI499" s="1530"/>
      <c r="BJ499" s="1530"/>
      <c r="BK499" s="1530"/>
      <c r="BL499" s="1530"/>
      <c r="BM499" s="1530"/>
      <c r="BN499" s="1530"/>
      <c r="BW499" s="1569"/>
      <c r="CO499" s="1530"/>
      <c r="CP499" s="1530"/>
      <c r="CQ499" s="1530"/>
      <c r="CR499" s="1530"/>
      <c r="CS499" s="1530"/>
      <c r="CT499" s="1530"/>
      <c r="CU499" s="1530"/>
      <c r="CV499" s="1530"/>
      <c r="CW499" s="1530"/>
      <c r="CX499" s="1530"/>
      <c r="CY499" s="1530"/>
      <c r="CZ499" s="1530"/>
      <c r="DA499" s="1530"/>
      <c r="DB499" s="1530"/>
      <c r="DC499" s="1530"/>
      <c r="DD499" s="1530"/>
      <c r="DE499" s="1530"/>
      <c r="DF499" s="1530"/>
      <c r="DG499" s="1530"/>
      <c r="DH499" s="1530"/>
      <c r="DI499" s="1530"/>
      <c r="DJ499" s="1530"/>
      <c r="DK499" s="1530"/>
      <c r="DL499" s="1530"/>
      <c r="DM499" s="1530"/>
      <c r="DN499" s="1571"/>
      <c r="DO499" s="1530"/>
      <c r="DP499" s="1530"/>
    </row>
    <row r="500" spans="1:120">
      <c r="A500" s="1451"/>
      <c r="C500" s="1451"/>
      <c r="K500" s="1451"/>
      <c r="L500" s="1451"/>
      <c r="U500" s="1530"/>
      <c r="V500" s="1530"/>
      <c r="W500" s="1530"/>
      <c r="X500" s="1530"/>
      <c r="Y500" s="1530"/>
      <c r="Z500" s="1530"/>
      <c r="AA500" s="1530"/>
      <c r="AB500" s="1530"/>
      <c r="AC500" s="1530"/>
      <c r="AD500" s="1530"/>
      <c r="AE500" s="1530"/>
      <c r="AF500" s="1530"/>
      <c r="AG500" s="1530"/>
      <c r="AH500" s="1530"/>
      <c r="AI500" s="1530"/>
      <c r="AJ500" s="1530"/>
      <c r="AK500" s="1530"/>
      <c r="AL500" s="1530"/>
      <c r="AM500" s="1530"/>
      <c r="AN500" s="1530"/>
      <c r="AO500" s="1530"/>
      <c r="AP500" s="1530"/>
      <c r="AQ500" s="1530"/>
      <c r="AR500" s="1530"/>
      <c r="AS500" s="1530"/>
      <c r="AT500" s="1530"/>
      <c r="AU500" s="1530"/>
      <c r="AV500" s="1530"/>
      <c r="AW500" s="1530"/>
      <c r="AX500" s="1530"/>
      <c r="AY500" s="1530"/>
      <c r="AZ500" s="1530"/>
      <c r="BA500" s="1530"/>
      <c r="BB500" s="1530"/>
      <c r="BC500" s="1530"/>
      <c r="BD500" s="1530"/>
      <c r="BE500" s="1530"/>
      <c r="BF500" s="1530"/>
      <c r="BG500" s="1530"/>
      <c r="BH500" s="1530"/>
      <c r="BI500" s="1530"/>
      <c r="BJ500" s="1530"/>
      <c r="BK500" s="1530"/>
      <c r="BL500" s="1530"/>
      <c r="BM500" s="1530"/>
      <c r="BN500" s="1530"/>
      <c r="BW500" s="1569"/>
      <c r="CO500" s="1530"/>
      <c r="CP500" s="1530"/>
      <c r="CQ500" s="1530"/>
      <c r="CR500" s="1530"/>
      <c r="CS500" s="1530"/>
      <c r="CT500" s="1530"/>
      <c r="CU500" s="1530"/>
      <c r="CV500" s="1530"/>
      <c r="CW500" s="1530"/>
      <c r="CX500" s="1530"/>
      <c r="CY500" s="1530"/>
      <c r="CZ500" s="1530"/>
      <c r="DA500" s="1530"/>
      <c r="DB500" s="1530"/>
      <c r="DC500" s="1530"/>
      <c r="DD500" s="1530"/>
      <c r="DE500" s="1530"/>
      <c r="DF500" s="1530"/>
      <c r="DG500" s="1530"/>
      <c r="DH500" s="1530"/>
      <c r="DI500" s="1530"/>
      <c r="DJ500" s="1530"/>
      <c r="DK500" s="1530"/>
      <c r="DL500" s="1530"/>
      <c r="DM500" s="1530"/>
      <c r="DN500" s="1571"/>
      <c r="DO500" s="1530"/>
      <c r="DP500" s="1530"/>
    </row>
    <row r="501" spans="1:120">
      <c r="A501" s="1451"/>
      <c r="C501" s="1451"/>
      <c r="K501" s="1451"/>
      <c r="L501" s="1451"/>
      <c r="U501" s="1530"/>
      <c r="V501" s="1530"/>
      <c r="W501" s="1530"/>
      <c r="X501" s="1530"/>
      <c r="Y501" s="1530"/>
      <c r="Z501" s="1530"/>
      <c r="AA501" s="1530"/>
      <c r="AB501" s="1530"/>
      <c r="AC501" s="1530"/>
      <c r="AD501" s="1530"/>
      <c r="AE501" s="1530"/>
      <c r="AF501" s="1530"/>
      <c r="AG501" s="1530"/>
      <c r="AH501" s="1530"/>
      <c r="AI501" s="1530"/>
      <c r="AJ501" s="1530"/>
      <c r="AK501" s="1530"/>
      <c r="AL501" s="1530"/>
      <c r="AM501" s="1530"/>
      <c r="AN501" s="1530"/>
      <c r="AO501" s="1530"/>
      <c r="AP501" s="1530"/>
      <c r="AQ501" s="1530"/>
      <c r="AR501" s="1530"/>
      <c r="AS501" s="1530"/>
      <c r="AT501" s="1530"/>
      <c r="AU501" s="1530"/>
      <c r="AV501" s="1530"/>
      <c r="AW501" s="1530"/>
      <c r="AX501" s="1530"/>
      <c r="AY501" s="1530"/>
      <c r="AZ501" s="1530"/>
      <c r="BA501" s="1530"/>
      <c r="BB501" s="1530"/>
      <c r="BC501" s="1530"/>
      <c r="BD501" s="1530"/>
      <c r="BE501" s="1530"/>
      <c r="BF501" s="1530"/>
      <c r="BG501" s="1530"/>
      <c r="BH501" s="1530"/>
      <c r="BI501" s="1530"/>
      <c r="BJ501" s="1530"/>
      <c r="BK501" s="1530"/>
      <c r="BL501" s="1530"/>
      <c r="BM501" s="1530"/>
      <c r="BN501" s="1530"/>
      <c r="BW501" s="1569"/>
      <c r="CO501" s="1530"/>
      <c r="CP501" s="1530"/>
      <c r="CQ501" s="1530"/>
      <c r="CR501" s="1530"/>
      <c r="CS501" s="1530"/>
      <c r="CT501" s="1530"/>
      <c r="CU501" s="1530"/>
      <c r="CV501" s="1530"/>
      <c r="CW501" s="1530"/>
      <c r="CX501" s="1530"/>
      <c r="CY501" s="1530"/>
      <c r="CZ501" s="1530"/>
      <c r="DA501" s="1530"/>
      <c r="DB501" s="1530"/>
      <c r="DC501" s="1530"/>
      <c r="DD501" s="1530"/>
      <c r="DE501" s="1530"/>
      <c r="DF501" s="1530"/>
      <c r="DG501" s="1530"/>
      <c r="DH501" s="1530"/>
      <c r="DI501" s="1530"/>
      <c r="DJ501" s="1530"/>
      <c r="DK501" s="1530"/>
      <c r="DL501" s="1530"/>
      <c r="DM501" s="1530"/>
      <c r="DN501" s="1571"/>
      <c r="DO501" s="1530"/>
      <c r="DP501" s="1530"/>
    </row>
    <row r="502" spans="1:120">
      <c r="A502" s="1451"/>
      <c r="C502" s="1451"/>
      <c r="K502" s="1451"/>
      <c r="L502" s="1451"/>
      <c r="U502" s="1530"/>
      <c r="V502" s="1530"/>
      <c r="W502" s="1530"/>
      <c r="X502" s="1530"/>
      <c r="Y502" s="1530"/>
      <c r="Z502" s="1530"/>
      <c r="AA502" s="1530"/>
      <c r="AB502" s="1530"/>
      <c r="AC502" s="1530"/>
      <c r="AD502" s="1530"/>
      <c r="AE502" s="1530"/>
      <c r="AF502" s="1530"/>
      <c r="AG502" s="1530"/>
      <c r="AH502" s="1530"/>
      <c r="AI502" s="1530"/>
      <c r="AJ502" s="1530"/>
      <c r="AK502" s="1530"/>
      <c r="AL502" s="1530"/>
      <c r="AM502" s="1530"/>
      <c r="AN502" s="1530"/>
      <c r="AO502" s="1530"/>
      <c r="AP502" s="1530"/>
      <c r="AQ502" s="1530"/>
      <c r="AR502" s="1530"/>
      <c r="AS502" s="1530"/>
      <c r="AT502" s="1530"/>
      <c r="AU502" s="1530"/>
      <c r="AV502" s="1530"/>
      <c r="AW502" s="1530"/>
      <c r="AX502" s="1530"/>
      <c r="AY502" s="1530"/>
      <c r="AZ502" s="1530"/>
      <c r="BA502" s="1530"/>
      <c r="BB502" s="1530"/>
      <c r="BC502" s="1530"/>
      <c r="BD502" s="1530"/>
      <c r="BE502" s="1530"/>
      <c r="BF502" s="1530"/>
      <c r="BG502" s="1530"/>
      <c r="BH502" s="1530"/>
      <c r="BI502" s="1530"/>
      <c r="BJ502" s="1530"/>
      <c r="BK502" s="1530"/>
      <c r="BL502" s="1530"/>
      <c r="BM502" s="1530"/>
      <c r="BN502" s="1530"/>
      <c r="BW502" s="1569"/>
      <c r="CO502" s="1530"/>
      <c r="CP502" s="1530"/>
      <c r="CQ502" s="1530"/>
      <c r="CR502" s="1530"/>
      <c r="CS502" s="1530"/>
      <c r="CT502" s="1530"/>
      <c r="CU502" s="1530"/>
      <c r="CV502" s="1530"/>
      <c r="CW502" s="1530"/>
      <c r="CX502" s="1530"/>
      <c r="CY502" s="1530"/>
      <c r="CZ502" s="1530"/>
      <c r="DA502" s="1530"/>
      <c r="DB502" s="1530"/>
      <c r="DC502" s="1530"/>
      <c r="DD502" s="1530"/>
      <c r="DE502" s="1530"/>
      <c r="DF502" s="1530"/>
      <c r="DG502" s="1530"/>
      <c r="DH502" s="1530"/>
      <c r="DI502" s="1530"/>
      <c r="DJ502" s="1530"/>
      <c r="DK502" s="1530"/>
      <c r="DL502" s="1530"/>
      <c r="DM502" s="1530"/>
      <c r="DN502" s="1571"/>
      <c r="DO502" s="1530"/>
      <c r="DP502" s="1530"/>
    </row>
    <row r="503" spans="1:120">
      <c r="A503" s="1451"/>
      <c r="C503" s="1451"/>
      <c r="K503" s="1451"/>
      <c r="L503" s="1451"/>
      <c r="U503" s="1530"/>
      <c r="V503" s="1530"/>
      <c r="W503" s="1530"/>
      <c r="X503" s="1530"/>
      <c r="Y503" s="1530"/>
      <c r="Z503" s="1530"/>
      <c r="AA503" s="1530"/>
      <c r="AB503" s="1530"/>
      <c r="AC503" s="1530"/>
      <c r="AD503" s="1530"/>
      <c r="AE503" s="1530"/>
      <c r="AF503" s="1530"/>
      <c r="AG503" s="1530"/>
      <c r="AH503" s="1530"/>
      <c r="AI503" s="1530"/>
      <c r="AJ503" s="1530"/>
      <c r="AK503" s="1530"/>
      <c r="AL503" s="1530"/>
      <c r="AM503" s="1530"/>
      <c r="AN503" s="1530"/>
      <c r="AO503" s="1530"/>
      <c r="AP503" s="1530"/>
      <c r="AQ503" s="1530"/>
      <c r="AR503" s="1530"/>
      <c r="AS503" s="1530"/>
      <c r="AT503" s="1530"/>
      <c r="AU503" s="1530"/>
      <c r="AV503" s="1530"/>
      <c r="AW503" s="1530"/>
      <c r="AX503" s="1530"/>
      <c r="AY503" s="1530"/>
      <c r="AZ503" s="1530"/>
      <c r="BA503" s="1530"/>
      <c r="BB503" s="1530"/>
      <c r="BC503" s="1530"/>
      <c r="BD503" s="1530"/>
      <c r="BE503" s="1530"/>
      <c r="BF503" s="1530"/>
      <c r="BG503" s="1530"/>
      <c r="BH503" s="1530"/>
      <c r="BI503" s="1530"/>
      <c r="BJ503" s="1530"/>
      <c r="BK503" s="1530"/>
      <c r="BL503" s="1530"/>
      <c r="BM503" s="1530"/>
      <c r="BN503" s="1530"/>
      <c r="BW503" s="1569"/>
      <c r="CO503" s="1530"/>
      <c r="CP503" s="1530"/>
      <c r="CQ503" s="1530"/>
      <c r="CR503" s="1530"/>
      <c r="CS503" s="1530"/>
      <c r="CT503" s="1530"/>
      <c r="CU503" s="1530"/>
      <c r="CV503" s="1530"/>
      <c r="CW503" s="1530"/>
      <c r="CX503" s="1530"/>
      <c r="CY503" s="1530"/>
      <c r="CZ503" s="1530"/>
      <c r="DA503" s="1530"/>
      <c r="DB503" s="1530"/>
      <c r="DC503" s="1530"/>
      <c r="DD503" s="1530"/>
      <c r="DE503" s="1530"/>
      <c r="DF503" s="1530"/>
      <c r="DG503" s="1530"/>
      <c r="DH503" s="1530"/>
      <c r="DI503" s="1530"/>
      <c r="DJ503" s="1530"/>
      <c r="DK503" s="1530"/>
      <c r="DL503" s="1530"/>
      <c r="DM503" s="1530"/>
      <c r="DN503" s="1571"/>
      <c r="DO503" s="1530"/>
      <c r="DP503" s="1530"/>
    </row>
    <row r="504" spans="1:120">
      <c r="A504" s="1451"/>
      <c r="C504" s="1451"/>
      <c r="K504" s="1451"/>
      <c r="L504" s="1451"/>
      <c r="U504" s="1530"/>
      <c r="V504" s="1530"/>
      <c r="W504" s="1530"/>
      <c r="X504" s="1530"/>
      <c r="Y504" s="1530"/>
      <c r="Z504" s="1530"/>
      <c r="AA504" s="1530"/>
      <c r="AB504" s="1530"/>
      <c r="AC504" s="1530"/>
      <c r="AD504" s="1530"/>
      <c r="AE504" s="1530"/>
      <c r="AF504" s="1530"/>
      <c r="AG504" s="1530"/>
      <c r="AH504" s="1530"/>
      <c r="AI504" s="1530"/>
      <c r="AJ504" s="1530"/>
      <c r="AK504" s="1530"/>
      <c r="AL504" s="1530"/>
      <c r="AM504" s="1530"/>
      <c r="AN504" s="1530"/>
      <c r="AO504" s="1530"/>
      <c r="AP504" s="1530"/>
      <c r="AQ504" s="1530"/>
      <c r="AR504" s="1530"/>
      <c r="AS504" s="1530"/>
      <c r="AT504" s="1530"/>
      <c r="AU504" s="1530"/>
      <c r="AV504" s="1530"/>
      <c r="AW504" s="1530"/>
      <c r="AX504" s="1530"/>
      <c r="AY504" s="1530"/>
      <c r="AZ504" s="1530"/>
      <c r="BA504" s="1530"/>
      <c r="BB504" s="1530"/>
      <c r="BC504" s="1530"/>
      <c r="BD504" s="1530"/>
      <c r="BE504" s="1530"/>
      <c r="BF504" s="1530"/>
      <c r="BG504" s="1530"/>
      <c r="BH504" s="1530"/>
      <c r="BI504" s="1530"/>
      <c r="BJ504" s="1530"/>
      <c r="BK504" s="1530"/>
      <c r="BL504" s="1530"/>
      <c r="BM504" s="1530"/>
      <c r="BN504" s="1530"/>
      <c r="BW504" s="1569"/>
      <c r="CO504" s="1530"/>
      <c r="CP504" s="1530"/>
      <c r="CQ504" s="1530"/>
      <c r="CR504" s="1530"/>
      <c r="CS504" s="1530"/>
      <c r="CT504" s="1530"/>
      <c r="CU504" s="1530"/>
      <c r="CV504" s="1530"/>
      <c r="CW504" s="1530"/>
      <c r="CX504" s="1530"/>
      <c r="CY504" s="1530"/>
      <c r="CZ504" s="1530"/>
      <c r="DA504" s="1530"/>
      <c r="DB504" s="1530"/>
      <c r="DC504" s="1530"/>
      <c r="DD504" s="1530"/>
      <c r="DE504" s="1530"/>
      <c r="DF504" s="1530"/>
      <c r="DG504" s="1530"/>
      <c r="DH504" s="1530"/>
      <c r="DI504" s="1530"/>
      <c r="DJ504" s="1530"/>
      <c r="DK504" s="1530"/>
      <c r="DL504" s="1530"/>
      <c r="DM504" s="1530"/>
      <c r="DN504" s="1571"/>
      <c r="DO504" s="1530"/>
      <c r="DP504" s="1530"/>
    </row>
    <row r="505" spans="1:120">
      <c r="A505" s="1451"/>
      <c r="C505" s="1451"/>
      <c r="K505" s="1451"/>
      <c r="L505" s="1451"/>
      <c r="U505" s="1530"/>
      <c r="V505" s="1530"/>
      <c r="W505" s="1530"/>
      <c r="X505" s="1530"/>
      <c r="Y505" s="1530"/>
      <c r="Z505" s="1530"/>
      <c r="AA505" s="1530"/>
      <c r="AB505" s="1530"/>
      <c r="AC505" s="1530"/>
      <c r="AD505" s="1530"/>
      <c r="AE505" s="1530"/>
      <c r="AF505" s="1530"/>
      <c r="AG505" s="1530"/>
      <c r="AH505" s="1530"/>
      <c r="AI505" s="1530"/>
      <c r="AJ505" s="1530"/>
      <c r="AK505" s="1530"/>
      <c r="AL505" s="1530"/>
      <c r="AM505" s="1530"/>
      <c r="AN505" s="1530"/>
      <c r="AO505" s="1530"/>
      <c r="AP505" s="1530"/>
      <c r="AQ505" s="1530"/>
      <c r="AR505" s="1530"/>
      <c r="AS505" s="1530"/>
      <c r="AT505" s="1530"/>
      <c r="AU505" s="1530"/>
      <c r="AV505" s="1530"/>
      <c r="AW505" s="1530"/>
      <c r="AX505" s="1530"/>
      <c r="AY505" s="1530"/>
      <c r="AZ505" s="1530"/>
      <c r="BA505" s="1530"/>
      <c r="BB505" s="1530"/>
      <c r="BC505" s="1530"/>
      <c r="BD505" s="1530"/>
      <c r="BE505" s="1530"/>
      <c r="BF505" s="1530"/>
      <c r="BG505" s="1530"/>
      <c r="BH505" s="1530"/>
      <c r="BI505" s="1530"/>
      <c r="BJ505" s="1530"/>
      <c r="BK505" s="1530"/>
      <c r="BL505" s="1530"/>
      <c r="BM505" s="1530"/>
      <c r="BN505" s="1530"/>
      <c r="BW505" s="1569"/>
      <c r="CO505" s="1530"/>
      <c r="CP505" s="1530"/>
      <c r="CQ505" s="1530"/>
      <c r="CR505" s="1530"/>
      <c r="CS505" s="1530"/>
      <c r="CT505" s="1530"/>
      <c r="CU505" s="1530"/>
      <c r="CV505" s="1530"/>
      <c r="CW505" s="1530"/>
      <c r="CX505" s="1530"/>
      <c r="CY505" s="1530"/>
      <c r="CZ505" s="1530"/>
      <c r="DA505" s="1530"/>
      <c r="DB505" s="1530"/>
      <c r="DC505" s="1530"/>
      <c r="DD505" s="1530"/>
      <c r="DE505" s="1530"/>
      <c r="DF505" s="1530"/>
      <c r="DG505" s="1530"/>
      <c r="DH505" s="1530"/>
      <c r="DI505" s="1530"/>
      <c r="DJ505" s="1530"/>
      <c r="DK505" s="1530"/>
      <c r="DL505" s="1530"/>
      <c r="DM505" s="1530"/>
      <c r="DN505" s="1571"/>
      <c r="DO505" s="1530"/>
      <c r="DP505" s="1530"/>
    </row>
    <row r="506" spans="1:120">
      <c r="A506" s="1451"/>
      <c r="C506" s="1451"/>
      <c r="K506" s="1451"/>
      <c r="L506" s="1451"/>
      <c r="U506" s="1530"/>
      <c r="V506" s="1530"/>
      <c r="W506" s="1530"/>
      <c r="X506" s="1530"/>
      <c r="Y506" s="1530"/>
      <c r="Z506" s="1530"/>
      <c r="AA506" s="1530"/>
      <c r="AB506" s="1530"/>
      <c r="AC506" s="1530"/>
      <c r="AD506" s="1530"/>
      <c r="AE506" s="1530"/>
      <c r="AF506" s="1530"/>
      <c r="AG506" s="1530"/>
      <c r="AH506" s="1530"/>
      <c r="AI506" s="1530"/>
      <c r="AJ506" s="1530"/>
      <c r="AK506" s="1530"/>
      <c r="AL506" s="1530"/>
      <c r="AM506" s="1530"/>
      <c r="AN506" s="1530"/>
      <c r="AO506" s="1530"/>
      <c r="AP506" s="1530"/>
      <c r="AQ506" s="1530"/>
      <c r="AR506" s="1530"/>
      <c r="AS506" s="1530"/>
      <c r="AT506" s="1530"/>
      <c r="AU506" s="1530"/>
      <c r="AV506" s="1530"/>
      <c r="AW506" s="1530"/>
      <c r="AX506" s="1530"/>
      <c r="AY506" s="1530"/>
      <c r="AZ506" s="1530"/>
      <c r="BA506" s="1530"/>
      <c r="BB506" s="1530"/>
      <c r="BC506" s="1530"/>
      <c r="BD506" s="1530"/>
      <c r="BE506" s="1530"/>
      <c r="BF506" s="1530"/>
      <c r="BG506" s="1530"/>
      <c r="BH506" s="1530"/>
      <c r="BI506" s="1530"/>
      <c r="BJ506" s="1530"/>
      <c r="BK506" s="1530"/>
      <c r="BL506" s="1530"/>
      <c r="BM506" s="1530"/>
      <c r="BN506" s="1530"/>
      <c r="BW506" s="1569"/>
      <c r="CO506" s="1530"/>
      <c r="CP506" s="1530"/>
      <c r="CQ506" s="1530"/>
      <c r="CR506" s="1530"/>
      <c r="CS506" s="1530"/>
      <c r="CT506" s="1530"/>
      <c r="CU506" s="1530"/>
      <c r="CV506" s="1530"/>
      <c r="CW506" s="1530"/>
      <c r="CX506" s="1530"/>
      <c r="CY506" s="1530"/>
      <c r="CZ506" s="1530"/>
      <c r="DA506" s="1530"/>
      <c r="DB506" s="1530"/>
      <c r="DC506" s="1530"/>
      <c r="DD506" s="1530"/>
      <c r="DE506" s="1530"/>
      <c r="DF506" s="1530"/>
      <c r="DG506" s="1530"/>
      <c r="DH506" s="1530"/>
      <c r="DI506" s="1530"/>
      <c r="DJ506" s="1530"/>
      <c r="DK506" s="1530"/>
      <c r="DL506" s="1530"/>
      <c r="DM506" s="1530"/>
      <c r="DN506" s="1571"/>
      <c r="DO506" s="1530"/>
      <c r="DP506" s="1530"/>
    </row>
    <row r="507" spans="1:120">
      <c r="A507" s="1451"/>
      <c r="C507" s="1451"/>
      <c r="K507" s="1451"/>
      <c r="L507" s="1451"/>
      <c r="U507" s="1530"/>
      <c r="V507" s="1530"/>
      <c r="W507" s="1530"/>
      <c r="X507" s="1530"/>
      <c r="Y507" s="1530"/>
      <c r="Z507" s="1530"/>
      <c r="AA507" s="1530"/>
      <c r="AB507" s="1530"/>
      <c r="AC507" s="1530"/>
      <c r="AD507" s="1530"/>
      <c r="AE507" s="1530"/>
      <c r="AF507" s="1530"/>
      <c r="AG507" s="1530"/>
      <c r="AH507" s="1530"/>
      <c r="AI507" s="1530"/>
      <c r="AJ507" s="1530"/>
      <c r="AK507" s="1530"/>
      <c r="AL507" s="1530"/>
      <c r="AM507" s="1530"/>
      <c r="AN507" s="1530"/>
      <c r="AO507" s="1530"/>
      <c r="AP507" s="1530"/>
      <c r="AQ507" s="1530"/>
      <c r="AR507" s="1530"/>
      <c r="AS507" s="1530"/>
      <c r="AT507" s="1530"/>
      <c r="AU507" s="1530"/>
      <c r="AV507" s="1530"/>
      <c r="AW507" s="1530"/>
      <c r="AX507" s="1530"/>
      <c r="AY507" s="1530"/>
      <c r="AZ507" s="1530"/>
      <c r="BA507" s="1530"/>
      <c r="BB507" s="1530"/>
      <c r="BC507" s="1530"/>
      <c r="BD507" s="1530"/>
      <c r="BE507" s="1530"/>
      <c r="BF507" s="1530"/>
      <c r="BG507" s="1530"/>
      <c r="BH507" s="1530"/>
      <c r="BI507" s="1530"/>
      <c r="BJ507" s="1530"/>
      <c r="BK507" s="1530"/>
      <c r="BL507" s="1530"/>
      <c r="BM507" s="1530"/>
      <c r="BN507" s="1530"/>
      <c r="BW507" s="1569"/>
      <c r="CO507" s="1530"/>
      <c r="CP507" s="1530"/>
      <c r="CQ507" s="1530"/>
      <c r="CR507" s="1530"/>
      <c r="CS507" s="1530"/>
      <c r="CT507" s="1530"/>
      <c r="CU507" s="1530"/>
      <c r="CV507" s="1530"/>
      <c r="CW507" s="1530"/>
      <c r="CX507" s="1530"/>
      <c r="CY507" s="1530"/>
      <c r="CZ507" s="1530"/>
      <c r="DA507" s="1530"/>
      <c r="DB507" s="1530"/>
      <c r="DC507" s="1530"/>
      <c r="DD507" s="1530"/>
      <c r="DE507" s="1530"/>
      <c r="DF507" s="1530"/>
      <c r="DG507" s="1530"/>
      <c r="DH507" s="1530"/>
      <c r="DI507" s="1530"/>
      <c r="DJ507" s="1530"/>
      <c r="DK507" s="1530"/>
      <c r="DL507" s="1530"/>
      <c r="DM507" s="1530"/>
      <c r="DN507" s="1571"/>
      <c r="DO507" s="1530"/>
      <c r="DP507" s="1530"/>
    </row>
    <row r="508" spans="1:120">
      <c r="A508" s="1451"/>
      <c r="C508" s="1451"/>
      <c r="K508" s="1451"/>
      <c r="L508" s="1451"/>
      <c r="U508" s="1530"/>
      <c r="V508" s="1530"/>
      <c r="W508" s="1530"/>
      <c r="X508" s="1530"/>
      <c r="Y508" s="1530"/>
      <c r="Z508" s="1530"/>
      <c r="AA508" s="1530"/>
      <c r="AB508" s="1530"/>
      <c r="AC508" s="1530"/>
      <c r="AD508" s="1530"/>
      <c r="AE508" s="1530"/>
      <c r="AF508" s="1530"/>
      <c r="AG508" s="1530"/>
      <c r="AH508" s="1530"/>
      <c r="AI508" s="1530"/>
      <c r="AJ508" s="1530"/>
      <c r="AK508" s="1530"/>
      <c r="AL508" s="1530"/>
      <c r="AM508" s="1530"/>
      <c r="AN508" s="1530"/>
      <c r="AO508" s="1530"/>
      <c r="AP508" s="1530"/>
      <c r="AQ508" s="1530"/>
      <c r="AR508" s="1530"/>
      <c r="AS508" s="1530"/>
      <c r="AT508" s="1530"/>
      <c r="AU508" s="1530"/>
      <c r="AV508" s="1530"/>
      <c r="AW508" s="1530"/>
      <c r="AX508" s="1530"/>
      <c r="AY508" s="1530"/>
      <c r="AZ508" s="1530"/>
      <c r="BA508" s="1530"/>
      <c r="BB508" s="1530"/>
      <c r="BC508" s="1530"/>
      <c r="BD508" s="1530"/>
      <c r="BE508" s="1530"/>
      <c r="BF508" s="1530"/>
      <c r="BG508" s="1530"/>
      <c r="BH508" s="1530"/>
      <c r="BI508" s="1530"/>
      <c r="BJ508" s="1530"/>
      <c r="BK508" s="1530"/>
      <c r="BL508" s="1530"/>
      <c r="BM508" s="1530"/>
      <c r="BN508" s="1530"/>
      <c r="BW508" s="1569"/>
      <c r="CO508" s="1530"/>
      <c r="CP508" s="1530"/>
      <c r="CQ508" s="1530"/>
      <c r="CR508" s="1530"/>
      <c r="CS508" s="1530"/>
      <c r="CT508" s="1530"/>
      <c r="CU508" s="1530"/>
      <c r="CV508" s="1530"/>
      <c r="CW508" s="1530"/>
      <c r="CX508" s="1530"/>
      <c r="CY508" s="1530"/>
      <c r="CZ508" s="1530"/>
      <c r="DA508" s="1530"/>
      <c r="DB508" s="1530"/>
      <c r="DC508" s="1530"/>
      <c r="DD508" s="1530"/>
      <c r="DE508" s="1530"/>
      <c r="DF508" s="1530"/>
      <c r="DG508" s="1530"/>
      <c r="DH508" s="1530"/>
      <c r="DI508" s="1530"/>
      <c r="DJ508" s="1530"/>
      <c r="DK508" s="1530"/>
      <c r="DL508" s="1530"/>
      <c r="DM508" s="1530"/>
      <c r="DN508" s="1571"/>
      <c r="DO508" s="1530"/>
      <c r="DP508" s="1530"/>
    </row>
    <row r="509" spans="1:120">
      <c r="A509" s="1451"/>
      <c r="C509" s="1451"/>
      <c r="K509" s="1451"/>
      <c r="L509" s="1451"/>
      <c r="U509" s="1530"/>
      <c r="V509" s="1530"/>
      <c r="W509" s="1530"/>
      <c r="X509" s="1530"/>
      <c r="Y509" s="1530"/>
      <c r="Z509" s="1530"/>
      <c r="AA509" s="1530"/>
      <c r="AB509" s="1530"/>
      <c r="AC509" s="1530"/>
      <c r="AD509" s="1530"/>
      <c r="AE509" s="1530"/>
      <c r="AF509" s="1530"/>
      <c r="AG509" s="1530"/>
      <c r="AH509" s="1530"/>
      <c r="AI509" s="1530"/>
      <c r="AJ509" s="1530"/>
      <c r="AK509" s="1530"/>
      <c r="AL509" s="1530"/>
      <c r="AM509" s="1530"/>
      <c r="AN509" s="1530"/>
      <c r="AO509" s="1530"/>
      <c r="AP509" s="1530"/>
      <c r="AQ509" s="1530"/>
      <c r="AR509" s="1530"/>
      <c r="AS509" s="1530"/>
      <c r="AT509" s="1530"/>
      <c r="AU509" s="1530"/>
      <c r="AV509" s="1530"/>
      <c r="AW509" s="1530"/>
      <c r="AX509" s="1530"/>
      <c r="AY509" s="1530"/>
      <c r="AZ509" s="1530"/>
      <c r="BA509" s="1530"/>
      <c r="BB509" s="1530"/>
      <c r="BC509" s="1530"/>
      <c r="BD509" s="1530"/>
      <c r="BE509" s="1530"/>
      <c r="BF509" s="1530"/>
      <c r="BG509" s="1530"/>
      <c r="BH509" s="1530"/>
      <c r="BI509" s="1530"/>
      <c r="BJ509" s="1530"/>
      <c r="BK509" s="1530"/>
      <c r="BL509" s="1530"/>
      <c r="BM509" s="1530"/>
      <c r="BN509" s="1530"/>
      <c r="BW509" s="1569"/>
      <c r="CO509" s="1530"/>
      <c r="CP509" s="1530"/>
      <c r="CQ509" s="1530"/>
      <c r="CR509" s="1530"/>
      <c r="CS509" s="1530"/>
      <c r="CT509" s="1530"/>
      <c r="CU509" s="1530"/>
      <c r="CV509" s="1530"/>
      <c r="CW509" s="1530"/>
      <c r="CX509" s="1530"/>
      <c r="CY509" s="1530"/>
      <c r="CZ509" s="1530"/>
      <c r="DA509" s="1530"/>
      <c r="DB509" s="1530"/>
      <c r="DC509" s="1530"/>
      <c r="DD509" s="1530"/>
      <c r="DE509" s="1530"/>
      <c r="DF509" s="1530"/>
      <c r="DG509" s="1530"/>
      <c r="DH509" s="1530"/>
      <c r="DI509" s="1530"/>
      <c r="DJ509" s="1530"/>
      <c r="DK509" s="1530"/>
      <c r="DL509" s="1530"/>
      <c r="DM509" s="1530"/>
      <c r="DN509" s="1571"/>
      <c r="DO509" s="1530"/>
      <c r="DP509" s="1530"/>
    </row>
    <row r="510" spans="1:120">
      <c r="A510" s="1451"/>
      <c r="C510" s="1451"/>
      <c r="K510" s="1451"/>
      <c r="L510" s="1451"/>
      <c r="U510" s="1530"/>
      <c r="V510" s="1530"/>
      <c r="W510" s="1530"/>
      <c r="X510" s="1530"/>
      <c r="Y510" s="1530"/>
      <c r="Z510" s="1530"/>
      <c r="AA510" s="1530"/>
      <c r="AB510" s="1530"/>
      <c r="AC510" s="1530"/>
      <c r="AD510" s="1530"/>
      <c r="AE510" s="1530"/>
      <c r="AF510" s="1530"/>
      <c r="AG510" s="1530"/>
      <c r="AH510" s="1530"/>
      <c r="AI510" s="1530"/>
      <c r="AJ510" s="1530"/>
      <c r="AK510" s="1530"/>
      <c r="AL510" s="1530"/>
      <c r="AM510" s="1530"/>
      <c r="AN510" s="1530"/>
      <c r="AO510" s="1530"/>
      <c r="AP510" s="1530"/>
      <c r="AQ510" s="1530"/>
      <c r="AR510" s="1530"/>
      <c r="AS510" s="1530"/>
      <c r="AT510" s="1530"/>
      <c r="AU510" s="1530"/>
      <c r="AV510" s="1530"/>
      <c r="AW510" s="1530"/>
      <c r="AX510" s="1530"/>
      <c r="AY510" s="1530"/>
      <c r="AZ510" s="1530"/>
      <c r="BA510" s="1530"/>
      <c r="BB510" s="1530"/>
      <c r="BC510" s="1530"/>
      <c r="BD510" s="1530"/>
      <c r="BE510" s="1530"/>
      <c r="BF510" s="1530"/>
      <c r="BG510" s="1530"/>
      <c r="BH510" s="1530"/>
      <c r="BI510" s="1530"/>
      <c r="BJ510" s="1530"/>
      <c r="BK510" s="1530"/>
      <c r="BL510" s="1530"/>
      <c r="BM510" s="1530"/>
      <c r="BN510" s="1530"/>
      <c r="BW510" s="1569"/>
      <c r="CO510" s="1530"/>
      <c r="CP510" s="1530"/>
      <c r="CQ510" s="1530"/>
      <c r="CR510" s="1530"/>
      <c r="CS510" s="1530"/>
      <c r="CT510" s="1530"/>
      <c r="CU510" s="1530"/>
      <c r="CV510" s="1530"/>
      <c r="CW510" s="1530"/>
      <c r="CX510" s="1530"/>
      <c r="CY510" s="1530"/>
      <c r="CZ510" s="1530"/>
      <c r="DA510" s="1530"/>
      <c r="DB510" s="1530"/>
      <c r="DC510" s="1530"/>
      <c r="DD510" s="1530"/>
      <c r="DE510" s="1530"/>
      <c r="DF510" s="1530"/>
      <c r="DG510" s="1530"/>
      <c r="DH510" s="1530"/>
      <c r="DI510" s="1530"/>
      <c r="DJ510" s="1530"/>
      <c r="DK510" s="1530"/>
      <c r="DL510" s="1530"/>
      <c r="DM510" s="1530"/>
      <c r="DN510" s="1571"/>
      <c r="DO510" s="1530"/>
      <c r="DP510" s="1530"/>
    </row>
    <row r="511" spans="1:120">
      <c r="A511" s="1451"/>
      <c r="C511" s="1451"/>
      <c r="K511" s="1451"/>
      <c r="L511" s="1451"/>
      <c r="U511" s="1530"/>
      <c r="V511" s="1530"/>
      <c r="W511" s="1530"/>
      <c r="X511" s="1530"/>
      <c r="Y511" s="1530"/>
      <c r="Z511" s="1530"/>
      <c r="AA511" s="1530"/>
      <c r="AB511" s="1530"/>
      <c r="AC511" s="1530"/>
      <c r="AD511" s="1530"/>
      <c r="AE511" s="1530"/>
      <c r="AF511" s="1530"/>
      <c r="AG511" s="1530"/>
      <c r="AH511" s="1530"/>
      <c r="AI511" s="1530"/>
      <c r="AJ511" s="1530"/>
      <c r="AK511" s="1530"/>
      <c r="AL511" s="1530"/>
      <c r="AM511" s="1530"/>
      <c r="AN511" s="1530"/>
      <c r="AO511" s="1530"/>
      <c r="AP511" s="1530"/>
      <c r="AQ511" s="1530"/>
      <c r="AR511" s="1530"/>
      <c r="AS511" s="1530"/>
      <c r="AT511" s="1530"/>
      <c r="AU511" s="1530"/>
      <c r="AV511" s="1530"/>
      <c r="AW511" s="1530"/>
      <c r="AX511" s="1530"/>
      <c r="AY511" s="1530"/>
      <c r="AZ511" s="1530"/>
      <c r="BA511" s="1530"/>
      <c r="BB511" s="1530"/>
      <c r="BC511" s="1530"/>
      <c r="BD511" s="1530"/>
      <c r="BE511" s="1530"/>
      <c r="BF511" s="1530"/>
      <c r="BG511" s="1530"/>
      <c r="BH511" s="1530"/>
      <c r="BI511" s="1530"/>
      <c r="BJ511" s="1530"/>
      <c r="BK511" s="1530"/>
      <c r="BL511" s="1530"/>
      <c r="BM511" s="1530"/>
      <c r="BN511" s="1530"/>
      <c r="BW511" s="1569"/>
      <c r="CO511" s="1530"/>
      <c r="CP511" s="1530"/>
      <c r="CQ511" s="1530"/>
      <c r="CR511" s="1530"/>
      <c r="CS511" s="1530"/>
      <c r="CT511" s="1530"/>
      <c r="CU511" s="1530"/>
      <c r="CV511" s="1530"/>
      <c r="CW511" s="1530"/>
      <c r="CX511" s="1530"/>
      <c r="CY511" s="1530"/>
      <c r="CZ511" s="1530"/>
      <c r="DA511" s="1530"/>
      <c r="DB511" s="1530"/>
      <c r="DC511" s="1530"/>
      <c r="DD511" s="1530"/>
      <c r="DE511" s="1530"/>
      <c r="DF511" s="1530"/>
      <c r="DG511" s="1530"/>
      <c r="DH511" s="1530"/>
      <c r="DI511" s="1530"/>
      <c r="DJ511" s="1530"/>
      <c r="DK511" s="1530"/>
      <c r="DL511" s="1530"/>
      <c r="DM511" s="1530"/>
      <c r="DN511" s="1571"/>
      <c r="DO511" s="1530"/>
      <c r="DP511" s="1530"/>
    </row>
    <row r="512" spans="1:120">
      <c r="A512" s="1451"/>
      <c r="C512" s="1451"/>
      <c r="K512" s="1451"/>
      <c r="L512" s="1451"/>
      <c r="U512" s="1530"/>
      <c r="V512" s="1530"/>
      <c r="W512" s="1530"/>
      <c r="X512" s="1530"/>
      <c r="Y512" s="1530"/>
      <c r="Z512" s="1530"/>
      <c r="AA512" s="1530"/>
      <c r="AB512" s="1530"/>
      <c r="AC512" s="1530"/>
      <c r="AD512" s="1530"/>
      <c r="AE512" s="1530"/>
      <c r="AF512" s="1530"/>
      <c r="AG512" s="1530"/>
      <c r="AH512" s="1530"/>
      <c r="AI512" s="1530"/>
      <c r="AJ512" s="1530"/>
      <c r="AK512" s="1530"/>
      <c r="AL512" s="1530"/>
      <c r="AM512" s="1530"/>
      <c r="AN512" s="1530"/>
      <c r="AO512" s="1530"/>
      <c r="AP512" s="1530"/>
      <c r="AQ512" s="1530"/>
      <c r="AR512" s="1530"/>
      <c r="AS512" s="1530"/>
      <c r="AT512" s="1530"/>
      <c r="AU512" s="1530"/>
      <c r="AV512" s="1530"/>
      <c r="AW512" s="1530"/>
      <c r="AX512" s="1530"/>
      <c r="AY512" s="1530"/>
      <c r="AZ512" s="1530"/>
      <c r="BA512" s="1530"/>
      <c r="BB512" s="1530"/>
      <c r="BC512" s="1530"/>
      <c r="BD512" s="1530"/>
      <c r="BE512" s="1530"/>
      <c r="BF512" s="1530"/>
      <c r="BG512" s="1530"/>
      <c r="BH512" s="1530"/>
      <c r="BI512" s="1530"/>
      <c r="BJ512" s="1530"/>
      <c r="BK512" s="1530"/>
      <c r="BL512" s="1530"/>
      <c r="BM512" s="1530"/>
      <c r="BN512" s="1530"/>
      <c r="BW512" s="1569"/>
      <c r="CO512" s="1530"/>
      <c r="CP512" s="1530"/>
      <c r="CQ512" s="1530"/>
      <c r="CR512" s="1530"/>
      <c r="CS512" s="1530"/>
      <c r="CT512" s="1530"/>
      <c r="CU512" s="1530"/>
      <c r="CV512" s="1530"/>
      <c r="CW512" s="1530"/>
      <c r="CX512" s="1530"/>
      <c r="CY512" s="1530"/>
      <c r="CZ512" s="1530"/>
      <c r="DA512" s="1530"/>
      <c r="DB512" s="1530"/>
      <c r="DC512" s="1530"/>
      <c r="DD512" s="1530"/>
      <c r="DE512" s="1530"/>
      <c r="DF512" s="1530"/>
      <c r="DG512" s="1530"/>
      <c r="DH512" s="1530"/>
      <c r="DI512" s="1530"/>
      <c r="DJ512" s="1530"/>
      <c r="DK512" s="1530"/>
      <c r="DL512" s="1530"/>
      <c r="DM512" s="1530"/>
      <c r="DN512" s="1571"/>
      <c r="DO512" s="1530"/>
      <c r="DP512" s="1530"/>
    </row>
    <row r="513" spans="1:120">
      <c r="A513" s="1451"/>
      <c r="C513" s="1451"/>
      <c r="K513" s="1451"/>
      <c r="L513" s="1451"/>
      <c r="U513" s="1530"/>
      <c r="V513" s="1530"/>
      <c r="W513" s="1530"/>
      <c r="X513" s="1530"/>
      <c r="Y513" s="1530"/>
      <c r="Z513" s="1530"/>
      <c r="AA513" s="1530"/>
      <c r="AB513" s="1530"/>
      <c r="AC513" s="1530"/>
      <c r="AD513" s="1530"/>
      <c r="AE513" s="1530"/>
      <c r="AF513" s="1530"/>
      <c r="AG513" s="1530"/>
      <c r="AH513" s="1530"/>
      <c r="AI513" s="1530"/>
      <c r="AJ513" s="1530"/>
      <c r="AK513" s="1530"/>
      <c r="AL513" s="1530"/>
      <c r="AM513" s="1530"/>
      <c r="AN513" s="1530"/>
      <c r="AO513" s="1530"/>
      <c r="AP513" s="1530"/>
      <c r="AQ513" s="1530"/>
      <c r="AR513" s="1530"/>
      <c r="AS513" s="1530"/>
      <c r="AT513" s="1530"/>
      <c r="AU513" s="1530"/>
      <c r="AV513" s="1530"/>
      <c r="AW513" s="1530"/>
      <c r="AX513" s="1530"/>
      <c r="AY513" s="1530"/>
      <c r="AZ513" s="1530"/>
      <c r="BA513" s="1530"/>
      <c r="BB513" s="1530"/>
      <c r="BC513" s="1530"/>
      <c r="BD513" s="1530"/>
      <c r="BE513" s="1530"/>
      <c r="BF513" s="1530"/>
      <c r="BG513" s="1530"/>
      <c r="BH513" s="1530"/>
      <c r="BI513" s="1530"/>
      <c r="BJ513" s="1530"/>
      <c r="BK513" s="1530"/>
      <c r="BL513" s="1530"/>
      <c r="BM513" s="1530"/>
      <c r="BN513" s="1530"/>
      <c r="BW513" s="1569"/>
      <c r="CO513" s="1530"/>
      <c r="CP513" s="1530"/>
      <c r="CQ513" s="1530"/>
      <c r="CR513" s="1530"/>
      <c r="CS513" s="1530"/>
      <c r="CT513" s="1530"/>
      <c r="CU513" s="1530"/>
      <c r="CV513" s="1530"/>
      <c r="CW513" s="1530"/>
      <c r="CX513" s="1530"/>
      <c r="CY513" s="1530"/>
      <c r="CZ513" s="1530"/>
      <c r="DA513" s="1530"/>
      <c r="DB513" s="1530"/>
      <c r="DC513" s="1530"/>
      <c r="DD513" s="1530"/>
      <c r="DE513" s="1530"/>
      <c r="DF513" s="1530"/>
      <c r="DG513" s="1530"/>
      <c r="DH513" s="1530"/>
      <c r="DI513" s="1530"/>
      <c r="DJ513" s="1530"/>
      <c r="DK513" s="1530"/>
      <c r="DL513" s="1530"/>
      <c r="DM513" s="1530"/>
      <c r="DN513" s="1571"/>
      <c r="DO513" s="1530"/>
      <c r="DP513" s="1530"/>
    </row>
    <row r="514" spans="1:120">
      <c r="A514" s="1451"/>
      <c r="C514" s="1451"/>
      <c r="K514" s="1451"/>
      <c r="L514" s="1451"/>
      <c r="U514" s="1530"/>
      <c r="V514" s="1530"/>
      <c r="W514" s="1530"/>
      <c r="X514" s="1530"/>
      <c r="Y514" s="1530"/>
      <c r="Z514" s="1530"/>
      <c r="AA514" s="1530"/>
      <c r="AB514" s="1530"/>
      <c r="AC514" s="1530"/>
      <c r="AD514" s="1530"/>
      <c r="AE514" s="1530"/>
      <c r="AF514" s="1530"/>
      <c r="AG514" s="1530"/>
      <c r="AH514" s="1530"/>
      <c r="AI514" s="1530"/>
      <c r="AJ514" s="1530"/>
      <c r="AK514" s="1530"/>
      <c r="AL514" s="1530"/>
      <c r="AM514" s="1530"/>
      <c r="AN514" s="1530"/>
      <c r="AO514" s="1530"/>
      <c r="AP514" s="1530"/>
      <c r="AQ514" s="1530"/>
      <c r="AR514" s="1530"/>
      <c r="AS514" s="1530"/>
      <c r="AT514" s="1530"/>
      <c r="AU514" s="1530"/>
      <c r="AV514" s="1530"/>
      <c r="AW514" s="1530"/>
      <c r="AX514" s="1530"/>
      <c r="AY514" s="1530"/>
      <c r="AZ514" s="1530"/>
      <c r="BA514" s="1530"/>
      <c r="BB514" s="1530"/>
      <c r="BC514" s="1530"/>
      <c r="BD514" s="1530"/>
      <c r="BE514" s="1530"/>
      <c r="BF514" s="1530"/>
      <c r="BG514" s="1530"/>
      <c r="BH514" s="1530"/>
      <c r="BI514" s="1530"/>
      <c r="BJ514" s="1530"/>
      <c r="BK514" s="1530"/>
      <c r="BL514" s="1530"/>
      <c r="BM514" s="1530"/>
      <c r="BN514" s="1530"/>
      <c r="BW514" s="1569"/>
      <c r="CO514" s="1530"/>
      <c r="CP514" s="1530"/>
      <c r="CQ514" s="1530"/>
      <c r="CR514" s="1530"/>
      <c r="CS514" s="1530"/>
      <c r="CT514" s="1530"/>
      <c r="CU514" s="1530"/>
      <c r="CV514" s="1530"/>
      <c r="CW514" s="1530"/>
      <c r="CX514" s="1530"/>
      <c r="CY514" s="1530"/>
      <c r="CZ514" s="1530"/>
      <c r="DA514" s="1530"/>
      <c r="DB514" s="1530"/>
      <c r="DC514" s="1530"/>
      <c r="DD514" s="1530"/>
      <c r="DE514" s="1530"/>
      <c r="DF514" s="1530"/>
      <c r="DG514" s="1530"/>
      <c r="DH514" s="1530"/>
      <c r="DI514" s="1530"/>
      <c r="DJ514" s="1530"/>
      <c r="DK514" s="1530"/>
      <c r="DL514" s="1530"/>
      <c r="DM514" s="1530"/>
      <c r="DN514" s="1571"/>
      <c r="DO514" s="1530"/>
      <c r="DP514" s="1530"/>
    </row>
    <row r="515" spans="1:120">
      <c r="A515" s="1451"/>
      <c r="C515" s="1451"/>
      <c r="K515" s="1451"/>
      <c r="L515" s="1451"/>
      <c r="U515" s="1530"/>
      <c r="V515" s="1530"/>
      <c r="W515" s="1530"/>
      <c r="X515" s="1530"/>
      <c r="Y515" s="1530"/>
      <c r="Z515" s="1530"/>
      <c r="AA515" s="1530"/>
      <c r="AB515" s="1530"/>
      <c r="AC515" s="1530"/>
      <c r="AD515" s="1530"/>
      <c r="AE515" s="1530"/>
      <c r="AF515" s="1530"/>
      <c r="AG515" s="1530"/>
      <c r="AH515" s="1530"/>
      <c r="AI515" s="1530"/>
      <c r="AJ515" s="1530"/>
      <c r="AK515" s="1530"/>
      <c r="AL515" s="1530"/>
      <c r="AM515" s="1530"/>
      <c r="AN515" s="1530"/>
      <c r="AO515" s="1530"/>
      <c r="AP515" s="1530"/>
      <c r="AQ515" s="1530"/>
      <c r="AR515" s="1530"/>
      <c r="AS515" s="1530"/>
      <c r="AT515" s="1530"/>
      <c r="AU515" s="1530"/>
      <c r="AV515" s="1530"/>
      <c r="AW515" s="1530"/>
      <c r="AX515" s="1530"/>
      <c r="AY515" s="1530"/>
      <c r="AZ515" s="1530"/>
      <c r="BA515" s="1530"/>
      <c r="BB515" s="1530"/>
      <c r="BC515" s="1530"/>
      <c r="BD515" s="1530"/>
      <c r="BE515" s="1530"/>
      <c r="BF515" s="1530"/>
      <c r="BG515" s="1530"/>
      <c r="BH515" s="1530"/>
      <c r="BI515" s="1530"/>
      <c r="BJ515" s="1530"/>
      <c r="BK515" s="1530"/>
      <c r="BL515" s="1530"/>
      <c r="BM515" s="1530"/>
      <c r="BN515" s="1530"/>
      <c r="BW515" s="1569"/>
      <c r="CO515" s="1530"/>
      <c r="CP515" s="1530"/>
      <c r="CQ515" s="1530"/>
      <c r="CR515" s="1530"/>
      <c r="CS515" s="1530"/>
      <c r="CT515" s="1530"/>
      <c r="CU515" s="1530"/>
      <c r="CV515" s="1530"/>
      <c r="CW515" s="1530"/>
      <c r="CX515" s="1530"/>
      <c r="CY515" s="1530"/>
      <c r="CZ515" s="1530"/>
      <c r="DA515" s="1530"/>
      <c r="DB515" s="1530"/>
      <c r="DC515" s="1530"/>
      <c r="DD515" s="1530"/>
      <c r="DE515" s="1530"/>
      <c r="DF515" s="1530"/>
      <c r="DG515" s="1530"/>
      <c r="DH515" s="1530"/>
      <c r="DI515" s="1530"/>
      <c r="DJ515" s="1530"/>
      <c r="DK515" s="1530"/>
      <c r="DL515" s="1530"/>
      <c r="DM515" s="1530"/>
      <c r="DN515" s="1571"/>
      <c r="DO515" s="1530"/>
      <c r="DP515" s="1530"/>
    </row>
    <row r="516" spans="1:120">
      <c r="A516" s="1451"/>
      <c r="C516" s="1451"/>
      <c r="K516" s="1451"/>
      <c r="L516" s="1451"/>
      <c r="U516" s="1530"/>
      <c r="V516" s="1530"/>
      <c r="W516" s="1530"/>
      <c r="X516" s="1530"/>
      <c r="Y516" s="1530"/>
      <c r="Z516" s="1530"/>
      <c r="AA516" s="1530"/>
      <c r="AB516" s="1530"/>
      <c r="AC516" s="1530"/>
      <c r="AD516" s="1530"/>
      <c r="AE516" s="1530"/>
      <c r="AF516" s="1530"/>
      <c r="AG516" s="1530"/>
      <c r="AH516" s="1530"/>
      <c r="AI516" s="1530"/>
      <c r="AJ516" s="1530"/>
      <c r="AK516" s="1530"/>
      <c r="AL516" s="1530"/>
      <c r="AM516" s="1530"/>
      <c r="AN516" s="1530"/>
      <c r="AO516" s="1530"/>
      <c r="AP516" s="1530"/>
      <c r="AQ516" s="1530"/>
      <c r="AR516" s="1530"/>
      <c r="AS516" s="1530"/>
      <c r="AT516" s="1530"/>
      <c r="AU516" s="1530"/>
      <c r="AV516" s="1530"/>
      <c r="AW516" s="1530"/>
      <c r="AX516" s="1530"/>
      <c r="AY516" s="1530"/>
      <c r="AZ516" s="1530"/>
      <c r="BA516" s="1530"/>
      <c r="BB516" s="1530"/>
      <c r="BC516" s="1530"/>
      <c r="BD516" s="1530"/>
      <c r="BE516" s="1530"/>
      <c r="BF516" s="1530"/>
      <c r="BG516" s="1530"/>
      <c r="BH516" s="1530"/>
      <c r="BI516" s="1530"/>
      <c r="BJ516" s="1530"/>
      <c r="BK516" s="1530"/>
      <c r="BL516" s="1530"/>
      <c r="BM516" s="1530"/>
      <c r="BN516" s="1530"/>
      <c r="BW516" s="1569"/>
      <c r="CO516" s="1530"/>
      <c r="CP516" s="1530"/>
      <c r="CQ516" s="1530"/>
      <c r="CR516" s="1530"/>
      <c r="CS516" s="1530"/>
      <c r="CT516" s="1530"/>
      <c r="CU516" s="1530"/>
      <c r="CV516" s="1530"/>
      <c r="CW516" s="1530"/>
      <c r="CX516" s="1530"/>
      <c r="CY516" s="1530"/>
      <c r="CZ516" s="1530"/>
      <c r="DA516" s="1530"/>
      <c r="DB516" s="1530"/>
      <c r="DC516" s="1530"/>
      <c r="DD516" s="1530"/>
      <c r="DE516" s="1530"/>
      <c r="DF516" s="1530"/>
      <c r="DG516" s="1530"/>
      <c r="DH516" s="1530"/>
      <c r="DI516" s="1530"/>
      <c r="DJ516" s="1530"/>
      <c r="DK516" s="1530"/>
      <c r="DL516" s="1530"/>
      <c r="DM516" s="1530"/>
      <c r="DN516" s="1571"/>
      <c r="DO516" s="1530"/>
      <c r="DP516" s="1530"/>
    </row>
    <row r="517" spans="1:120">
      <c r="A517" s="1451"/>
      <c r="C517" s="1451"/>
      <c r="K517" s="1451"/>
      <c r="L517" s="1451"/>
      <c r="U517" s="1530"/>
      <c r="V517" s="1530"/>
      <c r="W517" s="1530"/>
      <c r="X517" s="1530"/>
      <c r="Y517" s="1530"/>
      <c r="Z517" s="1530"/>
      <c r="AA517" s="1530"/>
      <c r="AB517" s="1530"/>
      <c r="AC517" s="1530"/>
      <c r="AD517" s="1530"/>
      <c r="AE517" s="1530"/>
      <c r="AF517" s="1530"/>
      <c r="AG517" s="1530"/>
      <c r="AH517" s="1530"/>
      <c r="AI517" s="1530"/>
      <c r="AJ517" s="1530"/>
      <c r="AK517" s="1530"/>
      <c r="AL517" s="1530"/>
      <c r="AM517" s="1530"/>
      <c r="AN517" s="1530"/>
      <c r="AO517" s="1530"/>
      <c r="AP517" s="1530"/>
      <c r="AQ517" s="1530"/>
      <c r="AR517" s="1530"/>
      <c r="AS517" s="1530"/>
      <c r="AT517" s="1530"/>
      <c r="AU517" s="1530"/>
      <c r="AV517" s="1530"/>
      <c r="AW517" s="1530"/>
      <c r="AX517" s="1530"/>
      <c r="AY517" s="1530"/>
      <c r="AZ517" s="1530"/>
      <c r="BA517" s="1530"/>
      <c r="BB517" s="1530"/>
      <c r="BC517" s="1530"/>
      <c r="BD517" s="1530"/>
      <c r="BE517" s="1530"/>
      <c r="BF517" s="1530"/>
      <c r="BG517" s="1530"/>
      <c r="BH517" s="1530"/>
      <c r="BI517" s="1530"/>
      <c r="BJ517" s="1530"/>
      <c r="BK517" s="1530"/>
      <c r="BL517" s="1530"/>
      <c r="BM517" s="1530"/>
      <c r="BN517" s="1530"/>
      <c r="BW517" s="1569"/>
      <c r="CO517" s="1530"/>
      <c r="CP517" s="1530"/>
      <c r="CQ517" s="1530"/>
      <c r="CR517" s="1530"/>
      <c r="CS517" s="1530"/>
      <c r="CT517" s="1530"/>
      <c r="CU517" s="1530"/>
      <c r="CV517" s="1530"/>
      <c r="CW517" s="1530"/>
      <c r="CX517" s="1530"/>
      <c r="CY517" s="1530"/>
      <c r="CZ517" s="1530"/>
      <c r="DA517" s="1530"/>
      <c r="DB517" s="1530"/>
      <c r="DC517" s="1530"/>
      <c r="DD517" s="1530"/>
      <c r="DE517" s="1530"/>
      <c r="DF517" s="1530"/>
      <c r="DG517" s="1530"/>
      <c r="DH517" s="1530"/>
      <c r="DI517" s="1530"/>
      <c r="DJ517" s="1530"/>
      <c r="DK517" s="1530"/>
      <c r="DL517" s="1530"/>
      <c r="DM517" s="1530"/>
      <c r="DN517" s="1571"/>
      <c r="DO517" s="1530"/>
      <c r="DP517" s="1530"/>
    </row>
    <row r="518" spans="1:120">
      <c r="A518" s="1451"/>
      <c r="C518" s="1451"/>
      <c r="K518" s="1451"/>
      <c r="L518" s="1451"/>
      <c r="U518" s="1530"/>
      <c r="V518" s="1530"/>
      <c r="W518" s="1530"/>
      <c r="X518" s="1530"/>
      <c r="Y518" s="1530"/>
      <c r="Z518" s="1530"/>
      <c r="AA518" s="1530"/>
      <c r="AB518" s="1530"/>
      <c r="AC518" s="1530"/>
      <c r="AD518" s="1530"/>
      <c r="AE518" s="1530"/>
      <c r="AF518" s="1530"/>
      <c r="AG518" s="1530"/>
      <c r="AH518" s="1530"/>
      <c r="AI518" s="1530"/>
      <c r="AJ518" s="1530"/>
      <c r="AK518" s="1530"/>
      <c r="AL518" s="1530"/>
      <c r="AM518" s="1530"/>
      <c r="AN518" s="1530"/>
      <c r="AO518" s="1530"/>
      <c r="AP518" s="1530"/>
      <c r="AQ518" s="1530"/>
      <c r="AR518" s="1530"/>
      <c r="AS518" s="1530"/>
      <c r="AT518" s="1530"/>
      <c r="AU518" s="1530"/>
      <c r="AV518" s="1530"/>
      <c r="AW518" s="1530"/>
      <c r="AX518" s="1530"/>
      <c r="AY518" s="1530"/>
      <c r="AZ518" s="1530"/>
      <c r="BA518" s="1530"/>
      <c r="BB518" s="1530"/>
      <c r="BC518" s="1530"/>
      <c r="BD518" s="1530"/>
      <c r="BE518" s="1530"/>
      <c r="BF518" s="1530"/>
      <c r="BG518" s="1530"/>
      <c r="BH518" s="1530"/>
      <c r="BI518" s="1530"/>
      <c r="BJ518" s="1530"/>
      <c r="BK518" s="1530"/>
      <c r="BL518" s="1530"/>
      <c r="BM518" s="1530"/>
      <c r="BN518" s="1530"/>
      <c r="BW518" s="1569"/>
      <c r="CO518" s="1530"/>
      <c r="CP518" s="1530"/>
      <c r="CQ518" s="1530"/>
      <c r="CR518" s="1530"/>
      <c r="CS518" s="1530"/>
      <c r="CT518" s="1530"/>
      <c r="CU518" s="1530"/>
      <c r="CV518" s="1530"/>
      <c r="CW518" s="1530"/>
      <c r="CX518" s="1530"/>
      <c r="CY518" s="1530"/>
      <c r="CZ518" s="1530"/>
      <c r="DA518" s="1530"/>
      <c r="DB518" s="1530"/>
      <c r="DC518" s="1530"/>
      <c r="DD518" s="1530"/>
      <c r="DE518" s="1530"/>
      <c r="DF518" s="1530"/>
      <c r="DG518" s="1530"/>
      <c r="DH518" s="1530"/>
      <c r="DI518" s="1530"/>
      <c r="DJ518" s="1530"/>
      <c r="DK518" s="1530"/>
      <c r="DL518" s="1530"/>
      <c r="DM518" s="1530"/>
      <c r="DN518" s="1571"/>
      <c r="DO518" s="1530"/>
      <c r="DP518" s="1530"/>
    </row>
    <row r="519" spans="1:120">
      <c r="A519" s="1451"/>
      <c r="C519" s="1451"/>
      <c r="K519" s="1451"/>
      <c r="L519" s="1451"/>
      <c r="U519" s="1530"/>
      <c r="V519" s="1530"/>
      <c r="W519" s="1530"/>
      <c r="X519" s="1530"/>
      <c r="Y519" s="1530"/>
      <c r="Z519" s="1530"/>
      <c r="AA519" s="1530"/>
      <c r="AB519" s="1530"/>
      <c r="AC519" s="1530"/>
      <c r="AD519" s="1530"/>
      <c r="AE519" s="1530"/>
      <c r="AF519" s="1530"/>
      <c r="AG519" s="1530"/>
      <c r="AH519" s="1530"/>
      <c r="AI519" s="1530"/>
      <c r="AJ519" s="1530"/>
      <c r="AK519" s="1530"/>
      <c r="AL519" s="1530"/>
      <c r="AM519" s="1530"/>
      <c r="AN519" s="1530"/>
      <c r="AO519" s="1530"/>
      <c r="AP519" s="1530"/>
      <c r="AQ519" s="1530"/>
      <c r="AR519" s="1530"/>
      <c r="AS519" s="1530"/>
      <c r="AT519" s="1530"/>
      <c r="AU519" s="1530"/>
      <c r="AV519" s="1530"/>
      <c r="AW519" s="1530"/>
      <c r="AX519" s="1530"/>
      <c r="AY519" s="1530"/>
      <c r="AZ519" s="1530"/>
      <c r="BA519" s="1530"/>
      <c r="BB519" s="1530"/>
      <c r="BC519" s="1530"/>
      <c r="BD519" s="1530"/>
      <c r="BE519" s="1530"/>
      <c r="BF519" s="1530"/>
      <c r="BG519" s="1530"/>
      <c r="BH519" s="1530"/>
      <c r="BI519" s="1530"/>
      <c r="BJ519" s="1530"/>
      <c r="BK519" s="1530"/>
      <c r="BL519" s="1530"/>
      <c r="BM519" s="1530"/>
      <c r="BN519" s="1530"/>
      <c r="BW519" s="1569"/>
      <c r="CO519" s="1530"/>
      <c r="CP519" s="1530"/>
      <c r="CQ519" s="1530"/>
      <c r="CR519" s="1530"/>
      <c r="CS519" s="1530"/>
      <c r="CT519" s="1530"/>
      <c r="CU519" s="1530"/>
      <c r="CV519" s="1530"/>
      <c r="CW519" s="1530"/>
      <c r="CX519" s="1530"/>
      <c r="CY519" s="1530"/>
      <c r="CZ519" s="1530"/>
      <c r="DA519" s="1530"/>
      <c r="DB519" s="1530"/>
      <c r="DC519" s="1530"/>
      <c r="DD519" s="1530"/>
      <c r="DE519" s="1530"/>
      <c r="DF519" s="1530"/>
      <c r="DG519" s="1530"/>
      <c r="DH519" s="1530"/>
      <c r="DI519" s="1530"/>
      <c r="DJ519" s="1530"/>
      <c r="DK519" s="1530"/>
      <c r="DL519" s="1530"/>
      <c r="DM519" s="1530"/>
      <c r="DN519" s="1571"/>
      <c r="DO519" s="1530"/>
      <c r="DP519" s="1530"/>
    </row>
    <row r="520" spans="1:120">
      <c r="A520" s="1451"/>
      <c r="C520" s="1451"/>
      <c r="K520" s="1451"/>
      <c r="L520" s="1451"/>
      <c r="U520" s="1530"/>
      <c r="V520" s="1530"/>
      <c r="W520" s="1530"/>
      <c r="X520" s="1530"/>
      <c r="Y520" s="1530"/>
      <c r="Z520" s="1530"/>
      <c r="AA520" s="1530"/>
      <c r="AB520" s="1530"/>
      <c r="AC520" s="1530"/>
      <c r="AD520" s="1530"/>
      <c r="AE520" s="1530"/>
      <c r="AF520" s="1530"/>
      <c r="AG520" s="1530"/>
      <c r="AH520" s="1530"/>
      <c r="AI520" s="1530"/>
      <c r="AJ520" s="1530"/>
      <c r="AK520" s="1530"/>
      <c r="AL520" s="1530"/>
      <c r="AM520" s="1530"/>
      <c r="AN520" s="1530"/>
      <c r="AO520" s="1530"/>
      <c r="AP520" s="1530"/>
      <c r="AQ520" s="1530"/>
      <c r="AR520" s="1530"/>
      <c r="AS520" s="1530"/>
      <c r="AT520" s="1530"/>
      <c r="AU520" s="1530"/>
      <c r="AV520" s="1530"/>
      <c r="AW520" s="1530"/>
      <c r="AX520" s="1530"/>
      <c r="AY520" s="1530"/>
      <c r="AZ520" s="1530"/>
      <c r="BA520" s="1530"/>
      <c r="BB520" s="1530"/>
      <c r="BC520" s="1530"/>
      <c r="BD520" s="1530"/>
      <c r="BE520" s="1530"/>
      <c r="BF520" s="1530"/>
      <c r="BG520" s="1530"/>
      <c r="BH520" s="1530"/>
      <c r="BI520" s="1530"/>
      <c r="BJ520" s="1530"/>
      <c r="BK520" s="1530"/>
      <c r="BL520" s="1530"/>
      <c r="BM520" s="1530"/>
      <c r="BN520" s="1530"/>
      <c r="BW520" s="1569"/>
      <c r="CO520" s="1530"/>
      <c r="CP520" s="1530"/>
      <c r="CQ520" s="1530"/>
      <c r="CR520" s="1530"/>
      <c r="CS520" s="1530"/>
      <c r="CT520" s="1530"/>
      <c r="CU520" s="1530"/>
      <c r="CV520" s="1530"/>
      <c r="CW520" s="1530"/>
      <c r="CX520" s="1530"/>
      <c r="CY520" s="1530"/>
      <c r="CZ520" s="1530"/>
      <c r="DA520" s="1530"/>
      <c r="DB520" s="1530"/>
      <c r="DC520" s="1530"/>
      <c r="DD520" s="1530"/>
      <c r="DE520" s="1530"/>
      <c r="DF520" s="1530"/>
      <c r="DG520" s="1530"/>
      <c r="DH520" s="1530"/>
      <c r="DI520" s="1530"/>
      <c r="DJ520" s="1530"/>
      <c r="DK520" s="1530"/>
      <c r="DL520" s="1530"/>
      <c r="DM520" s="1530"/>
      <c r="DN520" s="1571"/>
      <c r="DO520" s="1530"/>
      <c r="DP520" s="1530"/>
    </row>
    <row r="521" spans="1:120">
      <c r="A521" s="1451"/>
      <c r="C521" s="1451"/>
      <c r="K521" s="1451"/>
      <c r="L521" s="1451"/>
      <c r="U521" s="1530"/>
      <c r="V521" s="1530"/>
      <c r="W521" s="1530"/>
      <c r="X521" s="1530"/>
      <c r="Y521" s="1530"/>
      <c r="Z521" s="1530"/>
      <c r="AA521" s="1530"/>
      <c r="AB521" s="1530"/>
      <c r="AC521" s="1530"/>
      <c r="AD521" s="1530"/>
      <c r="AE521" s="1530"/>
      <c r="AF521" s="1530"/>
      <c r="AG521" s="1530"/>
      <c r="AH521" s="1530"/>
      <c r="AI521" s="1530"/>
      <c r="AJ521" s="1530"/>
      <c r="AK521" s="1530"/>
      <c r="AL521" s="1530"/>
      <c r="AM521" s="1530"/>
      <c r="AN521" s="1530"/>
      <c r="AO521" s="1530"/>
      <c r="AP521" s="1530"/>
      <c r="AQ521" s="1530"/>
      <c r="AR521" s="1530"/>
      <c r="AS521" s="1530"/>
      <c r="AT521" s="1530"/>
      <c r="AU521" s="1530"/>
      <c r="AV521" s="1530"/>
      <c r="AW521" s="1530"/>
      <c r="AX521" s="1530"/>
      <c r="AY521" s="1530"/>
      <c r="AZ521" s="1530"/>
      <c r="BA521" s="1530"/>
      <c r="BB521" s="1530"/>
      <c r="BC521" s="1530"/>
      <c r="BD521" s="1530"/>
      <c r="BE521" s="1530"/>
      <c r="BF521" s="1530"/>
      <c r="BG521" s="1530"/>
      <c r="BH521" s="1530"/>
      <c r="BI521" s="1530"/>
      <c r="BJ521" s="1530"/>
      <c r="BK521" s="1530"/>
      <c r="BL521" s="1530"/>
      <c r="BM521" s="1530"/>
      <c r="BN521" s="1530"/>
      <c r="BW521" s="1569"/>
      <c r="CO521" s="1530"/>
      <c r="CP521" s="1530"/>
      <c r="CQ521" s="1530"/>
      <c r="CR521" s="1530"/>
      <c r="CS521" s="1530"/>
      <c r="CT521" s="1530"/>
      <c r="CU521" s="1530"/>
      <c r="CV521" s="1530"/>
      <c r="CW521" s="1530"/>
      <c r="CX521" s="1530"/>
      <c r="CY521" s="1530"/>
      <c r="CZ521" s="1530"/>
      <c r="DA521" s="1530"/>
      <c r="DB521" s="1530"/>
      <c r="DC521" s="1530"/>
      <c r="DD521" s="1530"/>
      <c r="DE521" s="1530"/>
      <c r="DF521" s="1530"/>
      <c r="DG521" s="1530"/>
      <c r="DH521" s="1530"/>
      <c r="DI521" s="1530"/>
      <c r="DJ521" s="1530"/>
      <c r="DK521" s="1530"/>
      <c r="DL521" s="1530"/>
      <c r="DM521" s="1530"/>
      <c r="DN521" s="1571"/>
      <c r="DO521" s="1530"/>
      <c r="DP521" s="1530"/>
    </row>
    <row r="522" spans="1:120">
      <c r="A522" s="1451"/>
      <c r="C522" s="1451"/>
      <c r="K522" s="1451"/>
      <c r="L522" s="1451"/>
      <c r="U522" s="1530"/>
      <c r="V522" s="1530"/>
      <c r="W522" s="1530"/>
      <c r="X522" s="1530"/>
      <c r="Y522" s="1530"/>
      <c r="Z522" s="1530"/>
      <c r="AA522" s="1530"/>
      <c r="AB522" s="1530"/>
      <c r="AC522" s="1530"/>
      <c r="AD522" s="1530"/>
      <c r="AE522" s="1530"/>
      <c r="AF522" s="1530"/>
      <c r="AG522" s="1530"/>
      <c r="AH522" s="1530"/>
      <c r="AI522" s="1530"/>
      <c r="AJ522" s="1530"/>
      <c r="AK522" s="1530"/>
      <c r="AL522" s="1530"/>
      <c r="AM522" s="1530"/>
      <c r="AN522" s="1530"/>
      <c r="AO522" s="1530"/>
      <c r="AP522" s="1530"/>
      <c r="AQ522" s="1530"/>
      <c r="AR522" s="1530"/>
      <c r="AS522" s="1530"/>
      <c r="AT522" s="1530"/>
      <c r="AU522" s="1530"/>
      <c r="AV522" s="1530"/>
      <c r="AW522" s="1530"/>
      <c r="AX522" s="1530"/>
      <c r="AY522" s="1530"/>
      <c r="AZ522" s="1530"/>
      <c r="BA522" s="1530"/>
      <c r="BB522" s="1530"/>
      <c r="BC522" s="1530"/>
      <c r="BD522" s="1530"/>
      <c r="BE522" s="1530"/>
      <c r="BF522" s="1530"/>
      <c r="BG522" s="1530"/>
      <c r="BH522" s="1530"/>
      <c r="BI522" s="1530"/>
      <c r="BJ522" s="1530"/>
      <c r="BK522" s="1530"/>
      <c r="BL522" s="1530"/>
      <c r="BM522" s="1530"/>
      <c r="BN522" s="1530"/>
      <c r="BW522" s="1569"/>
      <c r="CO522" s="1530"/>
      <c r="CP522" s="1530"/>
      <c r="CQ522" s="1530"/>
      <c r="CR522" s="1530"/>
      <c r="CS522" s="1530"/>
      <c r="CT522" s="1530"/>
      <c r="CU522" s="1530"/>
      <c r="CV522" s="1530"/>
      <c r="CW522" s="1530"/>
      <c r="CX522" s="1530"/>
      <c r="CY522" s="1530"/>
      <c r="CZ522" s="1530"/>
      <c r="DA522" s="1530"/>
      <c r="DB522" s="1530"/>
      <c r="DC522" s="1530"/>
      <c r="DD522" s="1530"/>
      <c r="DE522" s="1530"/>
      <c r="DF522" s="1530"/>
      <c r="DG522" s="1530"/>
      <c r="DH522" s="1530"/>
      <c r="DI522" s="1530"/>
      <c r="DJ522" s="1530"/>
      <c r="DK522" s="1530"/>
      <c r="DL522" s="1530"/>
      <c r="DM522" s="1530"/>
      <c r="DN522" s="1571"/>
      <c r="DO522" s="1530"/>
      <c r="DP522" s="1530"/>
    </row>
    <row r="523" spans="1:120">
      <c r="A523" s="1451"/>
      <c r="C523" s="1451"/>
      <c r="K523" s="1451"/>
      <c r="L523" s="1451"/>
      <c r="U523" s="1530"/>
      <c r="V523" s="1530"/>
      <c r="W523" s="1530"/>
      <c r="X523" s="1530"/>
      <c r="Y523" s="1530"/>
      <c r="Z523" s="1530"/>
      <c r="AA523" s="1530"/>
      <c r="AB523" s="1530"/>
      <c r="AC523" s="1530"/>
      <c r="AD523" s="1530"/>
      <c r="AE523" s="1530"/>
      <c r="AF523" s="1530"/>
      <c r="AG523" s="1530"/>
      <c r="AH523" s="1530"/>
      <c r="AI523" s="1530"/>
      <c r="AJ523" s="1530"/>
      <c r="AK523" s="1530"/>
      <c r="AL523" s="1530"/>
      <c r="AM523" s="1530"/>
      <c r="AN523" s="1530"/>
      <c r="AO523" s="1530"/>
      <c r="AP523" s="1530"/>
      <c r="AQ523" s="1530"/>
      <c r="AR523" s="1530"/>
      <c r="AS523" s="1530"/>
      <c r="AT523" s="1530"/>
      <c r="AU523" s="1530"/>
      <c r="AV523" s="1530"/>
      <c r="AW523" s="1530"/>
      <c r="AX523" s="1530"/>
      <c r="AY523" s="1530"/>
      <c r="AZ523" s="1530"/>
      <c r="BA523" s="1530"/>
      <c r="BB523" s="1530"/>
      <c r="BC523" s="1530"/>
      <c r="BD523" s="1530"/>
      <c r="BE523" s="1530"/>
      <c r="BF523" s="1530"/>
      <c r="BG523" s="1530"/>
      <c r="BH523" s="1530"/>
      <c r="BI523" s="1530"/>
      <c r="BJ523" s="1530"/>
      <c r="BK523" s="1530"/>
      <c r="BL523" s="1530"/>
      <c r="BM523" s="1530"/>
      <c r="BN523" s="1530"/>
      <c r="BW523" s="1569"/>
      <c r="CO523" s="1530"/>
      <c r="CP523" s="1530"/>
      <c r="CQ523" s="1530"/>
      <c r="CR523" s="1530"/>
      <c r="CS523" s="1530"/>
      <c r="CT523" s="1530"/>
      <c r="CU523" s="1530"/>
      <c r="CV523" s="1530"/>
      <c r="CW523" s="1530"/>
      <c r="CX523" s="1530"/>
      <c r="CY523" s="1530"/>
      <c r="CZ523" s="1530"/>
      <c r="DA523" s="1530"/>
      <c r="DB523" s="1530"/>
      <c r="DC523" s="1530"/>
      <c r="DD523" s="1530"/>
      <c r="DE523" s="1530"/>
      <c r="DF523" s="1530"/>
      <c r="DG523" s="1530"/>
      <c r="DH523" s="1530"/>
      <c r="DI523" s="1530"/>
      <c r="DJ523" s="1530"/>
      <c r="DK523" s="1530"/>
      <c r="DL523" s="1530"/>
      <c r="DM523" s="1530"/>
      <c r="DN523" s="1571"/>
      <c r="DO523" s="1530"/>
      <c r="DP523" s="1530"/>
    </row>
    <row r="524" spans="1:120">
      <c r="A524" s="1451"/>
      <c r="C524" s="1451"/>
      <c r="K524" s="1451"/>
      <c r="L524" s="1451"/>
      <c r="U524" s="1530"/>
      <c r="V524" s="1530"/>
      <c r="W524" s="1530"/>
      <c r="X524" s="1530"/>
      <c r="Y524" s="1530"/>
      <c r="Z524" s="1530"/>
      <c r="AA524" s="1530"/>
      <c r="AB524" s="1530"/>
      <c r="AC524" s="1530"/>
      <c r="AD524" s="1530"/>
      <c r="AE524" s="1530"/>
      <c r="AF524" s="1530"/>
      <c r="AG524" s="1530"/>
      <c r="AH524" s="1530"/>
      <c r="AI524" s="1530"/>
      <c r="AJ524" s="1530"/>
      <c r="AK524" s="1530"/>
      <c r="AL524" s="1530"/>
      <c r="AM524" s="1530"/>
      <c r="AN524" s="1530"/>
      <c r="AO524" s="1530"/>
      <c r="AP524" s="1530"/>
      <c r="AQ524" s="1530"/>
      <c r="AR524" s="1530"/>
      <c r="AS524" s="1530"/>
      <c r="AT524" s="1530"/>
      <c r="AU524" s="1530"/>
      <c r="AV524" s="1530"/>
      <c r="AW524" s="1530"/>
      <c r="AX524" s="1530"/>
      <c r="AY524" s="1530"/>
      <c r="AZ524" s="1530"/>
      <c r="BA524" s="1530"/>
      <c r="BB524" s="1530"/>
      <c r="BC524" s="1530"/>
      <c r="BD524" s="1530"/>
      <c r="BE524" s="1530"/>
      <c r="BF524" s="1530"/>
      <c r="BG524" s="1530"/>
      <c r="BH524" s="1530"/>
      <c r="BI524" s="1530"/>
      <c r="BJ524" s="1530"/>
      <c r="BK524" s="1530"/>
      <c r="BL524" s="1530"/>
      <c r="BM524" s="1530"/>
      <c r="BN524" s="1530"/>
      <c r="BW524" s="1569"/>
      <c r="CO524" s="1530"/>
      <c r="CP524" s="1530"/>
      <c r="CQ524" s="1530"/>
      <c r="CR524" s="1530"/>
      <c r="CS524" s="1530"/>
      <c r="CT524" s="1530"/>
      <c r="CU524" s="1530"/>
      <c r="CV524" s="1530"/>
      <c r="CW524" s="1530"/>
      <c r="CX524" s="1530"/>
      <c r="CY524" s="1530"/>
      <c r="CZ524" s="1530"/>
      <c r="DA524" s="1530"/>
      <c r="DB524" s="1530"/>
      <c r="DC524" s="1530"/>
      <c r="DD524" s="1530"/>
      <c r="DE524" s="1530"/>
      <c r="DF524" s="1530"/>
      <c r="DG524" s="1530"/>
      <c r="DH524" s="1530"/>
      <c r="DI524" s="1530"/>
      <c r="DJ524" s="1530"/>
      <c r="DK524" s="1530"/>
      <c r="DL524" s="1530"/>
      <c r="DM524" s="1530"/>
      <c r="DN524" s="1571"/>
      <c r="DO524" s="1530"/>
      <c r="DP524" s="1530"/>
    </row>
    <row r="525" spans="1:120">
      <c r="A525" s="1451"/>
      <c r="C525" s="1451"/>
      <c r="K525" s="1451"/>
      <c r="L525" s="1451"/>
      <c r="U525" s="1530"/>
      <c r="V525" s="1530"/>
      <c r="W525" s="1530"/>
      <c r="X525" s="1530"/>
      <c r="Y525" s="1530"/>
      <c r="Z525" s="1530"/>
      <c r="AA525" s="1530"/>
      <c r="AB525" s="1530"/>
      <c r="AC525" s="1530"/>
      <c r="AD525" s="1530"/>
      <c r="AE525" s="1530"/>
      <c r="AF525" s="1530"/>
      <c r="AG525" s="1530"/>
      <c r="AH525" s="1530"/>
      <c r="AI525" s="1530"/>
      <c r="AJ525" s="1530"/>
      <c r="AK525" s="1530"/>
      <c r="AL525" s="1530"/>
      <c r="AM525" s="1530"/>
      <c r="AN525" s="1530"/>
      <c r="AO525" s="1530"/>
      <c r="AP525" s="1530"/>
      <c r="AQ525" s="1530"/>
      <c r="AR525" s="1530"/>
      <c r="AS525" s="1530"/>
      <c r="AT525" s="1530"/>
      <c r="AU525" s="1530"/>
      <c r="AV525" s="1530"/>
      <c r="AW525" s="1530"/>
      <c r="AX525" s="1530"/>
      <c r="AY525" s="1530"/>
      <c r="AZ525" s="1530"/>
      <c r="BA525" s="1530"/>
      <c r="BB525" s="1530"/>
      <c r="BC525" s="1530"/>
      <c r="BD525" s="1530"/>
      <c r="BE525" s="1530"/>
      <c r="BF525" s="1530"/>
      <c r="BG525" s="1530"/>
      <c r="BH525" s="1530"/>
      <c r="BI525" s="1530"/>
      <c r="BJ525" s="1530"/>
      <c r="BK525" s="1530"/>
      <c r="BL525" s="1530"/>
      <c r="BM525" s="1530"/>
      <c r="BN525" s="1530"/>
      <c r="BW525" s="1569"/>
      <c r="CO525" s="1530"/>
      <c r="CP525" s="1530"/>
      <c r="CQ525" s="1530"/>
      <c r="CR525" s="1530"/>
      <c r="CS525" s="1530"/>
      <c r="CT525" s="1530"/>
      <c r="CU525" s="1530"/>
      <c r="CV525" s="1530"/>
      <c r="CW525" s="1530"/>
      <c r="CX525" s="1530"/>
      <c r="CY525" s="1530"/>
      <c r="CZ525" s="1530"/>
      <c r="DA525" s="1530"/>
      <c r="DB525" s="1530"/>
      <c r="DC525" s="1530"/>
      <c r="DD525" s="1530"/>
      <c r="DE525" s="1530"/>
      <c r="DF525" s="1530"/>
      <c r="DG525" s="1530"/>
      <c r="DH525" s="1530"/>
      <c r="DI525" s="1530"/>
      <c r="DJ525" s="1530"/>
      <c r="DK525" s="1530"/>
      <c r="DL525" s="1530"/>
      <c r="DM525" s="1530"/>
      <c r="DN525" s="1571"/>
      <c r="DO525" s="1530"/>
      <c r="DP525" s="1530"/>
    </row>
    <row r="526" spans="1:120">
      <c r="A526" s="1451"/>
      <c r="C526" s="1451"/>
      <c r="K526" s="1451"/>
      <c r="L526" s="1451"/>
      <c r="U526" s="1530"/>
      <c r="V526" s="1530"/>
      <c r="W526" s="1530"/>
      <c r="X526" s="1530"/>
      <c r="Y526" s="1530"/>
      <c r="Z526" s="1530"/>
      <c r="AA526" s="1530"/>
      <c r="AB526" s="1530"/>
      <c r="AC526" s="1530"/>
      <c r="AD526" s="1530"/>
      <c r="AE526" s="1530"/>
      <c r="AF526" s="1530"/>
      <c r="AG526" s="1530"/>
      <c r="AH526" s="1530"/>
      <c r="AI526" s="1530"/>
      <c r="AJ526" s="1530"/>
      <c r="AK526" s="1530"/>
      <c r="AL526" s="1530"/>
      <c r="AM526" s="1530"/>
      <c r="AN526" s="1530"/>
      <c r="AO526" s="1530"/>
      <c r="AP526" s="1530"/>
      <c r="AQ526" s="1530"/>
      <c r="AR526" s="1530"/>
      <c r="AS526" s="1530"/>
      <c r="AT526" s="1530"/>
      <c r="AU526" s="1530"/>
      <c r="AV526" s="1530"/>
      <c r="AW526" s="1530"/>
      <c r="AX526" s="1530"/>
      <c r="AY526" s="1530"/>
      <c r="AZ526" s="1530"/>
      <c r="BA526" s="1530"/>
      <c r="BB526" s="1530"/>
      <c r="BC526" s="1530"/>
      <c r="BD526" s="1530"/>
      <c r="BE526" s="1530"/>
      <c r="BF526" s="1530"/>
      <c r="BG526" s="1530"/>
      <c r="BH526" s="1530"/>
      <c r="BI526" s="1530"/>
      <c r="BJ526" s="1530"/>
      <c r="BK526" s="1530"/>
      <c r="BL526" s="1530"/>
      <c r="BM526" s="1530"/>
      <c r="BN526" s="1530"/>
      <c r="BW526" s="1569"/>
      <c r="CO526" s="1530"/>
      <c r="CP526" s="1530"/>
      <c r="CQ526" s="1530"/>
      <c r="CR526" s="1530"/>
      <c r="CS526" s="1530"/>
      <c r="CT526" s="1530"/>
      <c r="CU526" s="1530"/>
      <c r="CV526" s="1530"/>
      <c r="CW526" s="1530"/>
      <c r="CX526" s="1530"/>
      <c r="CY526" s="1530"/>
      <c r="CZ526" s="1530"/>
      <c r="DA526" s="1530"/>
      <c r="DB526" s="1530"/>
      <c r="DC526" s="1530"/>
      <c r="DD526" s="1530"/>
      <c r="DE526" s="1530"/>
      <c r="DF526" s="1530"/>
      <c r="DG526" s="1530"/>
      <c r="DH526" s="1530"/>
      <c r="DI526" s="1530"/>
      <c r="DJ526" s="1530"/>
      <c r="DK526" s="1530"/>
      <c r="DL526" s="1530"/>
      <c r="DM526" s="1530"/>
      <c r="DN526" s="1571"/>
      <c r="DO526" s="1530"/>
      <c r="DP526" s="1530"/>
    </row>
    <row r="527" spans="1:120">
      <c r="A527" s="1451"/>
      <c r="C527" s="1451"/>
      <c r="K527" s="1451"/>
      <c r="L527" s="1451"/>
      <c r="U527" s="1530"/>
      <c r="V527" s="1530"/>
      <c r="W527" s="1530"/>
      <c r="X527" s="1530"/>
      <c r="Y527" s="1530"/>
      <c r="Z527" s="1530"/>
      <c r="AA527" s="1530"/>
      <c r="AB527" s="1530"/>
      <c r="AC527" s="1530"/>
      <c r="AD527" s="1530"/>
      <c r="AE527" s="1530"/>
      <c r="AF527" s="1530"/>
      <c r="AG527" s="1530"/>
      <c r="AH527" s="1530"/>
      <c r="AI527" s="1530"/>
      <c r="AJ527" s="1530"/>
      <c r="AK527" s="1530"/>
      <c r="AL527" s="1530"/>
      <c r="AM527" s="1530"/>
      <c r="AN527" s="1530"/>
      <c r="AO527" s="1530"/>
      <c r="AP527" s="1530"/>
      <c r="AQ527" s="1530"/>
      <c r="AR527" s="1530"/>
      <c r="AS527" s="1530"/>
      <c r="AT527" s="1530"/>
      <c r="AU527" s="1530"/>
      <c r="AV527" s="1530"/>
      <c r="AW527" s="1530"/>
      <c r="AX527" s="1530"/>
      <c r="AY527" s="1530"/>
      <c r="AZ527" s="1530"/>
      <c r="BA527" s="1530"/>
      <c r="BB527" s="1530"/>
      <c r="BC527" s="1530"/>
      <c r="BD527" s="1530"/>
      <c r="BE527" s="1530"/>
      <c r="BF527" s="1530"/>
      <c r="BG527" s="1530"/>
      <c r="BH527" s="1530"/>
      <c r="BI527" s="1530"/>
      <c r="BJ527" s="1530"/>
      <c r="BK527" s="1530"/>
      <c r="BL527" s="1530"/>
      <c r="BM527" s="1530"/>
      <c r="BN527" s="1530"/>
      <c r="BW527" s="1569"/>
      <c r="CO527" s="1530"/>
      <c r="CP527" s="1530"/>
      <c r="CQ527" s="1530"/>
      <c r="CR527" s="1530"/>
      <c r="CS527" s="1530"/>
      <c r="CT527" s="1530"/>
      <c r="CU527" s="1530"/>
      <c r="CV527" s="1530"/>
      <c r="CW527" s="1530"/>
      <c r="CX527" s="1530"/>
      <c r="CY527" s="1530"/>
      <c r="CZ527" s="1530"/>
      <c r="DA527" s="1530"/>
      <c r="DB527" s="1530"/>
      <c r="DC527" s="1530"/>
      <c r="DD527" s="1530"/>
      <c r="DE527" s="1530"/>
      <c r="DF527" s="1530"/>
      <c r="DG527" s="1530"/>
      <c r="DH527" s="1530"/>
      <c r="DI527" s="1530"/>
      <c r="DJ527" s="1530"/>
      <c r="DK527" s="1530"/>
      <c r="DL527" s="1530"/>
      <c r="DM527" s="1530"/>
      <c r="DN527" s="1571"/>
      <c r="DO527" s="1530"/>
      <c r="DP527" s="1530"/>
    </row>
    <row r="528" spans="1:120">
      <c r="A528" s="1451"/>
      <c r="C528" s="1451"/>
      <c r="K528" s="1451"/>
      <c r="L528" s="1451"/>
      <c r="U528" s="1530"/>
      <c r="V528" s="1530"/>
      <c r="W528" s="1530"/>
      <c r="X528" s="1530"/>
      <c r="Y528" s="1530"/>
      <c r="Z528" s="1530"/>
      <c r="AA528" s="1530"/>
      <c r="AB528" s="1530"/>
      <c r="AC528" s="1530"/>
      <c r="AD528" s="1530"/>
      <c r="AE528" s="1530"/>
      <c r="AF528" s="1530"/>
      <c r="AG528" s="1530"/>
      <c r="AH528" s="1530"/>
      <c r="AI528" s="1530"/>
      <c r="AJ528" s="1530"/>
      <c r="AK528" s="1530"/>
      <c r="AL528" s="1530"/>
      <c r="AM528" s="1530"/>
      <c r="AN528" s="1530"/>
      <c r="AO528" s="1530"/>
      <c r="AP528" s="1530"/>
      <c r="AQ528" s="1530"/>
      <c r="AR528" s="1530"/>
      <c r="AS528" s="1530"/>
      <c r="AT528" s="1530"/>
      <c r="AU528" s="1530"/>
      <c r="AV528" s="1530"/>
      <c r="AW528" s="1530"/>
      <c r="AX528" s="1530"/>
      <c r="AY528" s="1530"/>
      <c r="AZ528" s="1530"/>
      <c r="BA528" s="1530"/>
      <c r="BB528" s="1530"/>
      <c r="BC528" s="1530"/>
      <c r="BD528" s="1530"/>
      <c r="BE528" s="1530"/>
      <c r="BF528" s="1530"/>
      <c r="BG528" s="1530"/>
      <c r="BH528" s="1530"/>
      <c r="BI528" s="1530"/>
      <c r="BJ528" s="1530"/>
      <c r="BK528" s="1530"/>
      <c r="BL528" s="1530"/>
      <c r="BM528" s="1530"/>
      <c r="BN528" s="1530"/>
      <c r="BW528" s="1569"/>
      <c r="CO528" s="1530"/>
      <c r="CP528" s="1530"/>
      <c r="CQ528" s="1530"/>
      <c r="CR528" s="1530"/>
      <c r="CS528" s="1530"/>
      <c r="CT528" s="1530"/>
      <c r="CU528" s="1530"/>
      <c r="CV528" s="1530"/>
      <c r="CW528" s="1530"/>
      <c r="CX528" s="1530"/>
      <c r="CY528" s="1530"/>
      <c r="CZ528" s="1530"/>
      <c r="DA528" s="1530"/>
      <c r="DB528" s="1530"/>
      <c r="DC528" s="1530"/>
      <c r="DD528" s="1530"/>
      <c r="DE528" s="1530"/>
      <c r="DF528" s="1530"/>
      <c r="DG528" s="1530"/>
      <c r="DH528" s="1530"/>
      <c r="DI528" s="1530"/>
      <c r="DJ528" s="1530"/>
      <c r="DK528" s="1530"/>
      <c r="DL528" s="1530"/>
      <c r="DM528" s="1530"/>
      <c r="DN528" s="1571"/>
      <c r="DO528" s="1530"/>
      <c r="DP528" s="1530"/>
    </row>
    <row r="529" spans="1:120">
      <c r="A529" s="1451"/>
      <c r="C529" s="1451"/>
      <c r="K529" s="1451"/>
      <c r="L529" s="1451"/>
      <c r="U529" s="1530"/>
      <c r="V529" s="1530"/>
      <c r="W529" s="1530"/>
      <c r="X529" s="1530"/>
      <c r="Y529" s="1530"/>
      <c r="Z529" s="1530"/>
      <c r="AA529" s="1530"/>
      <c r="AB529" s="1530"/>
      <c r="AC529" s="1530"/>
      <c r="AD529" s="1530"/>
      <c r="AE529" s="1530"/>
      <c r="AF529" s="1530"/>
      <c r="AG529" s="1530"/>
      <c r="AH529" s="1530"/>
      <c r="AI529" s="1530"/>
      <c r="AJ529" s="1530"/>
      <c r="AK529" s="1530"/>
      <c r="AL529" s="1530"/>
      <c r="AM529" s="1530"/>
      <c r="AN529" s="1530"/>
      <c r="AO529" s="1530"/>
      <c r="AP529" s="1530"/>
      <c r="AQ529" s="1530"/>
      <c r="AR529" s="1530"/>
      <c r="AS529" s="1530"/>
      <c r="AT529" s="1530"/>
      <c r="AU529" s="1530"/>
      <c r="AV529" s="1530"/>
      <c r="AW529" s="1530"/>
      <c r="AX529" s="1530"/>
      <c r="AY529" s="1530"/>
      <c r="AZ529" s="1530"/>
      <c r="BA529" s="1530"/>
      <c r="BB529" s="1530"/>
      <c r="BC529" s="1530"/>
      <c r="BD529" s="1530"/>
      <c r="BE529" s="1530"/>
      <c r="BF529" s="1530"/>
      <c r="BG529" s="1530"/>
      <c r="BH529" s="1530"/>
      <c r="BI529" s="1530"/>
      <c r="BJ529" s="1530"/>
      <c r="BK529" s="1530"/>
      <c r="BL529" s="1530"/>
      <c r="BM529" s="1530"/>
      <c r="BN529" s="1530"/>
      <c r="BW529" s="1569"/>
      <c r="CO529" s="1530"/>
      <c r="CP529" s="1530"/>
      <c r="CQ529" s="1530"/>
      <c r="CR529" s="1530"/>
      <c r="CS529" s="1530"/>
      <c r="CT529" s="1530"/>
      <c r="CU529" s="1530"/>
      <c r="CV529" s="1530"/>
      <c r="CW529" s="1530"/>
      <c r="CX529" s="1530"/>
      <c r="CY529" s="1530"/>
      <c r="CZ529" s="1530"/>
      <c r="DA529" s="1530"/>
      <c r="DB529" s="1530"/>
      <c r="DC529" s="1530"/>
      <c r="DD529" s="1530"/>
      <c r="DE529" s="1530"/>
      <c r="DF529" s="1530"/>
      <c r="DG529" s="1530"/>
      <c r="DH529" s="1530"/>
      <c r="DI529" s="1530"/>
      <c r="DJ529" s="1530"/>
      <c r="DK529" s="1530"/>
      <c r="DL529" s="1530"/>
      <c r="DM529" s="1530"/>
      <c r="DN529" s="1571"/>
      <c r="DO529" s="1530"/>
      <c r="DP529" s="1530"/>
    </row>
    <row r="530" spans="1:120">
      <c r="A530" s="1451"/>
      <c r="C530" s="1451"/>
      <c r="K530" s="1451"/>
      <c r="L530" s="1451"/>
      <c r="U530" s="1530"/>
      <c r="V530" s="1530"/>
      <c r="W530" s="1530"/>
      <c r="X530" s="1530"/>
      <c r="Y530" s="1530"/>
      <c r="Z530" s="1530"/>
      <c r="AA530" s="1530"/>
      <c r="AB530" s="1530"/>
      <c r="AC530" s="1530"/>
      <c r="AD530" s="1530"/>
      <c r="AE530" s="1530"/>
      <c r="AF530" s="1530"/>
      <c r="AG530" s="1530"/>
      <c r="AH530" s="1530"/>
      <c r="AI530" s="1530"/>
      <c r="AJ530" s="1530"/>
      <c r="AK530" s="1530"/>
      <c r="AL530" s="1530"/>
      <c r="AM530" s="1530"/>
      <c r="AN530" s="1530"/>
      <c r="AO530" s="1530"/>
      <c r="AP530" s="1530"/>
      <c r="AQ530" s="1530"/>
      <c r="AR530" s="1530"/>
      <c r="AS530" s="1530"/>
      <c r="AT530" s="1530"/>
      <c r="AU530" s="1530"/>
      <c r="AV530" s="1530"/>
      <c r="AW530" s="1530"/>
      <c r="AX530" s="1530"/>
      <c r="AY530" s="1530"/>
      <c r="AZ530" s="1530"/>
      <c r="BA530" s="1530"/>
      <c r="BB530" s="1530"/>
      <c r="BC530" s="1530"/>
      <c r="BD530" s="1530"/>
      <c r="BE530" s="1530"/>
      <c r="BF530" s="1530"/>
      <c r="BG530" s="1530"/>
      <c r="BH530" s="1530"/>
      <c r="BI530" s="1530"/>
      <c r="BJ530" s="1530"/>
      <c r="BK530" s="1530"/>
      <c r="BL530" s="1530"/>
      <c r="BM530" s="1530"/>
      <c r="BN530" s="1530"/>
      <c r="BW530" s="1569"/>
      <c r="CO530" s="1530"/>
      <c r="CP530" s="1530"/>
      <c r="CQ530" s="1530"/>
      <c r="CR530" s="1530"/>
      <c r="CS530" s="1530"/>
      <c r="CT530" s="1530"/>
      <c r="CU530" s="1530"/>
      <c r="CV530" s="1530"/>
      <c r="CW530" s="1530"/>
      <c r="CX530" s="1530"/>
      <c r="CY530" s="1530"/>
      <c r="CZ530" s="1530"/>
      <c r="DA530" s="1530"/>
      <c r="DB530" s="1530"/>
      <c r="DC530" s="1530"/>
      <c r="DD530" s="1530"/>
      <c r="DE530" s="1530"/>
      <c r="DF530" s="1530"/>
      <c r="DG530" s="1530"/>
      <c r="DH530" s="1530"/>
      <c r="DI530" s="1530"/>
      <c r="DJ530" s="1530"/>
      <c r="DK530" s="1530"/>
      <c r="DL530" s="1530"/>
      <c r="DM530" s="1530"/>
      <c r="DN530" s="1571"/>
      <c r="DO530" s="1530"/>
      <c r="DP530" s="1530"/>
    </row>
    <row r="531" spans="1:120">
      <c r="A531" s="1451"/>
      <c r="C531" s="1451"/>
      <c r="K531" s="1451"/>
      <c r="L531" s="1451"/>
      <c r="U531" s="1530"/>
      <c r="V531" s="1530"/>
      <c r="W531" s="1530"/>
      <c r="X531" s="1530"/>
      <c r="Y531" s="1530"/>
      <c r="Z531" s="1530"/>
      <c r="AA531" s="1530"/>
      <c r="AB531" s="1530"/>
      <c r="AC531" s="1530"/>
      <c r="AD531" s="1530"/>
      <c r="AE531" s="1530"/>
      <c r="AF531" s="1530"/>
      <c r="AG531" s="1530"/>
      <c r="AH531" s="1530"/>
      <c r="AI531" s="1530"/>
      <c r="AJ531" s="1530"/>
      <c r="AK531" s="1530"/>
      <c r="AL531" s="1530"/>
      <c r="AM531" s="1530"/>
      <c r="AN531" s="1530"/>
      <c r="AO531" s="1530"/>
      <c r="AP531" s="1530"/>
      <c r="AQ531" s="1530"/>
      <c r="AR531" s="1530"/>
      <c r="AS531" s="1530"/>
      <c r="AT531" s="1530"/>
      <c r="AU531" s="1530"/>
      <c r="AV531" s="1530"/>
      <c r="AW531" s="1530"/>
      <c r="AX531" s="1530"/>
      <c r="AY531" s="1530"/>
      <c r="AZ531" s="1530"/>
      <c r="BA531" s="1530"/>
      <c r="BB531" s="1530"/>
      <c r="BC531" s="1530"/>
      <c r="BD531" s="1530"/>
      <c r="BE531" s="1530"/>
      <c r="BF531" s="1530"/>
      <c r="BG531" s="1530"/>
      <c r="BH531" s="1530"/>
      <c r="BI531" s="1530"/>
      <c r="BJ531" s="1530"/>
      <c r="BK531" s="1530"/>
      <c r="BL531" s="1530"/>
      <c r="BM531" s="1530"/>
      <c r="BN531" s="1530"/>
      <c r="BW531" s="1569"/>
      <c r="CO531" s="1530"/>
      <c r="CP531" s="1530"/>
      <c r="CQ531" s="1530"/>
      <c r="CR531" s="1530"/>
      <c r="CS531" s="1530"/>
      <c r="CT531" s="1530"/>
      <c r="CU531" s="1530"/>
      <c r="CV531" s="1530"/>
      <c r="CW531" s="1530"/>
      <c r="CX531" s="1530"/>
      <c r="CY531" s="1530"/>
      <c r="CZ531" s="1530"/>
      <c r="DA531" s="1530"/>
      <c r="DB531" s="1530"/>
      <c r="DC531" s="1530"/>
      <c r="DD531" s="1530"/>
      <c r="DE531" s="1530"/>
      <c r="DF531" s="1530"/>
      <c r="DG531" s="1530"/>
      <c r="DH531" s="1530"/>
      <c r="DI531" s="1530"/>
      <c r="DJ531" s="1530"/>
      <c r="DK531" s="1530"/>
      <c r="DL531" s="1530"/>
      <c r="DM531" s="1530"/>
      <c r="DN531" s="1571"/>
      <c r="DO531" s="1530"/>
      <c r="DP531" s="1530"/>
    </row>
    <row r="532" spans="1:120">
      <c r="A532" s="1451"/>
      <c r="C532" s="1451"/>
      <c r="K532" s="1451"/>
      <c r="L532" s="1451"/>
      <c r="U532" s="1530"/>
      <c r="V532" s="1530"/>
      <c r="W532" s="1530"/>
      <c r="X532" s="1530"/>
      <c r="Y532" s="1530"/>
      <c r="Z532" s="1530"/>
      <c r="AA532" s="1530"/>
      <c r="AB532" s="1530"/>
      <c r="AC532" s="1530"/>
      <c r="AD532" s="1530"/>
      <c r="AE532" s="1530"/>
      <c r="AF532" s="1530"/>
      <c r="AG532" s="1530"/>
      <c r="AH532" s="1530"/>
      <c r="AI532" s="1530"/>
      <c r="AJ532" s="1530"/>
      <c r="AK532" s="1530"/>
      <c r="AL532" s="1530"/>
      <c r="AM532" s="1530"/>
      <c r="AN532" s="1530"/>
      <c r="AO532" s="1530"/>
      <c r="AP532" s="1530"/>
      <c r="AQ532" s="1530"/>
      <c r="AR532" s="1530"/>
      <c r="AS532" s="1530"/>
      <c r="AT532" s="1530"/>
      <c r="AU532" s="1530"/>
      <c r="AV532" s="1530"/>
      <c r="AW532" s="1530"/>
      <c r="AX532" s="1530"/>
      <c r="AY532" s="1530"/>
      <c r="AZ532" s="1530"/>
      <c r="BA532" s="1530"/>
      <c r="BB532" s="1530"/>
      <c r="BC532" s="1530"/>
      <c r="BD532" s="1530"/>
      <c r="BE532" s="1530"/>
      <c r="BF532" s="1530"/>
      <c r="BG532" s="1530"/>
      <c r="BH532" s="1530"/>
      <c r="BI532" s="1530"/>
      <c r="BJ532" s="1530"/>
      <c r="BK532" s="1530"/>
      <c r="BL532" s="1530"/>
      <c r="BM532" s="1530"/>
      <c r="BN532" s="1530"/>
      <c r="BW532" s="1569"/>
      <c r="CO532" s="1530"/>
      <c r="CP532" s="1530"/>
      <c r="CQ532" s="1530"/>
      <c r="CR532" s="1530"/>
      <c r="CS532" s="1530"/>
      <c r="CT532" s="1530"/>
      <c r="CU532" s="1530"/>
      <c r="CV532" s="1530"/>
      <c r="CW532" s="1530"/>
      <c r="CX532" s="1530"/>
      <c r="CY532" s="1530"/>
      <c r="CZ532" s="1530"/>
      <c r="DA532" s="1530"/>
      <c r="DB532" s="1530"/>
      <c r="DC532" s="1530"/>
      <c r="DD532" s="1530"/>
      <c r="DE532" s="1530"/>
      <c r="DF532" s="1530"/>
      <c r="DG532" s="1530"/>
      <c r="DH532" s="1530"/>
      <c r="DI532" s="1530"/>
      <c r="DJ532" s="1530"/>
      <c r="DK532" s="1530"/>
      <c r="DL532" s="1530"/>
      <c r="DM532" s="1530"/>
      <c r="DN532" s="1571"/>
      <c r="DO532" s="1530"/>
      <c r="DP532" s="1530"/>
    </row>
    <row r="533" spans="1:120">
      <c r="A533" s="1451"/>
      <c r="C533" s="1451"/>
      <c r="K533" s="1451"/>
      <c r="L533" s="1451"/>
      <c r="U533" s="1530"/>
      <c r="V533" s="1530"/>
      <c r="W533" s="1530"/>
      <c r="X533" s="1530"/>
      <c r="Y533" s="1530"/>
      <c r="Z533" s="1530"/>
      <c r="AA533" s="1530"/>
      <c r="AB533" s="1530"/>
      <c r="AC533" s="1530"/>
      <c r="AD533" s="1530"/>
      <c r="AE533" s="1530"/>
      <c r="AF533" s="1530"/>
      <c r="AG533" s="1530"/>
      <c r="AH533" s="1530"/>
      <c r="AI533" s="1530"/>
      <c r="AJ533" s="1530"/>
      <c r="AK533" s="1530"/>
      <c r="AL533" s="1530"/>
      <c r="AM533" s="1530"/>
      <c r="AN533" s="1530"/>
      <c r="AO533" s="1530"/>
      <c r="AP533" s="1530"/>
      <c r="AQ533" s="1530"/>
      <c r="AR533" s="1530"/>
      <c r="AS533" s="1530"/>
      <c r="AT533" s="1530"/>
      <c r="AU533" s="1530"/>
      <c r="AV533" s="1530"/>
      <c r="AW533" s="1530"/>
      <c r="AX533" s="1530"/>
      <c r="AY533" s="1530"/>
      <c r="AZ533" s="1530"/>
      <c r="BA533" s="1530"/>
      <c r="BB533" s="1530"/>
      <c r="BC533" s="1530"/>
      <c r="BD533" s="1530"/>
      <c r="BE533" s="1530"/>
      <c r="BF533" s="1530"/>
      <c r="BG533" s="1530"/>
      <c r="BH533" s="1530"/>
      <c r="BI533" s="1530"/>
      <c r="BJ533" s="1530"/>
      <c r="BK533" s="1530"/>
      <c r="BL533" s="1530"/>
      <c r="BM533" s="1530"/>
      <c r="BN533" s="1530"/>
      <c r="BW533" s="1569"/>
      <c r="CO533" s="1530"/>
      <c r="CP533" s="1530"/>
      <c r="CQ533" s="1530"/>
      <c r="CR533" s="1530"/>
      <c r="CS533" s="1530"/>
      <c r="CT533" s="1530"/>
      <c r="CU533" s="1530"/>
      <c r="CV533" s="1530"/>
      <c r="CW533" s="1530"/>
      <c r="CX533" s="1530"/>
      <c r="CY533" s="1530"/>
      <c r="CZ533" s="1530"/>
      <c r="DA533" s="1530"/>
      <c r="DB533" s="1530"/>
      <c r="DC533" s="1530"/>
      <c r="DD533" s="1530"/>
      <c r="DE533" s="1530"/>
      <c r="DF533" s="1530"/>
      <c r="DG533" s="1530"/>
      <c r="DH533" s="1530"/>
      <c r="DI533" s="1530"/>
      <c r="DJ533" s="1530"/>
      <c r="DK533" s="1530"/>
      <c r="DL533" s="1530"/>
      <c r="DM533" s="1530"/>
      <c r="DN533" s="1571"/>
      <c r="DO533" s="1530"/>
      <c r="DP533" s="1530"/>
    </row>
    <row r="534" spans="1:120">
      <c r="A534" s="1451"/>
      <c r="C534" s="1451"/>
      <c r="K534" s="1451"/>
      <c r="L534" s="1451"/>
      <c r="U534" s="1530"/>
      <c r="V534" s="1530"/>
      <c r="W534" s="1530"/>
      <c r="X534" s="1530"/>
      <c r="Y534" s="1530"/>
      <c r="Z534" s="1530"/>
      <c r="AA534" s="1530"/>
      <c r="AB534" s="1530"/>
      <c r="AC534" s="1530"/>
      <c r="AD534" s="1530"/>
      <c r="AE534" s="1530"/>
      <c r="AF534" s="1530"/>
      <c r="AG534" s="1530"/>
      <c r="AH534" s="1530"/>
      <c r="AI534" s="1530"/>
      <c r="AJ534" s="1530"/>
      <c r="AK534" s="1530"/>
      <c r="AL534" s="1530"/>
      <c r="AM534" s="1530"/>
      <c r="AN534" s="1530"/>
      <c r="AO534" s="1530"/>
      <c r="AP534" s="1530"/>
      <c r="AQ534" s="1530"/>
      <c r="AR534" s="1530"/>
      <c r="AS534" s="1530"/>
      <c r="AT534" s="1530"/>
      <c r="AU534" s="1530"/>
      <c r="AV534" s="1530"/>
      <c r="AW534" s="1530"/>
      <c r="AX534" s="1530"/>
      <c r="AY534" s="1530"/>
      <c r="AZ534" s="1530"/>
      <c r="BA534" s="1530"/>
      <c r="BB534" s="1530"/>
      <c r="BC534" s="1530"/>
      <c r="BD534" s="1530"/>
      <c r="BE534" s="1530"/>
      <c r="BF534" s="1530"/>
      <c r="BG534" s="1530"/>
      <c r="BH534" s="1530"/>
      <c r="BI534" s="1530"/>
      <c r="BJ534" s="1530"/>
      <c r="BK534" s="1530"/>
      <c r="BL534" s="1530"/>
      <c r="BM534" s="1530"/>
      <c r="BN534" s="1530"/>
      <c r="BW534" s="1569"/>
      <c r="CO534" s="1530"/>
      <c r="CP534" s="1530"/>
      <c r="CQ534" s="1530"/>
      <c r="CR534" s="1530"/>
      <c r="CS534" s="1530"/>
      <c r="CT534" s="1530"/>
      <c r="CU534" s="1530"/>
      <c r="CV534" s="1530"/>
      <c r="CW534" s="1530"/>
      <c r="CX534" s="1530"/>
      <c r="CY534" s="1530"/>
      <c r="CZ534" s="1530"/>
      <c r="DA534" s="1530"/>
      <c r="DB534" s="1530"/>
      <c r="DC534" s="1530"/>
      <c r="DD534" s="1530"/>
      <c r="DE534" s="1530"/>
      <c r="DF534" s="1530"/>
      <c r="DG534" s="1530"/>
      <c r="DH534" s="1530"/>
      <c r="DI534" s="1530"/>
      <c r="DJ534" s="1530"/>
      <c r="DK534" s="1530"/>
      <c r="DL534" s="1530"/>
      <c r="DM534" s="1530"/>
      <c r="DN534" s="1571"/>
      <c r="DO534" s="1530"/>
      <c r="DP534" s="1530"/>
    </row>
    <row r="535" spans="1:120">
      <c r="A535" s="1451"/>
      <c r="C535" s="1451"/>
      <c r="K535" s="1451"/>
      <c r="L535" s="1451"/>
      <c r="U535" s="1530"/>
      <c r="V535" s="1530"/>
      <c r="W535" s="1530"/>
      <c r="X535" s="1530"/>
      <c r="Y535" s="1530"/>
      <c r="Z535" s="1530"/>
      <c r="AA535" s="1530"/>
      <c r="AB535" s="1530"/>
      <c r="AC535" s="1530"/>
      <c r="AD535" s="1530"/>
      <c r="AE535" s="1530"/>
      <c r="AF535" s="1530"/>
      <c r="AG535" s="1530"/>
      <c r="AH535" s="1530"/>
      <c r="AI535" s="1530"/>
      <c r="AJ535" s="1530"/>
      <c r="AK535" s="1530"/>
      <c r="AL535" s="1530"/>
      <c r="AM535" s="1530"/>
      <c r="AN535" s="1530"/>
      <c r="AO535" s="1530"/>
      <c r="AP535" s="1530"/>
      <c r="AQ535" s="1530"/>
      <c r="AR535" s="1530"/>
      <c r="AS535" s="1530"/>
      <c r="AT535" s="1530"/>
      <c r="AU535" s="1530"/>
      <c r="AV535" s="1530"/>
      <c r="AW535" s="1530"/>
      <c r="AX535" s="1530"/>
      <c r="AY535" s="1530"/>
      <c r="AZ535" s="1530"/>
      <c r="BA535" s="1530"/>
      <c r="BB535" s="1530"/>
      <c r="BC535" s="1530"/>
      <c r="BD535" s="1530"/>
      <c r="BE535" s="1530"/>
      <c r="BF535" s="1530"/>
      <c r="BG535" s="1530"/>
      <c r="BH535" s="1530"/>
      <c r="BI535" s="1530"/>
      <c r="BJ535" s="1530"/>
      <c r="BK535" s="1530"/>
      <c r="BL535" s="1530"/>
      <c r="BM535" s="1530"/>
      <c r="BN535" s="1530"/>
      <c r="BW535" s="1569"/>
      <c r="CO535" s="1530"/>
      <c r="CP535" s="1530"/>
      <c r="CQ535" s="1530"/>
      <c r="CR535" s="1530"/>
      <c r="CS535" s="1530"/>
      <c r="CT535" s="1530"/>
      <c r="CU535" s="1530"/>
      <c r="CV535" s="1530"/>
      <c r="CW535" s="1530"/>
      <c r="CX535" s="1530"/>
      <c r="CY535" s="1530"/>
      <c r="CZ535" s="1530"/>
      <c r="DA535" s="1530"/>
      <c r="DB535" s="1530"/>
      <c r="DC535" s="1530"/>
      <c r="DD535" s="1530"/>
      <c r="DE535" s="1530"/>
      <c r="DF535" s="1530"/>
      <c r="DG535" s="1530"/>
      <c r="DH535" s="1530"/>
      <c r="DI535" s="1530"/>
      <c r="DJ535" s="1530"/>
      <c r="DK535" s="1530"/>
      <c r="DL535" s="1530"/>
      <c r="DM535" s="1530"/>
      <c r="DN535" s="1571"/>
      <c r="DO535" s="1530"/>
      <c r="DP535" s="1530"/>
    </row>
    <row r="536" spans="1:120">
      <c r="A536" s="1451"/>
      <c r="C536" s="1451"/>
      <c r="K536" s="1451"/>
      <c r="L536" s="1451"/>
      <c r="U536" s="1530"/>
      <c r="V536" s="1530"/>
      <c r="W536" s="1530"/>
      <c r="X536" s="1530"/>
      <c r="Y536" s="1530"/>
      <c r="Z536" s="1530"/>
      <c r="AA536" s="1530"/>
      <c r="AB536" s="1530"/>
      <c r="AC536" s="1530"/>
      <c r="AD536" s="1530"/>
      <c r="AE536" s="1530"/>
      <c r="AF536" s="1530"/>
      <c r="AG536" s="1530"/>
      <c r="AH536" s="1530"/>
      <c r="AI536" s="1530"/>
      <c r="AJ536" s="1530"/>
      <c r="AK536" s="1530"/>
      <c r="AL536" s="1530"/>
      <c r="AM536" s="1530"/>
      <c r="AN536" s="1530"/>
      <c r="AO536" s="1530"/>
      <c r="AP536" s="1530"/>
      <c r="AQ536" s="1530"/>
      <c r="AR536" s="1530"/>
      <c r="AS536" s="1530"/>
      <c r="AT536" s="1530"/>
      <c r="AU536" s="1530"/>
      <c r="AV536" s="1530"/>
      <c r="AW536" s="1530"/>
      <c r="AX536" s="1530"/>
      <c r="AY536" s="1530"/>
      <c r="AZ536" s="1530"/>
      <c r="BA536" s="1530"/>
      <c r="BB536" s="1530"/>
      <c r="BC536" s="1530"/>
      <c r="BD536" s="1530"/>
      <c r="BE536" s="1530"/>
      <c r="BF536" s="1530"/>
      <c r="BG536" s="1530"/>
      <c r="BH536" s="1530"/>
      <c r="BI536" s="1530"/>
      <c r="BJ536" s="1530"/>
      <c r="BK536" s="1530"/>
      <c r="BL536" s="1530"/>
      <c r="BM536" s="1530"/>
      <c r="BN536" s="1530"/>
      <c r="BW536" s="1569"/>
      <c r="CO536" s="1530"/>
      <c r="CP536" s="1530"/>
      <c r="CQ536" s="1530"/>
      <c r="CR536" s="1530"/>
      <c r="CS536" s="1530"/>
      <c r="CT536" s="1530"/>
      <c r="CU536" s="1530"/>
      <c r="CV536" s="1530"/>
      <c r="CW536" s="1530"/>
      <c r="CX536" s="1530"/>
      <c r="CY536" s="1530"/>
      <c r="CZ536" s="1530"/>
      <c r="DA536" s="1530"/>
      <c r="DB536" s="1530"/>
      <c r="DC536" s="1530"/>
      <c r="DD536" s="1530"/>
      <c r="DE536" s="1530"/>
      <c r="DF536" s="1530"/>
      <c r="DG536" s="1530"/>
      <c r="DH536" s="1530"/>
      <c r="DI536" s="1530"/>
      <c r="DJ536" s="1530"/>
      <c r="DK536" s="1530"/>
      <c r="DL536" s="1530"/>
      <c r="DM536" s="1530"/>
      <c r="DN536" s="1571"/>
      <c r="DO536" s="1530"/>
      <c r="DP536" s="1530"/>
    </row>
    <row r="537" spans="1:120">
      <c r="A537" s="1451"/>
      <c r="C537" s="1451"/>
      <c r="K537" s="1451"/>
      <c r="L537" s="1451"/>
      <c r="U537" s="1530"/>
      <c r="V537" s="1530"/>
      <c r="W537" s="1530"/>
      <c r="X537" s="1530"/>
      <c r="Y537" s="1530"/>
      <c r="Z537" s="1530"/>
      <c r="AA537" s="1530"/>
      <c r="AB537" s="1530"/>
      <c r="AC537" s="1530"/>
      <c r="AD537" s="1530"/>
      <c r="AE537" s="1530"/>
      <c r="AF537" s="1530"/>
      <c r="AG537" s="1530"/>
      <c r="AH537" s="1530"/>
      <c r="AI537" s="1530"/>
      <c r="AJ537" s="1530"/>
      <c r="AK537" s="1530"/>
      <c r="AL537" s="1530"/>
      <c r="AM537" s="1530"/>
      <c r="AN537" s="1530"/>
      <c r="AO537" s="1530"/>
      <c r="AP537" s="1530"/>
      <c r="AQ537" s="1530"/>
      <c r="AR537" s="1530"/>
      <c r="AS537" s="1530"/>
      <c r="AT537" s="1530"/>
      <c r="AU537" s="1530"/>
      <c r="AV537" s="1530"/>
      <c r="AW537" s="1530"/>
      <c r="AX537" s="1530"/>
      <c r="AY537" s="1530"/>
      <c r="AZ537" s="1530"/>
      <c r="BA537" s="1530"/>
      <c r="BB537" s="1530"/>
      <c r="BC537" s="1530"/>
      <c r="BD537" s="1530"/>
      <c r="BE537" s="1530"/>
      <c r="BF537" s="1530"/>
      <c r="BG537" s="1530"/>
      <c r="BH537" s="1530"/>
      <c r="BI537" s="1530"/>
      <c r="BJ537" s="1530"/>
      <c r="BK537" s="1530"/>
      <c r="BL537" s="1530"/>
      <c r="BM537" s="1530"/>
      <c r="BN537" s="1530"/>
      <c r="BW537" s="1569"/>
      <c r="CO537" s="1530"/>
      <c r="CP537" s="1530"/>
      <c r="CQ537" s="1530"/>
      <c r="CR537" s="1530"/>
      <c r="CS537" s="1530"/>
      <c r="CT537" s="1530"/>
      <c r="CU537" s="1530"/>
      <c r="CV537" s="1530"/>
      <c r="CW537" s="1530"/>
      <c r="CX537" s="1530"/>
      <c r="CY537" s="1530"/>
      <c r="CZ537" s="1530"/>
      <c r="DA537" s="1530"/>
      <c r="DB537" s="1530"/>
      <c r="DC537" s="1530"/>
      <c r="DD537" s="1530"/>
      <c r="DE537" s="1530"/>
      <c r="DF537" s="1530"/>
      <c r="DG537" s="1530"/>
      <c r="DH537" s="1530"/>
      <c r="DI537" s="1530"/>
      <c r="DJ537" s="1530"/>
      <c r="DK537" s="1530"/>
      <c r="DL537" s="1530"/>
      <c r="DM537" s="1530"/>
      <c r="DN537" s="1571"/>
      <c r="DO537" s="1530"/>
      <c r="DP537" s="1530"/>
    </row>
    <row r="538" spans="1:120">
      <c r="A538" s="1451"/>
      <c r="C538" s="1451"/>
      <c r="K538" s="1451"/>
      <c r="L538" s="1451"/>
      <c r="U538" s="1530"/>
      <c r="V538" s="1530"/>
      <c r="W538" s="1530"/>
      <c r="X538" s="1530"/>
      <c r="Y538" s="1530"/>
      <c r="Z538" s="1530"/>
      <c r="AA538" s="1530"/>
      <c r="AB538" s="1530"/>
      <c r="AC538" s="1530"/>
      <c r="AD538" s="1530"/>
      <c r="AE538" s="1530"/>
      <c r="AF538" s="1530"/>
      <c r="AG538" s="1530"/>
      <c r="AH538" s="1530"/>
      <c r="AI538" s="1530"/>
      <c r="AJ538" s="1530"/>
      <c r="AK538" s="1530"/>
      <c r="AL538" s="1530"/>
      <c r="AM538" s="1530"/>
      <c r="AN538" s="1530"/>
      <c r="AO538" s="1530"/>
      <c r="AP538" s="1530"/>
      <c r="AQ538" s="1530"/>
      <c r="AR538" s="1530"/>
      <c r="AS538" s="1530"/>
      <c r="AT538" s="1530"/>
      <c r="AU538" s="1530"/>
      <c r="AV538" s="1530"/>
      <c r="AW538" s="1530"/>
      <c r="AX538" s="1530"/>
      <c r="AY538" s="1530"/>
      <c r="AZ538" s="1530"/>
      <c r="BA538" s="1530"/>
      <c r="BB538" s="1530"/>
      <c r="BC538" s="1530"/>
      <c r="BD538" s="1530"/>
      <c r="BE538" s="1530"/>
      <c r="BF538" s="1530"/>
      <c r="BG538" s="1530"/>
      <c r="BH538" s="1530"/>
      <c r="BI538" s="1530"/>
      <c r="BJ538" s="1530"/>
      <c r="BK538" s="1530"/>
      <c r="BL538" s="1530"/>
      <c r="BM538" s="1530"/>
      <c r="BN538" s="1530"/>
      <c r="BW538" s="1569"/>
      <c r="CO538" s="1530"/>
      <c r="CP538" s="1530"/>
      <c r="CQ538" s="1530"/>
      <c r="CR538" s="1530"/>
      <c r="CS538" s="1530"/>
      <c r="CT538" s="1530"/>
      <c r="CU538" s="1530"/>
      <c r="CV538" s="1530"/>
      <c r="CW538" s="1530"/>
      <c r="CX538" s="1530"/>
      <c r="CY538" s="1530"/>
      <c r="CZ538" s="1530"/>
      <c r="DA538" s="1530"/>
      <c r="DB538" s="1530"/>
      <c r="DC538" s="1530"/>
      <c r="DD538" s="1530"/>
      <c r="DE538" s="1530"/>
      <c r="DF538" s="1530"/>
      <c r="DG538" s="1530"/>
      <c r="DH538" s="1530"/>
      <c r="DI538" s="1530"/>
      <c r="DJ538" s="1530"/>
      <c r="DK538" s="1530"/>
      <c r="DL538" s="1530"/>
      <c r="DM538" s="1530"/>
      <c r="DN538" s="1571"/>
      <c r="DO538" s="1530"/>
      <c r="DP538" s="1530"/>
    </row>
    <row r="539" spans="1:120">
      <c r="A539" s="1451"/>
      <c r="C539" s="1451"/>
      <c r="K539" s="1451"/>
      <c r="L539" s="1451"/>
      <c r="U539" s="1530"/>
      <c r="V539" s="1530"/>
      <c r="W539" s="1530"/>
      <c r="X539" s="1530"/>
      <c r="Y539" s="1530"/>
      <c r="Z539" s="1530"/>
      <c r="AA539" s="1530"/>
      <c r="AB539" s="1530"/>
      <c r="AC539" s="1530"/>
      <c r="AD539" s="1530"/>
      <c r="AE539" s="1530"/>
      <c r="AF539" s="1530"/>
      <c r="AG539" s="1530"/>
      <c r="AH539" s="1530"/>
      <c r="AI539" s="1530"/>
      <c r="AJ539" s="1530"/>
      <c r="AK539" s="1530"/>
      <c r="AL539" s="1530"/>
      <c r="AM539" s="1530"/>
      <c r="AN539" s="1530"/>
      <c r="AO539" s="1530"/>
      <c r="AP539" s="1530"/>
      <c r="AQ539" s="1530"/>
      <c r="AR539" s="1530"/>
      <c r="AS539" s="1530"/>
      <c r="AT539" s="1530"/>
      <c r="AU539" s="1530"/>
      <c r="AV539" s="1530"/>
      <c r="AW539" s="1530"/>
      <c r="AX539" s="1530"/>
      <c r="AY539" s="1530"/>
      <c r="AZ539" s="1530"/>
      <c r="BA539" s="1530"/>
      <c r="BB539" s="1530"/>
      <c r="BC539" s="1530"/>
      <c r="BD539" s="1530"/>
      <c r="BE539" s="1530"/>
      <c r="BF539" s="1530"/>
      <c r="BG539" s="1530"/>
      <c r="BH539" s="1530"/>
      <c r="BI539" s="1530"/>
      <c r="BJ539" s="1530"/>
      <c r="BK539" s="1530"/>
      <c r="BL539" s="1530"/>
      <c r="BM539" s="1530"/>
      <c r="BN539" s="1530"/>
      <c r="BW539" s="1569"/>
      <c r="CO539" s="1530"/>
      <c r="CP539" s="1530"/>
      <c r="CQ539" s="1530"/>
      <c r="CR539" s="1530"/>
      <c r="CS539" s="1530"/>
      <c r="CT539" s="1530"/>
      <c r="CU539" s="1530"/>
      <c r="CV539" s="1530"/>
      <c r="CW539" s="1530"/>
      <c r="CX539" s="1530"/>
      <c r="CY539" s="1530"/>
      <c r="CZ539" s="1530"/>
      <c r="DA539" s="1530"/>
      <c r="DB539" s="1530"/>
      <c r="DC539" s="1530"/>
      <c r="DD539" s="1530"/>
      <c r="DE539" s="1530"/>
      <c r="DF539" s="1530"/>
      <c r="DG539" s="1530"/>
      <c r="DH539" s="1530"/>
      <c r="DI539" s="1530"/>
      <c r="DJ539" s="1530"/>
      <c r="DK539" s="1530"/>
      <c r="DL539" s="1530"/>
      <c r="DM539" s="1530"/>
      <c r="DN539" s="1571"/>
      <c r="DO539" s="1530"/>
      <c r="DP539" s="1530"/>
    </row>
    <row r="540" spans="1:120">
      <c r="A540" s="1451"/>
      <c r="C540" s="1451"/>
      <c r="K540" s="1451"/>
      <c r="L540" s="1451"/>
      <c r="U540" s="1530"/>
      <c r="V540" s="1530"/>
      <c r="W540" s="1530"/>
      <c r="X540" s="1530"/>
      <c r="Y540" s="1530"/>
      <c r="Z540" s="1530"/>
      <c r="AA540" s="1530"/>
      <c r="AB540" s="1530"/>
      <c r="AC540" s="1530"/>
      <c r="AD540" s="1530"/>
      <c r="AE540" s="1530"/>
      <c r="AF540" s="1530"/>
      <c r="AG540" s="1530"/>
      <c r="AH540" s="1530"/>
      <c r="AI540" s="1530"/>
      <c r="AJ540" s="1530"/>
      <c r="AK540" s="1530"/>
      <c r="AL540" s="1530"/>
      <c r="AM540" s="1530"/>
      <c r="AN540" s="1530"/>
      <c r="AO540" s="1530"/>
      <c r="AP540" s="1530"/>
      <c r="AQ540" s="1530"/>
      <c r="AR540" s="1530"/>
      <c r="AS540" s="1530"/>
      <c r="AT540" s="1530"/>
      <c r="AU540" s="1530"/>
      <c r="AV540" s="1530"/>
      <c r="AW540" s="1530"/>
      <c r="AX540" s="1530"/>
      <c r="AY540" s="1530"/>
      <c r="AZ540" s="1530"/>
      <c r="BA540" s="1530"/>
      <c r="BB540" s="1530"/>
      <c r="BC540" s="1530"/>
      <c r="BD540" s="1530"/>
      <c r="BE540" s="1530"/>
      <c r="BF540" s="1530"/>
      <c r="BG540" s="1530"/>
      <c r="BH540" s="1530"/>
      <c r="BI540" s="1530"/>
      <c r="BJ540" s="1530"/>
      <c r="BK540" s="1530"/>
      <c r="BL540" s="1530"/>
      <c r="BM540" s="1530"/>
      <c r="BN540" s="1530"/>
      <c r="BW540" s="1569"/>
      <c r="CO540" s="1530"/>
      <c r="CP540" s="1530"/>
      <c r="CQ540" s="1530"/>
      <c r="CR540" s="1530"/>
      <c r="CS540" s="1530"/>
      <c r="CT540" s="1530"/>
      <c r="CU540" s="1530"/>
      <c r="CV540" s="1530"/>
      <c r="CW540" s="1530"/>
      <c r="CX540" s="1530"/>
      <c r="CY540" s="1530"/>
      <c r="CZ540" s="1530"/>
      <c r="DA540" s="1530"/>
      <c r="DB540" s="1530"/>
      <c r="DC540" s="1530"/>
      <c r="DD540" s="1530"/>
      <c r="DE540" s="1530"/>
      <c r="DF540" s="1530"/>
      <c r="DG540" s="1530"/>
      <c r="DH540" s="1530"/>
      <c r="DI540" s="1530"/>
      <c r="DJ540" s="1530"/>
      <c r="DK540" s="1530"/>
      <c r="DL540" s="1530"/>
      <c r="DM540" s="1530"/>
      <c r="DN540" s="1571"/>
      <c r="DO540" s="1530"/>
      <c r="DP540" s="1530"/>
    </row>
    <row r="541" spans="1:120">
      <c r="A541" s="1451"/>
      <c r="C541" s="1451"/>
      <c r="K541" s="1451"/>
      <c r="L541" s="1451"/>
      <c r="U541" s="1530"/>
      <c r="V541" s="1530"/>
      <c r="W541" s="1530"/>
      <c r="X541" s="1530"/>
      <c r="Y541" s="1530"/>
      <c r="Z541" s="1530"/>
      <c r="AA541" s="1530"/>
      <c r="AB541" s="1530"/>
      <c r="AC541" s="1530"/>
      <c r="AD541" s="1530"/>
      <c r="AE541" s="1530"/>
      <c r="AF541" s="1530"/>
      <c r="AG541" s="1530"/>
      <c r="AH541" s="1530"/>
      <c r="AI541" s="1530"/>
      <c r="AJ541" s="1530"/>
      <c r="AK541" s="1530"/>
      <c r="AL541" s="1530"/>
      <c r="AM541" s="1530"/>
      <c r="AN541" s="1530"/>
      <c r="AO541" s="1530"/>
      <c r="AP541" s="1530"/>
      <c r="AQ541" s="1530"/>
      <c r="AR541" s="1530"/>
      <c r="AS541" s="1530"/>
      <c r="AT541" s="1530"/>
      <c r="AU541" s="1530"/>
      <c r="AV541" s="1530"/>
      <c r="AW541" s="1530"/>
      <c r="AX541" s="1530"/>
      <c r="AY541" s="1530"/>
      <c r="AZ541" s="1530"/>
      <c r="BA541" s="1530"/>
      <c r="BB541" s="1530"/>
      <c r="BC541" s="1530"/>
      <c r="BD541" s="1530"/>
      <c r="BE541" s="1530"/>
      <c r="BF541" s="1530"/>
      <c r="BG541" s="1530"/>
      <c r="BH541" s="1530"/>
      <c r="BI541" s="1530"/>
      <c r="BJ541" s="1530"/>
      <c r="BK541" s="1530"/>
      <c r="BL541" s="1530"/>
      <c r="BM541" s="1530"/>
      <c r="BN541" s="1530"/>
      <c r="BW541" s="1569"/>
      <c r="CO541" s="1530"/>
      <c r="CP541" s="1530"/>
      <c r="CQ541" s="1530"/>
      <c r="CR541" s="1530"/>
      <c r="CS541" s="1530"/>
      <c r="CT541" s="1530"/>
      <c r="CU541" s="1530"/>
      <c r="CV541" s="1530"/>
      <c r="CW541" s="1530"/>
      <c r="CX541" s="1530"/>
      <c r="CY541" s="1530"/>
      <c r="CZ541" s="1530"/>
      <c r="DA541" s="1530"/>
      <c r="DB541" s="1530"/>
      <c r="DC541" s="1530"/>
      <c r="DD541" s="1530"/>
      <c r="DE541" s="1530"/>
      <c r="DF541" s="1530"/>
      <c r="DG541" s="1530"/>
      <c r="DH541" s="1530"/>
      <c r="DI541" s="1530"/>
      <c r="DJ541" s="1530"/>
      <c r="DK541" s="1530"/>
      <c r="DL541" s="1530"/>
      <c r="DM541" s="1530"/>
      <c r="DN541" s="1571"/>
      <c r="DO541" s="1530"/>
      <c r="DP541" s="1530"/>
    </row>
    <row r="542" spans="1:120">
      <c r="A542" s="1451"/>
      <c r="C542" s="1451"/>
      <c r="K542" s="1451"/>
      <c r="L542" s="1451"/>
      <c r="U542" s="1530"/>
      <c r="V542" s="1530"/>
      <c r="W542" s="1530"/>
      <c r="X542" s="1530"/>
      <c r="Y542" s="1530"/>
      <c r="Z542" s="1530"/>
      <c r="AA542" s="1530"/>
      <c r="AB542" s="1530"/>
      <c r="AC542" s="1530"/>
      <c r="AD542" s="1530"/>
      <c r="AE542" s="1530"/>
      <c r="AF542" s="1530"/>
      <c r="AG542" s="1530"/>
      <c r="AH542" s="1530"/>
      <c r="AI542" s="1530"/>
      <c r="AJ542" s="1530"/>
      <c r="AK542" s="1530"/>
      <c r="AL542" s="1530"/>
      <c r="AM542" s="1530"/>
      <c r="AN542" s="1530"/>
      <c r="AO542" s="1530"/>
      <c r="AP542" s="1530"/>
      <c r="AQ542" s="1530"/>
      <c r="AR542" s="1530"/>
      <c r="AS542" s="1530"/>
      <c r="AT542" s="1530"/>
      <c r="AU542" s="1530"/>
      <c r="AV542" s="1530"/>
      <c r="AW542" s="1530"/>
      <c r="AX542" s="1530"/>
      <c r="AY542" s="1530"/>
      <c r="AZ542" s="1530"/>
      <c r="BA542" s="1530"/>
      <c r="BB542" s="1530"/>
      <c r="BC542" s="1530"/>
      <c r="BD542" s="1530"/>
      <c r="BE542" s="1530"/>
      <c r="BF542" s="1530"/>
      <c r="BG542" s="1530"/>
      <c r="BH542" s="1530"/>
      <c r="BI542" s="1530"/>
      <c r="BJ542" s="1530"/>
      <c r="BK542" s="1530"/>
      <c r="BL542" s="1530"/>
      <c r="BM542" s="1530"/>
      <c r="BN542" s="1530"/>
      <c r="BW542" s="1569"/>
      <c r="CO542" s="1530"/>
      <c r="CP542" s="1530"/>
      <c r="CQ542" s="1530"/>
      <c r="CR542" s="1530"/>
      <c r="CS542" s="1530"/>
      <c r="CT542" s="1530"/>
      <c r="CU542" s="1530"/>
      <c r="CV542" s="1530"/>
      <c r="CW542" s="1530"/>
      <c r="CX542" s="1530"/>
      <c r="CY542" s="1530"/>
      <c r="CZ542" s="1530"/>
      <c r="DA542" s="1530"/>
      <c r="DB542" s="1530"/>
      <c r="DC542" s="1530"/>
      <c r="DD542" s="1530"/>
      <c r="DE542" s="1530"/>
      <c r="DF542" s="1530"/>
      <c r="DG542" s="1530"/>
      <c r="DH542" s="1530"/>
      <c r="DI542" s="1530"/>
      <c r="DJ542" s="1530"/>
      <c r="DK542" s="1530"/>
      <c r="DL542" s="1530"/>
      <c r="DM542" s="1530"/>
      <c r="DN542" s="1571"/>
      <c r="DO542" s="1530"/>
      <c r="DP542" s="1530"/>
    </row>
    <row r="543" spans="1:120">
      <c r="A543" s="1451"/>
      <c r="C543" s="1451"/>
      <c r="K543" s="1451"/>
      <c r="L543" s="1451"/>
      <c r="U543" s="1530"/>
      <c r="V543" s="1530"/>
      <c r="W543" s="1530"/>
      <c r="X543" s="1530"/>
      <c r="Y543" s="1530"/>
      <c r="Z543" s="1530"/>
      <c r="AA543" s="1530"/>
      <c r="AB543" s="1530"/>
      <c r="AC543" s="1530"/>
      <c r="AD543" s="1530"/>
      <c r="AE543" s="1530"/>
      <c r="AF543" s="1530"/>
      <c r="AG543" s="1530"/>
      <c r="AH543" s="1530"/>
      <c r="AI543" s="1530"/>
      <c r="AJ543" s="1530"/>
      <c r="AK543" s="1530"/>
      <c r="AL543" s="1530"/>
      <c r="AM543" s="1530"/>
      <c r="AN543" s="1530"/>
      <c r="AO543" s="1530"/>
      <c r="AP543" s="1530"/>
      <c r="AQ543" s="1530"/>
      <c r="AR543" s="1530"/>
      <c r="AS543" s="1530"/>
      <c r="AT543" s="1530"/>
      <c r="AU543" s="1530"/>
      <c r="AV543" s="1530"/>
      <c r="AW543" s="1530"/>
      <c r="AX543" s="1530"/>
      <c r="AY543" s="1530"/>
      <c r="AZ543" s="1530"/>
      <c r="BA543" s="1530"/>
      <c r="BB543" s="1530"/>
      <c r="BC543" s="1530"/>
      <c r="BD543" s="1530"/>
      <c r="BE543" s="1530"/>
      <c r="BF543" s="1530"/>
      <c r="BG543" s="1530"/>
      <c r="BH543" s="1530"/>
      <c r="BI543" s="1530"/>
      <c r="BJ543" s="1530"/>
      <c r="BK543" s="1530"/>
      <c r="BL543" s="1530"/>
      <c r="BM543" s="1530"/>
      <c r="BN543" s="1530"/>
      <c r="BW543" s="1569"/>
      <c r="CO543" s="1530"/>
      <c r="CP543" s="1530"/>
      <c r="CQ543" s="1530"/>
      <c r="CR543" s="1530"/>
      <c r="CS543" s="1530"/>
      <c r="CT543" s="1530"/>
      <c r="CU543" s="1530"/>
      <c r="CV543" s="1530"/>
      <c r="CW543" s="1530"/>
      <c r="CX543" s="1530"/>
      <c r="CY543" s="1530"/>
      <c r="CZ543" s="1530"/>
      <c r="DA543" s="1530"/>
      <c r="DB543" s="1530"/>
      <c r="DC543" s="1530"/>
      <c r="DD543" s="1530"/>
      <c r="DE543" s="1530"/>
      <c r="DF543" s="1530"/>
      <c r="DG543" s="1530"/>
      <c r="DH543" s="1530"/>
      <c r="DI543" s="1530"/>
      <c r="DJ543" s="1530"/>
      <c r="DK543" s="1530"/>
      <c r="DL543" s="1530"/>
      <c r="DM543" s="1530"/>
      <c r="DN543" s="1571"/>
      <c r="DO543" s="1530"/>
      <c r="DP543" s="1530"/>
    </row>
    <row r="544" spans="1:120">
      <c r="A544" s="1451"/>
      <c r="C544" s="1451"/>
      <c r="K544" s="1451"/>
      <c r="L544" s="1451"/>
      <c r="U544" s="1530"/>
      <c r="V544" s="1530"/>
      <c r="W544" s="1530"/>
      <c r="X544" s="1530"/>
      <c r="Y544" s="1530"/>
      <c r="Z544" s="1530"/>
      <c r="AA544" s="1530"/>
      <c r="AB544" s="1530"/>
      <c r="AC544" s="1530"/>
      <c r="AD544" s="1530"/>
      <c r="AE544" s="1530"/>
      <c r="AF544" s="1530"/>
      <c r="AG544" s="1530"/>
      <c r="AH544" s="1530"/>
      <c r="AI544" s="1530"/>
      <c r="AJ544" s="1530"/>
      <c r="AK544" s="1530"/>
      <c r="AL544" s="1530"/>
      <c r="AM544" s="1530"/>
      <c r="AN544" s="1530"/>
      <c r="AO544" s="1530"/>
      <c r="AP544" s="1530"/>
      <c r="AQ544" s="1530"/>
      <c r="AR544" s="1530"/>
      <c r="AS544" s="1530"/>
      <c r="AT544" s="1530"/>
      <c r="AU544" s="1530"/>
      <c r="AV544" s="1530"/>
      <c r="AW544" s="1530"/>
      <c r="AX544" s="1530"/>
      <c r="AY544" s="1530"/>
      <c r="AZ544" s="1530"/>
      <c r="BA544" s="1530"/>
      <c r="BB544" s="1530"/>
      <c r="BC544" s="1530"/>
      <c r="BD544" s="1530"/>
      <c r="BE544" s="1530"/>
      <c r="BF544" s="1530"/>
      <c r="BG544" s="1530"/>
      <c r="BH544" s="1530"/>
      <c r="BI544" s="1530"/>
      <c r="BJ544" s="1530"/>
      <c r="BK544" s="1530"/>
      <c r="BL544" s="1530"/>
      <c r="BM544" s="1530"/>
      <c r="BN544" s="1530"/>
      <c r="BW544" s="1569"/>
      <c r="CO544" s="1530"/>
      <c r="CP544" s="1530"/>
      <c r="CQ544" s="1530"/>
      <c r="CR544" s="1530"/>
      <c r="CS544" s="1530"/>
      <c r="CT544" s="1530"/>
      <c r="CU544" s="1530"/>
      <c r="CV544" s="1530"/>
      <c r="CW544" s="1530"/>
      <c r="CX544" s="1530"/>
      <c r="CY544" s="1530"/>
      <c r="CZ544" s="1530"/>
      <c r="DA544" s="1530"/>
      <c r="DB544" s="1530"/>
      <c r="DC544" s="1530"/>
      <c r="DD544" s="1530"/>
      <c r="DE544" s="1530"/>
      <c r="DF544" s="1530"/>
      <c r="DG544" s="1530"/>
      <c r="DH544" s="1530"/>
      <c r="DI544" s="1530"/>
      <c r="DJ544" s="1530"/>
      <c r="DK544" s="1530"/>
      <c r="DL544" s="1530"/>
      <c r="DM544" s="1530"/>
      <c r="DN544" s="1571"/>
      <c r="DO544" s="1530"/>
      <c r="DP544" s="1530"/>
    </row>
    <row r="545" spans="1:120">
      <c r="A545" s="1451"/>
      <c r="C545" s="1451"/>
      <c r="K545" s="1451"/>
      <c r="L545" s="1451"/>
      <c r="U545" s="1530"/>
      <c r="V545" s="1530"/>
      <c r="W545" s="1530"/>
      <c r="X545" s="1530"/>
      <c r="Y545" s="1530"/>
      <c r="Z545" s="1530"/>
      <c r="AA545" s="1530"/>
      <c r="AB545" s="1530"/>
      <c r="AC545" s="1530"/>
      <c r="AD545" s="1530"/>
      <c r="AE545" s="1530"/>
      <c r="AF545" s="1530"/>
      <c r="AG545" s="1530"/>
      <c r="AH545" s="1530"/>
      <c r="AI545" s="1530"/>
      <c r="AJ545" s="1530"/>
      <c r="AK545" s="1530"/>
      <c r="AL545" s="1530"/>
      <c r="AM545" s="1530"/>
      <c r="AN545" s="1530"/>
      <c r="AO545" s="1530"/>
      <c r="AP545" s="1530"/>
      <c r="AQ545" s="1530"/>
      <c r="AR545" s="1530"/>
      <c r="AS545" s="1530"/>
      <c r="AT545" s="1530"/>
      <c r="AU545" s="1530"/>
      <c r="AV545" s="1530"/>
      <c r="AW545" s="1530"/>
      <c r="AX545" s="1530"/>
      <c r="AY545" s="1530"/>
      <c r="AZ545" s="1530"/>
      <c r="BA545" s="1530"/>
      <c r="BB545" s="1530"/>
      <c r="BC545" s="1530"/>
      <c r="BD545" s="1530"/>
      <c r="BE545" s="1530"/>
      <c r="BF545" s="1530"/>
      <c r="BG545" s="1530"/>
      <c r="BH545" s="1530"/>
      <c r="BI545" s="1530"/>
      <c r="BJ545" s="1530"/>
      <c r="BK545" s="1530"/>
      <c r="BL545" s="1530"/>
      <c r="BM545" s="1530"/>
      <c r="BN545" s="1530"/>
      <c r="BW545" s="1569"/>
      <c r="CO545" s="1530"/>
      <c r="CP545" s="1530"/>
      <c r="CQ545" s="1530"/>
      <c r="CR545" s="1530"/>
      <c r="CS545" s="1530"/>
      <c r="CT545" s="1530"/>
      <c r="CU545" s="1530"/>
      <c r="CV545" s="1530"/>
      <c r="CW545" s="1530"/>
      <c r="CX545" s="1530"/>
      <c r="CY545" s="1530"/>
      <c r="CZ545" s="1530"/>
      <c r="DA545" s="1530"/>
      <c r="DB545" s="1530"/>
      <c r="DC545" s="1530"/>
      <c r="DD545" s="1530"/>
      <c r="DE545" s="1530"/>
      <c r="DF545" s="1530"/>
      <c r="DG545" s="1530"/>
      <c r="DH545" s="1530"/>
      <c r="DI545" s="1530"/>
      <c r="DJ545" s="1530"/>
      <c r="DK545" s="1530"/>
      <c r="DL545" s="1530"/>
      <c r="DM545" s="1530"/>
      <c r="DN545" s="1571"/>
      <c r="DO545" s="1530"/>
      <c r="DP545" s="1530"/>
    </row>
    <row r="546" spans="1:120">
      <c r="A546" s="1451"/>
      <c r="C546" s="1451"/>
      <c r="K546" s="1451"/>
      <c r="L546" s="1451"/>
      <c r="U546" s="1530"/>
      <c r="V546" s="1530"/>
      <c r="W546" s="1530"/>
      <c r="X546" s="1530"/>
      <c r="Y546" s="1530"/>
      <c r="Z546" s="1530"/>
      <c r="AA546" s="1530"/>
      <c r="AB546" s="1530"/>
      <c r="AC546" s="1530"/>
      <c r="AD546" s="1530"/>
      <c r="AE546" s="1530"/>
      <c r="AF546" s="1530"/>
      <c r="AG546" s="1530"/>
      <c r="AH546" s="1530"/>
      <c r="AI546" s="1530"/>
      <c r="AJ546" s="1530"/>
      <c r="AK546" s="1530"/>
      <c r="AL546" s="1530"/>
      <c r="AM546" s="1530"/>
      <c r="AN546" s="1530"/>
      <c r="AO546" s="1530"/>
      <c r="AP546" s="1530"/>
      <c r="AQ546" s="1530"/>
      <c r="AR546" s="1530"/>
      <c r="AS546" s="1530"/>
      <c r="AT546" s="1530"/>
      <c r="AU546" s="1530"/>
      <c r="AV546" s="1530"/>
      <c r="AW546" s="1530"/>
      <c r="AX546" s="1530"/>
      <c r="AY546" s="1530"/>
      <c r="AZ546" s="1530"/>
      <c r="BA546" s="1530"/>
      <c r="BB546" s="1530"/>
      <c r="BC546" s="1530"/>
      <c r="BD546" s="1530"/>
      <c r="BE546" s="1530"/>
      <c r="BF546" s="1530"/>
      <c r="BG546" s="1530"/>
      <c r="BH546" s="1530"/>
      <c r="BI546" s="1530"/>
      <c r="BJ546" s="1530"/>
      <c r="BK546" s="1530"/>
      <c r="BL546" s="1530"/>
      <c r="BM546" s="1530"/>
      <c r="BN546" s="1530"/>
      <c r="BW546" s="1569"/>
      <c r="CO546" s="1530"/>
      <c r="CP546" s="1530"/>
      <c r="CQ546" s="1530"/>
      <c r="CR546" s="1530"/>
      <c r="CS546" s="1530"/>
      <c r="CT546" s="1530"/>
      <c r="CU546" s="1530"/>
      <c r="CV546" s="1530"/>
      <c r="CW546" s="1530"/>
      <c r="CX546" s="1530"/>
      <c r="CY546" s="1530"/>
      <c r="CZ546" s="1530"/>
      <c r="DA546" s="1530"/>
      <c r="DB546" s="1530"/>
      <c r="DC546" s="1530"/>
      <c r="DD546" s="1530"/>
      <c r="DE546" s="1530"/>
      <c r="DF546" s="1530"/>
      <c r="DG546" s="1530"/>
      <c r="DH546" s="1530"/>
      <c r="DI546" s="1530"/>
      <c r="DJ546" s="1530"/>
      <c r="DK546" s="1530"/>
      <c r="DL546" s="1530"/>
      <c r="DM546" s="1530"/>
      <c r="DN546" s="1571"/>
      <c r="DO546" s="1530"/>
      <c r="DP546" s="1530"/>
    </row>
    <row r="547" spans="1:120">
      <c r="A547" s="1451"/>
      <c r="C547" s="1451"/>
      <c r="K547" s="1451"/>
      <c r="L547" s="1451"/>
      <c r="U547" s="1530"/>
      <c r="V547" s="1530"/>
      <c r="W547" s="1530"/>
      <c r="X547" s="1530"/>
      <c r="Y547" s="1530"/>
      <c r="Z547" s="1530"/>
      <c r="AA547" s="1530"/>
      <c r="AB547" s="1530"/>
      <c r="AC547" s="1530"/>
      <c r="AD547" s="1530"/>
      <c r="AE547" s="1530"/>
      <c r="AF547" s="1530"/>
      <c r="AG547" s="1530"/>
      <c r="AH547" s="1530"/>
      <c r="AI547" s="1530"/>
      <c r="AJ547" s="1530"/>
      <c r="AK547" s="1530"/>
      <c r="AL547" s="1530"/>
      <c r="AM547" s="1530"/>
      <c r="AN547" s="1530"/>
      <c r="AO547" s="1530"/>
      <c r="AP547" s="1530"/>
      <c r="AQ547" s="1530"/>
      <c r="AR547" s="1530"/>
      <c r="AS547" s="1530"/>
      <c r="AT547" s="1530"/>
      <c r="AU547" s="1530"/>
      <c r="AV547" s="1530"/>
      <c r="AW547" s="1530"/>
      <c r="AX547" s="1530"/>
      <c r="AY547" s="1530"/>
      <c r="AZ547" s="1530"/>
      <c r="BA547" s="1530"/>
      <c r="BB547" s="1530"/>
      <c r="BC547" s="1530"/>
      <c r="BD547" s="1530"/>
      <c r="BE547" s="1530"/>
      <c r="BF547" s="1530"/>
      <c r="BG547" s="1530"/>
      <c r="BH547" s="1530"/>
      <c r="BI547" s="1530"/>
      <c r="BJ547" s="1530"/>
      <c r="BK547" s="1530"/>
      <c r="BL547" s="1530"/>
      <c r="BM547" s="1530"/>
      <c r="BN547" s="1530"/>
      <c r="BW547" s="1569"/>
      <c r="CO547" s="1530"/>
      <c r="CP547" s="1530"/>
      <c r="CQ547" s="1530"/>
      <c r="CR547" s="1530"/>
      <c r="CS547" s="1530"/>
      <c r="CT547" s="1530"/>
      <c r="CU547" s="1530"/>
      <c r="CV547" s="1530"/>
      <c r="CW547" s="1530"/>
      <c r="CX547" s="1530"/>
      <c r="CY547" s="1530"/>
      <c r="CZ547" s="1530"/>
      <c r="DA547" s="1530"/>
      <c r="DB547" s="1530"/>
      <c r="DC547" s="1530"/>
      <c r="DD547" s="1530"/>
      <c r="DE547" s="1530"/>
      <c r="DF547" s="1530"/>
      <c r="DG547" s="1530"/>
      <c r="DH547" s="1530"/>
      <c r="DI547" s="1530"/>
      <c r="DJ547" s="1530"/>
      <c r="DK547" s="1530"/>
      <c r="DL547" s="1530"/>
      <c r="DM547" s="1530"/>
      <c r="DN547" s="1571"/>
      <c r="DO547" s="1530"/>
      <c r="DP547" s="1530"/>
    </row>
    <row r="548" spans="1:120">
      <c r="A548" s="1451"/>
      <c r="C548" s="1451"/>
      <c r="K548" s="1451"/>
      <c r="L548" s="1451"/>
      <c r="U548" s="1530"/>
      <c r="V548" s="1530"/>
      <c r="W548" s="1530"/>
      <c r="X548" s="1530"/>
      <c r="Y548" s="1530"/>
      <c r="Z548" s="1530"/>
      <c r="AA548" s="1530"/>
      <c r="AB548" s="1530"/>
      <c r="AC548" s="1530"/>
      <c r="AD548" s="1530"/>
      <c r="AE548" s="1530"/>
      <c r="AF548" s="1530"/>
      <c r="AG548" s="1530"/>
      <c r="AH548" s="1530"/>
      <c r="AI548" s="1530"/>
      <c r="AJ548" s="1530"/>
      <c r="AK548" s="1530"/>
      <c r="AL548" s="1530"/>
      <c r="AM548" s="1530"/>
      <c r="AN548" s="1530"/>
      <c r="AO548" s="1530"/>
      <c r="AP548" s="1530"/>
      <c r="AQ548" s="1530"/>
      <c r="AR548" s="1530"/>
      <c r="AS548" s="1530"/>
      <c r="AT548" s="1530"/>
      <c r="AU548" s="1530"/>
      <c r="AV548" s="1530"/>
      <c r="AW548" s="1530"/>
      <c r="AX548" s="1530"/>
      <c r="AY548" s="1530"/>
      <c r="AZ548" s="1530"/>
      <c r="BA548" s="1530"/>
      <c r="BB548" s="1530"/>
      <c r="BC548" s="1530"/>
      <c r="BD548" s="1530"/>
      <c r="BE548" s="1530"/>
      <c r="BF548" s="1530"/>
      <c r="BG548" s="1530"/>
      <c r="BH548" s="1530"/>
      <c r="BI548" s="1530"/>
      <c r="BJ548" s="1530"/>
      <c r="BK548" s="1530"/>
      <c r="BL548" s="1530"/>
      <c r="BM548" s="1530"/>
      <c r="BN548" s="1530"/>
      <c r="BW548" s="1569"/>
      <c r="CO548" s="1530"/>
      <c r="CP548" s="1530"/>
      <c r="CQ548" s="1530"/>
      <c r="CR548" s="1530"/>
      <c r="CS548" s="1530"/>
      <c r="CT548" s="1530"/>
      <c r="CU548" s="1530"/>
      <c r="CV548" s="1530"/>
      <c r="CW548" s="1530"/>
      <c r="CX548" s="1530"/>
      <c r="CY548" s="1530"/>
      <c r="CZ548" s="1530"/>
      <c r="DA548" s="1530"/>
      <c r="DB548" s="1530"/>
      <c r="DC548" s="1530"/>
      <c r="DD548" s="1530"/>
      <c r="DE548" s="1530"/>
      <c r="DF548" s="1530"/>
      <c r="DG548" s="1530"/>
      <c r="DH548" s="1530"/>
      <c r="DI548" s="1530"/>
      <c r="DJ548" s="1530"/>
      <c r="DK548" s="1530"/>
      <c r="DL548" s="1530"/>
      <c r="DM548" s="1530"/>
      <c r="DN548" s="1571"/>
      <c r="DO548" s="1530"/>
      <c r="DP548" s="1530"/>
    </row>
    <row r="549" spans="1:120">
      <c r="A549" s="1451"/>
      <c r="C549" s="1451"/>
      <c r="K549" s="1451"/>
      <c r="L549" s="1451"/>
      <c r="U549" s="1530"/>
      <c r="V549" s="1530"/>
      <c r="W549" s="1530"/>
      <c r="X549" s="1530"/>
      <c r="Y549" s="1530"/>
      <c r="Z549" s="1530"/>
      <c r="AA549" s="1530"/>
      <c r="AB549" s="1530"/>
      <c r="AC549" s="1530"/>
      <c r="AD549" s="1530"/>
      <c r="AE549" s="1530"/>
      <c r="AF549" s="1530"/>
      <c r="AG549" s="1530"/>
      <c r="AH549" s="1530"/>
      <c r="AI549" s="1530"/>
      <c r="AJ549" s="1530"/>
      <c r="AK549" s="1530"/>
      <c r="AL549" s="1530"/>
      <c r="AM549" s="1530"/>
      <c r="AN549" s="1530"/>
      <c r="AO549" s="1530"/>
      <c r="AP549" s="1530"/>
      <c r="AQ549" s="1530"/>
      <c r="AR549" s="1530"/>
      <c r="AS549" s="1530"/>
      <c r="AT549" s="1530"/>
      <c r="AU549" s="1530"/>
      <c r="AV549" s="1530"/>
      <c r="AW549" s="1530"/>
      <c r="AX549" s="1530"/>
      <c r="AY549" s="1530"/>
      <c r="AZ549" s="1530"/>
      <c r="BA549" s="1530"/>
      <c r="BB549" s="1530"/>
      <c r="BC549" s="1530"/>
      <c r="BD549" s="1530"/>
      <c r="BE549" s="1530"/>
      <c r="BF549" s="1530"/>
      <c r="BG549" s="1530"/>
      <c r="BH549" s="1530"/>
      <c r="BI549" s="1530"/>
      <c r="BJ549" s="1530"/>
      <c r="BK549" s="1530"/>
      <c r="BL549" s="1530"/>
      <c r="BM549" s="1530"/>
      <c r="BN549" s="1530"/>
      <c r="BW549" s="1569"/>
      <c r="CO549" s="1530"/>
      <c r="CP549" s="1530"/>
      <c r="CQ549" s="1530"/>
      <c r="CR549" s="1530"/>
      <c r="CS549" s="1530"/>
      <c r="CT549" s="1530"/>
      <c r="CU549" s="1530"/>
      <c r="CV549" s="1530"/>
      <c r="CW549" s="1530"/>
      <c r="CX549" s="1530"/>
      <c r="CY549" s="1530"/>
      <c r="CZ549" s="1530"/>
      <c r="DA549" s="1530"/>
      <c r="DB549" s="1530"/>
      <c r="DC549" s="1530"/>
      <c r="DD549" s="1530"/>
      <c r="DE549" s="1530"/>
      <c r="DF549" s="1530"/>
      <c r="DG549" s="1530"/>
      <c r="DH549" s="1530"/>
      <c r="DI549" s="1530"/>
      <c r="DJ549" s="1530"/>
      <c r="DK549" s="1530"/>
      <c r="DL549" s="1530"/>
      <c r="DM549" s="1530"/>
      <c r="DN549" s="1571"/>
      <c r="DO549" s="1530"/>
      <c r="DP549" s="1530"/>
    </row>
    <row r="550" spans="1:120">
      <c r="A550" s="1451"/>
      <c r="C550" s="1451"/>
      <c r="K550" s="1451"/>
      <c r="L550" s="1451"/>
      <c r="U550" s="1530"/>
      <c r="V550" s="1530"/>
      <c r="W550" s="1530"/>
      <c r="X550" s="1530"/>
      <c r="Y550" s="1530"/>
      <c r="Z550" s="1530"/>
      <c r="AA550" s="1530"/>
      <c r="AB550" s="1530"/>
      <c r="AC550" s="1530"/>
      <c r="AD550" s="1530"/>
      <c r="AE550" s="1530"/>
      <c r="AF550" s="1530"/>
      <c r="AG550" s="1530"/>
      <c r="AH550" s="1530"/>
      <c r="AI550" s="1530"/>
      <c r="AJ550" s="1530"/>
      <c r="AK550" s="1530"/>
      <c r="AL550" s="1530"/>
      <c r="AM550" s="1530"/>
      <c r="AN550" s="1530"/>
      <c r="AO550" s="1530"/>
      <c r="AP550" s="1530"/>
      <c r="AQ550" s="1530"/>
      <c r="AR550" s="1530"/>
      <c r="AS550" s="1530"/>
      <c r="AT550" s="1530"/>
      <c r="AU550" s="1530"/>
      <c r="AV550" s="1530"/>
      <c r="AW550" s="1530"/>
      <c r="AX550" s="1530"/>
      <c r="AY550" s="1530"/>
      <c r="AZ550" s="1530"/>
      <c r="BA550" s="1530"/>
      <c r="BB550" s="1530"/>
      <c r="BC550" s="1530"/>
      <c r="BD550" s="1530"/>
      <c r="BE550" s="1530"/>
      <c r="BF550" s="1530"/>
      <c r="BG550" s="1530"/>
      <c r="BH550" s="1530"/>
      <c r="BI550" s="1530"/>
      <c r="BJ550" s="1530"/>
      <c r="BK550" s="1530"/>
      <c r="BL550" s="1530"/>
      <c r="BM550" s="1530"/>
      <c r="BN550" s="1530"/>
      <c r="BW550" s="1569"/>
      <c r="CO550" s="1530"/>
      <c r="CP550" s="1530"/>
      <c r="CQ550" s="1530"/>
      <c r="CR550" s="1530"/>
      <c r="CS550" s="1530"/>
      <c r="CT550" s="1530"/>
      <c r="CU550" s="1530"/>
      <c r="CV550" s="1530"/>
      <c r="CW550" s="1530"/>
      <c r="CX550" s="1530"/>
      <c r="CY550" s="1530"/>
      <c r="CZ550" s="1530"/>
      <c r="DA550" s="1530"/>
      <c r="DB550" s="1530"/>
      <c r="DC550" s="1530"/>
      <c r="DD550" s="1530"/>
      <c r="DE550" s="1530"/>
      <c r="DF550" s="1530"/>
      <c r="DG550" s="1530"/>
      <c r="DH550" s="1530"/>
      <c r="DI550" s="1530"/>
      <c r="DJ550" s="1530"/>
      <c r="DK550" s="1530"/>
      <c r="DL550" s="1530"/>
      <c r="DM550" s="1530"/>
      <c r="DN550" s="1571"/>
      <c r="DO550" s="1530"/>
      <c r="DP550" s="1530"/>
    </row>
    <row r="551" spans="1:120">
      <c r="A551" s="1451"/>
      <c r="C551" s="1451"/>
      <c r="K551" s="1451"/>
      <c r="L551" s="1451"/>
      <c r="U551" s="1530"/>
      <c r="V551" s="1530"/>
      <c r="W551" s="1530"/>
      <c r="X551" s="1530"/>
      <c r="Y551" s="1530"/>
      <c r="Z551" s="1530"/>
      <c r="AA551" s="1530"/>
      <c r="AB551" s="1530"/>
      <c r="AC551" s="1530"/>
      <c r="AD551" s="1530"/>
      <c r="AE551" s="1530"/>
      <c r="AF551" s="1530"/>
      <c r="AG551" s="1530"/>
      <c r="AH551" s="1530"/>
      <c r="AI551" s="1530"/>
      <c r="AJ551" s="1530"/>
      <c r="AK551" s="1530"/>
      <c r="AL551" s="1530"/>
      <c r="AM551" s="1530"/>
      <c r="AN551" s="1530"/>
      <c r="AO551" s="1530"/>
      <c r="AP551" s="1530"/>
      <c r="AQ551" s="1530"/>
      <c r="AR551" s="1530"/>
      <c r="AS551" s="1530"/>
      <c r="AT551" s="1530"/>
      <c r="AU551" s="1530"/>
      <c r="AV551" s="1530"/>
      <c r="AW551" s="1530"/>
      <c r="AX551" s="1530"/>
      <c r="AY551" s="1530"/>
      <c r="AZ551" s="1530"/>
      <c r="BA551" s="1530"/>
      <c r="BB551" s="1530"/>
      <c r="BC551" s="1530"/>
      <c r="BD551" s="1530"/>
      <c r="BE551" s="1530"/>
      <c r="BF551" s="1530"/>
      <c r="BG551" s="1530"/>
      <c r="BH551" s="1530"/>
      <c r="BI551" s="1530"/>
      <c r="BJ551" s="1530"/>
      <c r="BK551" s="1530"/>
      <c r="BL551" s="1530"/>
      <c r="BM551" s="1530"/>
      <c r="BN551" s="1530"/>
      <c r="BW551" s="1569"/>
      <c r="CO551" s="1530"/>
      <c r="CP551" s="1530"/>
      <c r="CQ551" s="1530"/>
      <c r="CR551" s="1530"/>
      <c r="CS551" s="1530"/>
      <c r="CT551" s="1530"/>
      <c r="CU551" s="1530"/>
      <c r="CV551" s="1530"/>
      <c r="CW551" s="1530"/>
      <c r="CX551" s="1530"/>
      <c r="CY551" s="1530"/>
      <c r="CZ551" s="1530"/>
      <c r="DA551" s="1530"/>
      <c r="DB551" s="1530"/>
      <c r="DC551" s="1530"/>
      <c r="DD551" s="1530"/>
      <c r="DE551" s="1530"/>
      <c r="DF551" s="1530"/>
      <c r="DG551" s="1530"/>
      <c r="DH551" s="1530"/>
      <c r="DI551" s="1530"/>
      <c r="DJ551" s="1530"/>
      <c r="DK551" s="1530"/>
      <c r="DL551" s="1530"/>
      <c r="DM551" s="1530"/>
      <c r="DN551" s="1571"/>
      <c r="DO551" s="1530"/>
      <c r="DP551" s="1530"/>
    </row>
    <row r="552" spans="1:120">
      <c r="A552" s="1451"/>
      <c r="C552" s="1451"/>
      <c r="K552" s="1451"/>
      <c r="L552" s="1451"/>
      <c r="U552" s="1530"/>
      <c r="V552" s="1530"/>
      <c r="W552" s="1530"/>
      <c r="X552" s="1530"/>
      <c r="Y552" s="1530"/>
      <c r="Z552" s="1530"/>
      <c r="AA552" s="1530"/>
      <c r="AB552" s="1530"/>
      <c r="AC552" s="1530"/>
      <c r="AD552" s="1530"/>
      <c r="AE552" s="1530"/>
      <c r="AF552" s="1530"/>
      <c r="AG552" s="1530"/>
      <c r="AH552" s="1530"/>
      <c r="AI552" s="1530"/>
      <c r="AJ552" s="1530"/>
      <c r="AK552" s="1530"/>
      <c r="AL552" s="1530"/>
      <c r="AM552" s="1530"/>
      <c r="AN552" s="1530"/>
      <c r="AO552" s="1530"/>
      <c r="AP552" s="1530"/>
      <c r="AQ552" s="1530"/>
      <c r="AR552" s="1530"/>
      <c r="AS552" s="1530"/>
      <c r="AT552" s="1530"/>
      <c r="AU552" s="1530"/>
      <c r="AV552" s="1530"/>
      <c r="AW552" s="1530"/>
      <c r="AX552" s="1530"/>
      <c r="AY552" s="1530"/>
      <c r="AZ552" s="1530"/>
      <c r="BA552" s="1530"/>
      <c r="BB552" s="1530"/>
      <c r="BC552" s="1530"/>
      <c r="BD552" s="1530"/>
      <c r="BE552" s="1530"/>
      <c r="BF552" s="1530"/>
      <c r="BG552" s="1530"/>
      <c r="BH552" s="1530"/>
      <c r="BI552" s="1530"/>
      <c r="BJ552" s="1530"/>
      <c r="BK552" s="1530"/>
      <c r="BL552" s="1530"/>
      <c r="BM552" s="1530"/>
      <c r="BN552" s="1530"/>
      <c r="BW552" s="1569"/>
      <c r="CO552" s="1530"/>
      <c r="CP552" s="1530"/>
      <c r="CQ552" s="1530"/>
      <c r="CR552" s="1530"/>
      <c r="CS552" s="1530"/>
      <c r="CT552" s="1530"/>
      <c r="CU552" s="1530"/>
      <c r="CV552" s="1530"/>
      <c r="CW552" s="1530"/>
      <c r="CX552" s="1530"/>
      <c r="CY552" s="1530"/>
      <c r="CZ552" s="1530"/>
      <c r="DA552" s="1530"/>
      <c r="DB552" s="1530"/>
      <c r="DC552" s="1530"/>
      <c r="DD552" s="1530"/>
      <c r="DE552" s="1530"/>
      <c r="DF552" s="1530"/>
      <c r="DG552" s="1530"/>
      <c r="DH552" s="1530"/>
      <c r="DI552" s="1530"/>
      <c r="DJ552" s="1530"/>
      <c r="DK552" s="1530"/>
      <c r="DL552" s="1530"/>
      <c r="DM552" s="1530"/>
      <c r="DN552" s="1571"/>
      <c r="DO552" s="1530"/>
      <c r="DP552" s="1530"/>
    </row>
    <row r="553" spans="1:120">
      <c r="A553" s="1451"/>
      <c r="C553" s="1451"/>
      <c r="K553" s="1451"/>
      <c r="L553" s="1451"/>
      <c r="U553" s="1530"/>
      <c r="V553" s="1530"/>
      <c r="W553" s="1530"/>
      <c r="X553" s="1530"/>
      <c r="Y553" s="1530"/>
      <c r="Z553" s="1530"/>
      <c r="AA553" s="1530"/>
      <c r="AB553" s="1530"/>
      <c r="AC553" s="1530"/>
      <c r="AD553" s="1530"/>
      <c r="AE553" s="1530"/>
      <c r="AF553" s="1530"/>
      <c r="AG553" s="1530"/>
      <c r="AH553" s="1530"/>
      <c r="AI553" s="1530"/>
      <c r="AJ553" s="1530"/>
      <c r="AK553" s="1530"/>
      <c r="AL553" s="1530"/>
      <c r="AM553" s="1530"/>
      <c r="AN553" s="1530"/>
      <c r="AO553" s="1530"/>
      <c r="AP553" s="1530"/>
      <c r="AQ553" s="1530"/>
      <c r="AR553" s="1530"/>
      <c r="AS553" s="1530"/>
      <c r="AT553" s="1530"/>
      <c r="AU553" s="1530"/>
      <c r="AV553" s="1530"/>
      <c r="AW553" s="1530"/>
      <c r="AX553" s="1530"/>
      <c r="AY553" s="1530"/>
      <c r="AZ553" s="1530"/>
      <c r="BA553" s="1530"/>
      <c r="BB553" s="1530"/>
      <c r="BC553" s="1530"/>
      <c r="BD553" s="1530"/>
      <c r="BE553" s="1530"/>
      <c r="BF553" s="1530"/>
      <c r="BG553" s="1530"/>
      <c r="BH553" s="1530"/>
      <c r="BI553" s="1530"/>
      <c r="BJ553" s="1530"/>
      <c r="BK553" s="1530"/>
      <c r="BL553" s="1530"/>
      <c r="BM553" s="1530"/>
      <c r="BN553" s="1530"/>
      <c r="BW553" s="1569"/>
      <c r="CO553" s="1530"/>
      <c r="CP553" s="1530"/>
      <c r="CQ553" s="1530"/>
      <c r="CR553" s="1530"/>
      <c r="CS553" s="1530"/>
      <c r="CT553" s="1530"/>
      <c r="CU553" s="1530"/>
      <c r="CV553" s="1530"/>
      <c r="CW553" s="1530"/>
      <c r="CX553" s="1530"/>
      <c r="CY553" s="1530"/>
      <c r="CZ553" s="1530"/>
      <c r="DA553" s="1530"/>
      <c r="DB553" s="1530"/>
      <c r="DC553" s="1530"/>
      <c r="DD553" s="1530"/>
      <c r="DE553" s="1530"/>
      <c r="DF553" s="1530"/>
      <c r="DG553" s="1530"/>
      <c r="DH553" s="1530"/>
      <c r="DI553" s="1530"/>
      <c r="DJ553" s="1530"/>
      <c r="DK553" s="1530"/>
      <c r="DL553" s="1530"/>
      <c r="DM553" s="1530"/>
      <c r="DN553" s="1571"/>
      <c r="DO553" s="1530"/>
      <c r="DP553" s="1530"/>
    </row>
    <row r="554" spans="1:120">
      <c r="A554" s="1451"/>
      <c r="C554" s="1451"/>
      <c r="K554" s="1451"/>
      <c r="L554" s="1451"/>
      <c r="U554" s="1530"/>
      <c r="V554" s="1530"/>
      <c r="W554" s="1530"/>
      <c r="X554" s="1530"/>
      <c r="Y554" s="1530"/>
      <c r="Z554" s="1530"/>
      <c r="AA554" s="1530"/>
      <c r="AB554" s="1530"/>
      <c r="AC554" s="1530"/>
      <c r="AD554" s="1530"/>
      <c r="AE554" s="1530"/>
      <c r="AF554" s="1530"/>
      <c r="AG554" s="1530"/>
      <c r="AH554" s="1530"/>
      <c r="AI554" s="1530"/>
      <c r="AJ554" s="1530"/>
      <c r="AK554" s="1530"/>
      <c r="AL554" s="1530"/>
      <c r="AM554" s="1530"/>
      <c r="AN554" s="1530"/>
      <c r="AO554" s="1530"/>
      <c r="AP554" s="1530"/>
      <c r="AQ554" s="1530"/>
      <c r="AR554" s="1530"/>
      <c r="AS554" s="1530"/>
      <c r="AT554" s="1530"/>
      <c r="AU554" s="1530"/>
      <c r="AV554" s="1530"/>
      <c r="AW554" s="1530"/>
      <c r="AX554" s="1530"/>
      <c r="AY554" s="1530"/>
      <c r="AZ554" s="1530"/>
      <c r="BA554" s="1530"/>
      <c r="BB554" s="1530"/>
      <c r="BC554" s="1530"/>
      <c r="BD554" s="1530"/>
      <c r="BE554" s="1530"/>
      <c r="BF554" s="1530"/>
      <c r="BG554" s="1530"/>
      <c r="BH554" s="1530"/>
      <c r="BI554" s="1530"/>
      <c r="BJ554" s="1530"/>
      <c r="BK554" s="1530"/>
      <c r="BL554" s="1530"/>
      <c r="BM554" s="1530"/>
      <c r="BN554" s="1530"/>
      <c r="BW554" s="1569"/>
      <c r="CO554" s="1530"/>
      <c r="CP554" s="1530"/>
      <c r="CQ554" s="1530"/>
      <c r="CR554" s="1530"/>
      <c r="CS554" s="1530"/>
      <c r="CT554" s="1530"/>
      <c r="CU554" s="1530"/>
      <c r="CV554" s="1530"/>
      <c r="CW554" s="1530"/>
      <c r="CX554" s="1530"/>
      <c r="CY554" s="1530"/>
      <c r="CZ554" s="1530"/>
      <c r="DA554" s="1530"/>
      <c r="DB554" s="1530"/>
      <c r="DC554" s="1530"/>
      <c r="DD554" s="1530"/>
      <c r="DE554" s="1530"/>
      <c r="DF554" s="1530"/>
      <c r="DG554" s="1530"/>
      <c r="DH554" s="1530"/>
      <c r="DI554" s="1530"/>
      <c r="DJ554" s="1530"/>
      <c r="DK554" s="1530"/>
      <c r="DL554" s="1530"/>
      <c r="DM554" s="1530"/>
      <c r="DN554" s="1571"/>
      <c r="DO554" s="1530"/>
      <c r="DP554" s="1530"/>
    </row>
    <row r="555" spans="1:120">
      <c r="A555" s="1451"/>
      <c r="C555" s="1451"/>
      <c r="K555" s="1451"/>
      <c r="L555" s="1451"/>
      <c r="U555" s="1530"/>
      <c r="V555" s="1530"/>
      <c r="W555" s="1530"/>
      <c r="X555" s="1530"/>
      <c r="Y555" s="1530"/>
      <c r="Z555" s="1530"/>
      <c r="AA555" s="1530"/>
      <c r="AB555" s="1530"/>
      <c r="AC555" s="1530"/>
      <c r="AD555" s="1530"/>
      <c r="AE555" s="1530"/>
      <c r="AF555" s="1530"/>
      <c r="AG555" s="1530"/>
      <c r="AH555" s="1530"/>
      <c r="AI555" s="1530"/>
      <c r="AJ555" s="1530"/>
      <c r="AK555" s="1530"/>
      <c r="AL555" s="1530"/>
      <c r="AM555" s="1530"/>
      <c r="AN555" s="1530"/>
      <c r="AO555" s="1530"/>
      <c r="AP555" s="1530"/>
      <c r="AQ555" s="1530"/>
      <c r="AR555" s="1530"/>
      <c r="AS555" s="1530"/>
      <c r="AT555" s="1530"/>
      <c r="AU555" s="1530"/>
      <c r="AV555" s="1530"/>
      <c r="AW555" s="1530"/>
      <c r="AX555" s="1530"/>
      <c r="AY555" s="1530"/>
      <c r="AZ555" s="1530"/>
      <c r="BA555" s="1530"/>
      <c r="BB555" s="1530"/>
      <c r="BC555" s="1530"/>
      <c r="BD555" s="1530"/>
      <c r="BE555" s="1530"/>
      <c r="BF555" s="1530"/>
      <c r="BG555" s="1530"/>
      <c r="BH555" s="1530"/>
      <c r="BI555" s="1530"/>
      <c r="BJ555" s="1530"/>
      <c r="BK555" s="1530"/>
      <c r="BL555" s="1530"/>
      <c r="BM555" s="1530"/>
      <c r="BN555" s="1530"/>
      <c r="BW555" s="1569"/>
      <c r="CO555" s="1530"/>
      <c r="CP555" s="1530"/>
      <c r="CQ555" s="1530"/>
      <c r="CR555" s="1530"/>
      <c r="CS555" s="1530"/>
      <c r="CT555" s="1530"/>
      <c r="CU555" s="1530"/>
      <c r="CV555" s="1530"/>
      <c r="CW555" s="1530"/>
      <c r="CX555" s="1530"/>
      <c r="CY555" s="1530"/>
      <c r="CZ555" s="1530"/>
      <c r="DA555" s="1530"/>
      <c r="DB555" s="1530"/>
      <c r="DC555" s="1530"/>
      <c r="DD555" s="1530"/>
      <c r="DE555" s="1530"/>
      <c r="DF555" s="1530"/>
      <c r="DG555" s="1530"/>
      <c r="DH555" s="1530"/>
      <c r="DI555" s="1530"/>
      <c r="DJ555" s="1530"/>
      <c r="DK555" s="1530"/>
      <c r="DL555" s="1530"/>
      <c r="DM555" s="1530"/>
      <c r="DN555" s="1571"/>
      <c r="DO555" s="1530"/>
      <c r="DP555" s="1530"/>
    </row>
    <row r="556" spans="1:120">
      <c r="A556" s="1451"/>
      <c r="C556" s="1451"/>
      <c r="K556" s="1451"/>
      <c r="L556" s="1451"/>
      <c r="U556" s="1530"/>
      <c r="V556" s="1530"/>
      <c r="W556" s="1530"/>
      <c r="X556" s="1530"/>
      <c r="Y556" s="1530"/>
      <c r="Z556" s="1530"/>
      <c r="AA556" s="1530"/>
      <c r="AB556" s="1530"/>
      <c r="AC556" s="1530"/>
      <c r="AD556" s="1530"/>
      <c r="AE556" s="1530"/>
      <c r="AF556" s="1530"/>
      <c r="AG556" s="1530"/>
      <c r="AH556" s="1530"/>
      <c r="AI556" s="1530"/>
      <c r="AJ556" s="1530"/>
      <c r="AK556" s="1530"/>
      <c r="AL556" s="1530"/>
      <c r="AM556" s="1530"/>
      <c r="AN556" s="1530"/>
      <c r="AO556" s="1530"/>
      <c r="AP556" s="1530"/>
      <c r="AQ556" s="1530"/>
      <c r="AR556" s="1530"/>
      <c r="AS556" s="1530"/>
      <c r="AT556" s="1530"/>
      <c r="AU556" s="1530"/>
      <c r="AV556" s="1530"/>
      <c r="AW556" s="1530"/>
      <c r="AX556" s="1530"/>
      <c r="AY556" s="1530"/>
      <c r="AZ556" s="1530"/>
      <c r="BA556" s="1530"/>
      <c r="BB556" s="1530"/>
      <c r="BC556" s="1530"/>
      <c r="BD556" s="1530"/>
      <c r="BE556" s="1530"/>
      <c r="BF556" s="1530"/>
      <c r="BG556" s="1530"/>
      <c r="BH556" s="1530"/>
      <c r="BI556" s="1530"/>
      <c r="BJ556" s="1530"/>
      <c r="BK556" s="1530"/>
      <c r="BL556" s="1530"/>
      <c r="BM556" s="1530"/>
      <c r="BN556" s="1530"/>
      <c r="BW556" s="1569"/>
      <c r="CO556" s="1530"/>
      <c r="CP556" s="1530"/>
      <c r="CQ556" s="1530"/>
      <c r="CR556" s="1530"/>
      <c r="CS556" s="1530"/>
      <c r="CT556" s="1530"/>
      <c r="CU556" s="1530"/>
      <c r="CV556" s="1530"/>
      <c r="CW556" s="1530"/>
      <c r="CX556" s="1530"/>
      <c r="CY556" s="1530"/>
      <c r="CZ556" s="1530"/>
      <c r="DA556" s="1530"/>
      <c r="DB556" s="1530"/>
      <c r="DC556" s="1530"/>
      <c r="DD556" s="1530"/>
      <c r="DE556" s="1530"/>
      <c r="DF556" s="1530"/>
      <c r="DG556" s="1530"/>
      <c r="DH556" s="1530"/>
      <c r="DI556" s="1530"/>
      <c r="DJ556" s="1530"/>
      <c r="DK556" s="1530"/>
      <c r="DL556" s="1530"/>
      <c r="DM556" s="1530"/>
      <c r="DN556" s="1571"/>
      <c r="DO556" s="1530"/>
      <c r="DP556" s="1530"/>
    </row>
    <row r="557" spans="1:120">
      <c r="A557" s="1451"/>
      <c r="C557" s="1451"/>
      <c r="K557" s="1451"/>
      <c r="L557" s="1451"/>
      <c r="U557" s="1530"/>
      <c r="V557" s="1530"/>
      <c r="W557" s="1530"/>
      <c r="X557" s="1530"/>
      <c r="Y557" s="1530"/>
      <c r="Z557" s="1530"/>
      <c r="AA557" s="1530"/>
      <c r="AB557" s="1530"/>
      <c r="AC557" s="1530"/>
      <c r="AD557" s="1530"/>
      <c r="AE557" s="1530"/>
      <c r="AF557" s="1530"/>
      <c r="AG557" s="1530"/>
      <c r="AH557" s="1530"/>
      <c r="AI557" s="1530"/>
      <c r="AJ557" s="1530"/>
      <c r="AK557" s="1530"/>
      <c r="AL557" s="1530"/>
      <c r="AM557" s="1530"/>
      <c r="AN557" s="1530"/>
      <c r="AO557" s="1530"/>
      <c r="AP557" s="1530"/>
      <c r="AQ557" s="1530"/>
      <c r="AR557" s="1530"/>
      <c r="AS557" s="1530"/>
      <c r="AT557" s="1530"/>
      <c r="AU557" s="1530"/>
      <c r="AV557" s="1530"/>
      <c r="AW557" s="1530"/>
      <c r="AX557" s="1530"/>
      <c r="AY557" s="1530"/>
      <c r="AZ557" s="1530"/>
      <c r="BA557" s="1530"/>
      <c r="BB557" s="1530"/>
      <c r="BC557" s="1530"/>
      <c r="BD557" s="1530"/>
      <c r="BE557" s="1530"/>
      <c r="BF557" s="1530"/>
      <c r="BG557" s="1530"/>
      <c r="BH557" s="1530"/>
      <c r="BI557" s="1530"/>
      <c r="BJ557" s="1530"/>
      <c r="BK557" s="1530"/>
      <c r="BL557" s="1530"/>
      <c r="BM557" s="1530"/>
      <c r="BN557" s="1530"/>
      <c r="BW557" s="1569"/>
      <c r="CO557" s="1530"/>
      <c r="CP557" s="1530"/>
      <c r="CQ557" s="1530"/>
      <c r="CR557" s="1530"/>
      <c r="CS557" s="1530"/>
      <c r="CT557" s="1530"/>
      <c r="CU557" s="1530"/>
      <c r="CV557" s="1530"/>
      <c r="CW557" s="1530"/>
      <c r="CX557" s="1530"/>
      <c r="CY557" s="1530"/>
      <c r="CZ557" s="1530"/>
      <c r="DA557" s="1530"/>
      <c r="DB557" s="1530"/>
      <c r="DC557" s="1530"/>
      <c r="DD557" s="1530"/>
      <c r="DE557" s="1530"/>
      <c r="DF557" s="1530"/>
      <c r="DG557" s="1530"/>
      <c r="DH557" s="1530"/>
      <c r="DI557" s="1530"/>
      <c r="DJ557" s="1530"/>
      <c r="DK557" s="1530"/>
      <c r="DL557" s="1530"/>
      <c r="DM557" s="1530"/>
      <c r="DN557" s="1571"/>
      <c r="DO557" s="1530"/>
      <c r="DP557" s="1530"/>
    </row>
    <row r="558" spans="1:120">
      <c r="A558" s="1451"/>
      <c r="C558" s="1451"/>
      <c r="K558" s="1451"/>
      <c r="L558" s="1451"/>
      <c r="U558" s="1530"/>
      <c r="V558" s="1530"/>
      <c r="W558" s="1530"/>
      <c r="X558" s="1530"/>
      <c r="Y558" s="1530"/>
      <c r="Z558" s="1530"/>
      <c r="AA558" s="1530"/>
      <c r="AB558" s="1530"/>
      <c r="AC558" s="1530"/>
      <c r="AD558" s="1530"/>
      <c r="AE558" s="1530"/>
      <c r="AF558" s="1530"/>
      <c r="AG558" s="1530"/>
      <c r="AH558" s="1530"/>
      <c r="AI558" s="1530"/>
      <c r="AJ558" s="1530"/>
      <c r="AK558" s="1530"/>
      <c r="AL558" s="1530"/>
      <c r="AM558" s="1530"/>
      <c r="AN558" s="1530"/>
      <c r="AO558" s="1530"/>
      <c r="AP558" s="1530"/>
      <c r="AQ558" s="1530"/>
      <c r="AR558" s="1530"/>
      <c r="AS558" s="1530"/>
      <c r="AT558" s="1530"/>
      <c r="AU558" s="1530"/>
      <c r="AV558" s="1530"/>
      <c r="AW558" s="1530"/>
      <c r="AX558" s="1530"/>
      <c r="AY558" s="1530"/>
      <c r="AZ558" s="1530"/>
      <c r="BA558" s="1530"/>
      <c r="BB558" s="1530"/>
      <c r="BC558" s="1530"/>
      <c r="BD558" s="1530"/>
      <c r="BE558" s="1530"/>
      <c r="BF558" s="1530"/>
      <c r="BG558" s="1530"/>
      <c r="BH558" s="1530"/>
      <c r="BI558" s="1530"/>
      <c r="BJ558" s="1530"/>
      <c r="BK558" s="1530"/>
      <c r="BL558" s="1530"/>
      <c r="BM558" s="1530"/>
      <c r="BN558" s="1530"/>
      <c r="BW558" s="1569"/>
      <c r="CO558" s="1530"/>
      <c r="CP558" s="1530"/>
      <c r="CQ558" s="1530"/>
      <c r="CR558" s="1530"/>
      <c r="CS558" s="1530"/>
      <c r="CT558" s="1530"/>
      <c r="CU558" s="1530"/>
      <c r="CV558" s="1530"/>
      <c r="CW558" s="1530"/>
      <c r="CX558" s="1530"/>
      <c r="CY558" s="1530"/>
      <c r="CZ558" s="1530"/>
      <c r="DA558" s="1530"/>
      <c r="DB558" s="1530"/>
      <c r="DC558" s="1530"/>
      <c r="DD558" s="1530"/>
      <c r="DE558" s="1530"/>
      <c r="DF558" s="1530"/>
      <c r="DG558" s="1530"/>
      <c r="DH558" s="1530"/>
      <c r="DI558" s="1530"/>
      <c r="DJ558" s="1530"/>
      <c r="DK558" s="1530"/>
      <c r="DL558" s="1530"/>
      <c r="DM558" s="1530"/>
      <c r="DN558" s="1571"/>
      <c r="DO558" s="1530"/>
      <c r="DP558" s="1530"/>
    </row>
    <row r="559" spans="1:120">
      <c r="A559" s="1451"/>
      <c r="C559" s="1451"/>
      <c r="K559" s="1451"/>
      <c r="L559" s="1451"/>
      <c r="U559" s="1530"/>
      <c r="V559" s="1530"/>
      <c r="W559" s="1530"/>
      <c r="X559" s="1530"/>
      <c r="Y559" s="1530"/>
      <c r="Z559" s="1530"/>
      <c r="AA559" s="1530"/>
      <c r="AB559" s="1530"/>
      <c r="AC559" s="1530"/>
      <c r="AD559" s="1530"/>
      <c r="AE559" s="1530"/>
      <c r="AF559" s="1530"/>
      <c r="AG559" s="1530"/>
      <c r="AH559" s="1530"/>
      <c r="AI559" s="1530"/>
      <c r="AJ559" s="1530"/>
      <c r="AK559" s="1530"/>
      <c r="AL559" s="1530"/>
      <c r="AM559" s="1530"/>
      <c r="AN559" s="1530"/>
      <c r="AO559" s="1530"/>
      <c r="AP559" s="1530"/>
      <c r="AQ559" s="1530"/>
      <c r="AR559" s="1530"/>
      <c r="AS559" s="1530"/>
      <c r="AT559" s="1530"/>
      <c r="AU559" s="1530"/>
      <c r="AV559" s="1530"/>
      <c r="AW559" s="1530"/>
      <c r="AX559" s="1530"/>
      <c r="AY559" s="1530"/>
      <c r="AZ559" s="1530"/>
      <c r="BA559" s="1530"/>
      <c r="BB559" s="1530"/>
      <c r="BC559" s="1530"/>
      <c r="BD559" s="1530"/>
      <c r="BE559" s="1530"/>
      <c r="BF559" s="1530"/>
      <c r="BG559" s="1530"/>
      <c r="BH559" s="1530"/>
      <c r="BI559" s="1530"/>
      <c r="BJ559" s="1530"/>
      <c r="BK559" s="1530"/>
      <c r="BL559" s="1530"/>
      <c r="BM559" s="1530"/>
      <c r="BN559" s="1530"/>
      <c r="BW559" s="1569"/>
      <c r="CO559" s="1530"/>
      <c r="CP559" s="1530"/>
      <c r="CQ559" s="1530"/>
      <c r="CR559" s="1530"/>
      <c r="CS559" s="1530"/>
      <c r="CT559" s="1530"/>
      <c r="CU559" s="1530"/>
      <c r="CV559" s="1530"/>
      <c r="CW559" s="1530"/>
      <c r="CX559" s="1530"/>
      <c r="CY559" s="1530"/>
      <c r="CZ559" s="1530"/>
      <c r="DA559" s="1530"/>
      <c r="DB559" s="1530"/>
      <c r="DC559" s="1530"/>
      <c r="DD559" s="1530"/>
      <c r="DE559" s="1530"/>
      <c r="DF559" s="1530"/>
      <c r="DG559" s="1530"/>
      <c r="DH559" s="1530"/>
      <c r="DI559" s="1530"/>
      <c r="DJ559" s="1530"/>
      <c r="DK559" s="1530"/>
      <c r="DL559" s="1530"/>
      <c r="DM559" s="1530"/>
      <c r="DN559" s="1571"/>
      <c r="DO559" s="1530"/>
      <c r="DP559" s="1530"/>
    </row>
    <row r="560" spans="1:120">
      <c r="A560" s="1451"/>
      <c r="C560" s="1451"/>
      <c r="K560" s="1451"/>
      <c r="L560" s="1451"/>
      <c r="U560" s="1530"/>
      <c r="V560" s="1530"/>
      <c r="W560" s="1530"/>
      <c r="X560" s="1530"/>
      <c r="Y560" s="1530"/>
      <c r="Z560" s="1530"/>
      <c r="AA560" s="1530"/>
      <c r="AB560" s="1530"/>
      <c r="AC560" s="1530"/>
      <c r="AD560" s="1530"/>
      <c r="AE560" s="1530"/>
      <c r="AF560" s="1530"/>
      <c r="AG560" s="1530"/>
      <c r="AH560" s="1530"/>
      <c r="AI560" s="1530"/>
      <c r="AJ560" s="1530"/>
      <c r="AK560" s="1530"/>
      <c r="AL560" s="1530"/>
      <c r="AM560" s="1530"/>
      <c r="AN560" s="1530"/>
      <c r="AO560" s="1530"/>
      <c r="AP560" s="1530"/>
      <c r="AQ560" s="1530"/>
      <c r="AR560" s="1530"/>
      <c r="AS560" s="1530"/>
      <c r="AT560" s="1530"/>
      <c r="AU560" s="1530"/>
      <c r="AV560" s="1530"/>
      <c r="AW560" s="1530"/>
      <c r="AX560" s="1530"/>
      <c r="AY560" s="1530"/>
      <c r="AZ560" s="1530"/>
      <c r="BA560" s="1530"/>
      <c r="BB560" s="1530"/>
      <c r="BC560" s="1530"/>
      <c r="BD560" s="1530"/>
      <c r="BE560" s="1530"/>
      <c r="BF560" s="1530"/>
      <c r="BG560" s="1530"/>
      <c r="BH560" s="1530"/>
      <c r="BI560" s="1530"/>
      <c r="BJ560" s="1530"/>
      <c r="BK560" s="1530"/>
      <c r="BL560" s="1530"/>
      <c r="BM560" s="1530"/>
      <c r="BN560" s="1530"/>
      <c r="BW560" s="1569"/>
      <c r="CO560" s="1530"/>
      <c r="CP560" s="1530"/>
      <c r="CQ560" s="1530"/>
      <c r="CR560" s="1530"/>
      <c r="CS560" s="1530"/>
      <c r="CT560" s="1530"/>
      <c r="CU560" s="1530"/>
      <c r="CV560" s="1530"/>
      <c r="CW560" s="1530"/>
      <c r="CX560" s="1530"/>
      <c r="CY560" s="1530"/>
      <c r="CZ560" s="1530"/>
      <c r="DA560" s="1530"/>
      <c r="DB560" s="1530"/>
      <c r="DC560" s="1530"/>
      <c r="DD560" s="1530"/>
      <c r="DE560" s="1530"/>
      <c r="DF560" s="1530"/>
      <c r="DG560" s="1530"/>
      <c r="DH560" s="1530"/>
      <c r="DI560" s="1530"/>
      <c r="DJ560" s="1530"/>
      <c r="DK560" s="1530"/>
      <c r="DL560" s="1530"/>
      <c r="DM560" s="1530"/>
      <c r="DN560" s="1571"/>
      <c r="DO560" s="1530"/>
      <c r="DP560" s="1530"/>
    </row>
    <row r="561" spans="1:120">
      <c r="A561" s="1451"/>
      <c r="C561" s="1451"/>
      <c r="K561" s="1451"/>
      <c r="L561" s="1451"/>
      <c r="U561" s="1530"/>
      <c r="V561" s="1530"/>
      <c r="W561" s="1530"/>
      <c r="X561" s="1530"/>
      <c r="Y561" s="1530"/>
      <c r="Z561" s="1530"/>
      <c r="AA561" s="1530"/>
      <c r="AB561" s="1530"/>
      <c r="AC561" s="1530"/>
      <c r="AD561" s="1530"/>
      <c r="AE561" s="1530"/>
      <c r="AF561" s="1530"/>
      <c r="AG561" s="1530"/>
      <c r="AH561" s="1530"/>
      <c r="AI561" s="1530"/>
      <c r="AJ561" s="1530"/>
      <c r="AK561" s="1530"/>
      <c r="AL561" s="1530"/>
      <c r="AM561" s="1530"/>
      <c r="AN561" s="1530"/>
      <c r="AO561" s="1530"/>
      <c r="AP561" s="1530"/>
      <c r="AQ561" s="1530"/>
      <c r="AR561" s="1530"/>
      <c r="AS561" s="1530"/>
      <c r="AT561" s="1530"/>
      <c r="AU561" s="1530"/>
      <c r="AV561" s="1530"/>
      <c r="AW561" s="1530"/>
      <c r="AX561" s="1530"/>
      <c r="AY561" s="1530"/>
      <c r="AZ561" s="1530"/>
      <c r="BA561" s="1530"/>
      <c r="BB561" s="1530"/>
      <c r="BC561" s="1530"/>
      <c r="BD561" s="1530"/>
      <c r="BE561" s="1530"/>
      <c r="BF561" s="1530"/>
      <c r="BG561" s="1530"/>
      <c r="BH561" s="1530"/>
      <c r="BI561" s="1530"/>
      <c r="BJ561" s="1530"/>
      <c r="BK561" s="1530"/>
      <c r="BL561" s="1530"/>
      <c r="BM561" s="1530"/>
      <c r="BN561" s="1530"/>
      <c r="BW561" s="1569"/>
      <c r="CO561" s="1530"/>
      <c r="CP561" s="1530"/>
      <c r="CQ561" s="1530"/>
      <c r="CR561" s="1530"/>
      <c r="CS561" s="1530"/>
      <c r="CT561" s="1530"/>
      <c r="CU561" s="1530"/>
      <c r="CV561" s="1530"/>
      <c r="CW561" s="1530"/>
      <c r="CX561" s="1530"/>
      <c r="CY561" s="1530"/>
      <c r="CZ561" s="1530"/>
      <c r="DA561" s="1530"/>
      <c r="DB561" s="1530"/>
      <c r="DC561" s="1530"/>
      <c r="DD561" s="1530"/>
      <c r="DE561" s="1530"/>
      <c r="DF561" s="1530"/>
      <c r="DG561" s="1530"/>
      <c r="DH561" s="1530"/>
      <c r="DI561" s="1530"/>
      <c r="DJ561" s="1530"/>
      <c r="DK561" s="1530"/>
      <c r="DL561" s="1530"/>
      <c r="DM561" s="1530"/>
      <c r="DN561" s="1571"/>
      <c r="DO561" s="1530"/>
      <c r="DP561" s="1530"/>
    </row>
    <row r="562" spans="1:120">
      <c r="A562" s="1451"/>
      <c r="C562" s="1451"/>
      <c r="K562" s="1451"/>
      <c r="L562" s="1451"/>
      <c r="U562" s="1530"/>
      <c r="V562" s="1530"/>
      <c r="W562" s="1530"/>
      <c r="X562" s="1530"/>
      <c r="Y562" s="1530"/>
      <c r="Z562" s="1530"/>
      <c r="AA562" s="1530"/>
      <c r="AB562" s="1530"/>
      <c r="AC562" s="1530"/>
      <c r="AD562" s="1530"/>
      <c r="AE562" s="1530"/>
      <c r="AF562" s="1530"/>
      <c r="AG562" s="1530"/>
      <c r="AH562" s="1530"/>
      <c r="AI562" s="1530"/>
      <c r="AJ562" s="1530"/>
      <c r="AK562" s="1530"/>
      <c r="AL562" s="1530"/>
      <c r="AM562" s="1530"/>
      <c r="AN562" s="1530"/>
      <c r="AO562" s="1530"/>
      <c r="AP562" s="1530"/>
      <c r="AQ562" s="1530"/>
      <c r="AR562" s="1530"/>
      <c r="AS562" s="1530"/>
      <c r="AT562" s="1530"/>
      <c r="AU562" s="1530"/>
      <c r="AV562" s="1530"/>
      <c r="AW562" s="1530"/>
      <c r="AX562" s="1530"/>
      <c r="AY562" s="1530"/>
      <c r="AZ562" s="1530"/>
      <c r="BA562" s="1530"/>
      <c r="BB562" s="1530"/>
      <c r="BC562" s="1530"/>
      <c r="BD562" s="1530"/>
      <c r="BE562" s="1530"/>
      <c r="BF562" s="1530"/>
      <c r="BG562" s="1530"/>
      <c r="BH562" s="1530"/>
      <c r="BI562" s="1530"/>
      <c r="BJ562" s="1530"/>
      <c r="BK562" s="1530"/>
      <c r="BL562" s="1530"/>
      <c r="BM562" s="1530"/>
      <c r="BN562" s="1530"/>
      <c r="BW562" s="1569"/>
      <c r="CO562" s="1530"/>
      <c r="CP562" s="1530"/>
      <c r="CQ562" s="1530"/>
      <c r="CR562" s="1530"/>
      <c r="CS562" s="1530"/>
      <c r="CT562" s="1530"/>
      <c r="CU562" s="1530"/>
      <c r="CV562" s="1530"/>
      <c r="CW562" s="1530"/>
      <c r="CX562" s="1530"/>
      <c r="CY562" s="1530"/>
      <c r="CZ562" s="1530"/>
      <c r="DA562" s="1530"/>
      <c r="DB562" s="1530"/>
      <c r="DC562" s="1530"/>
      <c r="DD562" s="1530"/>
      <c r="DE562" s="1530"/>
      <c r="DF562" s="1530"/>
      <c r="DG562" s="1530"/>
      <c r="DH562" s="1530"/>
      <c r="DI562" s="1530"/>
      <c r="DJ562" s="1530"/>
      <c r="DK562" s="1530"/>
      <c r="DL562" s="1530"/>
      <c r="DM562" s="1530"/>
      <c r="DN562" s="1571"/>
      <c r="DO562" s="1530"/>
      <c r="DP562" s="1530"/>
    </row>
    <row r="563" spans="1:120">
      <c r="A563" s="1451"/>
      <c r="C563" s="1451"/>
      <c r="K563" s="1451"/>
      <c r="L563" s="1451"/>
      <c r="U563" s="1530"/>
      <c r="V563" s="1530"/>
      <c r="W563" s="1530"/>
      <c r="X563" s="1530"/>
      <c r="Y563" s="1530"/>
      <c r="Z563" s="1530"/>
      <c r="AA563" s="1530"/>
      <c r="AB563" s="1530"/>
      <c r="AC563" s="1530"/>
      <c r="AD563" s="1530"/>
      <c r="AE563" s="1530"/>
      <c r="AF563" s="1530"/>
      <c r="AG563" s="1530"/>
      <c r="AH563" s="1530"/>
      <c r="AI563" s="1530"/>
      <c r="AJ563" s="1530"/>
      <c r="AK563" s="1530"/>
      <c r="AL563" s="1530"/>
      <c r="AM563" s="1530"/>
      <c r="AN563" s="1530"/>
      <c r="AO563" s="1530"/>
      <c r="AP563" s="1530"/>
      <c r="AQ563" s="1530"/>
      <c r="AR563" s="1530"/>
      <c r="AS563" s="1530"/>
      <c r="AT563" s="1530"/>
      <c r="AU563" s="1530"/>
      <c r="AV563" s="1530"/>
      <c r="AW563" s="1530"/>
      <c r="AX563" s="1530"/>
      <c r="AY563" s="1530"/>
      <c r="AZ563" s="1530"/>
      <c r="BA563" s="1530"/>
      <c r="BB563" s="1530"/>
      <c r="BC563" s="1530"/>
      <c r="BD563" s="1530"/>
      <c r="BE563" s="1530"/>
      <c r="BF563" s="1530"/>
      <c r="BG563" s="1530"/>
      <c r="BH563" s="1530"/>
      <c r="BI563" s="1530"/>
      <c r="BJ563" s="1530"/>
      <c r="BK563" s="1530"/>
      <c r="BL563" s="1530"/>
      <c r="BM563" s="1530"/>
      <c r="BN563" s="1530"/>
      <c r="BW563" s="1569"/>
      <c r="CO563" s="1530"/>
      <c r="CP563" s="1530"/>
      <c r="CQ563" s="1530"/>
      <c r="CR563" s="1530"/>
      <c r="CS563" s="1530"/>
      <c r="CT563" s="1530"/>
      <c r="CU563" s="1530"/>
      <c r="CV563" s="1530"/>
      <c r="CW563" s="1530"/>
      <c r="CX563" s="1530"/>
      <c r="CY563" s="1530"/>
      <c r="CZ563" s="1530"/>
      <c r="DA563" s="1530"/>
      <c r="DB563" s="1530"/>
      <c r="DC563" s="1530"/>
      <c r="DD563" s="1530"/>
      <c r="DE563" s="1530"/>
      <c r="DF563" s="1530"/>
      <c r="DG563" s="1530"/>
      <c r="DH563" s="1530"/>
      <c r="DI563" s="1530"/>
      <c r="DJ563" s="1530"/>
      <c r="DK563" s="1530"/>
      <c r="DL563" s="1530"/>
      <c r="DM563" s="1530"/>
      <c r="DN563" s="1571"/>
      <c r="DO563" s="1530"/>
      <c r="DP563" s="1530"/>
    </row>
    <row r="564" spans="1:120">
      <c r="A564" s="1451"/>
      <c r="C564" s="1451"/>
      <c r="K564" s="1451"/>
      <c r="L564" s="1451"/>
      <c r="U564" s="1530"/>
      <c r="V564" s="1530"/>
      <c r="W564" s="1530"/>
      <c r="X564" s="1530"/>
      <c r="Y564" s="1530"/>
      <c r="Z564" s="1530"/>
      <c r="AA564" s="1530"/>
      <c r="AB564" s="1530"/>
      <c r="AC564" s="1530"/>
      <c r="AD564" s="1530"/>
      <c r="AE564" s="1530"/>
      <c r="AF564" s="1530"/>
      <c r="AG564" s="1530"/>
      <c r="AH564" s="1530"/>
      <c r="AI564" s="1530"/>
      <c r="AJ564" s="1530"/>
      <c r="AK564" s="1530"/>
      <c r="AL564" s="1530"/>
      <c r="AM564" s="1530"/>
      <c r="AN564" s="1530"/>
      <c r="AO564" s="1530"/>
      <c r="AP564" s="1530"/>
      <c r="AQ564" s="1530"/>
      <c r="AR564" s="1530"/>
      <c r="AS564" s="1530"/>
      <c r="AT564" s="1530"/>
      <c r="AU564" s="1530"/>
      <c r="AV564" s="1530"/>
      <c r="AW564" s="1530"/>
      <c r="AX564" s="1530"/>
      <c r="AY564" s="1530"/>
      <c r="AZ564" s="1530"/>
      <c r="BA564" s="1530"/>
      <c r="BB564" s="1530"/>
      <c r="BC564" s="1530"/>
      <c r="BD564" s="1530"/>
      <c r="BE564" s="1530"/>
      <c r="BF564" s="1530"/>
      <c r="BG564" s="1530"/>
      <c r="BH564" s="1530"/>
      <c r="BI564" s="1530"/>
      <c r="BJ564" s="1530"/>
      <c r="BK564" s="1530"/>
      <c r="BL564" s="1530"/>
      <c r="BM564" s="1530"/>
      <c r="BN564" s="1530"/>
      <c r="BW564" s="1569"/>
      <c r="CO564" s="1530"/>
      <c r="CP564" s="1530"/>
      <c r="CQ564" s="1530"/>
      <c r="CR564" s="1530"/>
      <c r="CS564" s="1530"/>
      <c r="CT564" s="1530"/>
      <c r="CU564" s="1530"/>
      <c r="CV564" s="1530"/>
      <c r="CW564" s="1530"/>
      <c r="CX564" s="1530"/>
      <c r="CY564" s="1530"/>
      <c r="CZ564" s="1530"/>
      <c r="DA564" s="1530"/>
      <c r="DB564" s="1530"/>
      <c r="DC564" s="1530"/>
      <c r="DD564" s="1530"/>
      <c r="DE564" s="1530"/>
      <c r="DF564" s="1530"/>
      <c r="DG564" s="1530"/>
      <c r="DH564" s="1530"/>
      <c r="DI564" s="1530"/>
      <c r="DJ564" s="1530"/>
      <c r="DK564" s="1530"/>
      <c r="DL564" s="1530"/>
      <c r="DM564" s="1530"/>
      <c r="DN564" s="1571"/>
      <c r="DO564" s="1530"/>
      <c r="DP564" s="1530"/>
    </row>
    <row r="565" spans="1:120">
      <c r="A565" s="1451"/>
      <c r="C565" s="1451"/>
      <c r="K565" s="1451"/>
      <c r="L565" s="1451"/>
      <c r="U565" s="1530"/>
      <c r="V565" s="1530"/>
      <c r="W565" s="1530"/>
      <c r="X565" s="1530"/>
      <c r="Y565" s="1530"/>
      <c r="Z565" s="1530"/>
      <c r="AA565" s="1530"/>
      <c r="AB565" s="1530"/>
      <c r="AC565" s="1530"/>
      <c r="AD565" s="1530"/>
      <c r="AE565" s="1530"/>
      <c r="AF565" s="1530"/>
      <c r="AG565" s="1530"/>
      <c r="AH565" s="1530"/>
      <c r="AI565" s="1530"/>
      <c r="AJ565" s="1530"/>
      <c r="AK565" s="1530"/>
      <c r="AL565" s="1530"/>
      <c r="AM565" s="1530"/>
      <c r="AN565" s="1530"/>
      <c r="AO565" s="1530"/>
      <c r="AP565" s="1530"/>
      <c r="AQ565" s="1530"/>
      <c r="AR565" s="1530"/>
      <c r="AS565" s="1530"/>
      <c r="AT565" s="1530"/>
      <c r="AU565" s="1530"/>
      <c r="AV565" s="1530"/>
      <c r="AW565" s="1530"/>
      <c r="AX565" s="1530"/>
      <c r="AY565" s="1530"/>
      <c r="AZ565" s="1530"/>
      <c r="BA565" s="1530"/>
      <c r="BB565" s="1530"/>
      <c r="BC565" s="1530"/>
      <c r="BD565" s="1530"/>
      <c r="BE565" s="1530"/>
      <c r="BF565" s="1530"/>
      <c r="BG565" s="1530"/>
      <c r="BH565" s="1530"/>
      <c r="BI565" s="1530"/>
      <c r="BJ565" s="1530"/>
      <c r="BK565" s="1530"/>
      <c r="BL565" s="1530"/>
      <c r="BM565" s="1530"/>
      <c r="BN565" s="1530"/>
      <c r="BW565" s="1569"/>
      <c r="CO565" s="1530"/>
      <c r="CP565" s="1530"/>
      <c r="CQ565" s="1530"/>
      <c r="CR565" s="1530"/>
      <c r="CS565" s="1530"/>
      <c r="CT565" s="1530"/>
      <c r="CU565" s="1530"/>
      <c r="CV565" s="1530"/>
      <c r="CW565" s="1530"/>
      <c r="CX565" s="1530"/>
      <c r="CY565" s="1530"/>
      <c r="CZ565" s="1530"/>
      <c r="DA565" s="1530"/>
      <c r="DB565" s="1530"/>
      <c r="DC565" s="1530"/>
      <c r="DD565" s="1530"/>
      <c r="DE565" s="1530"/>
      <c r="DF565" s="1530"/>
      <c r="DG565" s="1530"/>
      <c r="DH565" s="1530"/>
      <c r="DI565" s="1530"/>
      <c r="DJ565" s="1530"/>
      <c r="DK565" s="1530"/>
      <c r="DL565" s="1530"/>
      <c r="DM565" s="1530"/>
      <c r="DN565" s="1571"/>
      <c r="DO565" s="1530"/>
      <c r="DP565" s="1530"/>
    </row>
    <row r="566" spans="1:120">
      <c r="A566" s="1451"/>
      <c r="C566" s="1451"/>
      <c r="K566" s="1451"/>
      <c r="L566" s="1451"/>
      <c r="U566" s="1530"/>
      <c r="V566" s="1530"/>
      <c r="W566" s="1530"/>
      <c r="X566" s="1530"/>
      <c r="Y566" s="1530"/>
      <c r="Z566" s="1530"/>
      <c r="AA566" s="1530"/>
      <c r="AB566" s="1530"/>
      <c r="AC566" s="1530"/>
      <c r="AD566" s="1530"/>
      <c r="AE566" s="1530"/>
      <c r="AF566" s="1530"/>
      <c r="AG566" s="1530"/>
      <c r="AH566" s="1530"/>
      <c r="AI566" s="1530"/>
      <c r="AJ566" s="1530"/>
      <c r="AK566" s="1530"/>
      <c r="AL566" s="1530"/>
      <c r="AM566" s="1530"/>
      <c r="AN566" s="1530"/>
      <c r="AO566" s="1530"/>
      <c r="AP566" s="1530"/>
      <c r="AQ566" s="1530"/>
      <c r="AR566" s="1530"/>
      <c r="AS566" s="1530"/>
      <c r="AT566" s="1530"/>
      <c r="AU566" s="1530"/>
      <c r="AV566" s="1530"/>
      <c r="AW566" s="1530"/>
      <c r="AX566" s="1530"/>
      <c r="AY566" s="1530"/>
      <c r="AZ566" s="1530"/>
      <c r="BA566" s="1530"/>
      <c r="BB566" s="1530"/>
      <c r="BC566" s="1530"/>
      <c r="BD566" s="1530"/>
      <c r="BE566" s="1530"/>
      <c r="BF566" s="1530"/>
      <c r="BG566" s="1530"/>
      <c r="BH566" s="1530"/>
      <c r="BI566" s="1530"/>
      <c r="BJ566" s="1530"/>
      <c r="BK566" s="1530"/>
      <c r="BL566" s="1530"/>
      <c r="BM566" s="1530"/>
      <c r="BN566" s="1530"/>
      <c r="BW566" s="1569"/>
      <c r="CO566" s="1530"/>
      <c r="CP566" s="1530"/>
      <c r="CQ566" s="1530"/>
      <c r="CR566" s="1530"/>
      <c r="CS566" s="1530"/>
      <c r="CT566" s="1530"/>
      <c r="CU566" s="1530"/>
      <c r="CV566" s="1530"/>
      <c r="CW566" s="1530"/>
      <c r="CX566" s="1530"/>
      <c r="CY566" s="1530"/>
      <c r="CZ566" s="1530"/>
      <c r="DA566" s="1530"/>
      <c r="DB566" s="1530"/>
      <c r="DC566" s="1530"/>
      <c r="DD566" s="1530"/>
      <c r="DE566" s="1530"/>
      <c r="DF566" s="1530"/>
      <c r="DG566" s="1530"/>
      <c r="DH566" s="1530"/>
      <c r="DI566" s="1530"/>
      <c r="DJ566" s="1530"/>
      <c r="DK566" s="1530"/>
      <c r="DL566" s="1530"/>
      <c r="DM566" s="1530"/>
      <c r="DN566" s="1571"/>
      <c r="DO566" s="1530"/>
      <c r="DP566" s="1530"/>
    </row>
    <row r="567" spans="1:120">
      <c r="A567" s="1451"/>
      <c r="C567" s="1451"/>
      <c r="K567" s="1451"/>
      <c r="L567" s="1451"/>
      <c r="U567" s="1530"/>
      <c r="V567" s="1530"/>
      <c r="W567" s="1530"/>
      <c r="X567" s="1530"/>
      <c r="Y567" s="1530"/>
      <c r="Z567" s="1530"/>
      <c r="AA567" s="1530"/>
      <c r="AB567" s="1530"/>
      <c r="AC567" s="1530"/>
      <c r="AD567" s="1530"/>
      <c r="AE567" s="1530"/>
      <c r="AF567" s="1530"/>
      <c r="AG567" s="1530"/>
      <c r="AH567" s="1530"/>
      <c r="AI567" s="1530"/>
      <c r="AJ567" s="1530"/>
      <c r="AK567" s="1530"/>
      <c r="AL567" s="1530"/>
      <c r="AM567" s="1530"/>
      <c r="AN567" s="1530"/>
      <c r="AO567" s="1530"/>
      <c r="AP567" s="1530"/>
      <c r="AQ567" s="1530"/>
      <c r="AR567" s="1530"/>
      <c r="AS567" s="1530"/>
      <c r="AT567" s="1530"/>
      <c r="AU567" s="1530"/>
      <c r="AV567" s="1530"/>
      <c r="AW567" s="1530"/>
      <c r="AX567" s="1530"/>
      <c r="AY567" s="1530"/>
      <c r="AZ567" s="1530"/>
      <c r="BA567" s="1530"/>
      <c r="BB567" s="1530"/>
      <c r="BC567" s="1530"/>
      <c r="BD567" s="1530"/>
      <c r="BE567" s="1530"/>
      <c r="BF567" s="1530"/>
      <c r="BG567" s="1530"/>
      <c r="BH567" s="1530"/>
      <c r="BI567" s="1530"/>
      <c r="BJ567" s="1530"/>
      <c r="BK567" s="1530"/>
      <c r="BL567" s="1530"/>
      <c r="BM567" s="1530"/>
      <c r="BN567" s="1530"/>
      <c r="BW567" s="1569"/>
      <c r="CO567" s="1530"/>
      <c r="CP567" s="1530"/>
      <c r="CQ567" s="1530"/>
      <c r="CR567" s="1530"/>
      <c r="CS567" s="1530"/>
      <c r="CT567" s="1530"/>
      <c r="CU567" s="1530"/>
      <c r="CV567" s="1530"/>
      <c r="CW567" s="1530"/>
      <c r="CX567" s="1530"/>
      <c r="CY567" s="1530"/>
      <c r="CZ567" s="1530"/>
      <c r="DA567" s="1530"/>
      <c r="DB567" s="1530"/>
      <c r="DC567" s="1530"/>
      <c r="DD567" s="1530"/>
      <c r="DE567" s="1530"/>
      <c r="DF567" s="1530"/>
      <c r="DG567" s="1530"/>
      <c r="DH567" s="1530"/>
      <c r="DI567" s="1530"/>
      <c r="DJ567" s="1530"/>
      <c r="DK567" s="1530"/>
      <c r="DL567" s="1530"/>
      <c r="DM567" s="1530"/>
      <c r="DN567" s="1571"/>
      <c r="DO567" s="1530"/>
      <c r="DP567" s="1530"/>
    </row>
    <row r="568" spans="1:120">
      <c r="A568" s="1451"/>
      <c r="C568" s="1451"/>
      <c r="K568" s="1451"/>
      <c r="L568" s="1451"/>
      <c r="U568" s="1530"/>
      <c r="V568" s="1530"/>
      <c r="W568" s="1530"/>
      <c r="X568" s="1530"/>
      <c r="Y568" s="1530"/>
      <c r="Z568" s="1530"/>
      <c r="AA568" s="1530"/>
      <c r="AB568" s="1530"/>
      <c r="AC568" s="1530"/>
      <c r="AD568" s="1530"/>
      <c r="AE568" s="1530"/>
      <c r="AF568" s="1530"/>
      <c r="AG568" s="1530"/>
      <c r="AH568" s="1530"/>
      <c r="AI568" s="1530"/>
      <c r="AJ568" s="1530"/>
      <c r="AK568" s="1530"/>
      <c r="AL568" s="1530"/>
      <c r="AM568" s="1530"/>
      <c r="AN568" s="1530"/>
      <c r="AO568" s="1530"/>
      <c r="AP568" s="1530"/>
      <c r="AQ568" s="1530"/>
      <c r="AR568" s="1530"/>
      <c r="AS568" s="1530"/>
      <c r="AT568" s="1530"/>
      <c r="AU568" s="1530"/>
      <c r="AV568" s="1530"/>
      <c r="AW568" s="1530"/>
      <c r="AX568" s="1530"/>
      <c r="AY568" s="1530"/>
      <c r="AZ568" s="1530"/>
      <c r="BA568" s="1530"/>
      <c r="BB568" s="1530"/>
      <c r="BC568" s="1530"/>
      <c r="BD568" s="1530"/>
      <c r="BE568" s="1530"/>
      <c r="BF568" s="1530"/>
      <c r="BG568" s="1530"/>
      <c r="BH568" s="1530"/>
      <c r="BI568" s="1530"/>
      <c r="BJ568" s="1530"/>
      <c r="BK568" s="1530"/>
      <c r="BL568" s="1530"/>
      <c r="BM568" s="1530"/>
      <c r="BN568" s="1530"/>
      <c r="BW568" s="1569"/>
      <c r="CO568" s="1530"/>
      <c r="CP568" s="1530"/>
      <c r="CQ568" s="1530"/>
      <c r="CR568" s="1530"/>
      <c r="CS568" s="1530"/>
      <c r="CT568" s="1530"/>
      <c r="CU568" s="1530"/>
      <c r="CV568" s="1530"/>
      <c r="CW568" s="1530"/>
      <c r="CX568" s="1530"/>
      <c r="CY568" s="1530"/>
      <c r="CZ568" s="1530"/>
      <c r="DA568" s="1530"/>
      <c r="DB568" s="1530"/>
      <c r="DC568" s="1530"/>
      <c r="DD568" s="1530"/>
      <c r="DE568" s="1530"/>
      <c r="DF568" s="1530"/>
      <c r="DG568" s="1530"/>
      <c r="DH568" s="1530"/>
      <c r="DI568" s="1530"/>
      <c r="DJ568" s="1530"/>
      <c r="DK568" s="1530"/>
      <c r="DL568" s="1530"/>
      <c r="DM568" s="1530"/>
      <c r="DN568" s="1571"/>
      <c r="DO568" s="1530"/>
      <c r="DP568" s="1530"/>
    </row>
    <row r="569" spans="1:120">
      <c r="A569" s="1451"/>
      <c r="C569" s="1451"/>
      <c r="K569" s="1451"/>
      <c r="L569" s="1451"/>
      <c r="U569" s="1530"/>
      <c r="V569" s="1530"/>
      <c r="W569" s="1530"/>
      <c r="X569" s="1530"/>
      <c r="Y569" s="1530"/>
      <c r="Z569" s="1530"/>
      <c r="AA569" s="1530"/>
      <c r="AB569" s="1530"/>
      <c r="AC569" s="1530"/>
      <c r="AD569" s="1530"/>
      <c r="AE569" s="1530"/>
      <c r="AF569" s="1530"/>
      <c r="AG569" s="1530"/>
      <c r="AH569" s="1530"/>
      <c r="AI569" s="1530"/>
      <c r="AJ569" s="1530"/>
      <c r="AK569" s="1530"/>
      <c r="AL569" s="1530"/>
      <c r="AM569" s="1530"/>
      <c r="AN569" s="1530"/>
      <c r="AO569" s="1530"/>
      <c r="AP569" s="1530"/>
      <c r="AQ569" s="1530"/>
      <c r="AR569" s="1530"/>
      <c r="AS569" s="1530"/>
      <c r="AT569" s="1530"/>
      <c r="AU569" s="1530"/>
      <c r="AV569" s="1530"/>
      <c r="AW569" s="1530"/>
      <c r="AX569" s="1530"/>
      <c r="AY569" s="1530"/>
      <c r="AZ569" s="1530"/>
      <c r="BA569" s="1530"/>
      <c r="BB569" s="1530"/>
      <c r="BC569" s="1530"/>
      <c r="BD569" s="1530"/>
      <c r="BE569" s="1530"/>
      <c r="BF569" s="1530"/>
      <c r="BG569" s="1530"/>
      <c r="BH569" s="1530"/>
      <c r="BI569" s="1530"/>
      <c r="BJ569" s="1530"/>
      <c r="BK569" s="1530"/>
      <c r="BL569" s="1530"/>
      <c r="BM569" s="1530"/>
      <c r="BN569" s="1530"/>
      <c r="BW569" s="1569"/>
      <c r="CO569" s="1530"/>
      <c r="CP569" s="1530"/>
      <c r="CQ569" s="1530"/>
      <c r="CR569" s="1530"/>
      <c r="CS569" s="1530"/>
      <c r="CT569" s="1530"/>
      <c r="CU569" s="1530"/>
      <c r="CV569" s="1530"/>
      <c r="CW569" s="1530"/>
      <c r="CX569" s="1530"/>
      <c r="CY569" s="1530"/>
      <c r="CZ569" s="1530"/>
      <c r="DA569" s="1530"/>
      <c r="DB569" s="1530"/>
      <c r="DC569" s="1530"/>
      <c r="DD569" s="1530"/>
      <c r="DE569" s="1530"/>
      <c r="DF569" s="1530"/>
      <c r="DG569" s="1530"/>
      <c r="DH569" s="1530"/>
      <c r="DI569" s="1530"/>
      <c r="DJ569" s="1530"/>
      <c r="DK569" s="1530"/>
      <c r="DL569" s="1530"/>
      <c r="DM569" s="1530"/>
      <c r="DN569" s="1571"/>
      <c r="DO569" s="1530"/>
      <c r="DP569" s="1530"/>
    </row>
    <row r="570" spans="1:120">
      <c r="A570" s="1451"/>
      <c r="C570" s="1451"/>
      <c r="K570" s="1451"/>
      <c r="L570" s="1451"/>
      <c r="U570" s="1530"/>
      <c r="V570" s="1530"/>
      <c r="W570" s="1530"/>
      <c r="X570" s="1530"/>
      <c r="Y570" s="1530"/>
      <c r="Z570" s="1530"/>
      <c r="AA570" s="1530"/>
      <c r="AB570" s="1530"/>
      <c r="AC570" s="1530"/>
      <c r="AD570" s="1530"/>
      <c r="AE570" s="1530"/>
      <c r="AF570" s="1530"/>
      <c r="AG570" s="1530"/>
      <c r="AH570" s="1530"/>
      <c r="AI570" s="1530"/>
      <c r="AJ570" s="1530"/>
      <c r="AK570" s="1530"/>
      <c r="AL570" s="1530"/>
      <c r="AM570" s="1530"/>
      <c r="AN570" s="1530"/>
      <c r="AO570" s="1530"/>
      <c r="AP570" s="1530"/>
      <c r="AQ570" s="1530"/>
      <c r="AR570" s="1530"/>
      <c r="AS570" s="1530"/>
      <c r="AT570" s="1530"/>
      <c r="AU570" s="1530"/>
      <c r="AV570" s="1530"/>
      <c r="AW570" s="1530"/>
      <c r="AX570" s="1530"/>
      <c r="AY570" s="1530"/>
      <c r="AZ570" s="1530"/>
      <c r="BA570" s="1530"/>
      <c r="BB570" s="1530"/>
      <c r="BC570" s="1530"/>
      <c r="BD570" s="1530"/>
      <c r="BE570" s="1530"/>
      <c r="BF570" s="1530"/>
      <c r="BG570" s="1530"/>
      <c r="BH570" s="1530"/>
      <c r="BI570" s="1530"/>
      <c r="BJ570" s="1530"/>
      <c r="BK570" s="1530"/>
      <c r="BL570" s="1530"/>
      <c r="BM570" s="1530"/>
      <c r="BN570" s="1530"/>
      <c r="BW570" s="1569"/>
      <c r="CO570" s="1530"/>
      <c r="CP570" s="1530"/>
      <c r="CQ570" s="1530"/>
      <c r="CR570" s="1530"/>
      <c r="CS570" s="1530"/>
      <c r="CT570" s="1530"/>
      <c r="CU570" s="1530"/>
      <c r="CV570" s="1530"/>
      <c r="CW570" s="1530"/>
      <c r="CX570" s="1530"/>
      <c r="CY570" s="1530"/>
      <c r="CZ570" s="1530"/>
      <c r="DA570" s="1530"/>
      <c r="DB570" s="1530"/>
      <c r="DC570" s="1530"/>
      <c r="DD570" s="1530"/>
      <c r="DE570" s="1530"/>
      <c r="DF570" s="1530"/>
      <c r="DG570" s="1530"/>
      <c r="DH570" s="1530"/>
      <c r="DI570" s="1530"/>
      <c r="DJ570" s="1530"/>
      <c r="DK570" s="1530"/>
      <c r="DL570" s="1530"/>
      <c r="DM570" s="1530"/>
      <c r="DN570" s="1571"/>
      <c r="DO570" s="1530"/>
      <c r="DP570" s="1530"/>
    </row>
    <row r="571" spans="1:120">
      <c r="A571" s="1451"/>
      <c r="C571" s="1451"/>
      <c r="K571" s="1451"/>
      <c r="L571" s="1451"/>
      <c r="U571" s="1530"/>
      <c r="V571" s="1530"/>
      <c r="W571" s="1530"/>
      <c r="X571" s="1530"/>
      <c r="Y571" s="1530"/>
      <c r="Z571" s="1530"/>
      <c r="AA571" s="1530"/>
      <c r="AB571" s="1530"/>
      <c r="AC571" s="1530"/>
      <c r="AD571" s="1530"/>
      <c r="AE571" s="1530"/>
      <c r="AF571" s="1530"/>
      <c r="AG571" s="1530"/>
      <c r="AH571" s="1530"/>
      <c r="AI571" s="1530"/>
      <c r="AJ571" s="1530"/>
      <c r="AK571" s="1530"/>
      <c r="AL571" s="1530"/>
      <c r="AM571" s="1530"/>
      <c r="AN571" s="1530"/>
      <c r="AO571" s="1530"/>
      <c r="AP571" s="1530"/>
      <c r="AQ571" s="1530"/>
      <c r="AR571" s="1530"/>
      <c r="AS571" s="1530"/>
      <c r="AT571" s="1530"/>
      <c r="AU571" s="1530"/>
      <c r="AV571" s="1530"/>
      <c r="AW571" s="1530"/>
      <c r="AX571" s="1530"/>
      <c r="AY571" s="1530"/>
      <c r="AZ571" s="1530"/>
      <c r="BA571" s="1530"/>
      <c r="BB571" s="1530"/>
      <c r="BC571" s="1530"/>
      <c r="BD571" s="1530"/>
      <c r="BE571" s="1530"/>
      <c r="BF571" s="1530"/>
      <c r="BG571" s="1530"/>
      <c r="BH571" s="1530"/>
      <c r="BI571" s="1530"/>
      <c r="BJ571" s="1530"/>
      <c r="BK571" s="1530"/>
      <c r="BL571" s="1530"/>
      <c r="BM571" s="1530"/>
      <c r="BN571" s="1530"/>
      <c r="BW571" s="1569"/>
      <c r="CO571" s="1530"/>
      <c r="CP571" s="1530"/>
      <c r="CQ571" s="1530"/>
      <c r="CR571" s="1530"/>
      <c r="CS571" s="1530"/>
      <c r="CT571" s="1530"/>
      <c r="CU571" s="1530"/>
      <c r="CV571" s="1530"/>
      <c r="CW571" s="1530"/>
      <c r="CX571" s="1530"/>
      <c r="CY571" s="1530"/>
      <c r="CZ571" s="1530"/>
      <c r="DA571" s="1530"/>
      <c r="DB571" s="1530"/>
      <c r="DC571" s="1530"/>
      <c r="DD571" s="1530"/>
      <c r="DE571" s="1530"/>
      <c r="DF571" s="1530"/>
      <c r="DG571" s="1530"/>
      <c r="DH571" s="1530"/>
      <c r="DI571" s="1530"/>
      <c r="DJ571" s="1530"/>
      <c r="DK571" s="1530"/>
      <c r="DL571" s="1530"/>
      <c r="DM571" s="1530"/>
      <c r="DN571" s="1571"/>
      <c r="DO571" s="1530"/>
      <c r="DP571" s="1530"/>
    </row>
    <row r="572" spans="1:120">
      <c r="A572" s="1451"/>
      <c r="C572" s="1451"/>
      <c r="K572" s="1451"/>
      <c r="L572" s="1451"/>
      <c r="U572" s="1530"/>
      <c r="V572" s="1530"/>
      <c r="W572" s="1530"/>
      <c r="X572" s="1530"/>
      <c r="Y572" s="1530"/>
      <c r="Z572" s="1530"/>
      <c r="AA572" s="1530"/>
      <c r="AB572" s="1530"/>
      <c r="AC572" s="1530"/>
      <c r="AD572" s="1530"/>
      <c r="AE572" s="1530"/>
      <c r="AF572" s="1530"/>
      <c r="AG572" s="1530"/>
      <c r="AH572" s="1530"/>
      <c r="AI572" s="1530"/>
      <c r="AJ572" s="1530"/>
      <c r="AK572" s="1530"/>
      <c r="AL572" s="1530"/>
      <c r="AM572" s="1530"/>
      <c r="AN572" s="1530"/>
      <c r="AO572" s="1530"/>
      <c r="AP572" s="1530"/>
      <c r="AQ572" s="1530"/>
      <c r="AR572" s="1530"/>
      <c r="AS572" s="1530"/>
      <c r="AT572" s="1530"/>
      <c r="AU572" s="1530"/>
      <c r="AV572" s="1530"/>
      <c r="AW572" s="1530"/>
      <c r="AX572" s="1530"/>
      <c r="AY572" s="1530"/>
      <c r="AZ572" s="1530"/>
      <c r="BA572" s="1530"/>
      <c r="BB572" s="1530"/>
      <c r="BC572" s="1530"/>
      <c r="BD572" s="1530"/>
      <c r="BE572" s="1530"/>
      <c r="BF572" s="1530"/>
      <c r="BG572" s="1530"/>
      <c r="BH572" s="1530"/>
      <c r="BI572" s="1530"/>
      <c r="BJ572" s="1530"/>
      <c r="BK572" s="1530"/>
      <c r="BL572" s="1530"/>
      <c r="BM572" s="1530"/>
      <c r="BN572" s="1530"/>
      <c r="BW572" s="1569"/>
      <c r="CO572" s="1530"/>
      <c r="CP572" s="1530"/>
      <c r="CQ572" s="1530"/>
      <c r="CR572" s="1530"/>
      <c r="CS572" s="1530"/>
      <c r="CT572" s="1530"/>
      <c r="CU572" s="1530"/>
      <c r="CV572" s="1530"/>
      <c r="CW572" s="1530"/>
      <c r="CX572" s="1530"/>
      <c r="CY572" s="1530"/>
      <c r="CZ572" s="1530"/>
      <c r="DA572" s="1530"/>
      <c r="DB572" s="1530"/>
      <c r="DC572" s="1530"/>
      <c r="DD572" s="1530"/>
      <c r="DE572" s="1530"/>
      <c r="DF572" s="1530"/>
      <c r="DG572" s="1530"/>
      <c r="DH572" s="1530"/>
      <c r="DI572" s="1530"/>
      <c r="DJ572" s="1530"/>
      <c r="DK572" s="1530"/>
      <c r="DL572" s="1530"/>
      <c r="DM572" s="1530"/>
      <c r="DN572" s="1571"/>
      <c r="DO572" s="1530"/>
      <c r="DP572" s="1530"/>
    </row>
    <row r="573" spans="1:120">
      <c r="A573" s="1451"/>
      <c r="C573" s="1451"/>
      <c r="K573" s="1451"/>
      <c r="L573" s="1451"/>
      <c r="U573" s="1530"/>
      <c r="V573" s="1530"/>
      <c r="W573" s="1530"/>
      <c r="X573" s="1530"/>
      <c r="Y573" s="1530"/>
      <c r="Z573" s="1530"/>
      <c r="AA573" s="1530"/>
      <c r="AB573" s="1530"/>
      <c r="AC573" s="1530"/>
      <c r="AD573" s="1530"/>
      <c r="AE573" s="1530"/>
      <c r="AF573" s="1530"/>
      <c r="AG573" s="1530"/>
      <c r="AH573" s="1530"/>
      <c r="AI573" s="1530"/>
      <c r="AJ573" s="1530"/>
      <c r="AK573" s="1530"/>
      <c r="AL573" s="1530"/>
      <c r="AM573" s="1530"/>
      <c r="AN573" s="1530"/>
      <c r="AO573" s="1530"/>
      <c r="AP573" s="1530"/>
      <c r="AQ573" s="1530"/>
      <c r="AR573" s="1530"/>
      <c r="AS573" s="1530"/>
      <c r="AT573" s="1530"/>
      <c r="AU573" s="1530"/>
      <c r="AV573" s="1530"/>
      <c r="AW573" s="1530"/>
      <c r="AX573" s="1530"/>
      <c r="AY573" s="1530"/>
      <c r="AZ573" s="1530"/>
      <c r="BA573" s="1530"/>
      <c r="BB573" s="1530"/>
      <c r="BC573" s="1530"/>
      <c r="BD573" s="1530"/>
      <c r="BE573" s="1530"/>
      <c r="BF573" s="1530"/>
      <c r="BG573" s="1530"/>
      <c r="BH573" s="1530"/>
      <c r="BI573" s="1530"/>
      <c r="BJ573" s="1530"/>
      <c r="BK573" s="1530"/>
      <c r="BL573" s="1530"/>
      <c r="BM573" s="1530"/>
      <c r="BN573" s="1530"/>
      <c r="BW573" s="1569"/>
      <c r="CO573" s="1530"/>
      <c r="CP573" s="1530"/>
      <c r="CQ573" s="1530"/>
      <c r="CR573" s="1530"/>
      <c r="CS573" s="1530"/>
      <c r="CT573" s="1530"/>
      <c r="CU573" s="1530"/>
      <c r="CV573" s="1530"/>
      <c r="CW573" s="1530"/>
      <c r="CX573" s="1530"/>
      <c r="CY573" s="1530"/>
      <c r="CZ573" s="1530"/>
      <c r="DA573" s="1530"/>
      <c r="DB573" s="1530"/>
      <c r="DC573" s="1530"/>
      <c r="DD573" s="1530"/>
      <c r="DE573" s="1530"/>
      <c r="DF573" s="1530"/>
      <c r="DG573" s="1530"/>
      <c r="DH573" s="1530"/>
      <c r="DI573" s="1530"/>
      <c r="DJ573" s="1530"/>
      <c r="DK573" s="1530"/>
      <c r="DL573" s="1530"/>
      <c r="DM573" s="1530"/>
      <c r="DN573" s="1571"/>
      <c r="DO573" s="1530"/>
      <c r="DP573" s="1530"/>
    </row>
    <row r="574" spans="1:120">
      <c r="A574" s="1451"/>
      <c r="C574" s="1451"/>
      <c r="K574" s="1451"/>
      <c r="L574" s="1451"/>
      <c r="U574" s="1530"/>
      <c r="V574" s="1530"/>
      <c r="W574" s="1530"/>
      <c r="X574" s="1530"/>
      <c r="Y574" s="1530"/>
      <c r="Z574" s="1530"/>
      <c r="AA574" s="1530"/>
      <c r="AB574" s="1530"/>
      <c r="AC574" s="1530"/>
      <c r="AD574" s="1530"/>
      <c r="AE574" s="1530"/>
      <c r="AF574" s="1530"/>
      <c r="AG574" s="1530"/>
      <c r="AH574" s="1530"/>
      <c r="AI574" s="1530"/>
      <c r="AJ574" s="1530"/>
      <c r="AK574" s="1530"/>
      <c r="AL574" s="1530"/>
      <c r="AM574" s="1530"/>
      <c r="AN574" s="1530"/>
      <c r="AO574" s="1530"/>
      <c r="AP574" s="1530"/>
      <c r="AQ574" s="1530"/>
      <c r="AR574" s="1530"/>
      <c r="AS574" s="1530"/>
      <c r="AT574" s="1530"/>
      <c r="AU574" s="1530"/>
      <c r="AV574" s="1530"/>
      <c r="AW574" s="1530"/>
      <c r="AX574" s="1530"/>
      <c r="AY574" s="1530"/>
      <c r="AZ574" s="1530"/>
      <c r="BA574" s="1530"/>
      <c r="BB574" s="1530"/>
      <c r="BC574" s="1530"/>
      <c r="BD574" s="1530"/>
      <c r="BE574" s="1530"/>
      <c r="BF574" s="1530"/>
      <c r="BG574" s="1530"/>
      <c r="BH574" s="1530"/>
      <c r="BI574" s="1530"/>
      <c r="BJ574" s="1530"/>
      <c r="BK574" s="1530"/>
      <c r="BL574" s="1530"/>
      <c r="BM574" s="1530"/>
      <c r="BN574" s="1530"/>
      <c r="BW574" s="1569"/>
      <c r="CO574" s="1530"/>
      <c r="CP574" s="1530"/>
      <c r="CQ574" s="1530"/>
      <c r="CR574" s="1530"/>
      <c r="CS574" s="1530"/>
      <c r="CT574" s="1530"/>
      <c r="CU574" s="1530"/>
      <c r="CV574" s="1530"/>
      <c r="CW574" s="1530"/>
      <c r="CX574" s="1530"/>
      <c r="CY574" s="1530"/>
      <c r="CZ574" s="1530"/>
      <c r="DA574" s="1530"/>
      <c r="DB574" s="1530"/>
      <c r="DC574" s="1530"/>
      <c r="DD574" s="1530"/>
      <c r="DE574" s="1530"/>
      <c r="DF574" s="1530"/>
      <c r="DG574" s="1530"/>
      <c r="DH574" s="1530"/>
      <c r="DI574" s="1530"/>
      <c r="DJ574" s="1530"/>
      <c r="DK574" s="1530"/>
      <c r="DL574" s="1530"/>
      <c r="DM574" s="1530"/>
      <c r="DN574" s="1571"/>
      <c r="DO574" s="1530"/>
      <c r="DP574" s="1530"/>
    </row>
    <row r="575" spans="1:120">
      <c r="A575" s="1451"/>
      <c r="C575" s="1451"/>
      <c r="K575" s="1451"/>
      <c r="L575" s="1451"/>
      <c r="U575" s="1530"/>
      <c r="V575" s="1530"/>
      <c r="W575" s="1530"/>
      <c r="X575" s="1530"/>
      <c r="Y575" s="1530"/>
      <c r="Z575" s="1530"/>
      <c r="AA575" s="1530"/>
      <c r="AB575" s="1530"/>
      <c r="AC575" s="1530"/>
      <c r="AD575" s="1530"/>
      <c r="AE575" s="1530"/>
      <c r="AF575" s="1530"/>
      <c r="AG575" s="1530"/>
      <c r="AH575" s="1530"/>
      <c r="AI575" s="1530"/>
      <c r="AJ575" s="1530"/>
      <c r="AK575" s="1530"/>
      <c r="AL575" s="1530"/>
      <c r="AM575" s="1530"/>
      <c r="AN575" s="1530"/>
      <c r="AO575" s="1530"/>
      <c r="AP575" s="1530"/>
      <c r="AQ575" s="1530"/>
      <c r="AR575" s="1530"/>
      <c r="AS575" s="1530"/>
      <c r="AT575" s="1530"/>
      <c r="AU575" s="1530"/>
      <c r="AV575" s="1530"/>
      <c r="AW575" s="1530"/>
      <c r="AX575" s="1530"/>
      <c r="AY575" s="1530"/>
      <c r="AZ575" s="1530"/>
      <c r="BA575" s="1530"/>
      <c r="BB575" s="1530"/>
      <c r="BC575" s="1530"/>
      <c r="BD575" s="1530"/>
      <c r="BE575" s="1530"/>
      <c r="BF575" s="1530"/>
      <c r="BG575" s="1530"/>
      <c r="BH575" s="1530"/>
      <c r="BI575" s="1530"/>
      <c r="BJ575" s="1530"/>
      <c r="BK575" s="1530"/>
      <c r="BL575" s="1530"/>
      <c r="BM575" s="1530"/>
      <c r="BN575" s="1530"/>
      <c r="BW575" s="1569"/>
      <c r="CO575" s="1530"/>
      <c r="CP575" s="1530"/>
      <c r="CQ575" s="1530"/>
      <c r="CR575" s="1530"/>
      <c r="CS575" s="1530"/>
      <c r="CT575" s="1530"/>
      <c r="CU575" s="1530"/>
      <c r="CV575" s="1530"/>
      <c r="CW575" s="1530"/>
      <c r="CX575" s="1530"/>
      <c r="CY575" s="1530"/>
      <c r="CZ575" s="1530"/>
      <c r="DA575" s="1530"/>
      <c r="DB575" s="1530"/>
      <c r="DC575" s="1530"/>
      <c r="DD575" s="1530"/>
      <c r="DE575" s="1530"/>
      <c r="DF575" s="1530"/>
      <c r="DG575" s="1530"/>
      <c r="DH575" s="1530"/>
      <c r="DI575" s="1530"/>
      <c r="DJ575" s="1530"/>
      <c r="DK575" s="1530"/>
      <c r="DL575" s="1530"/>
      <c r="DM575" s="1530"/>
      <c r="DN575" s="1571"/>
      <c r="DO575" s="1530"/>
      <c r="DP575" s="1530"/>
    </row>
    <row r="576" spans="1:120">
      <c r="A576" s="1451"/>
      <c r="C576" s="1451"/>
      <c r="K576" s="1451"/>
      <c r="L576" s="1451"/>
      <c r="U576" s="1530"/>
      <c r="V576" s="1530"/>
      <c r="W576" s="1530"/>
      <c r="X576" s="1530"/>
      <c r="Y576" s="1530"/>
      <c r="Z576" s="1530"/>
      <c r="AA576" s="1530"/>
      <c r="AB576" s="1530"/>
      <c r="AC576" s="1530"/>
      <c r="AD576" s="1530"/>
      <c r="AE576" s="1530"/>
      <c r="AF576" s="1530"/>
      <c r="AG576" s="1530"/>
      <c r="AH576" s="1530"/>
      <c r="AI576" s="1530"/>
      <c r="AJ576" s="1530"/>
      <c r="AK576" s="1530"/>
      <c r="AL576" s="1530"/>
      <c r="AM576" s="1530"/>
      <c r="AN576" s="1530"/>
      <c r="AO576" s="1530"/>
      <c r="AP576" s="1530"/>
      <c r="AQ576" s="1530"/>
      <c r="AR576" s="1530"/>
      <c r="AS576" s="1530"/>
      <c r="AT576" s="1530"/>
      <c r="AU576" s="1530"/>
      <c r="AV576" s="1530"/>
      <c r="AW576" s="1530"/>
      <c r="AX576" s="1530"/>
      <c r="AY576" s="1530"/>
      <c r="AZ576" s="1530"/>
      <c r="BA576" s="1530"/>
      <c r="BB576" s="1530"/>
      <c r="BC576" s="1530"/>
      <c r="BD576" s="1530"/>
      <c r="BE576" s="1530"/>
      <c r="BF576" s="1530"/>
      <c r="BG576" s="1530"/>
      <c r="BH576" s="1530"/>
      <c r="BI576" s="1530"/>
      <c r="BJ576" s="1530"/>
      <c r="BK576" s="1530"/>
      <c r="BL576" s="1530"/>
      <c r="BM576" s="1530"/>
      <c r="BN576" s="1530"/>
      <c r="BW576" s="1569"/>
      <c r="CO576" s="1530"/>
      <c r="CP576" s="1530"/>
      <c r="CQ576" s="1530"/>
      <c r="CR576" s="1530"/>
      <c r="CS576" s="1530"/>
      <c r="CT576" s="1530"/>
      <c r="CU576" s="1530"/>
      <c r="CV576" s="1530"/>
      <c r="CW576" s="1530"/>
      <c r="CX576" s="1530"/>
      <c r="CY576" s="1530"/>
      <c r="CZ576" s="1530"/>
      <c r="DA576" s="1530"/>
      <c r="DB576" s="1530"/>
      <c r="DC576" s="1530"/>
      <c r="DD576" s="1530"/>
      <c r="DE576" s="1530"/>
      <c r="DF576" s="1530"/>
      <c r="DG576" s="1530"/>
      <c r="DH576" s="1530"/>
      <c r="DI576" s="1530"/>
      <c r="DJ576" s="1530"/>
      <c r="DK576" s="1530"/>
      <c r="DL576" s="1530"/>
      <c r="DM576" s="1530"/>
      <c r="DN576" s="1571"/>
      <c r="DO576" s="1530"/>
      <c r="DP576" s="1530"/>
    </row>
    <row r="577" spans="1:120">
      <c r="A577" s="1451"/>
      <c r="C577" s="1451"/>
      <c r="K577" s="1451"/>
      <c r="L577" s="1451"/>
      <c r="U577" s="1530"/>
      <c r="V577" s="1530"/>
      <c r="W577" s="1530"/>
      <c r="X577" s="1530"/>
      <c r="Y577" s="1530"/>
      <c r="Z577" s="1530"/>
      <c r="AA577" s="1530"/>
      <c r="AB577" s="1530"/>
      <c r="AC577" s="1530"/>
      <c r="AD577" s="1530"/>
      <c r="AE577" s="1530"/>
      <c r="AF577" s="1530"/>
      <c r="AG577" s="1530"/>
      <c r="AH577" s="1530"/>
      <c r="AI577" s="1530"/>
      <c r="AJ577" s="1530"/>
      <c r="AK577" s="1530"/>
      <c r="AL577" s="1530"/>
      <c r="AM577" s="1530"/>
      <c r="AN577" s="1530"/>
      <c r="AO577" s="1530"/>
      <c r="AP577" s="1530"/>
      <c r="AQ577" s="1530"/>
      <c r="AR577" s="1530"/>
      <c r="AS577" s="1530"/>
      <c r="AT577" s="1530"/>
      <c r="AU577" s="1530"/>
      <c r="AV577" s="1530"/>
      <c r="AW577" s="1530"/>
      <c r="AX577" s="1530"/>
      <c r="AY577" s="1530"/>
      <c r="AZ577" s="1530"/>
      <c r="BA577" s="1530"/>
      <c r="BB577" s="1530"/>
      <c r="BC577" s="1530"/>
      <c r="BD577" s="1530"/>
      <c r="BE577" s="1530"/>
      <c r="BF577" s="1530"/>
      <c r="BG577" s="1530"/>
      <c r="BH577" s="1530"/>
      <c r="BI577" s="1530"/>
      <c r="BJ577" s="1530"/>
      <c r="BK577" s="1530"/>
      <c r="BL577" s="1530"/>
      <c r="BM577" s="1530"/>
      <c r="BN577" s="1530"/>
      <c r="BW577" s="1569"/>
      <c r="CO577" s="1530"/>
      <c r="CP577" s="1530"/>
      <c r="CQ577" s="1530"/>
      <c r="CR577" s="1530"/>
      <c r="CS577" s="1530"/>
      <c r="CT577" s="1530"/>
      <c r="CU577" s="1530"/>
      <c r="CV577" s="1530"/>
      <c r="CW577" s="1530"/>
      <c r="CX577" s="1530"/>
      <c r="CY577" s="1530"/>
      <c r="CZ577" s="1530"/>
      <c r="DA577" s="1530"/>
      <c r="DB577" s="1530"/>
      <c r="DC577" s="1530"/>
      <c r="DD577" s="1530"/>
      <c r="DE577" s="1530"/>
      <c r="DF577" s="1530"/>
      <c r="DG577" s="1530"/>
      <c r="DH577" s="1530"/>
      <c r="DI577" s="1530"/>
      <c r="DJ577" s="1530"/>
      <c r="DK577" s="1530"/>
      <c r="DL577" s="1530"/>
      <c r="DM577" s="1530"/>
      <c r="DN577" s="1571"/>
      <c r="DO577" s="1530"/>
      <c r="DP577" s="1530"/>
    </row>
    <row r="578" spans="1:120">
      <c r="A578" s="1451"/>
      <c r="C578" s="1451"/>
      <c r="K578" s="1451"/>
      <c r="L578" s="1451"/>
      <c r="U578" s="1530"/>
      <c r="V578" s="1530"/>
      <c r="W578" s="1530"/>
      <c r="X578" s="1530"/>
      <c r="Y578" s="1530"/>
      <c r="Z578" s="1530"/>
      <c r="AA578" s="1530"/>
      <c r="AB578" s="1530"/>
      <c r="AC578" s="1530"/>
      <c r="AD578" s="1530"/>
      <c r="AE578" s="1530"/>
      <c r="AF578" s="1530"/>
      <c r="AG578" s="1530"/>
      <c r="AH578" s="1530"/>
      <c r="AI578" s="1530"/>
      <c r="AJ578" s="1530"/>
      <c r="AK578" s="1530"/>
      <c r="AL578" s="1530"/>
      <c r="AM578" s="1530"/>
      <c r="AN578" s="1530"/>
      <c r="AO578" s="1530"/>
      <c r="AP578" s="1530"/>
      <c r="AQ578" s="1530"/>
      <c r="AR578" s="1530"/>
      <c r="AS578" s="1530"/>
      <c r="AT578" s="1530"/>
      <c r="AU578" s="1530"/>
      <c r="AV578" s="1530"/>
      <c r="AW578" s="1530"/>
      <c r="AX578" s="1530"/>
      <c r="AY578" s="1530"/>
      <c r="AZ578" s="1530"/>
      <c r="BA578" s="1530"/>
      <c r="BB578" s="1530"/>
      <c r="BC578" s="1530"/>
      <c r="BD578" s="1530"/>
      <c r="BE578" s="1530"/>
      <c r="BF578" s="1530"/>
      <c r="BG578" s="1530"/>
      <c r="BH578" s="1530"/>
      <c r="BI578" s="1530"/>
      <c r="BJ578" s="1530"/>
      <c r="BK578" s="1530"/>
      <c r="BL578" s="1530"/>
      <c r="BM578" s="1530"/>
      <c r="BN578" s="1530"/>
      <c r="BW578" s="1569"/>
      <c r="CO578" s="1530"/>
      <c r="CP578" s="1530"/>
      <c r="CQ578" s="1530"/>
      <c r="CR578" s="1530"/>
      <c r="CS578" s="1530"/>
      <c r="CT578" s="1530"/>
      <c r="CU578" s="1530"/>
      <c r="CV578" s="1530"/>
      <c r="CW578" s="1530"/>
      <c r="CX578" s="1530"/>
      <c r="CY578" s="1530"/>
      <c r="CZ578" s="1530"/>
      <c r="DA578" s="1530"/>
      <c r="DB578" s="1530"/>
      <c r="DC578" s="1530"/>
      <c r="DD578" s="1530"/>
      <c r="DE578" s="1530"/>
      <c r="DF578" s="1530"/>
      <c r="DG578" s="1530"/>
      <c r="DH578" s="1530"/>
      <c r="DI578" s="1530"/>
      <c r="DJ578" s="1530"/>
      <c r="DK578" s="1530"/>
      <c r="DL578" s="1530"/>
      <c r="DM578" s="1530"/>
      <c r="DN578" s="1571"/>
      <c r="DO578" s="1530"/>
      <c r="DP578" s="1530"/>
    </row>
    <row r="579" spans="1:120">
      <c r="A579" s="1451"/>
      <c r="C579" s="1451"/>
      <c r="K579" s="1451"/>
      <c r="L579" s="1451"/>
      <c r="U579" s="1530"/>
      <c r="V579" s="1530"/>
      <c r="W579" s="1530"/>
      <c r="X579" s="1530"/>
      <c r="Y579" s="1530"/>
      <c r="Z579" s="1530"/>
      <c r="AA579" s="1530"/>
      <c r="AB579" s="1530"/>
      <c r="AC579" s="1530"/>
      <c r="AD579" s="1530"/>
      <c r="AE579" s="1530"/>
      <c r="AF579" s="1530"/>
      <c r="AG579" s="1530"/>
      <c r="AH579" s="1530"/>
      <c r="AI579" s="1530"/>
      <c r="AJ579" s="1530"/>
      <c r="AK579" s="1530"/>
      <c r="AL579" s="1530"/>
      <c r="AM579" s="1530"/>
      <c r="AN579" s="1530"/>
      <c r="AO579" s="1530"/>
      <c r="AP579" s="1530"/>
      <c r="AQ579" s="1530"/>
      <c r="AR579" s="1530"/>
      <c r="AS579" s="1530"/>
      <c r="AT579" s="1530"/>
      <c r="AU579" s="1530"/>
      <c r="AV579" s="1530"/>
      <c r="AW579" s="1530"/>
      <c r="AX579" s="1530"/>
      <c r="AY579" s="1530"/>
      <c r="AZ579" s="1530"/>
      <c r="BA579" s="1530"/>
      <c r="BB579" s="1530"/>
      <c r="BC579" s="1530"/>
      <c r="BD579" s="1530"/>
      <c r="BE579" s="1530"/>
      <c r="BF579" s="1530"/>
      <c r="BG579" s="1530"/>
      <c r="BH579" s="1530"/>
      <c r="BI579" s="1530"/>
      <c r="BJ579" s="1530"/>
      <c r="BK579" s="1530"/>
      <c r="BL579" s="1530"/>
      <c r="BM579" s="1530"/>
      <c r="BN579" s="1530"/>
      <c r="BW579" s="1569"/>
      <c r="CO579" s="1530"/>
      <c r="CP579" s="1530"/>
      <c r="CQ579" s="1530"/>
      <c r="CR579" s="1530"/>
      <c r="CS579" s="1530"/>
      <c r="CT579" s="1530"/>
      <c r="CU579" s="1530"/>
      <c r="CV579" s="1530"/>
      <c r="CW579" s="1530"/>
      <c r="CX579" s="1530"/>
      <c r="CY579" s="1530"/>
      <c r="CZ579" s="1530"/>
      <c r="DA579" s="1530"/>
      <c r="DB579" s="1530"/>
      <c r="DC579" s="1530"/>
      <c r="DD579" s="1530"/>
      <c r="DE579" s="1530"/>
      <c r="DF579" s="1530"/>
      <c r="DG579" s="1530"/>
      <c r="DH579" s="1530"/>
      <c r="DI579" s="1530"/>
      <c r="DJ579" s="1530"/>
      <c r="DK579" s="1530"/>
      <c r="DL579" s="1530"/>
      <c r="DM579" s="1530"/>
      <c r="DN579" s="1571"/>
      <c r="DO579" s="1530"/>
      <c r="DP579" s="1530"/>
    </row>
    <row r="580" spans="1:120">
      <c r="A580" s="1451"/>
      <c r="C580" s="1451"/>
      <c r="K580" s="1451"/>
      <c r="L580" s="1451"/>
      <c r="U580" s="1530"/>
      <c r="V580" s="1530"/>
      <c r="W580" s="1530"/>
      <c r="X580" s="1530"/>
      <c r="Y580" s="1530"/>
      <c r="Z580" s="1530"/>
      <c r="AA580" s="1530"/>
      <c r="AB580" s="1530"/>
      <c r="AC580" s="1530"/>
      <c r="AD580" s="1530"/>
      <c r="AE580" s="1530"/>
      <c r="AF580" s="1530"/>
      <c r="AG580" s="1530"/>
      <c r="AH580" s="1530"/>
      <c r="AI580" s="1530"/>
      <c r="AJ580" s="1530"/>
      <c r="AK580" s="1530"/>
      <c r="AL580" s="1530"/>
      <c r="AM580" s="1530"/>
      <c r="AN580" s="1530"/>
      <c r="AO580" s="1530"/>
      <c r="AP580" s="1530"/>
      <c r="AQ580" s="1530"/>
      <c r="AR580" s="1530"/>
      <c r="AS580" s="1530"/>
      <c r="AT580" s="1530"/>
      <c r="AU580" s="1530"/>
      <c r="AV580" s="1530"/>
      <c r="AW580" s="1530"/>
      <c r="AX580" s="1530"/>
      <c r="AY580" s="1530"/>
      <c r="AZ580" s="1530"/>
      <c r="BA580" s="1530"/>
      <c r="BB580" s="1530"/>
      <c r="BC580" s="1530"/>
      <c r="BD580" s="1530"/>
      <c r="BE580" s="1530"/>
      <c r="BF580" s="1530"/>
      <c r="BG580" s="1530"/>
      <c r="BH580" s="1530"/>
      <c r="BI580" s="1530"/>
      <c r="BJ580" s="1530"/>
      <c r="BK580" s="1530"/>
      <c r="BL580" s="1530"/>
      <c r="BM580" s="1530"/>
      <c r="BN580" s="1530"/>
      <c r="BW580" s="1569"/>
      <c r="CO580" s="1530"/>
      <c r="CP580" s="1530"/>
      <c r="CQ580" s="1530"/>
      <c r="CR580" s="1530"/>
      <c r="CS580" s="1530"/>
      <c r="CT580" s="1530"/>
      <c r="CU580" s="1530"/>
      <c r="CV580" s="1530"/>
      <c r="CW580" s="1530"/>
      <c r="CX580" s="1530"/>
      <c r="CY580" s="1530"/>
      <c r="CZ580" s="1530"/>
      <c r="DA580" s="1530"/>
      <c r="DB580" s="1530"/>
      <c r="DC580" s="1530"/>
      <c r="DD580" s="1530"/>
      <c r="DE580" s="1530"/>
      <c r="DF580" s="1530"/>
      <c r="DG580" s="1530"/>
      <c r="DH580" s="1530"/>
      <c r="DI580" s="1530"/>
      <c r="DJ580" s="1530"/>
      <c r="DK580" s="1530"/>
      <c r="DL580" s="1530"/>
      <c r="DM580" s="1530"/>
      <c r="DN580" s="1571"/>
      <c r="DO580" s="1530"/>
      <c r="DP580" s="1530"/>
    </row>
    <row r="581" spans="1:120">
      <c r="A581" s="1451"/>
      <c r="C581" s="1451"/>
      <c r="K581" s="1451"/>
      <c r="L581" s="1451"/>
      <c r="U581" s="1530"/>
      <c r="V581" s="1530"/>
      <c r="W581" s="1530"/>
      <c r="X581" s="1530"/>
      <c r="Y581" s="1530"/>
      <c r="Z581" s="1530"/>
      <c r="AA581" s="1530"/>
      <c r="AB581" s="1530"/>
      <c r="AC581" s="1530"/>
      <c r="AD581" s="1530"/>
      <c r="AE581" s="1530"/>
      <c r="AF581" s="1530"/>
      <c r="AG581" s="1530"/>
      <c r="AH581" s="1530"/>
      <c r="AI581" s="1530"/>
      <c r="AJ581" s="1530"/>
      <c r="AK581" s="1530"/>
      <c r="AL581" s="1530"/>
      <c r="AM581" s="1530"/>
      <c r="AN581" s="1530"/>
      <c r="AO581" s="1530"/>
      <c r="AP581" s="1530"/>
      <c r="AQ581" s="1530"/>
      <c r="AR581" s="1530"/>
      <c r="AS581" s="1530"/>
      <c r="AT581" s="1530"/>
      <c r="AU581" s="1530"/>
      <c r="AV581" s="1530"/>
      <c r="AW581" s="1530"/>
      <c r="AX581" s="1530"/>
      <c r="AY581" s="1530"/>
      <c r="AZ581" s="1530"/>
      <c r="BA581" s="1530"/>
      <c r="BB581" s="1530"/>
      <c r="BC581" s="1530"/>
      <c r="BD581" s="1530"/>
      <c r="BE581" s="1530"/>
      <c r="BF581" s="1530"/>
      <c r="BG581" s="1530"/>
      <c r="BH581" s="1530"/>
      <c r="BI581" s="1530"/>
      <c r="BJ581" s="1530"/>
      <c r="BK581" s="1530"/>
      <c r="BL581" s="1530"/>
      <c r="BM581" s="1530"/>
      <c r="BN581" s="1530"/>
      <c r="BW581" s="1569"/>
      <c r="CO581" s="1530"/>
      <c r="CP581" s="1530"/>
      <c r="CQ581" s="1530"/>
      <c r="CR581" s="1530"/>
      <c r="CS581" s="1530"/>
      <c r="CT581" s="1530"/>
      <c r="CU581" s="1530"/>
      <c r="CV581" s="1530"/>
      <c r="CW581" s="1530"/>
      <c r="CX581" s="1530"/>
      <c r="CY581" s="1530"/>
      <c r="CZ581" s="1530"/>
      <c r="DA581" s="1530"/>
      <c r="DB581" s="1530"/>
      <c r="DC581" s="1530"/>
      <c r="DD581" s="1530"/>
      <c r="DE581" s="1530"/>
      <c r="DF581" s="1530"/>
      <c r="DG581" s="1530"/>
      <c r="DH581" s="1530"/>
      <c r="DI581" s="1530"/>
      <c r="DJ581" s="1530"/>
      <c r="DK581" s="1530"/>
      <c r="DL581" s="1530"/>
      <c r="DM581" s="1530"/>
      <c r="DN581" s="1571"/>
      <c r="DO581" s="1530"/>
      <c r="DP581" s="1530"/>
    </row>
    <row r="582" spans="1:120">
      <c r="A582" s="1451"/>
      <c r="C582" s="1451"/>
      <c r="K582" s="1451"/>
      <c r="L582" s="1451"/>
      <c r="U582" s="1530"/>
      <c r="V582" s="1530"/>
      <c r="W582" s="1530"/>
      <c r="X582" s="1530"/>
      <c r="Y582" s="1530"/>
      <c r="Z582" s="1530"/>
      <c r="AA582" s="1530"/>
      <c r="AB582" s="1530"/>
      <c r="AC582" s="1530"/>
      <c r="AD582" s="1530"/>
      <c r="AE582" s="1530"/>
      <c r="AF582" s="1530"/>
      <c r="AG582" s="1530"/>
      <c r="AH582" s="1530"/>
      <c r="AI582" s="1530"/>
      <c r="AJ582" s="1530"/>
      <c r="AK582" s="1530"/>
      <c r="AL582" s="1530"/>
      <c r="AM582" s="1530"/>
      <c r="AN582" s="1530"/>
      <c r="AO582" s="1530"/>
      <c r="AP582" s="1530"/>
      <c r="AQ582" s="1530"/>
      <c r="AR582" s="1530"/>
      <c r="AS582" s="1530"/>
      <c r="AT582" s="1530"/>
      <c r="AU582" s="1530"/>
      <c r="AV582" s="1530"/>
      <c r="AW582" s="1530"/>
      <c r="AX582" s="1530"/>
      <c r="AY582" s="1530"/>
      <c r="AZ582" s="1530"/>
      <c r="BA582" s="1530"/>
      <c r="BB582" s="1530"/>
      <c r="BC582" s="1530"/>
      <c r="BD582" s="1530"/>
      <c r="BE582" s="1530"/>
      <c r="BF582" s="1530"/>
      <c r="BG582" s="1530"/>
      <c r="BH582" s="1530"/>
      <c r="BI582" s="1530"/>
      <c r="BJ582" s="1530"/>
      <c r="BK582" s="1530"/>
      <c r="BL582" s="1530"/>
      <c r="BM582" s="1530"/>
      <c r="BN582" s="1530"/>
      <c r="BW582" s="1569"/>
      <c r="CO582" s="1530"/>
      <c r="CP582" s="1530"/>
      <c r="CQ582" s="1530"/>
      <c r="CR582" s="1530"/>
      <c r="CS582" s="1530"/>
      <c r="CT582" s="1530"/>
      <c r="CU582" s="1530"/>
      <c r="CV582" s="1530"/>
      <c r="CW582" s="1530"/>
      <c r="CX582" s="1530"/>
      <c r="CY582" s="1530"/>
      <c r="CZ582" s="1530"/>
      <c r="DA582" s="1530"/>
      <c r="DB582" s="1530"/>
      <c r="DC582" s="1530"/>
      <c r="DD582" s="1530"/>
      <c r="DE582" s="1530"/>
      <c r="DF582" s="1530"/>
      <c r="DG582" s="1530"/>
      <c r="DH582" s="1530"/>
      <c r="DI582" s="1530"/>
      <c r="DJ582" s="1530"/>
      <c r="DK582" s="1530"/>
      <c r="DL582" s="1530"/>
      <c r="DM582" s="1530"/>
      <c r="DN582" s="1571"/>
      <c r="DO582" s="1530"/>
      <c r="DP582" s="1530"/>
    </row>
    <row r="583" spans="1:120">
      <c r="A583" s="1451"/>
      <c r="C583" s="1451"/>
      <c r="K583" s="1451"/>
      <c r="L583" s="1451"/>
      <c r="U583" s="1530"/>
      <c r="V583" s="1530"/>
      <c r="W583" s="1530"/>
      <c r="X583" s="1530"/>
      <c r="Y583" s="1530"/>
      <c r="Z583" s="1530"/>
      <c r="AA583" s="1530"/>
      <c r="AB583" s="1530"/>
      <c r="AC583" s="1530"/>
      <c r="AD583" s="1530"/>
      <c r="AE583" s="1530"/>
      <c r="AF583" s="1530"/>
      <c r="AG583" s="1530"/>
      <c r="AH583" s="1530"/>
      <c r="AI583" s="1530"/>
      <c r="AJ583" s="1530"/>
      <c r="AK583" s="1530"/>
      <c r="AL583" s="1530"/>
      <c r="AM583" s="1530"/>
      <c r="AN583" s="1530"/>
      <c r="AO583" s="1530"/>
      <c r="AP583" s="1530"/>
      <c r="AQ583" s="1530"/>
      <c r="AR583" s="1530"/>
      <c r="AS583" s="1530"/>
      <c r="AT583" s="1530"/>
      <c r="AU583" s="1530"/>
      <c r="AV583" s="1530"/>
      <c r="AW583" s="1530"/>
      <c r="AX583" s="1530"/>
      <c r="AY583" s="1530"/>
      <c r="AZ583" s="1530"/>
      <c r="BA583" s="1530"/>
      <c r="BB583" s="1530"/>
      <c r="BC583" s="1530"/>
      <c r="BD583" s="1530"/>
      <c r="BE583" s="1530"/>
      <c r="BF583" s="1530"/>
      <c r="BG583" s="1530"/>
      <c r="BH583" s="1530"/>
      <c r="BI583" s="1530"/>
      <c r="BJ583" s="1530"/>
      <c r="BK583" s="1530"/>
      <c r="BL583" s="1530"/>
      <c r="BM583" s="1530"/>
      <c r="BN583" s="1530"/>
      <c r="BW583" s="1569"/>
      <c r="CO583" s="1530"/>
      <c r="CP583" s="1530"/>
      <c r="CQ583" s="1530"/>
      <c r="CR583" s="1530"/>
      <c r="CS583" s="1530"/>
      <c r="CT583" s="1530"/>
      <c r="CU583" s="1530"/>
      <c r="CV583" s="1530"/>
      <c r="CW583" s="1530"/>
      <c r="CX583" s="1530"/>
      <c r="CY583" s="1530"/>
      <c r="CZ583" s="1530"/>
      <c r="DA583" s="1530"/>
      <c r="DB583" s="1530"/>
      <c r="DC583" s="1530"/>
      <c r="DD583" s="1530"/>
      <c r="DE583" s="1530"/>
      <c r="DF583" s="1530"/>
      <c r="DG583" s="1530"/>
      <c r="DH583" s="1530"/>
      <c r="DI583" s="1530"/>
      <c r="DJ583" s="1530"/>
      <c r="DK583" s="1530"/>
      <c r="DL583" s="1530"/>
      <c r="DM583" s="1530"/>
      <c r="DN583" s="1571"/>
      <c r="DO583" s="1530"/>
      <c r="DP583" s="1530"/>
    </row>
    <row r="584" spans="1:120">
      <c r="A584" s="1451"/>
      <c r="C584" s="1451"/>
      <c r="K584" s="1451"/>
      <c r="L584" s="1451"/>
      <c r="U584" s="1530"/>
      <c r="V584" s="1530"/>
      <c r="W584" s="1530"/>
      <c r="X584" s="1530"/>
      <c r="Y584" s="1530"/>
      <c r="Z584" s="1530"/>
      <c r="AA584" s="1530"/>
      <c r="AB584" s="1530"/>
      <c r="AC584" s="1530"/>
      <c r="AD584" s="1530"/>
      <c r="AE584" s="1530"/>
      <c r="AF584" s="1530"/>
      <c r="AG584" s="1530"/>
      <c r="AH584" s="1530"/>
      <c r="AI584" s="1530"/>
      <c r="AJ584" s="1530"/>
      <c r="AK584" s="1530"/>
      <c r="AL584" s="1530"/>
      <c r="AM584" s="1530"/>
      <c r="AN584" s="1530"/>
      <c r="AO584" s="1530"/>
      <c r="AP584" s="1530"/>
      <c r="AQ584" s="1530"/>
      <c r="AR584" s="1530"/>
      <c r="AS584" s="1530"/>
      <c r="AT584" s="1530"/>
      <c r="AU584" s="1530"/>
      <c r="AV584" s="1530"/>
      <c r="AW584" s="1530"/>
      <c r="AX584" s="1530"/>
      <c r="AY584" s="1530"/>
      <c r="AZ584" s="1530"/>
      <c r="BA584" s="1530"/>
      <c r="BB584" s="1530"/>
      <c r="BC584" s="1530"/>
      <c r="BD584" s="1530"/>
      <c r="BE584" s="1530"/>
      <c r="BF584" s="1530"/>
      <c r="BG584" s="1530"/>
      <c r="BH584" s="1530"/>
      <c r="BI584" s="1530"/>
      <c r="BJ584" s="1530"/>
      <c r="BK584" s="1530"/>
      <c r="BL584" s="1530"/>
      <c r="BM584" s="1530"/>
      <c r="BN584" s="1530"/>
      <c r="BW584" s="1569"/>
      <c r="CO584" s="1530"/>
      <c r="CP584" s="1530"/>
      <c r="CQ584" s="1530"/>
      <c r="CR584" s="1530"/>
      <c r="CS584" s="1530"/>
      <c r="CT584" s="1530"/>
      <c r="CU584" s="1530"/>
      <c r="CV584" s="1530"/>
      <c r="CW584" s="1530"/>
      <c r="CX584" s="1530"/>
      <c r="CY584" s="1530"/>
      <c r="CZ584" s="1530"/>
      <c r="DA584" s="1530"/>
      <c r="DB584" s="1530"/>
      <c r="DC584" s="1530"/>
      <c r="DD584" s="1530"/>
      <c r="DE584" s="1530"/>
      <c r="DF584" s="1530"/>
      <c r="DG584" s="1530"/>
      <c r="DH584" s="1530"/>
      <c r="DI584" s="1530"/>
      <c r="DJ584" s="1530"/>
      <c r="DK584" s="1530"/>
      <c r="DL584" s="1530"/>
      <c r="DM584" s="1530"/>
      <c r="DN584" s="1571"/>
      <c r="DO584" s="1530"/>
      <c r="DP584" s="1530"/>
    </row>
    <row r="585" spans="1:120">
      <c r="A585" s="1451"/>
      <c r="C585" s="1451"/>
      <c r="K585" s="1451"/>
      <c r="L585" s="1451"/>
      <c r="U585" s="1530"/>
      <c r="V585" s="1530"/>
      <c r="W585" s="1530"/>
      <c r="X585" s="1530"/>
      <c r="Y585" s="1530"/>
      <c r="Z585" s="1530"/>
      <c r="AA585" s="1530"/>
      <c r="AB585" s="1530"/>
      <c r="AC585" s="1530"/>
      <c r="AD585" s="1530"/>
      <c r="AE585" s="1530"/>
      <c r="AF585" s="1530"/>
      <c r="AG585" s="1530"/>
      <c r="AH585" s="1530"/>
      <c r="AI585" s="1530"/>
      <c r="AJ585" s="1530"/>
      <c r="AK585" s="1530"/>
      <c r="AL585" s="1530"/>
      <c r="AM585" s="1530"/>
      <c r="AN585" s="1530"/>
      <c r="AO585" s="1530"/>
      <c r="AP585" s="1530"/>
      <c r="AQ585" s="1530"/>
      <c r="AR585" s="1530"/>
      <c r="AS585" s="1530"/>
      <c r="AT585" s="1530"/>
      <c r="AU585" s="1530"/>
      <c r="AV585" s="1530"/>
      <c r="AW585" s="1530"/>
      <c r="AX585" s="1530"/>
      <c r="AY585" s="1530"/>
      <c r="AZ585" s="1530"/>
      <c r="BA585" s="1530"/>
      <c r="BB585" s="1530"/>
      <c r="BC585" s="1530"/>
      <c r="BD585" s="1530"/>
      <c r="BE585" s="1530"/>
      <c r="BF585" s="1530"/>
      <c r="BG585" s="1530"/>
      <c r="BH585" s="1530"/>
      <c r="BI585" s="1530"/>
      <c r="BJ585" s="1530"/>
      <c r="BK585" s="1530"/>
      <c r="BL585" s="1530"/>
      <c r="BM585" s="1530"/>
      <c r="BN585" s="1530"/>
      <c r="BW585" s="1569"/>
      <c r="CO585" s="1530"/>
      <c r="CP585" s="1530"/>
      <c r="CQ585" s="1530"/>
      <c r="CR585" s="1530"/>
      <c r="CS585" s="1530"/>
      <c r="CT585" s="1530"/>
      <c r="CU585" s="1530"/>
      <c r="CV585" s="1530"/>
      <c r="CW585" s="1530"/>
      <c r="CX585" s="1530"/>
      <c r="CY585" s="1530"/>
      <c r="CZ585" s="1530"/>
      <c r="DA585" s="1530"/>
      <c r="DB585" s="1530"/>
      <c r="DC585" s="1530"/>
      <c r="DD585" s="1530"/>
      <c r="DE585" s="1530"/>
      <c r="DF585" s="1530"/>
      <c r="DG585" s="1530"/>
      <c r="DH585" s="1530"/>
      <c r="DI585" s="1530"/>
      <c r="DJ585" s="1530"/>
      <c r="DK585" s="1530"/>
      <c r="DL585" s="1530"/>
      <c r="DM585" s="1530"/>
      <c r="DN585" s="1571"/>
      <c r="DO585" s="1530"/>
      <c r="DP585" s="1530"/>
    </row>
    <row r="586" spans="1:120">
      <c r="A586" s="1451"/>
      <c r="C586" s="1451"/>
      <c r="K586" s="1451"/>
      <c r="L586" s="1451"/>
      <c r="U586" s="1530"/>
      <c r="V586" s="1530"/>
      <c r="W586" s="1530"/>
      <c r="X586" s="1530"/>
      <c r="Y586" s="1530"/>
      <c r="Z586" s="1530"/>
      <c r="AA586" s="1530"/>
      <c r="AB586" s="1530"/>
      <c r="AC586" s="1530"/>
      <c r="AD586" s="1530"/>
      <c r="AE586" s="1530"/>
      <c r="AF586" s="1530"/>
      <c r="AG586" s="1530"/>
      <c r="AH586" s="1530"/>
      <c r="AI586" s="1530"/>
      <c r="AJ586" s="1530"/>
      <c r="AK586" s="1530"/>
      <c r="AL586" s="1530"/>
      <c r="AM586" s="1530"/>
      <c r="AN586" s="1530"/>
      <c r="AO586" s="1530"/>
      <c r="AP586" s="1530"/>
      <c r="AQ586" s="1530"/>
      <c r="AR586" s="1530"/>
      <c r="AS586" s="1530"/>
      <c r="AT586" s="1530"/>
      <c r="AU586" s="1530"/>
      <c r="AV586" s="1530"/>
      <c r="AW586" s="1530"/>
      <c r="AX586" s="1530"/>
      <c r="AY586" s="1530"/>
      <c r="AZ586" s="1530"/>
      <c r="BA586" s="1530"/>
      <c r="BB586" s="1530"/>
      <c r="BC586" s="1530"/>
      <c r="BD586" s="1530"/>
      <c r="BE586" s="1530"/>
      <c r="BF586" s="1530"/>
      <c r="BG586" s="1530"/>
      <c r="BH586" s="1530"/>
      <c r="BI586" s="1530"/>
      <c r="BJ586" s="1530"/>
      <c r="BK586" s="1530"/>
      <c r="BL586" s="1530"/>
      <c r="BM586" s="1530"/>
      <c r="BN586" s="1530"/>
      <c r="BW586" s="1569"/>
      <c r="CO586" s="1530"/>
      <c r="CP586" s="1530"/>
      <c r="CQ586" s="1530"/>
      <c r="CR586" s="1530"/>
      <c r="CS586" s="1530"/>
      <c r="CT586" s="1530"/>
      <c r="CU586" s="1530"/>
      <c r="CV586" s="1530"/>
      <c r="CW586" s="1530"/>
      <c r="CX586" s="1530"/>
      <c r="CY586" s="1530"/>
      <c r="CZ586" s="1530"/>
      <c r="DA586" s="1530"/>
      <c r="DB586" s="1530"/>
      <c r="DC586" s="1530"/>
      <c r="DD586" s="1530"/>
      <c r="DE586" s="1530"/>
      <c r="DF586" s="1530"/>
      <c r="DG586" s="1530"/>
      <c r="DH586" s="1530"/>
      <c r="DI586" s="1530"/>
      <c r="DJ586" s="1530"/>
      <c r="DK586" s="1530"/>
      <c r="DL586" s="1530"/>
      <c r="DM586" s="1530"/>
      <c r="DN586" s="1571"/>
      <c r="DO586" s="1530"/>
      <c r="DP586" s="1530"/>
    </row>
    <row r="587" spans="1:120">
      <c r="A587" s="1451"/>
      <c r="C587" s="1451"/>
      <c r="K587" s="1451"/>
      <c r="L587" s="1451"/>
      <c r="U587" s="1530"/>
      <c r="V587" s="1530"/>
      <c r="W587" s="1530"/>
      <c r="X587" s="1530"/>
      <c r="Y587" s="1530"/>
      <c r="Z587" s="1530"/>
      <c r="AA587" s="1530"/>
      <c r="AB587" s="1530"/>
      <c r="AC587" s="1530"/>
      <c r="AD587" s="1530"/>
      <c r="AE587" s="1530"/>
      <c r="AF587" s="1530"/>
      <c r="AG587" s="1530"/>
      <c r="AH587" s="1530"/>
      <c r="AI587" s="1530"/>
      <c r="AJ587" s="1530"/>
      <c r="AK587" s="1530"/>
      <c r="AL587" s="1530"/>
      <c r="AM587" s="1530"/>
      <c r="AN587" s="1530"/>
      <c r="AO587" s="1530"/>
      <c r="AP587" s="1530"/>
      <c r="AQ587" s="1530"/>
      <c r="AR587" s="1530"/>
      <c r="AS587" s="1530"/>
      <c r="AT587" s="1530"/>
      <c r="AU587" s="1530"/>
      <c r="AV587" s="1530"/>
      <c r="AW587" s="1530"/>
      <c r="AX587" s="1530"/>
      <c r="AY587" s="1530"/>
      <c r="AZ587" s="1530"/>
      <c r="BA587" s="1530"/>
      <c r="BB587" s="1530"/>
      <c r="BC587" s="1530"/>
      <c r="BD587" s="1530"/>
      <c r="BE587" s="1530"/>
      <c r="BF587" s="1530"/>
      <c r="BG587" s="1530"/>
      <c r="BH587" s="1530"/>
      <c r="BI587" s="1530"/>
      <c r="BJ587" s="1530"/>
      <c r="BK587" s="1530"/>
      <c r="BL587" s="1530"/>
      <c r="BM587" s="1530"/>
      <c r="BN587" s="1530"/>
      <c r="BW587" s="1569"/>
      <c r="CO587" s="1530"/>
      <c r="CP587" s="1530"/>
      <c r="CQ587" s="1530"/>
      <c r="CR587" s="1530"/>
      <c r="CS587" s="1530"/>
      <c r="CT587" s="1530"/>
      <c r="CU587" s="1530"/>
      <c r="CV587" s="1530"/>
      <c r="CW587" s="1530"/>
      <c r="CX587" s="1530"/>
      <c r="CY587" s="1530"/>
      <c r="CZ587" s="1530"/>
      <c r="DA587" s="1530"/>
      <c r="DB587" s="1530"/>
      <c r="DC587" s="1530"/>
      <c r="DD587" s="1530"/>
      <c r="DE587" s="1530"/>
      <c r="DF587" s="1530"/>
      <c r="DG587" s="1530"/>
      <c r="DH587" s="1530"/>
      <c r="DI587" s="1530"/>
      <c r="DJ587" s="1530"/>
      <c r="DK587" s="1530"/>
      <c r="DL587" s="1530"/>
      <c r="DM587" s="1530"/>
      <c r="DN587" s="1571"/>
      <c r="DO587" s="1530"/>
      <c r="DP587" s="1530"/>
    </row>
    <row r="588" spans="1:120">
      <c r="A588" s="1451"/>
      <c r="C588" s="1451"/>
      <c r="K588" s="1451"/>
      <c r="L588" s="1451"/>
      <c r="U588" s="1530"/>
      <c r="V588" s="1530"/>
      <c r="W588" s="1530"/>
      <c r="X588" s="1530"/>
      <c r="Y588" s="1530"/>
      <c r="Z588" s="1530"/>
      <c r="AA588" s="1530"/>
      <c r="AB588" s="1530"/>
      <c r="AC588" s="1530"/>
      <c r="AD588" s="1530"/>
      <c r="AE588" s="1530"/>
      <c r="AF588" s="1530"/>
      <c r="AG588" s="1530"/>
      <c r="AH588" s="1530"/>
      <c r="AI588" s="1530"/>
      <c r="AJ588" s="1530"/>
      <c r="AK588" s="1530"/>
      <c r="AL588" s="1530"/>
      <c r="AM588" s="1530"/>
      <c r="AN588" s="1530"/>
      <c r="AO588" s="1530"/>
      <c r="AP588" s="1530"/>
      <c r="AQ588" s="1530"/>
      <c r="AR588" s="1530"/>
      <c r="AS588" s="1530"/>
      <c r="AT588" s="1530"/>
      <c r="AU588" s="1530"/>
      <c r="AV588" s="1530"/>
      <c r="AW588" s="1530"/>
      <c r="AX588" s="1530"/>
      <c r="AY588" s="1530"/>
      <c r="AZ588" s="1530"/>
      <c r="BA588" s="1530"/>
      <c r="BB588" s="1530"/>
      <c r="BC588" s="1530"/>
      <c r="BD588" s="1530"/>
      <c r="BE588" s="1530"/>
      <c r="BF588" s="1530"/>
      <c r="BG588" s="1530"/>
      <c r="BH588" s="1530"/>
      <c r="BI588" s="1530"/>
      <c r="BJ588" s="1530"/>
      <c r="BK588" s="1530"/>
      <c r="BL588" s="1530"/>
      <c r="BM588" s="1530"/>
      <c r="BN588" s="1530"/>
      <c r="BW588" s="1569"/>
      <c r="CO588" s="1530"/>
      <c r="CP588" s="1530"/>
      <c r="CQ588" s="1530"/>
      <c r="CR588" s="1530"/>
      <c r="CS588" s="1530"/>
      <c r="CT588" s="1530"/>
      <c r="CU588" s="1530"/>
      <c r="CV588" s="1530"/>
      <c r="CW588" s="1530"/>
      <c r="CX588" s="1530"/>
      <c r="CY588" s="1530"/>
      <c r="CZ588" s="1530"/>
      <c r="DA588" s="1530"/>
      <c r="DB588" s="1530"/>
      <c r="DC588" s="1530"/>
      <c r="DD588" s="1530"/>
      <c r="DE588" s="1530"/>
      <c r="DF588" s="1530"/>
      <c r="DG588" s="1530"/>
      <c r="DH588" s="1530"/>
      <c r="DI588" s="1530"/>
      <c r="DJ588" s="1530"/>
      <c r="DK588" s="1530"/>
      <c r="DL588" s="1530"/>
      <c r="DM588" s="1530"/>
      <c r="DN588" s="1571"/>
      <c r="DO588" s="1530"/>
      <c r="DP588" s="1530"/>
    </row>
    <row r="589" spans="1:120">
      <c r="A589" s="1451"/>
      <c r="C589" s="1451"/>
      <c r="K589" s="1451"/>
      <c r="L589" s="1451"/>
      <c r="U589" s="1530"/>
      <c r="V589" s="1530"/>
      <c r="W589" s="1530"/>
      <c r="X589" s="1530"/>
      <c r="Y589" s="1530"/>
      <c r="Z589" s="1530"/>
      <c r="AA589" s="1530"/>
      <c r="AB589" s="1530"/>
      <c r="AC589" s="1530"/>
      <c r="AD589" s="1530"/>
      <c r="AE589" s="1530"/>
      <c r="AF589" s="1530"/>
      <c r="AG589" s="1530"/>
      <c r="AH589" s="1530"/>
      <c r="AI589" s="1530"/>
      <c r="AJ589" s="1530"/>
      <c r="AK589" s="1530"/>
      <c r="AL589" s="1530"/>
      <c r="AM589" s="1530"/>
      <c r="AN589" s="1530"/>
      <c r="AO589" s="1530"/>
      <c r="AP589" s="1530"/>
      <c r="AQ589" s="1530"/>
      <c r="AR589" s="1530"/>
      <c r="AS589" s="1530"/>
      <c r="AT589" s="1530"/>
      <c r="AU589" s="1530"/>
      <c r="AV589" s="1530"/>
      <c r="AW589" s="1530"/>
      <c r="AX589" s="1530"/>
      <c r="AY589" s="1530"/>
      <c r="AZ589" s="1530"/>
      <c r="BA589" s="1530"/>
      <c r="BB589" s="1530"/>
      <c r="BC589" s="1530"/>
      <c r="BD589" s="1530"/>
      <c r="BE589" s="1530"/>
      <c r="BF589" s="1530"/>
      <c r="BG589" s="1530"/>
      <c r="BH589" s="1530"/>
      <c r="BI589" s="1530"/>
      <c r="BJ589" s="1530"/>
      <c r="BK589" s="1530"/>
      <c r="BL589" s="1530"/>
      <c r="BM589" s="1530"/>
      <c r="BN589" s="1530"/>
      <c r="BW589" s="1569"/>
      <c r="CO589" s="1530"/>
      <c r="CP589" s="1530"/>
      <c r="CQ589" s="1530"/>
      <c r="CR589" s="1530"/>
      <c r="CS589" s="1530"/>
      <c r="CT589" s="1530"/>
      <c r="CU589" s="1530"/>
      <c r="CV589" s="1530"/>
      <c r="CW589" s="1530"/>
      <c r="CX589" s="1530"/>
      <c r="CY589" s="1530"/>
      <c r="CZ589" s="1530"/>
      <c r="DA589" s="1530"/>
      <c r="DB589" s="1530"/>
      <c r="DC589" s="1530"/>
      <c r="DD589" s="1530"/>
      <c r="DE589" s="1530"/>
      <c r="DF589" s="1530"/>
      <c r="DG589" s="1530"/>
      <c r="DH589" s="1530"/>
      <c r="DI589" s="1530"/>
      <c r="DJ589" s="1530"/>
      <c r="DK589" s="1530"/>
      <c r="DL589" s="1530"/>
      <c r="DM589" s="1530"/>
      <c r="DN589" s="1571"/>
      <c r="DO589" s="1530"/>
      <c r="DP589" s="1530"/>
    </row>
    <row r="590" spans="1:120">
      <c r="A590" s="1451"/>
      <c r="C590" s="1451"/>
      <c r="K590" s="1451"/>
      <c r="L590" s="1451"/>
      <c r="U590" s="1530"/>
      <c r="V590" s="1530"/>
      <c r="W590" s="1530"/>
      <c r="X590" s="1530"/>
      <c r="Y590" s="1530"/>
      <c r="Z590" s="1530"/>
      <c r="AA590" s="1530"/>
      <c r="AB590" s="1530"/>
      <c r="AC590" s="1530"/>
      <c r="AD590" s="1530"/>
      <c r="AE590" s="1530"/>
      <c r="AF590" s="1530"/>
      <c r="AG590" s="1530"/>
      <c r="AH590" s="1530"/>
      <c r="AI590" s="1530"/>
      <c r="AJ590" s="1530"/>
      <c r="AK590" s="1530"/>
      <c r="AL590" s="1530"/>
      <c r="AM590" s="1530"/>
      <c r="AN590" s="1530"/>
      <c r="AO590" s="1530"/>
      <c r="AP590" s="1530"/>
      <c r="AQ590" s="1530"/>
      <c r="AR590" s="1530"/>
      <c r="AS590" s="1530"/>
      <c r="AT590" s="1530"/>
      <c r="AU590" s="1530"/>
      <c r="AV590" s="1530"/>
      <c r="AW590" s="1530"/>
      <c r="AX590" s="1530"/>
      <c r="AY590" s="1530"/>
      <c r="AZ590" s="1530"/>
      <c r="BA590" s="1530"/>
      <c r="BB590" s="1530"/>
      <c r="BC590" s="1530"/>
      <c r="BD590" s="1530"/>
      <c r="BE590" s="1530"/>
      <c r="BF590" s="1530"/>
      <c r="BG590" s="1530"/>
      <c r="BH590" s="1530"/>
      <c r="BI590" s="1530"/>
      <c r="BJ590" s="1530"/>
      <c r="BK590" s="1530"/>
      <c r="BL590" s="1530"/>
      <c r="BM590" s="1530"/>
      <c r="BN590" s="1530"/>
      <c r="BW590" s="1569"/>
      <c r="CO590" s="1530"/>
      <c r="CP590" s="1530"/>
      <c r="CQ590" s="1530"/>
      <c r="CR590" s="1530"/>
      <c r="CS590" s="1530"/>
      <c r="CT590" s="1530"/>
      <c r="CU590" s="1530"/>
      <c r="CV590" s="1530"/>
      <c r="CW590" s="1530"/>
      <c r="CX590" s="1530"/>
      <c r="CY590" s="1530"/>
      <c r="CZ590" s="1530"/>
      <c r="DA590" s="1530"/>
      <c r="DB590" s="1530"/>
      <c r="DC590" s="1530"/>
      <c r="DD590" s="1530"/>
      <c r="DE590" s="1530"/>
      <c r="DF590" s="1530"/>
      <c r="DG590" s="1530"/>
      <c r="DH590" s="1530"/>
      <c r="DI590" s="1530"/>
      <c r="DJ590" s="1530"/>
      <c r="DK590" s="1530"/>
      <c r="DL590" s="1530"/>
      <c r="DM590" s="1530"/>
      <c r="DN590" s="1571"/>
      <c r="DO590" s="1530"/>
      <c r="DP590" s="1530"/>
    </row>
    <row r="591" spans="1:120">
      <c r="A591" s="1451"/>
      <c r="C591" s="1451"/>
      <c r="K591" s="1451"/>
      <c r="L591" s="1451"/>
      <c r="U591" s="1530"/>
      <c r="V591" s="1530"/>
      <c r="W591" s="1530"/>
      <c r="X591" s="1530"/>
      <c r="Y591" s="1530"/>
      <c r="Z591" s="1530"/>
      <c r="AA591" s="1530"/>
      <c r="AB591" s="1530"/>
      <c r="AC591" s="1530"/>
      <c r="AD591" s="1530"/>
      <c r="AE591" s="1530"/>
      <c r="AF591" s="1530"/>
      <c r="AG591" s="1530"/>
      <c r="AH591" s="1530"/>
      <c r="AI591" s="1530"/>
      <c r="AJ591" s="1530"/>
      <c r="AK591" s="1530"/>
      <c r="AL591" s="1530"/>
      <c r="AM591" s="1530"/>
      <c r="AN591" s="1530"/>
      <c r="AO591" s="1530"/>
      <c r="AP591" s="1530"/>
      <c r="AQ591" s="1530"/>
      <c r="AR591" s="1530"/>
      <c r="AS591" s="1530"/>
      <c r="AT591" s="1530"/>
      <c r="AU591" s="1530"/>
      <c r="AV591" s="1530"/>
      <c r="AW591" s="1530"/>
      <c r="AX591" s="1530"/>
      <c r="AY591" s="1530"/>
      <c r="AZ591" s="1530"/>
      <c r="BA591" s="1530"/>
      <c r="BB591" s="1530"/>
      <c r="BC591" s="1530"/>
      <c r="BD591" s="1530"/>
      <c r="BE591" s="1530"/>
      <c r="BF591" s="1530"/>
      <c r="BG591" s="1530"/>
      <c r="BH591" s="1530"/>
      <c r="BI591" s="1530"/>
      <c r="BJ591" s="1530"/>
      <c r="BK591" s="1530"/>
      <c r="BL591" s="1530"/>
      <c r="BM591" s="1530"/>
      <c r="BN591" s="1530"/>
      <c r="BW591" s="1569"/>
      <c r="CO591" s="1530"/>
      <c r="CP591" s="1530"/>
      <c r="CQ591" s="1530"/>
      <c r="CR591" s="1530"/>
      <c r="CS591" s="1530"/>
      <c r="CT591" s="1530"/>
      <c r="CU591" s="1530"/>
      <c r="CV591" s="1530"/>
      <c r="CW591" s="1530"/>
      <c r="CX591" s="1530"/>
      <c r="CY591" s="1530"/>
      <c r="CZ591" s="1530"/>
      <c r="DA591" s="1530"/>
      <c r="DB591" s="1530"/>
      <c r="DC591" s="1530"/>
      <c r="DD591" s="1530"/>
      <c r="DE591" s="1530"/>
      <c r="DF591" s="1530"/>
      <c r="DG591" s="1530"/>
      <c r="DH591" s="1530"/>
      <c r="DI591" s="1530"/>
      <c r="DJ591" s="1530"/>
      <c r="DK591" s="1530"/>
      <c r="DL591" s="1530"/>
      <c r="DM591" s="1530"/>
      <c r="DN591" s="1571"/>
      <c r="DO591" s="1530"/>
      <c r="DP591" s="1530"/>
    </row>
    <row r="592" spans="1:120">
      <c r="A592" s="1451"/>
      <c r="C592" s="1451"/>
      <c r="K592" s="1451"/>
      <c r="L592" s="1451"/>
      <c r="U592" s="1530"/>
      <c r="V592" s="1530"/>
      <c r="W592" s="1530"/>
      <c r="X592" s="1530"/>
      <c r="Y592" s="1530"/>
      <c r="Z592" s="1530"/>
      <c r="AA592" s="1530"/>
      <c r="AB592" s="1530"/>
      <c r="AC592" s="1530"/>
      <c r="AD592" s="1530"/>
      <c r="AE592" s="1530"/>
      <c r="AF592" s="1530"/>
      <c r="AG592" s="1530"/>
      <c r="AH592" s="1530"/>
      <c r="AI592" s="1530"/>
      <c r="AJ592" s="1530"/>
      <c r="AK592" s="1530"/>
      <c r="AL592" s="1530"/>
      <c r="AM592" s="1530"/>
      <c r="AN592" s="1530"/>
      <c r="AO592" s="1530"/>
      <c r="AP592" s="1530"/>
      <c r="AQ592" s="1530"/>
      <c r="AR592" s="1530"/>
      <c r="AS592" s="1530"/>
      <c r="AT592" s="1530"/>
      <c r="AU592" s="1530"/>
      <c r="AV592" s="1530"/>
      <c r="AW592" s="1530"/>
      <c r="AX592" s="1530"/>
      <c r="AY592" s="1530"/>
      <c r="AZ592" s="1530"/>
      <c r="BA592" s="1530"/>
      <c r="BB592" s="1530"/>
      <c r="BC592" s="1530"/>
      <c r="BD592" s="1530"/>
      <c r="BE592" s="1530"/>
      <c r="BF592" s="1530"/>
      <c r="BG592" s="1530"/>
      <c r="BH592" s="1530"/>
      <c r="BI592" s="1530"/>
      <c r="BJ592" s="1530"/>
      <c r="BK592" s="1530"/>
      <c r="BL592" s="1530"/>
      <c r="BM592" s="1530"/>
      <c r="BN592" s="1530"/>
      <c r="BW592" s="1569"/>
      <c r="CO592" s="1530"/>
      <c r="CP592" s="1530"/>
      <c r="CQ592" s="1530"/>
      <c r="CR592" s="1530"/>
      <c r="CS592" s="1530"/>
      <c r="CT592" s="1530"/>
      <c r="CU592" s="1530"/>
      <c r="CV592" s="1530"/>
      <c r="CW592" s="1530"/>
      <c r="CX592" s="1530"/>
      <c r="CY592" s="1530"/>
      <c r="CZ592" s="1530"/>
      <c r="DA592" s="1530"/>
      <c r="DB592" s="1530"/>
      <c r="DC592" s="1530"/>
      <c r="DD592" s="1530"/>
      <c r="DE592" s="1530"/>
      <c r="DF592" s="1530"/>
      <c r="DG592" s="1530"/>
      <c r="DH592" s="1530"/>
      <c r="DI592" s="1530"/>
      <c r="DJ592" s="1530"/>
      <c r="DK592" s="1530"/>
      <c r="DL592" s="1530"/>
      <c r="DM592" s="1530"/>
      <c r="DN592" s="1571"/>
      <c r="DO592" s="1530"/>
      <c r="DP592" s="1530"/>
    </row>
    <row r="593" spans="1:120">
      <c r="A593" s="1451"/>
      <c r="C593" s="1451"/>
      <c r="K593" s="1451"/>
      <c r="L593" s="1451"/>
      <c r="U593" s="1530"/>
      <c r="V593" s="1530"/>
      <c r="W593" s="1530"/>
      <c r="X593" s="1530"/>
      <c r="Y593" s="1530"/>
      <c r="Z593" s="1530"/>
      <c r="AA593" s="1530"/>
      <c r="AB593" s="1530"/>
      <c r="AC593" s="1530"/>
      <c r="AD593" s="1530"/>
      <c r="AE593" s="1530"/>
      <c r="AF593" s="1530"/>
      <c r="AG593" s="1530"/>
      <c r="AH593" s="1530"/>
      <c r="AI593" s="1530"/>
      <c r="AJ593" s="1530"/>
      <c r="AK593" s="1530"/>
      <c r="AL593" s="1530"/>
      <c r="AM593" s="1530"/>
      <c r="AN593" s="1530"/>
      <c r="AO593" s="1530"/>
      <c r="AP593" s="1530"/>
      <c r="AQ593" s="1530"/>
      <c r="AR593" s="1530"/>
      <c r="AS593" s="1530"/>
      <c r="AT593" s="1530"/>
      <c r="AU593" s="1530"/>
      <c r="AV593" s="1530"/>
      <c r="AW593" s="1530"/>
      <c r="AX593" s="1530"/>
      <c r="AY593" s="1530"/>
      <c r="AZ593" s="1530"/>
      <c r="BA593" s="1530"/>
      <c r="BB593" s="1530"/>
      <c r="BC593" s="1530"/>
      <c r="BD593" s="1530"/>
      <c r="BE593" s="1530"/>
      <c r="BF593" s="1530"/>
      <c r="BG593" s="1530"/>
      <c r="BH593" s="1530"/>
      <c r="BI593" s="1530"/>
      <c r="BJ593" s="1530"/>
      <c r="BK593" s="1530"/>
      <c r="BL593" s="1530"/>
      <c r="BM593" s="1530"/>
      <c r="BN593" s="1530"/>
      <c r="BW593" s="1569"/>
      <c r="CO593" s="1530"/>
      <c r="CP593" s="1530"/>
      <c r="CQ593" s="1530"/>
      <c r="CR593" s="1530"/>
      <c r="CS593" s="1530"/>
      <c r="CT593" s="1530"/>
      <c r="CU593" s="1530"/>
      <c r="CV593" s="1530"/>
      <c r="CW593" s="1530"/>
      <c r="CX593" s="1530"/>
      <c r="CY593" s="1530"/>
      <c r="CZ593" s="1530"/>
      <c r="DA593" s="1530"/>
      <c r="DB593" s="1530"/>
      <c r="DC593" s="1530"/>
      <c r="DD593" s="1530"/>
      <c r="DE593" s="1530"/>
      <c r="DF593" s="1530"/>
      <c r="DG593" s="1530"/>
      <c r="DH593" s="1530"/>
      <c r="DI593" s="1530"/>
      <c r="DJ593" s="1530"/>
      <c r="DK593" s="1530"/>
      <c r="DL593" s="1530"/>
      <c r="DM593" s="1530"/>
      <c r="DN593" s="1571"/>
      <c r="DO593" s="1530"/>
      <c r="DP593" s="1530"/>
    </row>
    <row r="594" spans="1:120">
      <c r="A594" s="1451"/>
      <c r="C594" s="1451"/>
      <c r="K594" s="1451"/>
      <c r="L594" s="1451"/>
      <c r="U594" s="1530"/>
      <c r="V594" s="1530"/>
      <c r="W594" s="1530"/>
      <c r="X594" s="1530"/>
      <c r="Y594" s="1530"/>
      <c r="Z594" s="1530"/>
      <c r="AA594" s="1530"/>
      <c r="AB594" s="1530"/>
      <c r="AC594" s="1530"/>
      <c r="AD594" s="1530"/>
      <c r="AE594" s="1530"/>
      <c r="AF594" s="1530"/>
      <c r="AG594" s="1530"/>
      <c r="AH594" s="1530"/>
      <c r="AI594" s="1530"/>
      <c r="AJ594" s="1530"/>
      <c r="AK594" s="1530"/>
      <c r="AL594" s="1530"/>
      <c r="AM594" s="1530"/>
      <c r="AN594" s="1530"/>
      <c r="AO594" s="1530"/>
      <c r="AP594" s="1530"/>
      <c r="AQ594" s="1530"/>
      <c r="AR594" s="1530"/>
      <c r="AS594" s="1530"/>
      <c r="AT594" s="1530"/>
      <c r="AU594" s="1530"/>
      <c r="AV594" s="1530"/>
      <c r="AW594" s="1530"/>
      <c r="AX594" s="1530"/>
      <c r="AY594" s="1530"/>
      <c r="AZ594" s="1530"/>
      <c r="BA594" s="1530"/>
      <c r="BB594" s="1530"/>
      <c r="BC594" s="1530"/>
      <c r="BD594" s="1530"/>
      <c r="BE594" s="1530"/>
      <c r="BF594" s="1530"/>
      <c r="BG594" s="1530"/>
      <c r="BH594" s="1530"/>
      <c r="BI594" s="1530"/>
      <c r="BJ594" s="1530"/>
      <c r="BK594" s="1530"/>
      <c r="BL594" s="1530"/>
      <c r="BM594" s="1530"/>
      <c r="BN594" s="1530"/>
      <c r="BW594" s="1569"/>
      <c r="CO594" s="1530"/>
      <c r="CP594" s="1530"/>
      <c r="CQ594" s="1530"/>
      <c r="CR594" s="1530"/>
      <c r="CS594" s="1530"/>
      <c r="CT594" s="1530"/>
      <c r="CU594" s="1530"/>
      <c r="CV594" s="1530"/>
      <c r="CW594" s="1530"/>
      <c r="CX594" s="1530"/>
      <c r="CY594" s="1530"/>
      <c r="CZ594" s="1530"/>
      <c r="DA594" s="1530"/>
      <c r="DB594" s="1530"/>
      <c r="DC594" s="1530"/>
      <c r="DD594" s="1530"/>
      <c r="DE594" s="1530"/>
      <c r="DF594" s="1530"/>
      <c r="DG594" s="1530"/>
      <c r="DH594" s="1530"/>
      <c r="DI594" s="1530"/>
      <c r="DJ594" s="1530"/>
      <c r="DK594" s="1530"/>
      <c r="DL594" s="1530"/>
      <c r="DM594" s="1530"/>
      <c r="DN594" s="1571"/>
      <c r="DO594" s="1530"/>
      <c r="DP594" s="1530"/>
    </row>
    <row r="595" spans="1:120">
      <c r="A595" s="1451"/>
      <c r="C595" s="1451"/>
      <c r="K595" s="1451"/>
      <c r="L595" s="1451"/>
      <c r="U595" s="1530"/>
      <c r="V595" s="1530"/>
      <c r="W595" s="1530"/>
      <c r="X595" s="1530"/>
      <c r="Y595" s="1530"/>
      <c r="Z595" s="1530"/>
      <c r="AA595" s="1530"/>
      <c r="AB595" s="1530"/>
      <c r="AC595" s="1530"/>
      <c r="AD595" s="1530"/>
      <c r="AE595" s="1530"/>
      <c r="AF595" s="1530"/>
      <c r="AG595" s="1530"/>
      <c r="AH595" s="1530"/>
      <c r="AI595" s="1530"/>
      <c r="AJ595" s="1530"/>
      <c r="AK595" s="1530"/>
      <c r="AL595" s="1530"/>
      <c r="AM595" s="1530"/>
      <c r="AN595" s="1530"/>
      <c r="AO595" s="1530"/>
      <c r="AP595" s="1530"/>
      <c r="AQ595" s="1530"/>
      <c r="AR595" s="1530"/>
      <c r="AS595" s="1530"/>
      <c r="AT595" s="1530"/>
      <c r="AU595" s="1530"/>
      <c r="AV595" s="1530"/>
      <c r="AW595" s="1530"/>
      <c r="AX595" s="1530"/>
      <c r="AY595" s="1530"/>
      <c r="AZ595" s="1530"/>
      <c r="BA595" s="1530"/>
      <c r="BB595" s="1530"/>
      <c r="BC595" s="1530"/>
      <c r="BD595" s="1530"/>
      <c r="BE595" s="1530"/>
      <c r="BF595" s="1530"/>
      <c r="BG595" s="1530"/>
      <c r="BH595" s="1530"/>
      <c r="BI595" s="1530"/>
      <c r="BJ595" s="1530"/>
      <c r="BK595" s="1530"/>
      <c r="BL595" s="1530"/>
      <c r="BM595" s="1530"/>
      <c r="BN595" s="1530"/>
      <c r="BW595" s="1569"/>
      <c r="CO595" s="1530"/>
      <c r="CP595" s="1530"/>
      <c r="CQ595" s="1530"/>
      <c r="CR595" s="1530"/>
      <c r="CS595" s="1530"/>
      <c r="CT595" s="1530"/>
      <c r="CU595" s="1530"/>
      <c r="CV595" s="1530"/>
      <c r="CW595" s="1530"/>
      <c r="CX595" s="1530"/>
      <c r="CY595" s="1530"/>
      <c r="CZ595" s="1530"/>
      <c r="DA595" s="1530"/>
      <c r="DB595" s="1530"/>
      <c r="DC595" s="1530"/>
      <c r="DD595" s="1530"/>
      <c r="DE595" s="1530"/>
      <c r="DF595" s="1530"/>
      <c r="DG595" s="1530"/>
      <c r="DH595" s="1530"/>
      <c r="DI595" s="1530"/>
      <c r="DJ595" s="1530"/>
      <c r="DK595" s="1530"/>
      <c r="DL595" s="1530"/>
      <c r="DM595" s="1530"/>
      <c r="DN595" s="1571"/>
      <c r="DO595" s="1530"/>
      <c r="DP595" s="1530"/>
    </row>
    <row r="596" spans="1:120">
      <c r="A596" s="1451"/>
      <c r="C596" s="1451"/>
      <c r="K596" s="1451"/>
      <c r="L596" s="1451"/>
      <c r="U596" s="1530"/>
      <c r="V596" s="1530"/>
      <c r="W596" s="1530"/>
      <c r="X596" s="1530"/>
      <c r="Y596" s="1530"/>
      <c r="Z596" s="1530"/>
      <c r="AA596" s="1530"/>
      <c r="AB596" s="1530"/>
      <c r="AC596" s="1530"/>
      <c r="AD596" s="1530"/>
      <c r="AE596" s="1530"/>
      <c r="AF596" s="1530"/>
      <c r="AG596" s="1530"/>
      <c r="AH596" s="1530"/>
      <c r="AI596" s="1530"/>
      <c r="AJ596" s="1530"/>
      <c r="AK596" s="1530"/>
      <c r="AL596" s="1530"/>
      <c r="AM596" s="1530"/>
      <c r="AN596" s="1530"/>
      <c r="AO596" s="1530"/>
      <c r="AP596" s="1530"/>
      <c r="AQ596" s="1530"/>
      <c r="AR596" s="1530"/>
      <c r="AS596" s="1530"/>
      <c r="AT596" s="1530"/>
      <c r="AU596" s="1530"/>
      <c r="AV596" s="1530"/>
      <c r="AW596" s="1530"/>
      <c r="AX596" s="1530"/>
      <c r="AY596" s="1530"/>
      <c r="AZ596" s="1530"/>
      <c r="BA596" s="1530"/>
      <c r="BB596" s="1530"/>
      <c r="BC596" s="1530"/>
      <c r="BD596" s="1530"/>
      <c r="BE596" s="1530"/>
      <c r="BF596" s="1530"/>
      <c r="BG596" s="1530"/>
      <c r="BH596" s="1530"/>
      <c r="BI596" s="1530"/>
      <c r="BJ596" s="1530"/>
      <c r="BK596" s="1530"/>
      <c r="BL596" s="1530"/>
      <c r="BM596" s="1530"/>
      <c r="BN596" s="1530"/>
      <c r="BW596" s="1569"/>
      <c r="CO596" s="1530"/>
      <c r="CP596" s="1530"/>
      <c r="CQ596" s="1530"/>
      <c r="CR596" s="1530"/>
      <c r="CS596" s="1530"/>
      <c r="CT596" s="1530"/>
      <c r="CU596" s="1530"/>
      <c r="CV596" s="1530"/>
      <c r="CW596" s="1530"/>
      <c r="CX596" s="1530"/>
      <c r="CY596" s="1530"/>
      <c r="CZ596" s="1530"/>
      <c r="DA596" s="1530"/>
      <c r="DB596" s="1530"/>
      <c r="DC596" s="1530"/>
      <c r="DD596" s="1530"/>
      <c r="DE596" s="1530"/>
      <c r="DF596" s="1530"/>
      <c r="DG596" s="1530"/>
      <c r="DH596" s="1530"/>
      <c r="DI596" s="1530"/>
      <c r="DJ596" s="1530"/>
      <c r="DK596" s="1530"/>
      <c r="DL596" s="1530"/>
      <c r="DM596" s="1530"/>
      <c r="DN596" s="1571"/>
      <c r="DO596" s="1530"/>
      <c r="DP596" s="1530"/>
    </row>
    <row r="597" spans="1:120">
      <c r="A597" s="1451"/>
      <c r="C597" s="1451"/>
      <c r="K597" s="1451"/>
      <c r="L597" s="1451"/>
      <c r="U597" s="1530"/>
      <c r="V597" s="1530"/>
      <c r="W597" s="1530"/>
      <c r="X597" s="1530"/>
      <c r="Y597" s="1530"/>
      <c r="Z597" s="1530"/>
      <c r="AA597" s="1530"/>
      <c r="AB597" s="1530"/>
      <c r="AC597" s="1530"/>
      <c r="AD597" s="1530"/>
      <c r="AE597" s="1530"/>
      <c r="AF597" s="1530"/>
      <c r="AG597" s="1530"/>
      <c r="AH597" s="1530"/>
      <c r="AI597" s="1530"/>
      <c r="AJ597" s="1530"/>
      <c r="AK597" s="1530"/>
      <c r="AL597" s="1530"/>
      <c r="AM597" s="1530"/>
      <c r="AN597" s="1530"/>
      <c r="AO597" s="1530"/>
      <c r="AP597" s="1530"/>
      <c r="AQ597" s="1530"/>
      <c r="AR597" s="1530"/>
      <c r="AS597" s="1530"/>
      <c r="AT597" s="1530"/>
      <c r="AU597" s="1530"/>
      <c r="AV597" s="1530"/>
      <c r="AW597" s="1530"/>
      <c r="AX597" s="1530"/>
      <c r="AY597" s="1530"/>
      <c r="AZ597" s="1530"/>
      <c r="BA597" s="1530"/>
      <c r="BB597" s="1530"/>
      <c r="BC597" s="1530"/>
      <c r="BD597" s="1530"/>
      <c r="BE597" s="1530"/>
      <c r="BF597" s="1530"/>
      <c r="BG597" s="1530"/>
      <c r="BH597" s="1530"/>
      <c r="BI597" s="1530"/>
      <c r="BJ597" s="1530"/>
      <c r="BK597" s="1530"/>
      <c r="BL597" s="1530"/>
      <c r="BM597" s="1530"/>
      <c r="BN597" s="1530"/>
      <c r="BW597" s="1569"/>
      <c r="CO597" s="1530"/>
      <c r="CP597" s="1530"/>
      <c r="CQ597" s="1530"/>
      <c r="CR597" s="1530"/>
      <c r="CS597" s="1530"/>
      <c r="CT597" s="1530"/>
      <c r="CU597" s="1530"/>
      <c r="CV597" s="1530"/>
      <c r="CW597" s="1530"/>
      <c r="CX597" s="1530"/>
      <c r="CY597" s="1530"/>
      <c r="CZ597" s="1530"/>
      <c r="DA597" s="1530"/>
      <c r="DB597" s="1530"/>
      <c r="DC597" s="1530"/>
      <c r="DD597" s="1530"/>
      <c r="DE597" s="1530"/>
      <c r="DF597" s="1530"/>
      <c r="DG597" s="1530"/>
      <c r="DH597" s="1530"/>
      <c r="DI597" s="1530"/>
      <c r="DJ597" s="1530"/>
      <c r="DK597" s="1530"/>
      <c r="DL597" s="1530"/>
      <c r="DM597" s="1530"/>
      <c r="DN597" s="1571"/>
      <c r="DO597" s="1530"/>
      <c r="DP597" s="1530"/>
    </row>
    <row r="598" spans="1:120">
      <c r="A598" s="1451"/>
      <c r="C598" s="1451"/>
      <c r="K598" s="1451"/>
      <c r="L598" s="1451"/>
      <c r="U598" s="1530"/>
      <c r="V598" s="1530"/>
      <c r="W598" s="1530"/>
      <c r="X598" s="1530"/>
      <c r="Y598" s="1530"/>
      <c r="Z598" s="1530"/>
      <c r="AA598" s="1530"/>
      <c r="AB598" s="1530"/>
      <c r="AC598" s="1530"/>
      <c r="AD598" s="1530"/>
      <c r="AE598" s="1530"/>
      <c r="AF598" s="1530"/>
      <c r="AG598" s="1530"/>
      <c r="AH598" s="1530"/>
      <c r="AI598" s="1530"/>
      <c r="AJ598" s="1530"/>
      <c r="AK598" s="1530"/>
      <c r="AL598" s="1530"/>
      <c r="AM598" s="1530"/>
      <c r="AN598" s="1530"/>
      <c r="AO598" s="1530"/>
      <c r="AP598" s="1530"/>
      <c r="AQ598" s="1530"/>
      <c r="AR598" s="1530"/>
      <c r="AS598" s="1530"/>
      <c r="AT598" s="1530"/>
      <c r="AU598" s="1530"/>
      <c r="AV598" s="1530"/>
      <c r="AW598" s="1530"/>
      <c r="AX598" s="1530"/>
      <c r="AY598" s="1530"/>
      <c r="AZ598" s="1530"/>
      <c r="BA598" s="1530"/>
      <c r="BB598" s="1530"/>
      <c r="BC598" s="1530"/>
      <c r="BD598" s="1530"/>
      <c r="BE598" s="1530"/>
      <c r="BF598" s="1530"/>
      <c r="BG598" s="1530"/>
      <c r="BH598" s="1530"/>
      <c r="BI598" s="1530"/>
      <c r="BJ598" s="1530"/>
      <c r="BK598" s="1530"/>
      <c r="BL598" s="1530"/>
      <c r="BM598" s="1530"/>
      <c r="BN598" s="1530"/>
      <c r="BW598" s="1569"/>
      <c r="CO598" s="1530"/>
      <c r="CP598" s="1530"/>
      <c r="CQ598" s="1530"/>
      <c r="CR598" s="1530"/>
      <c r="CS598" s="1530"/>
      <c r="CT598" s="1530"/>
      <c r="CU598" s="1530"/>
      <c r="CV598" s="1530"/>
      <c r="CW598" s="1530"/>
      <c r="CX598" s="1530"/>
      <c r="CY598" s="1530"/>
      <c r="CZ598" s="1530"/>
      <c r="DA598" s="1530"/>
      <c r="DB598" s="1530"/>
      <c r="DC598" s="1530"/>
      <c r="DD598" s="1530"/>
      <c r="DE598" s="1530"/>
      <c r="DF598" s="1530"/>
      <c r="DG598" s="1530"/>
      <c r="DH598" s="1530"/>
      <c r="DI598" s="1530"/>
      <c r="DJ598" s="1530"/>
      <c r="DK598" s="1530"/>
      <c r="DL598" s="1530"/>
      <c r="DM598" s="1530"/>
      <c r="DN598" s="1571"/>
      <c r="DO598" s="1530"/>
      <c r="DP598" s="1530"/>
    </row>
    <row r="599" spans="1:120">
      <c r="A599" s="1451"/>
      <c r="C599" s="1451"/>
      <c r="K599" s="1451"/>
      <c r="L599" s="1451"/>
      <c r="U599" s="1530"/>
      <c r="V599" s="1530"/>
      <c r="W599" s="1530"/>
      <c r="X599" s="1530"/>
      <c r="Y599" s="1530"/>
      <c r="Z599" s="1530"/>
      <c r="AA599" s="1530"/>
      <c r="AB599" s="1530"/>
      <c r="AC599" s="1530"/>
      <c r="AD599" s="1530"/>
      <c r="AE599" s="1530"/>
      <c r="AF599" s="1530"/>
      <c r="AG599" s="1530"/>
      <c r="AH599" s="1530"/>
      <c r="AI599" s="1530"/>
      <c r="AJ599" s="1530"/>
      <c r="AK599" s="1530"/>
      <c r="AL599" s="1530"/>
      <c r="AM599" s="1530"/>
      <c r="AN599" s="1530"/>
      <c r="AO599" s="1530"/>
      <c r="AP599" s="1530"/>
      <c r="AQ599" s="1530"/>
      <c r="AR599" s="1530"/>
      <c r="AS599" s="1530"/>
      <c r="AT599" s="1530"/>
      <c r="AU599" s="1530"/>
      <c r="AV599" s="1530"/>
      <c r="AW599" s="1530"/>
      <c r="AX599" s="1530"/>
      <c r="AY599" s="1530"/>
      <c r="AZ599" s="1530"/>
      <c r="BA599" s="1530"/>
      <c r="BB599" s="1530"/>
      <c r="BC599" s="1530"/>
      <c r="BD599" s="1530"/>
      <c r="BE599" s="1530"/>
      <c r="BF599" s="1530"/>
      <c r="BG599" s="1530"/>
      <c r="BH599" s="1530"/>
      <c r="BI599" s="1530"/>
      <c r="BJ599" s="1530"/>
      <c r="BK599" s="1530"/>
      <c r="BL599" s="1530"/>
      <c r="BM599" s="1530"/>
      <c r="BN599" s="1530"/>
      <c r="BW599" s="1569"/>
      <c r="CO599" s="1530"/>
      <c r="CP599" s="1530"/>
      <c r="CQ599" s="1530"/>
      <c r="CR599" s="1530"/>
      <c r="CS599" s="1530"/>
      <c r="CT599" s="1530"/>
      <c r="CU599" s="1530"/>
      <c r="CV599" s="1530"/>
      <c r="CW599" s="1530"/>
      <c r="CX599" s="1530"/>
      <c r="CY599" s="1530"/>
      <c r="CZ599" s="1530"/>
      <c r="DA599" s="1530"/>
      <c r="DB599" s="1530"/>
      <c r="DC599" s="1530"/>
      <c r="DD599" s="1530"/>
      <c r="DE599" s="1530"/>
      <c r="DF599" s="1530"/>
      <c r="DG599" s="1530"/>
      <c r="DH599" s="1530"/>
      <c r="DI599" s="1530"/>
      <c r="DJ599" s="1530"/>
      <c r="DK599" s="1530"/>
      <c r="DL599" s="1530"/>
      <c r="DM599" s="1530"/>
      <c r="DN599" s="1571"/>
      <c r="DO599" s="1530"/>
      <c r="DP599" s="1530"/>
    </row>
    <row r="600" spans="1:120">
      <c r="A600" s="1451"/>
      <c r="C600" s="1451"/>
      <c r="K600" s="1451"/>
      <c r="L600" s="1451"/>
      <c r="U600" s="1530"/>
      <c r="V600" s="1530"/>
      <c r="W600" s="1530"/>
      <c r="X600" s="1530"/>
      <c r="Y600" s="1530"/>
      <c r="Z600" s="1530"/>
      <c r="AA600" s="1530"/>
      <c r="AB600" s="1530"/>
      <c r="AC600" s="1530"/>
      <c r="AD600" s="1530"/>
      <c r="AE600" s="1530"/>
      <c r="AF600" s="1530"/>
      <c r="AG600" s="1530"/>
      <c r="AH600" s="1530"/>
      <c r="AI600" s="1530"/>
      <c r="AJ600" s="1530"/>
      <c r="AK600" s="1530"/>
      <c r="AL600" s="1530"/>
      <c r="AM600" s="1530"/>
      <c r="AN600" s="1530"/>
      <c r="AO600" s="1530"/>
      <c r="AP600" s="1530"/>
      <c r="AQ600" s="1530"/>
      <c r="AR600" s="1530"/>
      <c r="AS600" s="1530"/>
      <c r="AT600" s="1530"/>
      <c r="AU600" s="1530"/>
      <c r="AV600" s="1530"/>
      <c r="AW600" s="1530"/>
      <c r="AX600" s="1530"/>
      <c r="AY600" s="1530"/>
      <c r="AZ600" s="1530"/>
      <c r="BA600" s="1530"/>
      <c r="BB600" s="1530"/>
      <c r="BC600" s="1530"/>
      <c r="BD600" s="1530"/>
      <c r="BE600" s="1530"/>
      <c r="BF600" s="1530"/>
      <c r="BG600" s="1530"/>
      <c r="BH600" s="1530"/>
      <c r="BI600" s="1530"/>
      <c r="BJ600" s="1530"/>
      <c r="BK600" s="1530"/>
      <c r="BL600" s="1530"/>
      <c r="BM600" s="1530"/>
      <c r="BN600" s="1530"/>
      <c r="BW600" s="1569"/>
      <c r="CO600" s="1530"/>
      <c r="CP600" s="1530"/>
      <c r="CQ600" s="1530"/>
      <c r="CR600" s="1530"/>
      <c r="CS600" s="1530"/>
      <c r="CT600" s="1530"/>
      <c r="CU600" s="1530"/>
      <c r="CV600" s="1530"/>
      <c r="CW600" s="1530"/>
      <c r="CX600" s="1530"/>
      <c r="CY600" s="1530"/>
      <c r="CZ600" s="1530"/>
      <c r="DA600" s="1530"/>
      <c r="DB600" s="1530"/>
      <c r="DC600" s="1530"/>
      <c r="DD600" s="1530"/>
      <c r="DE600" s="1530"/>
      <c r="DF600" s="1530"/>
      <c r="DG600" s="1530"/>
      <c r="DH600" s="1530"/>
      <c r="DI600" s="1530"/>
      <c r="DJ600" s="1530"/>
      <c r="DK600" s="1530"/>
      <c r="DL600" s="1530"/>
      <c r="DM600" s="1530"/>
      <c r="DN600" s="1571"/>
      <c r="DO600" s="1530"/>
      <c r="DP600" s="1530"/>
    </row>
    <row r="601" spans="1:120">
      <c r="A601" s="1451"/>
      <c r="C601" s="1451"/>
      <c r="K601" s="1451"/>
      <c r="L601" s="1451"/>
      <c r="U601" s="1530"/>
      <c r="V601" s="1530"/>
      <c r="W601" s="1530"/>
      <c r="X601" s="1530"/>
      <c r="Y601" s="1530"/>
      <c r="Z601" s="1530"/>
      <c r="AA601" s="1530"/>
      <c r="AB601" s="1530"/>
      <c r="AC601" s="1530"/>
      <c r="AD601" s="1530"/>
      <c r="AE601" s="1530"/>
      <c r="AF601" s="1530"/>
      <c r="AG601" s="1530"/>
      <c r="AH601" s="1530"/>
      <c r="AI601" s="1530"/>
      <c r="AJ601" s="1530"/>
      <c r="AK601" s="1530"/>
      <c r="AL601" s="1530"/>
      <c r="AM601" s="1530"/>
      <c r="AN601" s="1530"/>
      <c r="AO601" s="1530"/>
      <c r="AP601" s="1530"/>
      <c r="AQ601" s="1530"/>
      <c r="AR601" s="1530"/>
      <c r="AS601" s="1530"/>
      <c r="AT601" s="1530"/>
      <c r="AU601" s="1530"/>
      <c r="AV601" s="1530"/>
      <c r="AW601" s="1530"/>
      <c r="AX601" s="1530"/>
      <c r="AY601" s="1530"/>
      <c r="AZ601" s="1530"/>
      <c r="BA601" s="1530"/>
      <c r="BB601" s="1530"/>
      <c r="BC601" s="1530"/>
      <c r="BD601" s="1530"/>
      <c r="BE601" s="1530"/>
      <c r="BF601" s="1530"/>
      <c r="BG601" s="1530"/>
      <c r="BH601" s="1530"/>
      <c r="BI601" s="1530"/>
      <c r="BJ601" s="1530"/>
      <c r="BK601" s="1530"/>
      <c r="BL601" s="1530"/>
      <c r="BM601" s="1530"/>
      <c r="BN601" s="1530"/>
      <c r="BW601" s="1569"/>
      <c r="CO601" s="1530"/>
      <c r="CP601" s="1530"/>
      <c r="CQ601" s="1530"/>
      <c r="CR601" s="1530"/>
      <c r="CS601" s="1530"/>
      <c r="CT601" s="1530"/>
      <c r="CU601" s="1530"/>
      <c r="CV601" s="1530"/>
      <c r="CW601" s="1530"/>
      <c r="CX601" s="1530"/>
      <c r="CY601" s="1530"/>
      <c r="CZ601" s="1530"/>
      <c r="DA601" s="1530"/>
      <c r="DB601" s="1530"/>
      <c r="DC601" s="1530"/>
      <c r="DD601" s="1530"/>
      <c r="DE601" s="1530"/>
      <c r="DF601" s="1530"/>
      <c r="DG601" s="1530"/>
      <c r="DH601" s="1530"/>
      <c r="DI601" s="1530"/>
      <c r="DJ601" s="1530"/>
      <c r="DK601" s="1530"/>
      <c r="DL601" s="1530"/>
      <c r="DM601" s="1530"/>
      <c r="DN601" s="1571"/>
      <c r="DO601" s="1530"/>
      <c r="DP601" s="1530"/>
    </row>
    <row r="602" spans="1:120">
      <c r="A602" s="1451"/>
      <c r="C602" s="1451"/>
      <c r="K602" s="1451"/>
      <c r="L602" s="1451"/>
      <c r="U602" s="1530"/>
      <c r="V602" s="1530"/>
      <c r="W602" s="1530"/>
      <c r="X602" s="1530"/>
      <c r="Y602" s="1530"/>
      <c r="Z602" s="1530"/>
      <c r="AA602" s="1530"/>
      <c r="AB602" s="1530"/>
      <c r="AC602" s="1530"/>
      <c r="AD602" s="1530"/>
      <c r="AE602" s="1530"/>
      <c r="AF602" s="1530"/>
      <c r="AG602" s="1530"/>
      <c r="AH602" s="1530"/>
      <c r="AI602" s="1530"/>
      <c r="AJ602" s="1530"/>
      <c r="AK602" s="1530"/>
      <c r="AL602" s="1530"/>
      <c r="AM602" s="1530"/>
      <c r="AN602" s="1530"/>
      <c r="AO602" s="1530"/>
      <c r="AP602" s="1530"/>
      <c r="AQ602" s="1530"/>
      <c r="AR602" s="1530"/>
      <c r="AS602" s="1530"/>
      <c r="AT602" s="1530"/>
      <c r="AU602" s="1530"/>
      <c r="AV602" s="1530"/>
      <c r="AW602" s="1530"/>
      <c r="AX602" s="1530"/>
      <c r="AY602" s="1530"/>
      <c r="AZ602" s="1530"/>
      <c r="BA602" s="1530"/>
      <c r="BB602" s="1530"/>
      <c r="BC602" s="1530"/>
      <c r="BD602" s="1530"/>
      <c r="BE602" s="1530"/>
      <c r="BF602" s="1530"/>
      <c r="BG602" s="1530"/>
      <c r="BH602" s="1530"/>
      <c r="BI602" s="1530"/>
      <c r="BJ602" s="1530"/>
      <c r="BK602" s="1530"/>
      <c r="BL602" s="1530"/>
      <c r="BM602" s="1530"/>
      <c r="BN602" s="1530"/>
      <c r="BW602" s="1569"/>
      <c r="CO602" s="1530"/>
      <c r="CP602" s="1530"/>
      <c r="CQ602" s="1530"/>
      <c r="CR602" s="1530"/>
      <c r="CS602" s="1530"/>
      <c r="CT602" s="1530"/>
      <c r="CU602" s="1530"/>
      <c r="CV602" s="1530"/>
      <c r="CW602" s="1530"/>
      <c r="CX602" s="1530"/>
      <c r="CY602" s="1530"/>
      <c r="CZ602" s="1530"/>
      <c r="DA602" s="1530"/>
      <c r="DB602" s="1530"/>
      <c r="DC602" s="1530"/>
      <c r="DD602" s="1530"/>
      <c r="DE602" s="1530"/>
      <c r="DF602" s="1530"/>
      <c r="DG602" s="1530"/>
      <c r="DH602" s="1530"/>
      <c r="DI602" s="1530"/>
      <c r="DJ602" s="1530"/>
      <c r="DK602" s="1530"/>
      <c r="DL602" s="1530"/>
      <c r="DM602" s="1530"/>
      <c r="DN602" s="1571"/>
      <c r="DO602" s="1530"/>
      <c r="DP602" s="1530"/>
    </row>
    <row r="603" spans="1:120">
      <c r="A603" s="1451"/>
      <c r="C603" s="1451"/>
      <c r="K603" s="1451"/>
      <c r="L603" s="1451"/>
      <c r="U603" s="1530"/>
      <c r="V603" s="1530"/>
      <c r="W603" s="1530"/>
      <c r="X603" s="1530"/>
      <c r="Y603" s="1530"/>
      <c r="Z603" s="1530"/>
      <c r="AA603" s="1530"/>
      <c r="AB603" s="1530"/>
      <c r="AC603" s="1530"/>
      <c r="AD603" s="1530"/>
      <c r="AE603" s="1530"/>
      <c r="AF603" s="1530"/>
      <c r="AG603" s="1530"/>
      <c r="AH603" s="1530"/>
      <c r="AI603" s="1530"/>
      <c r="AJ603" s="1530"/>
      <c r="AK603" s="1530"/>
      <c r="AL603" s="1530"/>
      <c r="AM603" s="1530"/>
      <c r="AN603" s="1530"/>
      <c r="AO603" s="1530"/>
      <c r="AP603" s="1530"/>
      <c r="AQ603" s="1530"/>
      <c r="AR603" s="1530"/>
      <c r="AS603" s="1530"/>
      <c r="AT603" s="1530"/>
      <c r="AU603" s="1530"/>
      <c r="AV603" s="1530"/>
      <c r="AW603" s="1530"/>
      <c r="AX603" s="1530"/>
      <c r="AY603" s="1530"/>
      <c r="AZ603" s="1530"/>
      <c r="BA603" s="1530"/>
      <c r="BB603" s="1530"/>
      <c r="BC603" s="1530"/>
      <c r="BD603" s="1530"/>
      <c r="BE603" s="1530"/>
      <c r="BF603" s="1530"/>
      <c r="BG603" s="1530"/>
      <c r="BH603" s="1530"/>
      <c r="BI603" s="1530"/>
      <c r="BJ603" s="1530"/>
      <c r="BK603" s="1530"/>
      <c r="BL603" s="1530"/>
      <c r="BM603" s="1530"/>
      <c r="BN603" s="1530"/>
      <c r="BW603" s="1569"/>
      <c r="CO603" s="1530"/>
      <c r="CP603" s="1530"/>
      <c r="CQ603" s="1530"/>
      <c r="CR603" s="1530"/>
      <c r="CS603" s="1530"/>
      <c r="CT603" s="1530"/>
      <c r="CU603" s="1530"/>
      <c r="CV603" s="1530"/>
      <c r="CW603" s="1530"/>
      <c r="CX603" s="1530"/>
      <c r="CY603" s="1530"/>
      <c r="CZ603" s="1530"/>
      <c r="DA603" s="1530"/>
      <c r="DB603" s="1530"/>
      <c r="DC603" s="1530"/>
      <c r="DD603" s="1530"/>
      <c r="DE603" s="1530"/>
      <c r="DF603" s="1530"/>
      <c r="DG603" s="1530"/>
      <c r="DH603" s="1530"/>
      <c r="DI603" s="1530"/>
      <c r="DJ603" s="1530"/>
      <c r="DK603" s="1530"/>
      <c r="DL603" s="1530"/>
      <c r="DM603" s="1530"/>
      <c r="DN603" s="1571"/>
      <c r="DO603" s="1530"/>
      <c r="DP603" s="1530"/>
    </row>
    <row r="604" spans="1:120">
      <c r="A604" s="1451"/>
      <c r="C604" s="1451"/>
      <c r="K604" s="1451"/>
      <c r="L604" s="1451"/>
      <c r="U604" s="1530"/>
      <c r="V604" s="1530"/>
      <c r="W604" s="1530"/>
      <c r="X604" s="1530"/>
      <c r="Y604" s="1530"/>
      <c r="Z604" s="1530"/>
      <c r="AA604" s="1530"/>
      <c r="AB604" s="1530"/>
      <c r="AC604" s="1530"/>
      <c r="AD604" s="1530"/>
      <c r="AE604" s="1530"/>
      <c r="AF604" s="1530"/>
      <c r="AG604" s="1530"/>
      <c r="AH604" s="1530"/>
      <c r="AI604" s="1530"/>
      <c r="AJ604" s="1530"/>
      <c r="AK604" s="1530"/>
      <c r="AL604" s="1530"/>
      <c r="AM604" s="1530"/>
      <c r="AN604" s="1530"/>
      <c r="AO604" s="1530"/>
      <c r="AP604" s="1530"/>
      <c r="AQ604" s="1530"/>
      <c r="AR604" s="1530"/>
      <c r="AS604" s="1530"/>
      <c r="AT604" s="1530"/>
      <c r="AU604" s="1530"/>
      <c r="AV604" s="1530"/>
      <c r="AW604" s="1530"/>
      <c r="AX604" s="1530"/>
      <c r="AY604" s="1530"/>
      <c r="AZ604" s="1530"/>
      <c r="BA604" s="1530"/>
      <c r="BB604" s="1530"/>
      <c r="BC604" s="1530"/>
      <c r="BD604" s="1530"/>
      <c r="BE604" s="1530"/>
      <c r="BF604" s="1530"/>
      <c r="BG604" s="1530"/>
      <c r="BH604" s="1530"/>
      <c r="BI604" s="1530"/>
      <c r="BJ604" s="1530"/>
      <c r="BK604" s="1530"/>
      <c r="BL604" s="1530"/>
      <c r="BM604" s="1530"/>
      <c r="BN604" s="1530"/>
      <c r="BW604" s="1569"/>
      <c r="CO604" s="1530"/>
      <c r="CP604" s="1530"/>
      <c r="CQ604" s="1530"/>
      <c r="CR604" s="1530"/>
      <c r="CS604" s="1530"/>
      <c r="CT604" s="1530"/>
      <c r="CU604" s="1530"/>
      <c r="CV604" s="1530"/>
      <c r="CW604" s="1530"/>
      <c r="CX604" s="1530"/>
      <c r="CY604" s="1530"/>
      <c r="CZ604" s="1530"/>
      <c r="DA604" s="1530"/>
      <c r="DB604" s="1530"/>
      <c r="DC604" s="1530"/>
      <c r="DD604" s="1530"/>
      <c r="DE604" s="1530"/>
      <c r="DF604" s="1530"/>
      <c r="DG604" s="1530"/>
      <c r="DH604" s="1530"/>
      <c r="DI604" s="1530"/>
      <c r="DJ604" s="1530"/>
      <c r="DK604" s="1530"/>
      <c r="DL604" s="1530"/>
      <c r="DM604" s="1530"/>
      <c r="DN604" s="1571"/>
      <c r="DO604" s="1530"/>
      <c r="DP604" s="1530"/>
    </row>
    <row r="605" spans="1:120">
      <c r="A605" s="1451"/>
      <c r="C605" s="1451"/>
      <c r="K605" s="1451"/>
      <c r="L605" s="1451"/>
      <c r="U605" s="1530"/>
      <c r="V605" s="1530"/>
      <c r="W605" s="1530"/>
      <c r="X605" s="1530"/>
      <c r="Y605" s="1530"/>
      <c r="Z605" s="1530"/>
      <c r="AA605" s="1530"/>
      <c r="AB605" s="1530"/>
      <c r="AC605" s="1530"/>
      <c r="AD605" s="1530"/>
      <c r="AE605" s="1530"/>
      <c r="AF605" s="1530"/>
      <c r="AG605" s="1530"/>
      <c r="AH605" s="1530"/>
      <c r="AI605" s="1530"/>
      <c r="AJ605" s="1530"/>
      <c r="AK605" s="1530"/>
      <c r="AL605" s="1530"/>
      <c r="AM605" s="1530"/>
      <c r="AN605" s="1530"/>
      <c r="AO605" s="1530"/>
      <c r="AP605" s="1530"/>
      <c r="AQ605" s="1530"/>
      <c r="AR605" s="1530"/>
      <c r="AS605" s="1530"/>
      <c r="AT605" s="1530"/>
      <c r="AU605" s="1530"/>
      <c r="AV605" s="1530"/>
      <c r="AW605" s="1530"/>
      <c r="AX605" s="1530"/>
      <c r="AY605" s="1530"/>
      <c r="AZ605" s="1530"/>
      <c r="BA605" s="1530"/>
      <c r="BB605" s="1530"/>
      <c r="BC605" s="1530"/>
      <c r="BD605" s="1530"/>
      <c r="BE605" s="1530"/>
      <c r="BF605" s="1530"/>
      <c r="BG605" s="1530"/>
      <c r="BH605" s="1530"/>
      <c r="BI605" s="1530"/>
      <c r="BJ605" s="1530"/>
      <c r="BK605" s="1530"/>
      <c r="BL605" s="1530"/>
      <c r="BM605" s="1530"/>
      <c r="BN605" s="1530"/>
      <c r="BW605" s="1569"/>
      <c r="CO605" s="1530"/>
      <c r="CP605" s="1530"/>
      <c r="CQ605" s="1530"/>
      <c r="CR605" s="1530"/>
      <c r="CS605" s="1530"/>
      <c r="CT605" s="1530"/>
      <c r="CU605" s="1530"/>
      <c r="CV605" s="1530"/>
      <c r="CW605" s="1530"/>
      <c r="CX605" s="1530"/>
      <c r="CY605" s="1530"/>
      <c r="CZ605" s="1530"/>
      <c r="DA605" s="1530"/>
      <c r="DB605" s="1530"/>
      <c r="DC605" s="1530"/>
      <c r="DD605" s="1530"/>
      <c r="DE605" s="1530"/>
      <c r="DF605" s="1530"/>
      <c r="DG605" s="1530"/>
      <c r="DH605" s="1530"/>
      <c r="DI605" s="1530"/>
      <c r="DJ605" s="1530"/>
      <c r="DK605" s="1530"/>
      <c r="DL605" s="1530"/>
      <c r="DM605" s="1530"/>
      <c r="DN605" s="1571"/>
      <c r="DO605" s="1530"/>
      <c r="DP605" s="1530"/>
    </row>
    <row r="606" spans="1:120">
      <c r="A606" s="1451"/>
      <c r="C606" s="1451"/>
      <c r="K606" s="1451"/>
      <c r="L606" s="1451"/>
      <c r="U606" s="1530"/>
      <c r="V606" s="1530"/>
      <c r="W606" s="1530"/>
      <c r="X606" s="1530"/>
      <c r="Y606" s="1530"/>
      <c r="Z606" s="1530"/>
      <c r="AA606" s="1530"/>
      <c r="AB606" s="1530"/>
      <c r="AC606" s="1530"/>
      <c r="AD606" s="1530"/>
      <c r="AE606" s="1530"/>
      <c r="AF606" s="1530"/>
      <c r="AG606" s="1530"/>
      <c r="AH606" s="1530"/>
      <c r="AI606" s="1530"/>
      <c r="AJ606" s="1530"/>
      <c r="AK606" s="1530"/>
      <c r="AL606" s="1530"/>
      <c r="AM606" s="1530"/>
      <c r="AN606" s="1530"/>
      <c r="AO606" s="1530"/>
      <c r="AP606" s="1530"/>
      <c r="AQ606" s="1530"/>
      <c r="AR606" s="1530"/>
      <c r="AS606" s="1530"/>
      <c r="AT606" s="1530"/>
      <c r="AU606" s="1530"/>
      <c r="AV606" s="1530"/>
      <c r="AW606" s="1530"/>
      <c r="AX606" s="1530"/>
      <c r="AY606" s="1530"/>
      <c r="AZ606" s="1530"/>
      <c r="BA606" s="1530"/>
      <c r="BB606" s="1530"/>
      <c r="BC606" s="1530"/>
      <c r="BD606" s="1530"/>
      <c r="BE606" s="1530"/>
      <c r="BF606" s="1530"/>
      <c r="BG606" s="1530"/>
      <c r="BH606" s="1530"/>
      <c r="BI606" s="1530"/>
      <c r="BJ606" s="1530"/>
      <c r="BK606" s="1530"/>
      <c r="BL606" s="1530"/>
      <c r="BM606" s="1530"/>
      <c r="BN606" s="1530"/>
      <c r="BW606" s="1569"/>
      <c r="CO606" s="1530"/>
      <c r="CP606" s="1530"/>
      <c r="CQ606" s="1530"/>
      <c r="CR606" s="1530"/>
      <c r="CS606" s="1530"/>
      <c r="CT606" s="1530"/>
      <c r="CU606" s="1530"/>
      <c r="CV606" s="1530"/>
      <c r="CW606" s="1530"/>
      <c r="CX606" s="1530"/>
      <c r="CY606" s="1530"/>
      <c r="CZ606" s="1530"/>
      <c r="DA606" s="1530"/>
      <c r="DB606" s="1530"/>
      <c r="DC606" s="1530"/>
      <c r="DD606" s="1530"/>
      <c r="DE606" s="1530"/>
      <c r="DF606" s="1530"/>
      <c r="DG606" s="1530"/>
      <c r="DH606" s="1530"/>
      <c r="DI606" s="1530"/>
      <c r="DJ606" s="1530"/>
      <c r="DK606" s="1530"/>
      <c r="DL606" s="1530"/>
      <c r="DM606" s="1530"/>
      <c r="DN606" s="1571"/>
      <c r="DO606" s="1530"/>
      <c r="DP606" s="1530"/>
    </row>
    <row r="607" spans="1:120">
      <c r="A607" s="1451"/>
      <c r="C607" s="1451"/>
      <c r="K607" s="1451"/>
      <c r="L607" s="1451"/>
      <c r="U607" s="1530"/>
      <c r="V607" s="1530"/>
      <c r="W607" s="1530"/>
      <c r="X607" s="1530"/>
      <c r="Y607" s="1530"/>
      <c r="Z607" s="1530"/>
      <c r="AA607" s="1530"/>
      <c r="AB607" s="1530"/>
      <c r="AC607" s="1530"/>
      <c r="AD607" s="1530"/>
      <c r="AE607" s="1530"/>
      <c r="AF607" s="1530"/>
      <c r="AG607" s="1530"/>
      <c r="AH607" s="1530"/>
      <c r="AI607" s="1530"/>
      <c r="AJ607" s="1530"/>
      <c r="AK607" s="1530"/>
      <c r="AL607" s="1530"/>
      <c r="AM607" s="1530"/>
      <c r="AN607" s="1530"/>
      <c r="AO607" s="1530"/>
      <c r="AP607" s="1530"/>
      <c r="AQ607" s="1530"/>
      <c r="AR607" s="1530"/>
      <c r="AS607" s="1530"/>
      <c r="AT607" s="1530"/>
      <c r="AU607" s="1530"/>
      <c r="AV607" s="1530"/>
      <c r="AW607" s="1530"/>
      <c r="AX607" s="1530"/>
      <c r="AY607" s="1530"/>
      <c r="AZ607" s="1530"/>
      <c r="BA607" s="1530"/>
      <c r="BB607" s="1530"/>
      <c r="BC607" s="1530"/>
      <c r="BD607" s="1530"/>
      <c r="BE607" s="1530"/>
      <c r="BF607" s="1530"/>
      <c r="BG607" s="1530"/>
      <c r="BH607" s="1530"/>
      <c r="BI607" s="1530"/>
      <c r="BJ607" s="1530"/>
      <c r="BK607" s="1530"/>
      <c r="BL607" s="1530"/>
      <c r="BM607" s="1530"/>
      <c r="BN607" s="1530"/>
      <c r="BW607" s="1569"/>
      <c r="CO607" s="1530"/>
      <c r="CP607" s="1530"/>
      <c r="CQ607" s="1530"/>
      <c r="CR607" s="1530"/>
      <c r="CS607" s="1530"/>
      <c r="CT607" s="1530"/>
      <c r="CU607" s="1530"/>
      <c r="CV607" s="1530"/>
      <c r="CW607" s="1530"/>
      <c r="CX607" s="1530"/>
      <c r="CY607" s="1530"/>
      <c r="CZ607" s="1530"/>
      <c r="DA607" s="1530"/>
      <c r="DB607" s="1530"/>
      <c r="DC607" s="1530"/>
      <c r="DD607" s="1530"/>
      <c r="DE607" s="1530"/>
      <c r="DF607" s="1530"/>
      <c r="DG607" s="1530"/>
      <c r="DH607" s="1530"/>
      <c r="DI607" s="1530"/>
      <c r="DJ607" s="1530"/>
      <c r="DK607" s="1530"/>
      <c r="DL607" s="1530"/>
      <c r="DM607" s="1530"/>
      <c r="DN607" s="1571"/>
      <c r="DO607" s="1530"/>
      <c r="DP607" s="1530"/>
    </row>
    <row r="608" spans="1:120">
      <c r="A608" s="1451"/>
      <c r="C608" s="1451"/>
      <c r="K608" s="1451"/>
      <c r="L608" s="1451"/>
      <c r="U608" s="1530"/>
      <c r="V608" s="1530"/>
      <c r="W608" s="1530"/>
      <c r="X608" s="1530"/>
      <c r="Y608" s="1530"/>
      <c r="Z608" s="1530"/>
      <c r="AA608" s="1530"/>
      <c r="AB608" s="1530"/>
      <c r="AC608" s="1530"/>
      <c r="AD608" s="1530"/>
      <c r="AE608" s="1530"/>
      <c r="AF608" s="1530"/>
      <c r="AG608" s="1530"/>
      <c r="AH608" s="1530"/>
      <c r="AI608" s="1530"/>
      <c r="AJ608" s="1530"/>
      <c r="AK608" s="1530"/>
      <c r="AL608" s="1530"/>
      <c r="AM608" s="1530"/>
      <c r="AN608" s="1530"/>
      <c r="AO608" s="1530"/>
      <c r="AP608" s="1530"/>
      <c r="AQ608" s="1530"/>
      <c r="AR608" s="1530"/>
      <c r="AS608" s="1530"/>
      <c r="AT608" s="1530"/>
      <c r="AU608" s="1530"/>
      <c r="AV608" s="1530"/>
      <c r="AW608" s="1530"/>
      <c r="AX608" s="1530"/>
      <c r="AY608" s="1530"/>
      <c r="AZ608" s="1530"/>
      <c r="BA608" s="1530"/>
      <c r="BB608" s="1530"/>
      <c r="BC608" s="1530"/>
      <c r="BD608" s="1530"/>
      <c r="BE608" s="1530"/>
      <c r="BF608" s="1530"/>
      <c r="BG608" s="1530"/>
      <c r="BH608" s="1530"/>
      <c r="BI608" s="1530"/>
      <c r="BJ608" s="1530"/>
      <c r="BK608" s="1530"/>
      <c r="BL608" s="1530"/>
      <c r="BM608" s="1530"/>
      <c r="BN608" s="1530"/>
      <c r="BW608" s="1569"/>
      <c r="CO608" s="1530"/>
      <c r="CP608" s="1530"/>
      <c r="CQ608" s="1530"/>
      <c r="CR608" s="1530"/>
      <c r="CS608" s="1530"/>
      <c r="CT608" s="1530"/>
      <c r="CU608" s="1530"/>
      <c r="CV608" s="1530"/>
      <c r="CW608" s="1530"/>
      <c r="CX608" s="1530"/>
      <c r="CY608" s="1530"/>
      <c r="CZ608" s="1530"/>
      <c r="DA608" s="1530"/>
      <c r="DB608" s="1530"/>
      <c r="DC608" s="1530"/>
      <c r="DD608" s="1530"/>
      <c r="DE608" s="1530"/>
      <c r="DF608" s="1530"/>
      <c r="DG608" s="1530"/>
      <c r="DH608" s="1530"/>
      <c r="DI608" s="1530"/>
      <c r="DJ608" s="1530"/>
      <c r="DK608" s="1530"/>
      <c r="DL608" s="1530"/>
      <c r="DM608" s="1530"/>
      <c r="DN608" s="1571"/>
      <c r="DO608" s="1530"/>
      <c r="DP608" s="1530"/>
    </row>
    <row r="609" spans="1:120">
      <c r="A609" s="1451"/>
      <c r="C609" s="1451"/>
      <c r="K609" s="1451"/>
      <c r="L609" s="1451"/>
      <c r="U609" s="1530"/>
      <c r="V609" s="1530"/>
      <c r="W609" s="1530"/>
      <c r="X609" s="1530"/>
      <c r="Y609" s="1530"/>
      <c r="Z609" s="1530"/>
      <c r="AA609" s="1530"/>
      <c r="AB609" s="1530"/>
      <c r="AC609" s="1530"/>
      <c r="AD609" s="1530"/>
      <c r="AE609" s="1530"/>
      <c r="AF609" s="1530"/>
      <c r="AG609" s="1530"/>
      <c r="AH609" s="1530"/>
      <c r="AI609" s="1530"/>
      <c r="AJ609" s="1530"/>
      <c r="AK609" s="1530"/>
      <c r="AL609" s="1530"/>
      <c r="AM609" s="1530"/>
      <c r="AN609" s="1530"/>
      <c r="AO609" s="1530"/>
      <c r="AP609" s="1530"/>
      <c r="AQ609" s="1530"/>
      <c r="AR609" s="1530"/>
      <c r="AS609" s="1530"/>
      <c r="AT609" s="1530"/>
      <c r="AU609" s="1530"/>
      <c r="AV609" s="1530"/>
      <c r="AW609" s="1530"/>
      <c r="AX609" s="1530"/>
      <c r="AY609" s="1530"/>
      <c r="AZ609" s="1530"/>
      <c r="BA609" s="1530"/>
      <c r="BB609" s="1530"/>
      <c r="BC609" s="1530"/>
      <c r="BD609" s="1530"/>
      <c r="BE609" s="1530"/>
      <c r="BF609" s="1530"/>
      <c r="BG609" s="1530"/>
      <c r="BH609" s="1530"/>
      <c r="BI609" s="1530"/>
      <c r="BJ609" s="1530"/>
      <c r="BK609" s="1530"/>
      <c r="BL609" s="1530"/>
      <c r="BM609" s="1530"/>
      <c r="BN609" s="1530"/>
      <c r="BW609" s="1569"/>
      <c r="CO609" s="1530"/>
      <c r="CP609" s="1530"/>
      <c r="CQ609" s="1530"/>
      <c r="CR609" s="1530"/>
      <c r="CS609" s="1530"/>
      <c r="CT609" s="1530"/>
      <c r="CU609" s="1530"/>
      <c r="CV609" s="1530"/>
      <c r="CW609" s="1530"/>
      <c r="CX609" s="1530"/>
      <c r="CY609" s="1530"/>
      <c r="CZ609" s="1530"/>
      <c r="DA609" s="1530"/>
      <c r="DB609" s="1530"/>
      <c r="DC609" s="1530"/>
      <c r="DD609" s="1530"/>
      <c r="DE609" s="1530"/>
      <c r="DF609" s="1530"/>
      <c r="DG609" s="1530"/>
      <c r="DH609" s="1530"/>
      <c r="DI609" s="1530"/>
      <c r="DJ609" s="1530"/>
      <c r="DK609" s="1530"/>
      <c r="DL609" s="1530"/>
      <c r="DM609" s="1530"/>
      <c r="DN609" s="1571"/>
      <c r="DO609" s="1530"/>
      <c r="DP609" s="1530"/>
    </row>
    <row r="610" spans="1:120">
      <c r="A610" s="1451"/>
      <c r="C610" s="1451"/>
      <c r="K610" s="1451"/>
      <c r="L610" s="1451"/>
      <c r="U610" s="1530"/>
      <c r="V610" s="1530"/>
      <c r="W610" s="1530"/>
      <c r="X610" s="1530"/>
      <c r="Y610" s="1530"/>
      <c r="Z610" s="1530"/>
      <c r="AA610" s="1530"/>
      <c r="AB610" s="1530"/>
      <c r="AC610" s="1530"/>
      <c r="AD610" s="1530"/>
      <c r="AE610" s="1530"/>
      <c r="AF610" s="1530"/>
      <c r="AG610" s="1530"/>
      <c r="AH610" s="1530"/>
      <c r="AI610" s="1530"/>
      <c r="AJ610" s="1530"/>
      <c r="AK610" s="1530"/>
      <c r="AL610" s="1530"/>
      <c r="AM610" s="1530"/>
      <c r="AN610" s="1530"/>
      <c r="AO610" s="1530"/>
      <c r="AP610" s="1530"/>
      <c r="AQ610" s="1530"/>
      <c r="AR610" s="1530"/>
      <c r="AS610" s="1530"/>
      <c r="AT610" s="1530"/>
      <c r="AU610" s="1530"/>
      <c r="AV610" s="1530"/>
      <c r="AW610" s="1530"/>
      <c r="AX610" s="1530"/>
      <c r="AY610" s="1530"/>
      <c r="AZ610" s="1530"/>
      <c r="BA610" s="1530"/>
      <c r="BB610" s="1530"/>
      <c r="BC610" s="1530"/>
      <c r="BD610" s="1530"/>
      <c r="BE610" s="1530"/>
      <c r="BF610" s="1530"/>
      <c r="BG610" s="1530"/>
      <c r="BH610" s="1530"/>
      <c r="BI610" s="1530"/>
      <c r="BJ610" s="1530"/>
      <c r="BK610" s="1530"/>
      <c r="BL610" s="1530"/>
      <c r="BM610" s="1530"/>
      <c r="BN610" s="1530"/>
      <c r="BW610" s="1569"/>
      <c r="CO610" s="1530"/>
      <c r="CP610" s="1530"/>
      <c r="CQ610" s="1530"/>
      <c r="CR610" s="1530"/>
      <c r="CS610" s="1530"/>
      <c r="CT610" s="1530"/>
      <c r="CU610" s="1530"/>
      <c r="CV610" s="1530"/>
      <c r="CW610" s="1530"/>
      <c r="CX610" s="1530"/>
      <c r="CY610" s="1530"/>
      <c r="CZ610" s="1530"/>
      <c r="DA610" s="1530"/>
      <c r="DB610" s="1530"/>
      <c r="DC610" s="1530"/>
      <c r="DD610" s="1530"/>
      <c r="DE610" s="1530"/>
      <c r="DF610" s="1530"/>
      <c r="DG610" s="1530"/>
      <c r="DH610" s="1530"/>
      <c r="DI610" s="1530"/>
      <c r="DJ610" s="1530"/>
      <c r="DK610" s="1530"/>
      <c r="DL610" s="1530"/>
      <c r="DM610" s="1530"/>
      <c r="DN610" s="1571"/>
      <c r="DO610" s="1530"/>
      <c r="DP610" s="1530"/>
    </row>
    <row r="611" spans="1:120">
      <c r="A611" s="1451"/>
      <c r="C611" s="1451"/>
      <c r="K611" s="1451"/>
      <c r="L611" s="1451"/>
      <c r="U611" s="1530"/>
      <c r="V611" s="1530"/>
      <c r="W611" s="1530"/>
      <c r="X611" s="1530"/>
      <c r="Y611" s="1530"/>
      <c r="Z611" s="1530"/>
      <c r="AA611" s="1530"/>
      <c r="AB611" s="1530"/>
      <c r="AC611" s="1530"/>
      <c r="AD611" s="1530"/>
      <c r="AE611" s="1530"/>
      <c r="AF611" s="1530"/>
      <c r="AG611" s="1530"/>
      <c r="AH611" s="1530"/>
      <c r="AI611" s="1530"/>
      <c r="AJ611" s="1530"/>
      <c r="AK611" s="1530"/>
      <c r="AL611" s="1530"/>
      <c r="AM611" s="1530"/>
      <c r="AN611" s="1530"/>
      <c r="AO611" s="1530"/>
      <c r="AP611" s="1530"/>
      <c r="AQ611" s="1530"/>
      <c r="AR611" s="1530"/>
      <c r="AS611" s="1530"/>
      <c r="AT611" s="1530"/>
      <c r="AU611" s="1530"/>
      <c r="AV611" s="1530"/>
      <c r="AW611" s="1530"/>
      <c r="AX611" s="1530"/>
      <c r="AY611" s="1530"/>
      <c r="AZ611" s="1530"/>
      <c r="BA611" s="1530"/>
      <c r="BB611" s="1530"/>
      <c r="BC611" s="1530"/>
      <c r="BD611" s="1530"/>
      <c r="BE611" s="1530"/>
      <c r="BF611" s="1530"/>
      <c r="BG611" s="1530"/>
      <c r="BH611" s="1530"/>
      <c r="BI611" s="1530"/>
      <c r="BJ611" s="1530"/>
      <c r="BK611" s="1530"/>
      <c r="BL611" s="1530"/>
      <c r="BM611" s="1530"/>
      <c r="BN611" s="1530"/>
      <c r="BW611" s="1569"/>
      <c r="CO611" s="1530"/>
      <c r="CP611" s="1530"/>
      <c r="CQ611" s="1530"/>
      <c r="CR611" s="1530"/>
      <c r="CS611" s="1530"/>
      <c r="CT611" s="1530"/>
      <c r="CU611" s="1530"/>
      <c r="CV611" s="1530"/>
      <c r="CW611" s="1530"/>
      <c r="CX611" s="1530"/>
      <c r="CY611" s="1530"/>
      <c r="CZ611" s="1530"/>
      <c r="DA611" s="1530"/>
      <c r="DB611" s="1530"/>
      <c r="DC611" s="1530"/>
      <c r="DD611" s="1530"/>
      <c r="DE611" s="1530"/>
      <c r="DF611" s="1530"/>
      <c r="DG611" s="1530"/>
      <c r="DH611" s="1530"/>
      <c r="DI611" s="1530"/>
      <c r="DJ611" s="1530"/>
      <c r="DK611" s="1530"/>
      <c r="DL611" s="1530"/>
      <c r="DM611" s="1530"/>
      <c r="DN611" s="1571"/>
      <c r="DO611" s="1530"/>
      <c r="DP611" s="1530"/>
    </row>
    <row r="612" spans="1:120">
      <c r="A612" s="1451"/>
      <c r="C612" s="1451"/>
      <c r="K612" s="1451"/>
      <c r="L612" s="1451"/>
      <c r="U612" s="1530"/>
      <c r="V612" s="1530"/>
      <c r="W612" s="1530"/>
      <c r="X612" s="1530"/>
      <c r="Y612" s="1530"/>
      <c r="Z612" s="1530"/>
      <c r="AA612" s="1530"/>
      <c r="AB612" s="1530"/>
      <c r="AC612" s="1530"/>
      <c r="AD612" s="1530"/>
      <c r="AE612" s="1530"/>
      <c r="AF612" s="1530"/>
      <c r="AG612" s="1530"/>
      <c r="AH612" s="1530"/>
      <c r="AI612" s="1530"/>
      <c r="AJ612" s="1530"/>
      <c r="AK612" s="1530"/>
      <c r="AL612" s="1530"/>
      <c r="AM612" s="1530"/>
      <c r="AN612" s="1530"/>
      <c r="AO612" s="1530"/>
      <c r="AP612" s="1530"/>
      <c r="AQ612" s="1530"/>
      <c r="AR612" s="1530"/>
      <c r="AS612" s="1530"/>
      <c r="AT612" s="1530"/>
      <c r="AU612" s="1530"/>
      <c r="AV612" s="1530"/>
      <c r="AW612" s="1530"/>
      <c r="AX612" s="1530"/>
      <c r="AY612" s="1530"/>
      <c r="AZ612" s="1530"/>
      <c r="BA612" s="1530"/>
      <c r="BB612" s="1530"/>
      <c r="BC612" s="1530"/>
      <c r="BD612" s="1530"/>
      <c r="BE612" s="1530"/>
      <c r="BF612" s="1530"/>
      <c r="BG612" s="1530"/>
      <c r="BH612" s="1530"/>
      <c r="BI612" s="1530"/>
      <c r="BJ612" s="1530"/>
      <c r="BK612" s="1530"/>
      <c r="BL612" s="1530"/>
      <c r="BM612" s="1530"/>
      <c r="BN612" s="1530"/>
      <c r="BW612" s="1569"/>
      <c r="CO612" s="1530"/>
      <c r="CP612" s="1530"/>
      <c r="CQ612" s="1530"/>
      <c r="CR612" s="1530"/>
      <c r="CS612" s="1530"/>
      <c r="CT612" s="1530"/>
      <c r="CU612" s="1530"/>
      <c r="CV612" s="1530"/>
      <c r="CW612" s="1530"/>
      <c r="CX612" s="1530"/>
      <c r="CY612" s="1530"/>
      <c r="CZ612" s="1530"/>
      <c r="DA612" s="1530"/>
      <c r="DB612" s="1530"/>
      <c r="DC612" s="1530"/>
      <c r="DD612" s="1530"/>
      <c r="DE612" s="1530"/>
      <c r="DF612" s="1530"/>
      <c r="DG612" s="1530"/>
      <c r="DH612" s="1530"/>
      <c r="DI612" s="1530"/>
      <c r="DJ612" s="1530"/>
      <c r="DK612" s="1530"/>
      <c r="DL612" s="1530"/>
      <c r="DM612" s="1530"/>
      <c r="DN612" s="1571"/>
      <c r="DO612" s="1530"/>
      <c r="DP612" s="1530"/>
    </row>
    <row r="613" spans="1:120">
      <c r="A613" s="1451"/>
      <c r="C613" s="1451"/>
      <c r="K613" s="1451"/>
      <c r="L613" s="1451"/>
      <c r="U613" s="1530"/>
      <c r="V613" s="1530"/>
      <c r="W613" s="1530"/>
      <c r="X613" s="1530"/>
      <c r="Y613" s="1530"/>
      <c r="Z613" s="1530"/>
      <c r="AA613" s="1530"/>
      <c r="AB613" s="1530"/>
      <c r="AC613" s="1530"/>
      <c r="AD613" s="1530"/>
      <c r="AE613" s="1530"/>
      <c r="AF613" s="1530"/>
      <c r="AG613" s="1530"/>
      <c r="AH613" s="1530"/>
      <c r="AI613" s="1530"/>
      <c r="AJ613" s="1530"/>
      <c r="AK613" s="1530"/>
      <c r="AL613" s="1530"/>
      <c r="AM613" s="1530"/>
      <c r="AN613" s="1530"/>
      <c r="AO613" s="1530"/>
      <c r="AP613" s="1530"/>
      <c r="AQ613" s="1530"/>
      <c r="AR613" s="1530"/>
      <c r="AS613" s="1530"/>
      <c r="AT613" s="1530"/>
      <c r="AU613" s="1530"/>
      <c r="AV613" s="1530"/>
      <c r="AW613" s="1530"/>
      <c r="AX613" s="1530"/>
      <c r="AY613" s="1530"/>
      <c r="AZ613" s="1530"/>
      <c r="BA613" s="1530"/>
      <c r="BB613" s="1530"/>
      <c r="BC613" s="1530"/>
      <c r="BD613" s="1530"/>
      <c r="BE613" s="1530"/>
      <c r="BF613" s="1530"/>
      <c r="BG613" s="1530"/>
      <c r="BH613" s="1530"/>
      <c r="BI613" s="1530"/>
      <c r="BJ613" s="1530"/>
      <c r="BK613" s="1530"/>
      <c r="BL613" s="1530"/>
      <c r="BM613" s="1530"/>
      <c r="BN613" s="1530"/>
      <c r="BW613" s="1569"/>
      <c r="CO613" s="1530"/>
      <c r="CP613" s="1530"/>
      <c r="CQ613" s="1530"/>
      <c r="CR613" s="1530"/>
      <c r="CS613" s="1530"/>
      <c r="CT613" s="1530"/>
      <c r="CU613" s="1530"/>
      <c r="CV613" s="1530"/>
      <c r="CW613" s="1530"/>
      <c r="CX613" s="1530"/>
      <c r="CY613" s="1530"/>
      <c r="CZ613" s="1530"/>
      <c r="DA613" s="1530"/>
      <c r="DB613" s="1530"/>
      <c r="DC613" s="1530"/>
      <c r="DD613" s="1530"/>
      <c r="DE613" s="1530"/>
      <c r="DF613" s="1530"/>
      <c r="DG613" s="1530"/>
      <c r="DH613" s="1530"/>
      <c r="DI613" s="1530"/>
      <c r="DJ613" s="1530"/>
      <c r="DK613" s="1530"/>
      <c r="DL613" s="1530"/>
      <c r="DM613" s="1530"/>
      <c r="DN613" s="1571"/>
      <c r="DO613" s="1530"/>
      <c r="DP613" s="1530"/>
    </row>
    <row r="614" spans="1:120">
      <c r="A614" s="1451"/>
      <c r="C614" s="1451"/>
      <c r="K614" s="1451"/>
      <c r="L614" s="1451"/>
      <c r="U614" s="1530"/>
      <c r="V614" s="1530"/>
      <c r="W614" s="1530"/>
      <c r="X614" s="1530"/>
      <c r="Y614" s="1530"/>
      <c r="Z614" s="1530"/>
      <c r="AA614" s="1530"/>
      <c r="AB614" s="1530"/>
      <c r="AC614" s="1530"/>
      <c r="AD614" s="1530"/>
      <c r="AE614" s="1530"/>
      <c r="AF614" s="1530"/>
      <c r="AG614" s="1530"/>
      <c r="AH614" s="1530"/>
      <c r="AI614" s="1530"/>
      <c r="AJ614" s="1530"/>
      <c r="AK614" s="1530"/>
      <c r="AL614" s="1530"/>
      <c r="AM614" s="1530"/>
      <c r="AN614" s="1530"/>
      <c r="AO614" s="1530"/>
      <c r="AP614" s="1530"/>
      <c r="AQ614" s="1530"/>
      <c r="AR614" s="1530"/>
      <c r="AS614" s="1530"/>
      <c r="AT614" s="1530"/>
      <c r="AU614" s="1530"/>
      <c r="AV614" s="1530"/>
      <c r="AW614" s="1530"/>
      <c r="AX614" s="1530"/>
      <c r="AY614" s="1530"/>
      <c r="AZ614" s="1530"/>
      <c r="BA614" s="1530"/>
      <c r="BB614" s="1530"/>
      <c r="BC614" s="1530"/>
      <c r="BD614" s="1530"/>
      <c r="BE614" s="1530"/>
      <c r="BF614" s="1530"/>
      <c r="BG614" s="1530"/>
      <c r="BH614" s="1530"/>
      <c r="BI614" s="1530"/>
      <c r="BJ614" s="1530"/>
      <c r="BK614" s="1530"/>
      <c r="BL614" s="1530"/>
      <c r="BM614" s="1530"/>
      <c r="BN614" s="1530"/>
      <c r="BW614" s="1569"/>
      <c r="CO614" s="1530"/>
      <c r="CP614" s="1530"/>
      <c r="CQ614" s="1530"/>
      <c r="CR614" s="1530"/>
      <c r="CS614" s="1530"/>
      <c r="CT614" s="1530"/>
      <c r="CU614" s="1530"/>
      <c r="CV614" s="1530"/>
      <c r="CW614" s="1530"/>
      <c r="CX614" s="1530"/>
      <c r="CY614" s="1530"/>
      <c r="CZ614" s="1530"/>
      <c r="DA614" s="1530"/>
      <c r="DB614" s="1530"/>
      <c r="DC614" s="1530"/>
      <c r="DD614" s="1530"/>
      <c r="DE614" s="1530"/>
      <c r="DF614" s="1530"/>
      <c r="DG614" s="1530"/>
      <c r="DH614" s="1530"/>
      <c r="DI614" s="1530"/>
      <c r="DJ614" s="1530"/>
      <c r="DK614" s="1530"/>
      <c r="DL614" s="1530"/>
      <c r="DM614" s="1530"/>
      <c r="DN614" s="1571"/>
      <c r="DO614" s="1530"/>
      <c r="DP614" s="1530"/>
    </row>
    <row r="615" spans="1:120">
      <c r="A615" s="1451"/>
      <c r="C615" s="1451"/>
      <c r="K615" s="1451"/>
      <c r="L615" s="1451"/>
      <c r="U615" s="1530"/>
      <c r="V615" s="1530"/>
      <c r="W615" s="1530"/>
      <c r="X615" s="1530"/>
      <c r="Y615" s="1530"/>
      <c r="Z615" s="1530"/>
      <c r="AA615" s="1530"/>
      <c r="AB615" s="1530"/>
      <c r="AC615" s="1530"/>
      <c r="AD615" s="1530"/>
      <c r="AE615" s="1530"/>
      <c r="AF615" s="1530"/>
      <c r="AG615" s="1530"/>
      <c r="AH615" s="1530"/>
      <c r="AI615" s="1530"/>
      <c r="AJ615" s="1530"/>
      <c r="AK615" s="1530"/>
      <c r="AL615" s="1530"/>
      <c r="AM615" s="1530"/>
      <c r="AN615" s="1530"/>
      <c r="AO615" s="1530"/>
      <c r="AP615" s="1530"/>
      <c r="AQ615" s="1530"/>
      <c r="AR615" s="1530"/>
      <c r="AS615" s="1530"/>
      <c r="AT615" s="1530"/>
      <c r="AU615" s="1530"/>
      <c r="AV615" s="1530"/>
      <c r="AW615" s="1530"/>
      <c r="AX615" s="1530"/>
      <c r="AY615" s="1530"/>
      <c r="AZ615" s="1530"/>
      <c r="BA615" s="1530"/>
      <c r="BB615" s="1530"/>
      <c r="BC615" s="1530"/>
      <c r="BD615" s="1530"/>
      <c r="BE615" s="1530"/>
      <c r="BF615" s="1530"/>
      <c r="BG615" s="1530"/>
      <c r="BH615" s="1530"/>
      <c r="BI615" s="1530"/>
      <c r="BJ615" s="1530"/>
      <c r="BK615" s="1530"/>
      <c r="BL615" s="1530"/>
      <c r="BM615" s="1530"/>
      <c r="BN615" s="1530"/>
      <c r="BW615" s="1569"/>
      <c r="CO615" s="1530"/>
      <c r="CP615" s="1530"/>
      <c r="CQ615" s="1530"/>
      <c r="CR615" s="1530"/>
      <c r="CS615" s="1530"/>
      <c r="CT615" s="1530"/>
      <c r="CU615" s="1530"/>
      <c r="CV615" s="1530"/>
      <c r="CW615" s="1530"/>
      <c r="CX615" s="1530"/>
      <c r="CY615" s="1530"/>
      <c r="CZ615" s="1530"/>
      <c r="DA615" s="1530"/>
      <c r="DB615" s="1530"/>
      <c r="DC615" s="1530"/>
      <c r="DD615" s="1530"/>
      <c r="DE615" s="1530"/>
      <c r="DF615" s="1530"/>
      <c r="DG615" s="1530"/>
      <c r="DH615" s="1530"/>
      <c r="DI615" s="1530"/>
      <c r="DJ615" s="1530"/>
      <c r="DK615" s="1530"/>
      <c r="DL615" s="1530"/>
      <c r="DM615" s="1530"/>
      <c r="DN615" s="1571"/>
      <c r="DO615" s="1530"/>
      <c r="DP615" s="1530"/>
    </row>
    <row r="616" spans="1:120">
      <c r="A616" s="1451"/>
      <c r="C616" s="1451"/>
      <c r="K616" s="1451"/>
      <c r="L616" s="1451"/>
      <c r="U616" s="1530"/>
      <c r="V616" s="1530"/>
      <c r="W616" s="1530"/>
      <c r="X616" s="1530"/>
      <c r="Y616" s="1530"/>
      <c r="Z616" s="1530"/>
      <c r="AA616" s="1530"/>
      <c r="AB616" s="1530"/>
      <c r="AC616" s="1530"/>
      <c r="AD616" s="1530"/>
      <c r="AE616" s="1530"/>
      <c r="AF616" s="1530"/>
      <c r="AG616" s="1530"/>
      <c r="AH616" s="1530"/>
      <c r="AI616" s="1530"/>
      <c r="AJ616" s="1530"/>
      <c r="AK616" s="1530"/>
      <c r="AL616" s="1530"/>
      <c r="AM616" s="1530"/>
      <c r="AN616" s="1530"/>
      <c r="AO616" s="1530"/>
      <c r="AP616" s="1530"/>
      <c r="AQ616" s="1530"/>
      <c r="AR616" s="1530"/>
      <c r="AS616" s="1530"/>
      <c r="AT616" s="1530"/>
      <c r="AU616" s="1530"/>
      <c r="AV616" s="1530"/>
      <c r="AW616" s="1530"/>
      <c r="AX616" s="1530"/>
      <c r="AY616" s="1530"/>
      <c r="AZ616" s="1530"/>
      <c r="BA616" s="1530"/>
      <c r="BB616" s="1530"/>
      <c r="BC616" s="1530"/>
      <c r="BD616" s="1530"/>
      <c r="BE616" s="1530"/>
      <c r="BF616" s="1530"/>
      <c r="BG616" s="1530"/>
      <c r="BH616" s="1530"/>
      <c r="BI616" s="1530"/>
      <c r="BJ616" s="1530"/>
      <c r="BK616" s="1530"/>
      <c r="BL616" s="1530"/>
      <c r="BM616" s="1530"/>
      <c r="BN616" s="1530"/>
      <c r="BW616" s="1569"/>
      <c r="CO616" s="1530"/>
      <c r="CP616" s="1530"/>
      <c r="CQ616" s="1530"/>
      <c r="CR616" s="1530"/>
      <c r="CS616" s="1530"/>
      <c r="CT616" s="1530"/>
      <c r="CU616" s="1530"/>
      <c r="CV616" s="1530"/>
      <c r="CW616" s="1530"/>
      <c r="CX616" s="1530"/>
      <c r="CY616" s="1530"/>
      <c r="CZ616" s="1530"/>
      <c r="DA616" s="1530"/>
      <c r="DB616" s="1530"/>
      <c r="DC616" s="1530"/>
      <c r="DD616" s="1530"/>
      <c r="DE616" s="1530"/>
      <c r="DF616" s="1530"/>
      <c r="DG616" s="1530"/>
      <c r="DH616" s="1530"/>
      <c r="DI616" s="1530"/>
      <c r="DJ616" s="1530"/>
      <c r="DK616" s="1530"/>
      <c r="DL616" s="1530"/>
      <c r="DM616" s="1530"/>
      <c r="DN616" s="1571"/>
      <c r="DO616" s="1530"/>
      <c r="DP616" s="1530"/>
    </row>
    <row r="617" spans="1:120">
      <c r="A617" s="1451"/>
      <c r="C617" s="1451"/>
      <c r="K617" s="1451"/>
      <c r="L617" s="1451"/>
      <c r="U617" s="1530"/>
      <c r="V617" s="1530"/>
      <c r="W617" s="1530"/>
      <c r="X617" s="1530"/>
      <c r="Y617" s="1530"/>
      <c r="Z617" s="1530"/>
      <c r="AA617" s="1530"/>
      <c r="AB617" s="1530"/>
      <c r="AC617" s="1530"/>
      <c r="AD617" s="1530"/>
      <c r="AE617" s="1530"/>
      <c r="AF617" s="1530"/>
      <c r="AG617" s="1530"/>
      <c r="AH617" s="1530"/>
      <c r="AI617" s="1530"/>
      <c r="AJ617" s="1530"/>
      <c r="AK617" s="1530"/>
      <c r="AL617" s="1530"/>
      <c r="AM617" s="1530"/>
      <c r="AN617" s="1530"/>
      <c r="AO617" s="1530"/>
      <c r="AP617" s="1530"/>
      <c r="AQ617" s="1530"/>
      <c r="AR617" s="1530"/>
      <c r="AS617" s="1530"/>
      <c r="AT617" s="1530"/>
      <c r="AU617" s="1530"/>
      <c r="AV617" s="1530"/>
      <c r="AW617" s="1530"/>
      <c r="AX617" s="1530"/>
      <c r="AY617" s="1530"/>
      <c r="AZ617" s="1530"/>
      <c r="BA617" s="1530"/>
      <c r="BB617" s="1530"/>
      <c r="BC617" s="1530"/>
      <c r="BD617" s="1530"/>
      <c r="BE617" s="1530"/>
      <c r="BF617" s="1530"/>
      <c r="BG617" s="1530"/>
      <c r="BH617" s="1530"/>
      <c r="BI617" s="1530"/>
      <c r="BJ617" s="1530"/>
      <c r="BK617" s="1530"/>
      <c r="BL617" s="1530"/>
      <c r="BM617" s="1530"/>
      <c r="BN617" s="1530"/>
      <c r="BW617" s="1569"/>
      <c r="CO617" s="1530"/>
      <c r="CP617" s="1530"/>
      <c r="CQ617" s="1530"/>
      <c r="CR617" s="1530"/>
      <c r="CS617" s="1530"/>
      <c r="CT617" s="1530"/>
      <c r="CU617" s="1530"/>
      <c r="CV617" s="1530"/>
      <c r="CW617" s="1530"/>
      <c r="CX617" s="1530"/>
      <c r="CY617" s="1530"/>
      <c r="CZ617" s="1530"/>
      <c r="DA617" s="1530"/>
      <c r="DB617" s="1530"/>
      <c r="DC617" s="1530"/>
      <c r="DD617" s="1530"/>
      <c r="DE617" s="1530"/>
      <c r="DF617" s="1530"/>
      <c r="DG617" s="1530"/>
      <c r="DH617" s="1530"/>
      <c r="DI617" s="1530"/>
      <c r="DJ617" s="1530"/>
      <c r="DK617" s="1530"/>
      <c r="DL617" s="1530"/>
      <c r="DM617" s="1530"/>
      <c r="DN617" s="1571"/>
      <c r="DO617" s="1530"/>
      <c r="DP617" s="1530"/>
    </row>
    <row r="618" spans="1:120">
      <c r="A618" s="1451"/>
      <c r="C618" s="1451"/>
      <c r="K618" s="1451"/>
      <c r="L618" s="1451"/>
      <c r="U618" s="1530"/>
      <c r="V618" s="1530"/>
      <c r="W618" s="1530"/>
      <c r="X618" s="1530"/>
      <c r="Y618" s="1530"/>
      <c r="Z618" s="1530"/>
      <c r="AA618" s="1530"/>
      <c r="AB618" s="1530"/>
      <c r="AC618" s="1530"/>
      <c r="AD618" s="1530"/>
      <c r="AE618" s="1530"/>
      <c r="AF618" s="1530"/>
      <c r="AG618" s="1530"/>
      <c r="AH618" s="1530"/>
      <c r="AI618" s="1530"/>
      <c r="AJ618" s="1530"/>
      <c r="AK618" s="1530"/>
      <c r="AL618" s="1530"/>
      <c r="AM618" s="1530"/>
      <c r="AN618" s="1530"/>
      <c r="AO618" s="1530"/>
      <c r="AP618" s="1530"/>
      <c r="AQ618" s="1530"/>
      <c r="AR618" s="1530"/>
      <c r="AS618" s="1530"/>
      <c r="AT618" s="1530"/>
      <c r="AU618" s="1530"/>
      <c r="AV618" s="1530"/>
      <c r="AW618" s="1530"/>
      <c r="AX618" s="1530"/>
      <c r="AY618" s="1530"/>
      <c r="AZ618" s="1530"/>
      <c r="BA618" s="1530"/>
      <c r="BB618" s="1530"/>
      <c r="BC618" s="1530"/>
      <c r="BD618" s="1530"/>
      <c r="BE618" s="1530"/>
      <c r="BF618" s="1530"/>
      <c r="BG618" s="1530"/>
      <c r="BH618" s="1530"/>
      <c r="BI618" s="1530"/>
      <c r="BJ618" s="1530"/>
      <c r="BK618" s="1530"/>
      <c r="BL618" s="1530"/>
      <c r="BM618" s="1530"/>
      <c r="BN618" s="1530"/>
      <c r="BW618" s="1569"/>
      <c r="CO618" s="1530"/>
      <c r="CP618" s="1530"/>
      <c r="CQ618" s="1530"/>
      <c r="CR618" s="1530"/>
      <c r="CS618" s="1530"/>
      <c r="CT618" s="1530"/>
      <c r="CU618" s="1530"/>
      <c r="CV618" s="1530"/>
      <c r="CW618" s="1530"/>
      <c r="CX618" s="1530"/>
      <c r="CY618" s="1530"/>
      <c r="CZ618" s="1530"/>
      <c r="DA618" s="1530"/>
      <c r="DB618" s="1530"/>
      <c r="DC618" s="1530"/>
      <c r="DD618" s="1530"/>
      <c r="DE618" s="1530"/>
      <c r="DF618" s="1530"/>
      <c r="DG618" s="1530"/>
      <c r="DH618" s="1530"/>
      <c r="DI618" s="1530"/>
      <c r="DJ618" s="1530"/>
      <c r="DK618" s="1530"/>
      <c r="DL618" s="1530"/>
      <c r="DM618" s="1530"/>
      <c r="DN618" s="1571"/>
      <c r="DO618" s="1530"/>
      <c r="DP618" s="1530"/>
    </row>
    <row r="619" spans="1:120">
      <c r="A619" s="1451"/>
      <c r="C619" s="1451"/>
      <c r="K619" s="1451"/>
      <c r="L619" s="1451"/>
      <c r="U619" s="1530"/>
      <c r="V619" s="1530"/>
      <c r="W619" s="1530"/>
      <c r="X619" s="1530"/>
      <c r="Y619" s="1530"/>
      <c r="Z619" s="1530"/>
      <c r="AA619" s="1530"/>
      <c r="AB619" s="1530"/>
      <c r="AC619" s="1530"/>
      <c r="AD619" s="1530"/>
      <c r="AE619" s="1530"/>
      <c r="AF619" s="1530"/>
      <c r="AG619" s="1530"/>
      <c r="AH619" s="1530"/>
      <c r="AI619" s="1530"/>
      <c r="AJ619" s="1530"/>
      <c r="AK619" s="1530"/>
      <c r="AL619" s="1530"/>
      <c r="AM619" s="1530"/>
      <c r="AN619" s="1530"/>
      <c r="AO619" s="1530"/>
      <c r="AP619" s="1530"/>
      <c r="AQ619" s="1530"/>
      <c r="AR619" s="1530"/>
      <c r="AS619" s="1530"/>
      <c r="AT619" s="1530"/>
      <c r="AU619" s="1530"/>
      <c r="AV619" s="1530"/>
      <c r="AW619" s="1530"/>
      <c r="AX619" s="1530"/>
      <c r="AY619" s="1530"/>
      <c r="AZ619" s="1530"/>
      <c r="BA619" s="1530"/>
      <c r="BB619" s="1530"/>
      <c r="BC619" s="1530"/>
      <c r="BD619" s="1530"/>
      <c r="BE619" s="1530"/>
      <c r="BF619" s="1530"/>
      <c r="BG619" s="1530"/>
      <c r="BH619" s="1530"/>
      <c r="BI619" s="1530"/>
      <c r="BJ619" s="1530"/>
      <c r="BK619" s="1530"/>
      <c r="BL619" s="1530"/>
      <c r="BM619" s="1530"/>
      <c r="BN619" s="1530"/>
      <c r="BW619" s="1569"/>
      <c r="CO619" s="1530"/>
      <c r="CP619" s="1530"/>
      <c r="CQ619" s="1530"/>
      <c r="CR619" s="1530"/>
      <c r="CS619" s="1530"/>
      <c r="CT619" s="1530"/>
      <c r="CU619" s="1530"/>
      <c r="CV619" s="1530"/>
      <c r="CW619" s="1530"/>
      <c r="CX619" s="1530"/>
      <c r="CY619" s="1530"/>
      <c r="CZ619" s="1530"/>
      <c r="DA619" s="1530"/>
      <c r="DB619" s="1530"/>
      <c r="DC619" s="1530"/>
      <c r="DD619" s="1530"/>
      <c r="DE619" s="1530"/>
      <c r="DF619" s="1530"/>
      <c r="DG619" s="1530"/>
      <c r="DH619" s="1530"/>
      <c r="DI619" s="1530"/>
      <c r="DJ619" s="1530"/>
      <c r="DK619" s="1530"/>
      <c r="DL619" s="1530"/>
      <c r="DM619" s="1530"/>
      <c r="DN619" s="1571"/>
      <c r="DO619" s="1530"/>
      <c r="DP619" s="1530"/>
    </row>
    <row r="620" spans="1:120">
      <c r="A620" s="1451"/>
      <c r="C620" s="1451"/>
      <c r="K620" s="1451"/>
      <c r="L620" s="1451"/>
      <c r="U620" s="1530"/>
      <c r="V620" s="1530"/>
      <c r="W620" s="1530"/>
      <c r="X620" s="1530"/>
      <c r="Y620" s="1530"/>
      <c r="Z620" s="1530"/>
      <c r="AA620" s="1530"/>
      <c r="AB620" s="1530"/>
      <c r="AC620" s="1530"/>
      <c r="AD620" s="1530"/>
      <c r="AE620" s="1530"/>
      <c r="AF620" s="1530"/>
      <c r="AG620" s="1530"/>
      <c r="AH620" s="1530"/>
      <c r="AI620" s="1530"/>
      <c r="AJ620" s="1530"/>
      <c r="AK620" s="1530"/>
      <c r="AL620" s="1530"/>
      <c r="AM620" s="1530"/>
      <c r="AN620" s="1530"/>
      <c r="AO620" s="1530"/>
      <c r="AP620" s="1530"/>
      <c r="AQ620" s="1530"/>
      <c r="AR620" s="1530"/>
      <c r="AS620" s="1530"/>
      <c r="AT620" s="1530"/>
      <c r="AU620" s="1530"/>
      <c r="AV620" s="1530"/>
      <c r="AW620" s="1530"/>
      <c r="AX620" s="1530"/>
      <c r="AY620" s="1530"/>
      <c r="AZ620" s="1530"/>
      <c r="BA620" s="1530"/>
      <c r="BB620" s="1530"/>
      <c r="BC620" s="1530"/>
      <c r="BD620" s="1530"/>
      <c r="BE620" s="1530"/>
      <c r="BF620" s="1530"/>
      <c r="BG620" s="1530"/>
      <c r="BH620" s="1530"/>
      <c r="BI620" s="1530"/>
      <c r="BJ620" s="1530"/>
      <c r="BK620" s="1530"/>
      <c r="BL620" s="1530"/>
      <c r="BM620" s="1530"/>
      <c r="BN620" s="1530"/>
      <c r="BW620" s="1569"/>
      <c r="CO620" s="1530"/>
      <c r="CP620" s="1530"/>
      <c r="CQ620" s="1530"/>
      <c r="CR620" s="1530"/>
      <c r="CS620" s="1530"/>
      <c r="CT620" s="1530"/>
      <c r="CU620" s="1530"/>
      <c r="CV620" s="1530"/>
      <c r="CW620" s="1530"/>
      <c r="CX620" s="1530"/>
      <c r="CY620" s="1530"/>
      <c r="CZ620" s="1530"/>
      <c r="DA620" s="1530"/>
      <c r="DB620" s="1530"/>
      <c r="DC620" s="1530"/>
      <c r="DD620" s="1530"/>
      <c r="DE620" s="1530"/>
      <c r="DF620" s="1530"/>
      <c r="DG620" s="1530"/>
      <c r="DH620" s="1530"/>
      <c r="DI620" s="1530"/>
      <c r="DJ620" s="1530"/>
      <c r="DK620" s="1530"/>
      <c r="DL620" s="1530"/>
      <c r="DM620" s="1530"/>
      <c r="DN620" s="1571"/>
      <c r="DO620" s="1530"/>
      <c r="DP620" s="1530"/>
    </row>
    <row r="621" spans="1:120">
      <c r="A621" s="1451"/>
      <c r="C621" s="1451"/>
      <c r="K621" s="1451"/>
      <c r="L621" s="1451"/>
      <c r="U621" s="1530"/>
      <c r="V621" s="1530"/>
      <c r="W621" s="1530"/>
      <c r="X621" s="1530"/>
      <c r="Y621" s="1530"/>
      <c r="Z621" s="1530"/>
      <c r="AA621" s="1530"/>
      <c r="AB621" s="1530"/>
      <c r="AC621" s="1530"/>
      <c r="AD621" s="1530"/>
      <c r="AE621" s="1530"/>
      <c r="AF621" s="1530"/>
      <c r="AG621" s="1530"/>
      <c r="AH621" s="1530"/>
      <c r="AI621" s="1530"/>
      <c r="AJ621" s="1530"/>
      <c r="AK621" s="1530"/>
      <c r="AL621" s="1530"/>
      <c r="AM621" s="1530"/>
      <c r="AN621" s="1530"/>
      <c r="AO621" s="1530"/>
      <c r="AP621" s="1530"/>
      <c r="AQ621" s="1530"/>
      <c r="AR621" s="1530"/>
      <c r="AS621" s="1530"/>
      <c r="AT621" s="1530"/>
      <c r="AU621" s="1530"/>
      <c r="AV621" s="1530"/>
      <c r="AW621" s="1530"/>
      <c r="AX621" s="1530"/>
      <c r="AY621" s="1530"/>
      <c r="AZ621" s="1530"/>
      <c r="BA621" s="1530"/>
      <c r="BB621" s="1530"/>
      <c r="BC621" s="1530"/>
      <c r="BD621" s="1530"/>
      <c r="BE621" s="1530"/>
      <c r="BF621" s="1530"/>
      <c r="BG621" s="1530"/>
      <c r="BH621" s="1530"/>
      <c r="BI621" s="1530"/>
      <c r="BJ621" s="1530"/>
      <c r="BK621" s="1530"/>
      <c r="BL621" s="1530"/>
      <c r="BM621" s="1530"/>
      <c r="BN621" s="1530"/>
      <c r="BW621" s="1569"/>
      <c r="CO621" s="1530"/>
      <c r="CP621" s="1530"/>
      <c r="CQ621" s="1530"/>
      <c r="CR621" s="1530"/>
      <c r="CS621" s="1530"/>
      <c r="CT621" s="1530"/>
      <c r="CU621" s="1530"/>
      <c r="CV621" s="1530"/>
      <c r="CW621" s="1530"/>
      <c r="CX621" s="1530"/>
      <c r="CY621" s="1530"/>
      <c r="CZ621" s="1530"/>
      <c r="DA621" s="1530"/>
      <c r="DB621" s="1530"/>
      <c r="DC621" s="1530"/>
      <c r="DD621" s="1530"/>
      <c r="DE621" s="1530"/>
      <c r="DF621" s="1530"/>
      <c r="DG621" s="1530"/>
      <c r="DH621" s="1530"/>
      <c r="DI621" s="1530"/>
      <c r="DJ621" s="1530"/>
      <c r="DK621" s="1530"/>
      <c r="DL621" s="1530"/>
      <c r="DM621" s="1530"/>
      <c r="DN621" s="1571"/>
      <c r="DO621" s="1530"/>
      <c r="DP621" s="1530"/>
    </row>
    <row r="622" spans="1:120">
      <c r="A622" s="1451"/>
      <c r="C622" s="1451"/>
      <c r="K622" s="1451"/>
      <c r="L622" s="1451"/>
      <c r="U622" s="1530"/>
      <c r="V622" s="1530"/>
      <c r="W622" s="1530"/>
      <c r="X622" s="1530"/>
      <c r="Y622" s="1530"/>
      <c r="Z622" s="1530"/>
      <c r="AA622" s="1530"/>
      <c r="AB622" s="1530"/>
      <c r="AC622" s="1530"/>
      <c r="AD622" s="1530"/>
      <c r="AE622" s="1530"/>
      <c r="AF622" s="1530"/>
      <c r="AG622" s="1530"/>
      <c r="AH622" s="1530"/>
      <c r="AI622" s="1530"/>
      <c r="AJ622" s="1530"/>
      <c r="AK622" s="1530"/>
      <c r="AL622" s="1530"/>
      <c r="AM622" s="1530"/>
      <c r="AN622" s="1530"/>
      <c r="AO622" s="1530"/>
      <c r="AP622" s="1530"/>
      <c r="AQ622" s="1530"/>
      <c r="AR622" s="1530"/>
      <c r="AS622" s="1530"/>
      <c r="AT622" s="1530"/>
      <c r="AU622" s="1530"/>
      <c r="AV622" s="1530"/>
      <c r="AW622" s="1530"/>
      <c r="AX622" s="1530"/>
      <c r="AY622" s="1530"/>
      <c r="AZ622" s="1530"/>
      <c r="BA622" s="1530"/>
      <c r="BB622" s="1530"/>
      <c r="BC622" s="1530"/>
      <c r="BD622" s="1530"/>
      <c r="BE622" s="1530"/>
      <c r="BF622" s="1530"/>
      <c r="BG622" s="1530"/>
      <c r="BH622" s="1530"/>
      <c r="BI622" s="1530"/>
      <c r="BJ622" s="1530"/>
      <c r="BK622" s="1530"/>
      <c r="BL622" s="1530"/>
      <c r="BM622" s="1530"/>
      <c r="BN622" s="1530"/>
      <c r="BW622" s="1569"/>
      <c r="CO622" s="1530"/>
      <c r="CP622" s="1530"/>
      <c r="CQ622" s="1530"/>
      <c r="CR622" s="1530"/>
      <c r="CS622" s="1530"/>
      <c r="CT622" s="1530"/>
      <c r="CU622" s="1530"/>
      <c r="CV622" s="1530"/>
      <c r="CW622" s="1530"/>
      <c r="CX622" s="1530"/>
      <c r="CY622" s="1530"/>
      <c r="CZ622" s="1530"/>
      <c r="DA622" s="1530"/>
      <c r="DB622" s="1530"/>
      <c r="DC622" s="1530"/>
      <c r="DD622" s="1530"/>
      <c r="DE622" s="1530"/>
      <c r="DF622" s="1530"/>
      <c r="DG622" s="1530"/>
      <c r="DH622" s="1530"/>
      <c r="DI622" s="1530"/>
      <c r="DJ622" s="1530"/>
      <c r="DK622" s="1530"/>
      <c r="DL622" s="1530"/>
      <c r="DM622" s="1530"/>
      <c r="DN622" s="1571"/>
      <c r="DO622" s="1530"/>
      <c r="DP622" s="1530"/>
    </row>
    <row r="623" spans="1:120">
      <c r="A623" s="1451"/>
      <c r="C623" s="1451"/>
      <c r="K623" s="1451"/>
      <c r="L623" s="1451"/>
      <c r="U623" s="1530"/>
      <c r="V623" s="1530"/>
      <c r="W623" s="1530"/>
      <c r="X623" s="1530"/>
      <c r="Y623" s="1530"/>
      <c r="Z623" s="1530"/>
      <c r="AA623" s="1530"/>
      <c r="AB623" s="1530"/>
      <c r="AC623" s="1530"/>
      <c r="AD623" s="1530"/>
      <c r="AE623" s="1530"/>
      <c r="AF623" s="1530"/>
      <c r="AG623" s="1530"/>
      <c r="AH623" s="1530"/>
      <c r="AI623" s="1530"/>
      <c r="AJ623" s="1530"/>
      <c r="AK623" s="1530"/>
      <c r="AL623" s="1530"/>
      <c r="AM623" s="1530"/>
      <c r="AN623" s="1530"/>
      <c r="AO623" s="1530"/>
      <c r="AP623" s="1530"/>
      <c r="AQ623" s="1530"/>
      <c r="AR623" s="1530"/>
      <c r="AS623" s="1530"/>
      <c r="AT623" s="1530"/>
      <c r="AU623" s="1530"/>
      <c r="AV623" s="1530"/>
      <c r="AW623" s="1530"/>
      <c r="AX623" s="1530"/>
      <c r="AY623" s="1530"/>
      <c r="AZ623" s="1530"/>
      <c r="BA623" s="1530"/>
      <c r="BB623" s="1530"/>
      <c r="BC623" s="1530"/>
      <c r="BD623" s="1530"/>
      <c r="BE623" s="1530"/>
      <c r="BF623" s="1530"/>
      <c r="BG623" s="1530"/>
      <c r="BH623" s="1530"/>
      <c r="BI623" s="1530"/>
      <c r="BJ623" s="1530"/>
      <c r="BK623" s="1530"/>
      <c r="BL623" s="1530"/>
      <c r="BM623" s="1530"/>
      <c r="BN623" s="1530"/>
      <c r="BW623" s="1569"/>
      <c r="CO623" s="1530"/>
      <c r="CP623" s="1530"/>
      <c r="CQ623" s="1530"/>
      <c r="CR623" s="1530"/>
      <c r="CS623" s="1530"/>
      <c r="CT623" s="1530"/>
      <c r="CU623" s="1530"/>
      <c r="CV623" s="1530"/>
      <c r="CW623" s="1530"/>
      <c r="CX623" s="1530"/>
      <c r="CY623" s="1530"/>
      <c r="CZ623" s="1530"/>
      <c r="DA623" s="1530"/>
      <c r="DB623" s="1530"/>
      <c r="DC623" s="1530"/>
      <c r="DD623" s="1530"/>
      <c r="DE623" s="1530"/>
      <c r="DF623" s="1530"/>
      <c r="DG623" s="1530"/>
      <c r="DH623" s="1530"/>
      <c r="DI623" s="1530"/>
      <c r="DJ623" s="1530"/>
      <c r="DK623" s="1530"/>
      <c r="DL623" s="1530"/>
      <c r="DM623" s="1530"/>
      <c r="DN623" s="1571"/>
      <c r="DO623" s="1530"/>
      <c r="DP623" s="1530"/>
    </row>
    <row r="624" spans="1:120">
      <c r="A624" s="1451"/>
      <c r="C624" s="1451"/>
      <c r="K624" s="1451"/>
      <c r="L624" s="1451"/>
      <c r="U624" s="1530"/>
      <c r="V624" s="1530"/>
      <c r="W624" s="1530"/>
      <c r="X624" s="1530"/>
      <c r="Y624" s="1530"/>
      <c r="Z624" s="1530"/>
      <c r="AA624" s="1530"/>
      <c r="AB624" s="1530"/>
      <c r="AC624" s="1530"/>
      <c r="AD624" s="1530"/>
      <c r="AE624" s="1530"/>
      <c r="AF624" s="1530"/>
      <c r="AG624" s="1530"/>
      <c r="AH624" s="1530"/>
      <c r="AI624" s="1530"/>
      <c r="AJ624" s="1530"/>
      <c r="AK624" s="1530"/>
      <c r="AL624" s="1530"/>
      <c r="AM624" s="1530"/>
      <c r="AN624" s="1530"/>
      <c r="AO624" s="1530"/>
      <c r="AP624" s="1530"/>
      <c r="AQ624" s="1530"/>
      <c r="AR624" s="1530"/>
      <c r="AS624" s="1530"/>
      <c r="AT624" s="1530"/>
      <c r="AU624" s="1530"/>
      <c r="AV624" s="1530"/>
      <c r="AW624" s="1530"/>
      <c r="AX624" s="1530"/>
      <c r="AY624" s="1530"/>
      <c r="AZ624" s="1530"/>
      <c r="BA624" s="1530"/>
      <c r="BB624" s="1530"/>
      <c r="BC624" s="1530"/>
      <c r="BD624" s="1530"/>
      <c r="BE624" s="1530"/>
      <c r="BF624" s="1530"/>
      <c r="BG624" s="1530"/>
      <c r="BH624" s="1530"/>
      <c r="BI624" s="1530"/>
      <c r="BJ624" s="1530"/>
      <c r="BK624" s="1530"/>
      <c r="BL624" s="1530"/>
      <c r="BM624" s="1530"/>
      <c r="BN624" s="1530"/>
      <c r="BW624" s="1569"/>
      <c r="CO624" s="1530"/>
      <c r="CP624" s="1530"/>
      <c r="CQ624" s="1530"/>
      <c r="CR624" s="1530"/>
      <c r="CS624" s="1530"/>
      <c r="CT624" s="1530"/>
      <c r="CU624" s="1530"/>
      <c r="CV624" s="1530"/>
      <c r="CW624" s="1530"/>
      <c r="CX624" s="1530"/>
      <c r="CY624" s="1530"/>
      <c r="CZ624" s="1530"/>
      <c r="DA624" s="1530"/>
      <c r="DB624" s="1530"/>
      <c r="DC624" s="1530"/>
      <c r="DD624" s="1530"/>
      <c r="DE624" s="1530"/>
      <c r="DF624" s="1530"/>
      <c r="DG624" s="1530"/>
      <c r="DH624" s="1530"/>
      <c r="DI624" s="1530"/>
      <c r="DJ624" s="1530"/>
      <c r="DK624" s="1530"/>
      <c r="DL624" s="1530"/>
      <c r="DM624" s="1530"/>
      <c r="DN624" s="1571"/>
      <c r="DO624" s="1530"/>
      <c r="DP624" s="1530"/>
    </row>
    <row r="625" spans="1:120">
      <c r="A625" s="1451"/>
      <c r="C625" s="1451"/>
      <c r="K625" s="1451"/>
      <c r="L625" s="1451"/>
      <c r="U625" s="1530"/>
      <c r="V625" s="1530"/>
      <c r="W625" s="1530"/>
      <c r="X625" s="1530"/>
      <c r="Y625" s="1530"/>
      <c r="Z625" s="1530"/>
      <c r="AA625" s="1530"/>
      <c r="AB625" s="1530"/>
      <c r="AC625" s="1530"/>
      <c r="AD625" s="1530"/>
      <c r="AE625" s="1530"/>
      <c r="AF625" s="1530"/>
      <c r="AG625" s="1530"/>
      <c r="AH625" s="1530"/>
      <c r="AI625" s="1530"/>
      <c r="AJ625" s="1530"/>
      <c r="AK625" s="1530"/>
      <c r="AL625" s="1530"/>
      <c r="AM625" s="1530"/>
      <c r="AN625" s="1530"/>
      <c r="AO625" s="1530"/>
      <c r="AP625" s="1530"/>
      <c r="AQ625" s="1530"/>
      <c r="AR625" s="1530"/>
      <c r="AS625" s="1530"/>
      <c r="AT625" s="1530"/>
      <c r="AU625" s="1530"/>
      <c r="AV625" s="1530"/>
      <c r="AW625" s="1530"/>
      <c r="AX625" s="1530"/>
      <c r="AY625" s="1530"/>
      <c r="AZ625" s="1530"/>
      <c r="BA625" s="1530"/>
      <c r="BB625" s="1530"/>
      <c r="BC625" s="1530"/>
      <c r="BD625" s="1530"/>
      <c r="BE625" s="1530"/>
      <c r="BF625" s="1530"/>
      <c r="BG625" s="1530"/>
      <c r="BH625" s="1530"/>
      <c r="BI625" s="1530"/>
      <c r="BJ625" s="1530"/>
      <c r="BK625" s="1530"/>
      <c r="BL625" s="1530"/>
      <c r="BM625" s="1530"/>
      <c r="BN625" s="1530"/>
      <c r="BW625" s="1569"/>
      <c r="CO625" s="1530"/>
      <c r="CP625" s="1530"/>
      <c r="CQ625" s="1530"/>
      <c r="CR625" s="1530"/>
      <c r="CS625" s="1530"/>
      <c r="CT625" s="1530"/>
      <c r="CU625" s="1530"/>
      <c r="CV625" s="1530"/>
      <c r="CW625" s="1530"/>
      <c r="CX625" s="1530"/>
      <c r="CY625" s="1530"/>
      <c r="CZ625" s="1530"/>
      <c r="DA625" s="1530"/>
      <c r="DB625" s="1530"/>
      <c r="DC625" s="1530"/>
      <c r="DD625" s="1530"/>
      <c r="DE625" s="1530"/>
      <c r="DF625" s="1530"/>
      <c r="DG625" s="1530"/>
      <c r="DH625" s="1530"/>
      <c r="DI625" s="1530"/>
      <c r="DJ625" s="1530"/>
      <c r="DK625" s="1530"/>
      <c r="DL625" s="1530"/>
      <c r="DM625" s="1530"/>
      <c r="DN625" s="1571"/>
      <c r="DO625" s="1530"/>
      <c r="DP625" s="1530"/>
    </row>
    <row r="626" spans="1:120">
      <c r="A626" s="1451"/>
      <c r="C626" s="1451"/>
      <c r="K626" s="1451"/>
      <c r="L626" s="1451"/>
      <c r="U626" s="1530"/>
      <c r="V626" s="1530"/>
      <c r="W626" s="1530"/>
      <c r="X626" s="1530"/>
      <c r="Y626" s="1530"/>
      <c r="Z626" s="1530"/>
      <c r="AA626" s="1530"/>
      <c r="AB626" s="1530"/>
      <c r="AC626" s="1530"/>
      <c r="AD626" s="1530"/>
      <c r="AE626" s="1530"/>
      <c r="AF626" s="1530"/>
      <c r="AG626" s="1530"/>
      <c r="AH626" s="1530"/>
      <c r="AI626" s="1530"/>
      <c r="AJ626" s="1530"/>
      <c r="AK626" s="1530"/>
      <c r="AL626" s="1530"/>
      <c r="AM626" s="1530"/>
      <c r="AN626" s="1530"/>
      <c r="AO626" s="1530"/>
      <c r="AP626" s="1530"/>
      <c r="AQ626" s="1530"/>
      <c r="AR626" s="1530"/>
      <c r="AS626" s="1530"/>
      <c r="AT626" s="1530"/>
      <c r="AU626" s="1530"/>
      <c r="AV626" s="1530"/>
      <c r="AW626" s="1530"/>
      <c r="AX626" s="1530"/>
      <c r="AY626" s="1530"/>
      <c r="AZ626" s="1530"/>
      <c r="BA626" s="1530"/>
      <c r="BB626" s="1530"/>
      <c r="BC626" s="1530"/>
      <c r="BD626" s="1530"/>
      <c r="BE626" s="1530"/>
      <c r="BF626" s="1530"/>
      <c r="BG626" s="1530"/>
      <c r="BH626" s="1530"/>
      <c r="BI626" s="1530"/>
      <c r="BJ626" s="1530"/>
      <c r="BK626" s="1530"/>
      <c r="BL626" s="1530"/>
      <c r="BM626" s="1530"/>
      <c r="BN626" s="1530"/>
      <c r="BW626" s="1569"/>
      <c r="CO626" s="1530"/>
      <c r="CP626" s="1530"/>
      <c r="CQ626" s="1530"/>
      <c r="CR626" s="1530"/>
      <c r="CS626" s="1530"/>
      <c r="CT626" s="1530"/>
      <c r="CU626" s="1530"/>
      <c r="CV626" s="1530"/>
      <c r="CW626" s="1530"/>
      <c r="CX626" s="1530"/>
      <c r="CY626" s="1530"/>
      <c r="CZ626" s="1530"/>
      <c r="DA626" s="1530"/>
      <c r="DB626" s="1530"/>
      <c r="DC626" s="1530"/>
      <c r="DD626" s="1530"/>
      <c r="DE626" s="1530"/>
      <c r="DF626" s="1530"/>
      <c r="DG626" s="1530"/>
      <c r="DH626" s="1530"/>
      <c r="DI626" s="1530"/>
      <c r="DJ626" s="1530"/>
      <c r="DK626" s="1530"/>
      <c r="DL626" s="1530"/>
      <c r="DM626" s="1530"/>
      <c r="DN626" s="1571"/>
      <c r="DO626" s="1530"/>
      <c r="DP626" s="1530"/>
    </row>
    <row r="627" spans="1:120">
      <c r="A627" s="1451"/>
      <c r="C627" s="1451"/>
      <c r="K627" s="1451"/>
      <c r="L627" s="1451"/>
      <c r="U627" s="1530"/>
      <c r="V627" s="1530"/>
      <c r="W627" s="1530"/>
      <c r="X627" s="1530"/>
      <c r="Y627" s="1530"/>
      <c r="Z627" s="1530"/>
      <c r="AA627" s="1530"/>
      <c r="AB627" s="1530"/>
      <c r="AC627" s="1530"/>
      <c r="AD627" s="1530"/>
      <c r="AE627" s="1530"/>
      <c r="AF627" s="1530"/>
      <c r="AG627" s="1530"/>
      <c r="AH627" s="1530"/>
      <c r="AI627" s="1530"/>
      <c r="AJ627" s="1530"/>
      <c r="AK627" s="1530"/>
      <c r="AL627" s="1530"/>
      <c r="AM627" s="1530"/>
      <c r="AN627" s="1530"/>
      <c r="AO627" s="1530"/>
      <c r="AP627" s="1530"/>
      <c r="AQ627" s="1530"/>
      <c r="AR627" s="1530"/>
      <c r="AS627" s="1530"/>
      <c r="AT627" s="1530"/>
      <c r="AU627" s="1530"/>
      <c r="AV627" s="1530"/>
      <c r="AW627" s="1530"/>
      <c r="AX627" s="1530"/>
      <c r="AY627" s="1530"/>
      <c r="AZ627" s="1530"/>
      <c r="BA627" s="1530"/>
      <c r="BB627" s="1530"/>
      <c r="BC627" s="1530"/>
      <c r="BD627" s="1530"/>
      <c r="BE627" s="1530"/>
      <c r="BF627" s="1530"/>
      <c r="BG627" s="1530"/>
      <c r="BH627" s="1530"/>
      <c r="BI627" s="1530"/>
      <c r="BJ627" s="1530"/>
      <c r="BK627" s="1530"/>
      <c r="BL627" s="1530"/>
      <c r="BM627" s="1530"/>
      <c r="BN627" s="1530"/>
      <c r="BW627" s="1569"/>
      <c r="CO627" s="1530"/>
      <c r="CP627" s="1530"/>
      <c r="CQ627" s="1530"/>
      <c r="CR627" s="1530"/>
      <c r="CS627" s="1530"/>
      <c r="CT627" s="1530"/>
      <c r="CU627" s="1530"/>
      <c r="CV627" s="1530"/>
      <c r="CW627" s="1530"/>
      <c r="CX627" s="1530"/>
      <c r="CY627" s="1530"/>
      <c r="CZ627" s="1530"/>
      <c r="DA627" s="1530"/>
      <c r="DB627" s="1530"/>
      <c r="DC627" s="1530"/>
      <c r="DD627" s="1530"/>
      <c r="DE627" s="1530"/>
      <c r="DF627" s="1530"/>
      <c r="DG627" s="1530"/>
      <c r="DH627" s="1530"/>
      <c r="DI627" s="1530"/>
      <c r="DJ627" s="1530"/>
      <c r="DK627" s="1530"/>
      <c r="DL627" s="1530"/>
      <c r="DM627" s="1530"/>
      <c r="DN627" s="1571"/>
      <c r="DO627" s="1530"/>
      <c r="DP627" s="1530"/>
    </row>
    <row r="628" spans="1:120">
      <c r="A628" s="1451"/>
      <c r="C628" s="1451"/>
      <c r="K628" s="1451"/>
      <c r="L628" s="1451"/>
      <c r="U628" s="1530"/>
      <c r="V628" s="1530"/>
      <c r="W628" s="1530"/>
      <c r="X628" s="1530"/>
      <c r="Y628" s="1530"/>
      <c r="Z628" s="1530"/>
      <c r="AA628" s="1530"/>
      <c r="AB628" s="1530"/>
      <c r="AC628" s="1530"/>
      <c r="AD628" s="1530"/>
      <c r="AE628" s="1530"/>
      <c r="AF628" s="1530"/>
      <c r="AG628" s="1530"/>
      <c r="AH628" s="1530"/>
      <c r="AI628" s="1530"/>
      <c r="AJ628" s="1530"/>
      <c r="AK628" s="1530"/>
      <c r="AL628" s="1530"/>
      <c r="AM628" s="1530"/>
      <c r="AN628" s="1530"/>
      <c r="AO628" s="1530"/>
      <c r="AP628" s="1530"/>
      <c r="AQ628" s="1530"/>
      <c r="AR628" s="1530"/>
      <c r="AS628" s="1530"/>
      <c r="AT628" s="1530"/>
      <c r="AU628" s="1530"/>
      <c r="AV628" s="1530"/>
      <c r="AW628" s="1530"/>
      <c r="AX628" s="1530"/>
      <c r="AY628" s="1530"/>
      <c r="AZ628" s="1530"/>
      <c r="BA628" s="1530"/>
      <c r="BB628" s="1530"/>
      <c r="BC628" s="1530"/>
      <c r="BD628" s="1530"/>
      <c r="BE628" s="1530"/>
      <c r="BF628" s="1530"/>
      <c r="BG628" s="1530"/>
      <c r="BH628" s="1530"/>
      <c r="BI628" s="1530"/>
      <c r="BJ628" s="1530"/>
      <c r="BK628" s="1530"/>
      <c r="BL628" s="1530"/>
      <c r="BM628" s="1530"/>
      <c r="BN628" s="1530"/>
      <c r="BW628" s="1569"/>
      <c r="CO628" s="1530"/>
      <c r="CP628" s="1530"/>
      <c r="CQ628" s="1530"/>
      <c r="CR628" s="1530"/>
      <c r="CS628" s="1530"/>
      <c r="CT628" s="1530"/>
      <c r="CU628" s="1530"/>
      <c r="CV628" s="1530"/>
      <c r="CW628" s="1530"/>
      <c r="CX628" s="1530"/>
      <c r="CY628" s="1530"/>
      <c r="CZ628" s="1530"/>
      <c r="DA628" s="1530"/>
      <c r="DB628" s="1530"/>
      <c r="DC628" s="1530"/>
      <c r="DD628" s="1530"/>
      <c r="DE628" s="1530"/>
      <c r="DF628" s="1530"/>
      <c r="DG628" s="1530"/>
      <c r="DH628" s="1530"/>
      <c r="DI628" s="1530"/>
      <c r="DJ628" s="1530"/>
      <c r="DK628" s="1530"/>
      <c r="DL628" s="1530"/>
      <c r="DM628" s="1530"/>
      <c r="DN628" s="1571"/>
      <c r="DO628" s="1530"/>
      <c r="DP628" s="1530"/>
    </row>
    <row r="629" spans="1:120">
      <c r="A629" s="1451"/>
      <c r="C629" s="1451"/>
      <c r="K629" s="1451"/>
      <c r="L629" s="1451"/>
      <c r="U629" s="1530"/>
      <c r="V629" s="1530"/>
      <c r="W629" s="1530"/>
      <c r="X629" s="1530"/>
      <c r="Y629" s="1530"/>
      <c r="Z629" s="1530"/>
      <c r="AA629" s="1530"/>
      <c r="AB629" s="1530"/>
      <c r="AC629" s="1530"/>
      <c r="AD629" s="1530"/>
      <c r="AE629" s="1530"/>
      <c r="AF629" s="1530"/>
      <c r="AG629" s="1530"/>
      <c r="AH629" s="1530"/>
      <c r="AI629" s="1530"/>
      <c r="AJ629" s="1530"/>
      <c r="AK629" s="1530"/>
      <c r="AL629" s="1530"/>
      <c r="AM629" s="1530"/>
      <c r="AN629" s="1530"/>
      <c r="AO629" s="1530"/>
      <c r="AP629" s="1530"/>
      <c r="AQ629" s="1530"/>
      <c r="AR629" s="1530"/>
      <c r="AS629" s="1530"/>
      <c r="AT629" s="1530"/>
      <c r="AU629" s="1530"/>
      <c r="AV629" s="1530"/>
      <c r="AW629" s="1530"/>
      <c r="AX629" s="1530"/>
      <c r="AY629" s="1530"/>
      <c r="AZ629" s="1530"/>
      <c r="BA629" s="1530"/>
      <c r="BB629" s="1530"/>
      <c r="BC629" s="1530"/>
      <c r="BD629" s="1530"/>
      <c r="BE629" s="1530"/>
      <c r="BF629" s="1530"/>
      <c r="BG629" s="1530"/>
      <c r="BH629" s="1530"/>
      <c r="BI629" s="1530"/>
      <c r="BJ629" s="1530"/>
      <c r="BK629" s="1530"/>
      <c r="BL629" s="1530"/>
      <c r="BM629" s="1530"/>
      <c r="BN629" s="1530"/>
      <c r="BW629" s="1569"/>
      <c r="CO629" s="1530"/>
      <c r="CP629" s="1530"/>
      <c r="CQ629" s="1530"/>
      <c r="CR629" s="1530"/>
      <c r="CS629" s="1530"/>
      <c r="CT629" s="1530"/>
      <c r="CU629" s="1530"/>
      <c r="CV629" s="1530"/>
      <c r="CW629" s="1530"/>
      <c r="CX629" s="1530"/>
      <c r="CY629" s="1530"/>
      <c r="CZ629" s="1530"/>
      <c r="DA629" s="1530"/>
      <c r="DB629" s="1530"/>
      <c r="DC629" s="1530"/>
      <c r="DD629" s="1530"/>
      <c r="DE629" s="1530"/>
      <c r="DF629" s="1530"/>
      <c r="DG629" s="1530"/>
      <c r="DH629" s="1530"/>
      <c r="DI629" s="1530"/>
      <c r="DJ629" s="1530"/>
      <c r="DK629" s="1530"/>
      <c r="DL629" s="1530"/>
      <c r="DM629" s="1530"/>
      <c r="DN629" s="1571"/>
      <c r="DO629" s="1530"/>
      <c r="DP629" s="1530"/>
    </row>
    <row r="630" spans="1:120">
      <c r="A630" s="1451"/>
      <c r="C630" s="1451"/>
      <c r="K630" s="1451"/>
      <c r="L630" s="1451"/>
      <c r="U630" s="1530"/>
      <c r="V630" s="1530"/>
      <c r="W630" s="1530"/>
      <c r="X630" s="1530"/>
      <c r="Y630" s="1530"/>
      <c r="Z630" s="1530"/>
      <c r="AA630" s="1530"/>
      <c r="AB630" s="1530"/>
      <c r="AC630" s="1530"/>
      <c r="AD630" s="1530"/>
      <c r="AE630" s="1530"/>
      <c r="AF630" s="1530"/>
      <c r="AG630" s="1530"/>
      <c r="AH630" s="1530"/>
      <c r="AI630" s="1530"/>
      <c r="AJ630" s="1530"/>
      <c r="AK630" s="1530"/>
      <c r="AL630" s="1530"/>
      <c r="AM630" s="1530"/>
      <c r="AN630" s="1530"/>
      <c r="AO630" s="1530"/>
      <c r="AP630" s="1530"/>
      <c r="AQ630" s="1530"/>
      <c r="AR630" s="1530"/>
      <c r="AS630" s="1530"/>
      <c r="AT630" s="1530"/>
      <c r="AU630" s="1530"/>
      <c r="AV630" s="1530"/>
      <c r="AW630" s="1530"/>
      <c r="AX630" s="1530"/>
      <c r="AY630" s="1530"/>
      <c r="AZ630" s="1530"/>
      <c r="BA630" s="1530"/>
      <c r="BB630" s="1530"/>
      <c r="BC630" s="1530"/>
      <c r="BD630" s="1530"/>
      <c r="BE630" s="1530"/>
      <c r="BF630" s="1530"/>
      <c r="BG630" s="1530"/>
      <c r="BH630" s="1530"/>
      <c r="BI630" s="1530"/>
      <c r="BJ630" s="1530"/>
      <c r="BK630" s="1530"/>
      <c r="BL630" s="1530"/>
      <c r="BM630" s="1530"/>
      <c r="BN630" s="1530"/>
      <c r="BW630" s="1569"/>
      <c r="CO630" s="1530"/>
      <c r="CP630" s="1530"/>
      <c r="CQ630" s="1530"/>
      <c r="CR630" s="1530"/>
      <c r="CS630" s="1530"/>
      <c r="CT630" s="1530"/>
      <c r="CU630" s="1530"/>
      <c r="CV630" s="1530"/>
      <c r="CW630" s="1530"/>
      <c r="CX630" s="1530"/>
      <c r="CY630" s="1530"/>
      <c r="CZ630" s="1530"/>
      <c r="DA630" s="1530"/>
      <c r="DB630" s="1530"/>
      <c r="DC630" s="1530"/>
      <c r="DD630" s="1530"/>
      <c r="DE630" s="1530"/>
      <c r="DF630" s="1530"/>
      <c r="DG630" s="1530"/>
      <c r="DH630" s="1530"/>
      <c r="DI630" s="1530"/>
      <c r="DJ630" s="1530"/>
      <c r="DK630" s="1530"/>
      <c r="DL630" s="1530"/>
      <c r="DM630" s="1530"/>
      <c r="DN630" s="1571"/>
      <c r="DO630" s="1530"/>
      <c r="DP630" s="1530"/>
    </row>
    <row r="631" spans="1:120">
      <c r="A631" s="1451"/>
      <c r="C631" s="1451"/>
      <c r="K631" s="1451"/>
      <c r="L631" s="1451"/>
      <c r="U631" s="1530"/>
      <c r="V631" s="1530"/>
      <c r="W631" s="1530"/>
      <c r="X631" s="1530"/>
      <c r="Y631" s="1530"/>
      <c r="Z631" s="1530"/>
      <c r="AA631" s="1530"/>
      <c r="AB631" s="1530"/>
      <c r="AC631" s="1530"/>
      <c r="AD631" s="1530"/>
      <c r="AE631" s="1530"/>
      <c r="AF631" s="1530"/>
      <c r="AG631" s="1530"/>
      <c r="AH631" s="1530"/>
      <c r="AI631" s="1530"/>
      <c r="AJ631" s="1530"/>
      <c r="AK631" s="1530"/>
      <c r="AL631" s="1530"/>
      <c r="AM631" s="1530"/>
      <c r="AN631" s="1530"/>
      <c r="AO631" s="1530"/>
      <c r="AP631" s="1530"/>
      <c r="AQ631" s="1530"/>
      <c r="AR631" s="1530"/>
      <c r="AS631" s="1530"/>
      <c r="AT631" s="1530"/>
      <c r="AU631" s="1530"/>
      <c r="AV631" s="1530"/>
      <c r="AW631" s="1530"/>
      <c r="AX631" s="1530"/>
      <c r="AY631" s="1530"/>
      <c r="AZ631" s="1530"/>
      <c r="BA631" s="1530"/>
      <c r="BB631" s="1530"/>
      <c r="BC631" s="1530"/>
      <c r="BD631" s="1530"/>
      <c r="BE631" s="1530"/>
      <c r="BF631" s="1530"/>
      <c r="BG631" s="1530"/>
      <c r="BH631" s="1530"/>
      <c r="BI631" s="1530"/>
      <c r="BJ631" s="1530"/>
      <c r="BK631" s="1530"/>
      <c r="BL631" s="1530"/>
      <c r="BM631" s="1530"/>
      <c r="BN631" s="1530"/>
      <c r="BW631" s="1569"/>
      <c r="CO631" s="1530"/>
      <c r="CP631" s="1530"/>
      <c r="CQ631" s="1530"/>
      <c r="CR631" s="1530"/>
      <c r="CS631" s="1530"/>
      <c r="CT631" s="1530"/>
      <c r="CU631" s="1530"/>
      <c r="CV631" s="1530"/>
      <c r="CW631" s="1530"/>
      <c r="CX631" s="1530"/>
      <c r="CY631" s="1530"/>
      <c r="CZ631" s="1530"/>
      <c r="DA631" s="1530"/>
      <c r="DB631" s="1530"/>
      <c r="DC631" s="1530"/>
      <c r="DD631" s="1530"/>
      <c r="DE631" s="1530"/>
      <c r="DF631" s="1530"/>
      <c r="DG631" s="1530"/>
      <c r="DH631" s="1530"/>
      <c r="DI631" s="1530"/>
      <c r="DJ631" s="1530"/>
      <c r="DK631" s="1530"/>
      <c r="DL631" s="1530"/>
      <c r="DM631" s="1530"/>
      <c r="DN631" s="1571"/>
      <c r="DO631" s="1530"/>
      <c r="DP631" s="1530"/>
    </row>
    <row r="632" spans="1:120">
      <c r="A632" s="1451"/>
      <c r="C632" s="1451"/>
      <c r="K632" s="1451"/>
      <c r="L632" s="1451"/>
      <c r="U632" s="1530"/>
      <c r="V632" s="1530"/>
      <c r="W632" s="1530"/>
      <c r="X632" s="1530"/>
      <c r="Y632" s="1530"/>
      <c r="Z632" s="1530"/>
      <c r="AA632" s="1530"/>
      <c r="AB632" s="1530"/>
      <c r="AC632" s="1530"/>
      <c r="AD632" s="1530"/>
      <c r="AE632" s="1530"/>
      <c r="AF632" s="1530"/>
      <c r="AG632" s="1530"/>
      <c r="AH632" s="1530"/>
      <c r="AI632" s="1530"/>
      <c r="AJ632" s="1530"/>
      <c r="AK632" s="1530"/>
      <c r="AL632" s="1530"/>
      <c r="AM632" s="1530"/>
      <c r="AN632" s="1530"/>
      <c r="AO632" s="1530"/>
      <c r="AP632" s="1530"/>
      <c r="AQ632" s="1530"/>
      <c r="AR632" s="1530"/>
      <c r="AS632" s="1530"/>
      <c r="AT632" s="1530"/>
      <c r="AU632" s="1530"/>
      <c r="AV632" s="1530"/>
      <c r="AW632" s="1530"/>
      <c r="AX632" s="1530"/>
      <c r="AY632" s="1530"/>
      <c r="AZ632" s="1530"/>
      <c r="BA632" s="1530"/>
      <c r="BB632" s="1530"/>
      <c r="BC632" s="1530"/>
      <c r="BD632" s="1530"/>
      <c r="BE632" s="1530"/>
      <c r="BF632" s="1530"/>
      <c r="BG632" s="1530"/>
      <c r="BH632" s="1530"/>
      <c r="BI632" s="1530"/>
      <c r="BJ632" s="1530"/>
      <c r="BK632" s="1530"/>
      <c r="BL632" s="1530"/>
      <c r="BM632" s="1530"/>
      <c r="BN632" s="1530"/>
      <c r="BW632" s="1569"/>
      <c r="CO632" s="1530"/>
      <c r="CP632" s="1530"/>
      <c r="CQ632" s="1530"/>
      <c r="CR632" s="1530"/>
      <c r="CS632" s="1530"/>
      <c r="CT632" s="1530"/>
      <c r="CU632" s="1530"/>
      <c r="CV632" s="1530"/>
      <c r="CW632" s="1530"/>
      <c r="CX632" s="1530"/>
      <c r="CY632" s="1530"/>
      <c r="CZ632" s="1530"/>
      <c r="DA632" s="1530"/>
      <c r="DB632" s="1530"/>
      <c r="DC632" s="1530"/>
      <c r="DD632" s="1530"/>
      <c r="DE632" s="1530"/>
      <c r="DF632" s="1530"/>
      <c r="DG632" s="1530"/>
      <c r="DH632" s="1530"/>
      <c r="DI632" s="1530"/>
      <c r="DJ632" s="1530"/>
      <c r="DK632" s="1530"/>
      <c r="DL632" s="1530"/>
      <c r="DM632" s="1530"/>
      <c r="DN632" s="1571"/>
      <c r="DO632" s="1530"/>
      <c r="DP632" s="1530"/>
    </row>
    <row r="633" spans="1:120">
      <c r="A633" s="1451"/>
      <c r="C633" s="1451"/>
      <c r="K633" s="1451"/>
      <c r="L633" s="1451"/>
      <c r="U633" s="1530"/>
      <c r="V633" s="1530"/>
      <c r="W633" s="1530"/>
      <c r="X633" s="1530"/>
      <c r="Y633" s="1530"/>
      <c r="Z633" s="1530"/>
      <c r="AA633" s="1530"/>
      <c r="AB633" s="1530"/>
      <c r="AC633" s="1530"/>
      <c r="AD633" s="1530"/>
      <c r="AE633" s="1530"/>
      <c r="AF633" s="1530"/>
      <c r="AG633" s="1530"/>
      <c r="AH633" s="1530"/>
      <c r="AI633" s="1530"/>
      <c r="AJ633" s="1530"/>
      <c r="AK633" s="1530"/>
      <c r="AL633" s="1530"/>
      <c r="AM633" s="1530"/>
      <c r="AN633" s="1530"/>
      <c r="AO633" s="1530"/>
      <c r="AP633" s="1530"/>
      <c r="AQ633" s="1530"/>
      <c r="AR633" s="1530"/>
      <c r="AS633" s="1530"/>
      <c r="AT633" s="1530"/>
      <c r="AU633" s="1530"/>
      <c r="AV633" s="1530"/>
      <c r="AW633" s="1530"/>
      <c r="AX633" s="1530"/>
      <c r="AY633" s="1530"/>
      <c r="AZ633" s="1530"/>
      <c r="BA633" s="1530"/>
      <c r="BB633" s="1530"/>
      <c r="BC633" s="1530"/>
      <c r="BD633" s="1530"/>
      <c r="BE633" s="1530"/>
      <c r="BF633" s="1530"/>
      <c r="BG633" s="1530"/>
      <c r="BH633" s="1530"/>
      <c r="BI633" s="1530"/>
      <c r="BJ633" s="1530"/>
      <c r="BK633" s="1530"/>
      <c r="BL633" s="1530"/>
      <c r="BM633" s="1530"/>
      <c r="BN633" s="1530"/>
      <c r="BW633" s="1569"/>
      <c r="CO633" s="1530"/>
      <c r="CP633" s="1530"/>
      <c r="CQ633" s="1530"/>
      <c r="CR633" s="1530"/>
      <c r="CS633" s="1530"/>
      <c r="CT633" s="1530"/>
      <c r="CU633" s="1530"/>
      <c r="CV633" s="1530"/>
      <c r="CW633" s="1530"/>
      <c r="CX633" s="1530"/>
      <c r="CY633" s="1530"/>
      <c r="CZ633" s="1530"/>
      <c r="DA633" s="1530"/>
      <c r="DB633" s="1530"/>
      <c r="DC633" s="1530"/>
      <c r="DD633" s="1530"/>
      <c r="DE633" s="1530"/>
      <c r="DF633" s="1530"/>
      <c r="DG633" s="1530"/>
      <c r="DH633" s="1530"/>
      <c r="DI633" s="1530"/>
      <c r="DJ633" s="1530"/>
      <c r="DK633" s="1530"/>
      <c r="DL633" s="1530"/>
      <c r="DM633" s="1530"/>
      <c r="DN633" s="1571"/>
      <c r="DO633" s="1530"/>
      <c r="DP633" s="1530"/>
    </row>
    <row r="634" spans="1:120">
      <c r="A634" s="1451"/>
      <c r="C634" s="1451"/>
      <c r="K634" s="1451"/>
      <c r="L634" s="1451"/>
      <c r="U634" s="1530"/>
      <c r="V634" s="1530"/>
      <c r="W634" s="1530"/>
      <c r="X634" s="1530"/>
      <c r="Y634" s="1530"/>
      <c r="Z634" s="1530"/>
      <c r="AA634" s="1530"/>
      <c r="AB634" s="1530"/>
      <c r="AC634" s="1530"/>
      <c r="AD634" s="1530"/>
      <c r="AE634" s="1530"/>
      <c r="AF634" s="1530"/>
      <c r="AG634" s="1530"/>
      <c r="AH634" s="1530"/>
      <c r="AI634" s="1530"/>
      <c r="AJ634" s="1530"/>
      <c r="AK634" s="1530"/>
      <c r="AL634" s="1530"/>
      <c r="AM634" s="1530"/>
      <c r="AN634" s="1530"/>
      <c r="AO634" s="1530"/>
      <c r="AP634" s="1530"/>
      <c r="AQ634" s="1530"/>
      <c r="AR634" s="1530"/>
      <c r="AS634" s="1530"/>
      <c r="AT634" s="1530"/>
      <c r="AU634" s="1530"/>
      <c r="AV634" s="1530"/>
      <c r="AW634" s="1530"/>
      <c r="AX634" s="1530"/>
      <c r="AY634" s="1530"/>
      <c r="AZ634" s="1530"/>
      <c r="BA634" s="1530"/>
      <c r="BB634" s="1530"/>
      <c r="BC634" s="1530"/>
      <c r="BD634" s="1530"/>
      <c r="BE634" s="1530"/>
      <c r="BF634" s="1530"/>
      <c r="BG634" s="1530"/>
      <c r="BH634" s="1530"/>
      <c r="BI634" s="1530"/>
      <c r="BJ634" s="1530"/>
      <c r="BK634" s="1530"/>
      <c r="BL634" s="1530"/>
      <c r="BM634" s="1530"/>
      <c r="BN634" s="1530"/>
      <c r="BW634" s="1569"/>
      <c r="CO634" s="1530"/>
      <c r="CP634" s="1530"/>
      <c r="CQ634" s="1530"/>
      <c r="CR634" s="1530"/>
      <c r="CS634" s="1530"/>
      <c r="CT634" s="1530"/>
      <c r="CU634" s="1530"/>
      <c r="CV634" s="1530"/>
      <c r="CW634" s="1530"/>
      <c r="CX634" s="1530"/>
      <c r="CY634" s="1530"/>
      <c r="CZ634" s="1530"/>
      <c r="DA634" s="1530"/>
      <c r="DB634" s="1530"/>
      <c r="DC634" s="1530"/>
      <c r="DD634" s="1530"/>
      <c r="DE634" s="1530"/>
      <c r="DF634" s="1530"/>
      <c r="DG634" s="1530"/>
      <c r="DH634" s="1530"/>
      <c r="DI634" s="1530"/>
      <c r="DJ634" s="1530"/>
      <c r="DK634" s="1530"/>
      <c r="DL634" s="1530"/>
      <c r="DM634" s="1530"/>
      <c r="DN634" s="1571"/>
      <c r="DO634" s="1530"/>
      <c r="DP634" s="1530"/>
    </row>
    <row r="635" spans="1:120">
      <c r="A635" s="1451"/>
      <c r="C635" s="1451"/>
      <c r="K635" s="1451"/>
      <c r="L635" s="1451"/>
      <c r="U635" s="1530"/>
      <c r="V635" s="1530"/>
      <c r="W635" s="1530"/>
      <c r="X635" s="1530"/>
      <c r="Y635" s="1530"/>
      <c r="Z635" s="1530"/>
      <c r="AA635" s="1530"/>
      <c r="AB635" s="1530"/>
      <c r="AC635" s="1530"/>
      <c r="AD635" s="1530"/>
      <c r="AE635" s="1530"/>
      <c r="AF635" s="1530"/>
      <c r="AG635" s="1530"/>
      <c r="AH635" s="1530"/>
      <c r="AI635" s="1530"/>
      <c r="AJ635" s="1530"/>
      <c r="AK635" s="1530"/>
      <c r="AL635" s="1530"/>
      <c r="AM635" s="1530"/>
      <c r="AN635" s="1530"/>
      <c r="AO635" s="1530"/>
      <c r="AP635" s="1530"/>
      <c r="AQ635" s="1530"/>
      <c r="AR635" s="1530"/>
      <c r="AS635" s="1530"/>
      <c r="AT635" s="1530"/>
      <c r="AU635" s="1530"/>
      <c r="AV635" s="1530"/>
      <c r="AW635" s="1530"/>
      <c r="AX635" s="1530"/>
      <c r="AY635" s="1530"/>
      <c r="AZ635" s="1530"/>
      <c r="BA635" s="1530"/>
      <c r="BB635" s="1530"/>
      <c r="BC635" s="1530"/>
      <c r="BD635" s="1530"/>
      <c r="BE635" s="1530"/>
      <c r="BF635" s="1530"/>
      <c r="BG635" s="1530"/>
      <c r="BH635" s="1530"/>
      <c r="BI635" s="1530"/>
      <c r="BJ635" s="1530"/>
      <c r="BK635" s="1530"/>
      <c r="BL635" s="1530"/>
      <c r="BM635" s="1530"/>
      <c r="BN635" s="1530"/>
      <c r="BW635" s="1569"/>
      <c r="CO635" s="1530"/>
      <c r="CP635" s="1530"/>
      <c r="CQ635" s="1530"/>
      <c r="CR635" s="1530"/>
      <c r="CS635" s="1530"/>
      <c r="CT635" s="1530"/>
      <c r="CU635" s="1530"/>
      <c r="CV635" s="1530"/>
      <c r="CW635" s="1530"/>
      <c r="CX635" s="1530"/>
      <c r="CY635" s="1530"/>
      <c r="CZ635" s="1530"/>
      <c r="DA635" s="1530"/>
      <c r="DB635" s="1530"/>
      <c r="DC635" s="1530"/>
      <c r="DD635" s="1530"/>
      <c r="DE635" s="1530"/>
      <c r="DF635" s="1530"/>
      <c r="DG635" s="1530"/>
      <c r="DH635" s="1530"/>
      <c r="DI635" s="1530"/>
      <c r="DJ635" s="1530"/>
      <c r="DK635" s="1530"/>
      <c r="DL635" s="1530"/>
      <c r="DM635" s="1530"/>
      <c r="DN635" s="1571"/>
      <c r="DO635" s="1530"/>
      <c r="DP635" s="1530"/>
    </row>
    <row r="636" spans="1:120">
      <c r="A636" s="1451"/>
      <c r="C636" s="1451"/>
      <c r="K636" s="1451"/>
      <c r="L636" s="1451"/>
      <c r="U636" s="1530"/>
      <c r="V636" s="1530"/>
      <c r="W636" s="1530"/>
      <c r="X636" s="1530"/>
      <c r="Y636" s="1530"/>
      <c r="Z636" s="1530"/>
      <c r="AA636" s="1530"/>
      <c r="AB636" s="1530"/>
      <c r="AC636" s="1530"/>
      <c r="AD636" s="1530"/>
      <c r="AE636" s="1530"/>
      <c r="AF636" s="1530"/>
      <c r="AG636" s="1530"/>
      <c r="AH636" s="1530"/>
      <c r="AI636" s="1530"/>
      <c r="AJ636" s="1530"/>
      <c r="AK636" s="1530"/>
      <c r="AL636" s="1530"/>
      <c r="AM636" s="1530"/>
      <c r="AN636" s="1530"/>
      <c r="AO636" s="1530"/>
      <c r="AP636" s="1530"/>
      <c r="AQ636" s="1530"/>
      <c r="AR636" s="1530"/>
      <c r="AS636" s="1530"/>
      <c r="AT636" s="1530"/>
      <c r="AU636" s="1530"/>
      <c r="AV636" s="1530"/>
      <c r="AW636" s="1530"/>
      <c r="AX636" s="1530"/>
      <c r="AY636" s="1530"/>
      <c r="AZ636" s="1530"/>
      <c r="BA636" s="1530"/>
      <c r="BB636" s="1530"/>
      <c r="BC636" s="1530"/>
      <c r="BD636" s="1530"/>
      <c r="BE636" s="1530"/>
      <c r="BF636" s="1530"/>
      <c r="BG636" s="1530"/>
      <c r="BH636" s="1530"/>
      <c r="BI636" s="1530"/>
      <c r="BJ636" s="1530"/>
      <c r="BK636" s="1530"/>
      <c r="BL636" s="1530"/>
      <c r="BM636" s="1530"/>
      <c r="BN636" s="1530"/>
      <c r="BW636" s="1569"/>
      <c r="CO636" s="1530"/>
      <c r="CP636" s="1530"/>
      <c r="CQ636" s="1530"/>
      <c r="CR636" s="1530"/>
      <c r="CS636" s="1530"/>
      <c r="CT636" s="1530"/>
      <c r="CU636" s="1530"/>
      <c r="CV636" s="1530"/>
      <c r="CW636" s="1530"/>
      <c r="CX636" s="1530"/>
      <c r="CY636" s="1530"/>
      <c r="CZ636" s="1530"/>
      <c r="DA636" s="1530"/>
      <c r="DB636" s="1530"/>
      <c r="DC636" s="1530"/>
      <c r="DD636" s="1530"/>
      <c r="DE636" s="1530"/>
      <c r="DF636" s="1530"/>
      <c r="DG636" s="1530"/>
      <c r="DH636" s="1530"/>
      <c r="DI636" s="1530"/>
      <c r="DJ636" s="1530"/>
      <c r="DK636" s="1530"/>
      <c r="DL636" s="1530"/>
      <c r="DM636" s="1530"/>
      <c r="DN636" s="1571"/>
      <c r="DO636" s="1530"/>
      <c r="DP636" s="1530"/>
    </row>
    <row r="637" spans="1:120">
      <c r="A637" s="1451"/>
      <c r="C637" s="1451"/>
      <c r="K637" s="1451"/>
      <c r="L637" s="1451"/>
      <c r="U637" s="1530"/>
      <c r="V637" s="1530"/>
      <c r="W637" s="1530"/>
      <c r="X637" s="1530"/>
      <c r="Y637" s="1530"/>
      <c r="Z637" s="1530"/>
      <c r="AA637" s="1530"/>
      <c r="AB637" s="1530"/>
      <c r="AC637" s="1530"/>
      <c r="AD637" s="1530"/>
      <c r="AE637" s="1530"/>
      <c r="AF637" s="1530"/>
      <c r="AG637" s="1530"/>
      <c r="AH637" s="1530"/>
      <c r="AI637" s="1530"/>
      <c r="AJ637" s="1530"/>
      <c r="AK637" s="1530"/>
      <c r="AL637" s="1530"/>
      <c r="AM637" s="1530"/>
      <c r="AN637" s="1530"/>
      <c r="AO637" s="1530"/>
      <c r="AP637" s="1530"/>
      <c r="AQ637" s="1530"/>
      <c r="AR637" s="1530"/>
      <c r="AS637" s="1530"/>
      <c r="AT637" s="1530"/>
      <c r="AU637" s="1530"/>
      <c r="AV637" s="1530"/>
      <c r="AW637" s="1530"/>
      <c r="AX637" s="1530"/>
      <c r="AY637" s="1530"/>
      <c r="AZ637" s="1530"/>
      <c r="BA637" s="1530"/>
      <c r="BB637" s="1530"/>
      <c r="BC637" s="1530"/>
      <c r="BD637" s="1530"/>
      <c r="BE637" s="1530"/>
      <c r="BF637" s="1530"/>
      <c r="BG637" s="1530"/>
      <c r="BH637" s="1530"/>
      <c r="BI637" s="1530"/>
      <c r="BJ637" s="1530"/>
      <c r="BK637" s="1530"/>
      <c r="BL637" s="1530"/>
      <c r="BM637" s="1530"/>
      <c r="BN637" s="1530"/>
      <c r="BW637" s="1569"/>
      <c r="CO637" s="1530"/>
      <c r="CP637" s="1530"/>
      <c r="CQ637" s="1530"/>
      <c r="CR637" s="1530"/>
      <c r="CS637" s="1530"/>
      <c r="CT637" s="1530"/>
      <c r="CU637" s="1530"/>
      <c r="CV637" s="1530"/>
      <c r="CW637" s="1530"/>
      <c r="CX637" s="1530"/>
      <c r="CY637" s="1530"/>
      <c r="CZ637" s="1530"/>
      <c r="DA637" s="1530"/>
      <c r="DB637" s="1530"/>
      <c r="DC637" s="1530"/>
      <c r="DD637" s="1530"/>
      <c r="DE637" s="1530"/>
      <c r="DF637" s="1530"/>
      <c r="DG637" s="1530"/>
      <c r="DH637" s="1530"/>
      <c r="DI637" s="1530"/>
      <c r="DJ637" s="1530"/>
      <c r="DK637" s="1530"/>
      <c r="DL637" s="1530"/>
      <c r="DM637" s="1530"/>
      <c r="DN637" s="1571"/>
      <c r="DO637" s="1530"/>
      <c r="DP637" s="1530"/>
    </row>
    <row r="638" spans="1:120">
      <c r="A638" s="1451"/>
      <c r="C638" s="1451"/>
      <c r="K638" s="1451"/>
      <c r="L638" s="1451"/>
      <c r="U638" s="1530"/>
      <c r="V638" s="1530"/>
      <c r="W638" s="1530"/>
      <c r="X638" s="1530"/>
      <c r="Y638" s="1530"/>
      <c r="Z638" s="1530"/>
      <c r="AA638" s="1530"/>
      <c r="AB638" s="1530"/>
      <c r="AC638" s="1530"/>
      <c r="AD638" s="1530"/>
      <c r="AE638" s="1530"/>
      <c r="AF638" s="1530"/>
      <c r="AG638" s="1530"/>
      <c r="AH638" s="1530"/>
      <c r="AI638" s="1530"/>
      <c r="AJ638" s="1530"/>
      <c r="AK638" s="1530"/>
      <c r="AL638" s="1530"/>
      <c r="AM638" s="1530"/>
      <c r="AN638" s="1530"/>
      <c r="AO638" s="1530"/>
      <c r="AP638" s="1530"/>
      <c r="AQ638" s="1530"/>
      <c r="AR638" s="1530"/>
      <c r="AS638" s="1530"/>
      <c r="AT638" s="1530"/>
      <c r="AU638" s="1530"/>
      <c r="AV638" s="1530"/>
      <c r="AW638" s="1530"/>
      <c r="AX638" s="1530"/>
      <c r="AY638" s="1530"/>
      <c r="AZ638" s="1530"/>
      <c r="BA638" s="1530"/>
      <c r="BB638" s="1530"/>
      <c r="BC638" s="1530"/>
      <c r="BD638" s="1530"/>
      <c r="BE638" s="1530"/>
      <c r="BF638" s="1530"/>
      <c r="BG638" s="1530"/>
      <c r="BH638" s="1530"/>
      <c r="BI638" s="1530"/>
      <c r="BJ638" s="1530"/>
      <c r="BK638" s="1530"/>
      <c r="BL638" s="1530"/>
      <c r="BM638" s="1530"/>
      <c r="BN638" s="1530"/>
      <c r="BW638" s="1569"/>
      <c r="CO638" s="1530"/>
      <c r="CP638" s="1530"/>
      <c r="CQ638" s="1530"/>
      <c r="CR638" s="1530"/>
      <c r="CS638" s="1530"/>
      <c r="CT638" s="1530"/>
      <c r="CU638" s="1530"/>
      <c r="CV638" s="1530"/>
      <c r="CW638" s="1530"/>
      <c r="CX638" s="1530"/>
      <c r="CY638" s="1530"/>
      <c r="CZ638" s="1530"/>
      <c r="DA638" s="1530"/>
      <c r="DB638" s="1530"/>
      <c r="DC638" s="1530"/>
      <c r="DD638" s="1530"/>
      <c r="DE638" s="1530"/>
      <c r="DF638" s="1530"/>
      <c r="DG638" s="1530"/>
      <c r="DH638" s="1530"/>
      <c r="DI638" s="1530"/>
      <c r="DJ638" s="1530"/>
      <c r="DK638" s="1530"/>
      <c r="DL638" s="1530"/>
      <c r="DM638" s="1530"/>
      <c r="DN638" s="1571"/>
      <c r="DO638" s="1530"/>
      <c r="DP638" s="1530"/>
    </row>
    <row r="639" spans="1:120">
      <c r="A639" s="1451"/>
      <c r="C639" s="1451"/>
      <c r="K639" s="1451"/>
      <c r="L639" s="1451"/>
      <c r="U639" s="1530"/>
      <c r="V639" s="1530"/>
      <c r="W639" s="1530"/>
      <c r="X639" s="1530"/>
      <c r="Y639" s="1530"/>
      <c r="Z639" s="1530"/>
      <c r="AA639" s="1530"/>
      <c r="AB639" s="1530"/>
      <c r="AC639" s="1530"/>
      <c r="AD639" s="1530"/>
      <c r="AE639" s="1530"/>
      <c r="AF639" s="1530"/>
      <c r="AG639" s="1530"/>
      <c r="AH639" s="1530"/>
      <c r="AI639" s="1530"/>
      <c r="AJ639" s="1530"/>
      <c r="AK639" s="1530"/>
      <c r="AL639" s="1530"/>
      <c r="AM639" s="1530"/>
      <c r="AN639" s="1530"/>
      <c r="AO639" s="1530"/>
      <c r="AP639" s="1530"/>
      <c r="AQ639" s="1530"/>
      <c r="AR639" s="1530"/>
      <c r="AS639" s="1530"/>
      <c r="AT639" s="1530"/>
      <c r="AU639" s="1530"/>
      <c r="AV639" s="1530"/>
      <c r="AW639" s="1530"/>
      <c r="AX639" s="1530"/>
      <c r="AY639" s="1530"/>
      <c r="AZ639" s="1530"/>
      <c r="BA639" s="1530"/>
      <c r="BB639" s="1530"/>
      <c r="BC639" s="1530"/>
      <c r="BD639" s="1530"/>
      <c r="BE639" s="1530"/>
      <c r="BF639" s="1530"/>
      <c r="BG639" s="1530"/>
      <c r="BH639" s="1530"/>
      <c r="BI639" s="1530"/>
      <c r="BJ639" s="1530"/>
      <c r="BK639" s="1530"/>
      <c r="BL639" s="1530"/>
      <c r="BM639" s="1530"/>
      <c r="BN639" s="1530"/>
      <c r="BW639" s="1569"/>
      <c r="CO639" s="1530"/>
      <c r="CP639" s="1530"/>
      <c r="CQ639" s="1530"/>
      <c r="CR639" s="1530"/>
      <c r="CS639" s="1530"/>
      <c r="CT639" s="1530"/>
      <c r="CU639" s="1530"/>
      <c r="CV639" s="1530"/>
      <c r="CW639" s="1530"/>
      <c r="CX639" s="1530"/>
      <c r="CY639" s="1530"/>
      <c r="CZ639" s="1530"/>
      <c r="DA639" s="1530"/>
      <c r="DB639" s="1530"/>
      <c r="DC639" s="1530"/>
      <c r="DD639" s="1530"/>
      <c r="DE639" s="1530"/>
      <c r="DF639" s="1530"/>
      <c r="DG639" s="1530"/>
      <c r="DH639" s="1530"/>
      <c r="DI639" s="1530"/>
      <c r="DJ639" s="1530"/>
      <c r="DK639" s="1530"/>
      <c r="DL639" s="1530"/>
      <c r="DM639" s="1530"/>
      <c r="DN639" s="1571"/>
      <c r="DO639" s="1530"/>
      <c r="DP639" s="1530"/>
    </row>
    <row r="640" spans="1:120">
      <c r="A640" s="1451"/>
      <c r="C640" s="1451"/>
      <c r="K640" s="1451"/>
      <c r="L640" s="1451"/>
      <c r="U640" s="1530"/>
      <c r="V640" s="1530"/>
      <c r="W640" s="1530"/>
      <c r="X640" s="1530"/>
      <c r="Y640" s="1530"/>
      <c r="Z640" s="1530"/>
      <c r="AA640" s="1530"/>
      <c r="AB640" s="1530"/>
      <c r="AC640" s="1530"/>
      <c r="AD640" s="1530"/>
      <c r="AE640" s="1530"/>
      <c r="AF640" s="1530"/>
      <c r="AG640" s="1530"/>
      <c r="AH640" s="1530"/>
      <c r="AI640" s="1530"/>
      <c r="AJ640" s="1530"/>
      <c r="AK640" s="1530"/>
      <c r="AL640" s="1530"/>
      <c r="AM640" s="1530"/>
      <c r="AN640" s="1530"/>
      <c r="AO640" s="1530"/>
      <c r="AP640" s="1530"/>
      <c r="AQ640" s="1530"/>
      <c r="AR640" s="1530"/>
      <c r="AS640" s="1530"/>
      <c r="AT640" s="1530"/>
      <c r="AU640" s="1530"/>
      <c r="AV640" s="1530"/>
      <c r="AW640" s="1530"/>
      <c r="AX640" s="1530"/>
      <c r="AY640" s="1530"/>
      <c r="AZ640" s="1530"/>
      <c r="BA640" s="1530"/>
      <c r="BB640" s="1530"/>
      <c r="BC640" s="1530"/>
      <c r="BD640" s="1530"/>
      <c r="BE640" s="1530"/>
      <c r="BF640" s="1530"/>
      <c r="BG640" s="1530"/>
      <c r="BH640" s="1530"/>
      <c r="BI640" s="1530"/>
      <c r="BJ640" s="1530"/>
      <c r="BK640" s="1530"/>
      <c r="BL640" s="1530"/>
      <c r="BM640" s="1530"/>
      <c r="BN640" s="1530"/>
      <c r="BW640" s="1569"/>
      <c r="CO640" s="1530"/>
      <c r="CP640" s="1530"/>
      <c r="CQ640" s="1530"/>
      <c r="CR640" s="1530"/>
      <c r="CS640" s="1530"/>
      <c r="CT640" s="1530"/>
      <c r="CU640" s="1530"/>
      <c r="CV640" s="1530"/>
      <c r="CW640" s="1530"/>
      <c r="CX640" s="1530"/>
      <c r="CY640" s="1530"/>
      <c r="CZ640" s="1530"/>
      <c r="DA640" s="1530"/>
      <c r="DB640" s="1530"/>
      <c r="DC640" s="1530"/>
      <c r="DD640" s="1530"/>
      <c r="DE640" s="1530"/>
      <c r="DF640" s="1530"/>
      <c r="DG640" s="1530"/>
      <c r="DH640" s="1530"/>
      <c r="DI640" s="1530"/>
      <c r="DJ640" s="1530"/>
      <c r="DK640" s="1530"/>
      <c r="DL640" s="1530"/>
      <c r="DM640" s="1530"/>
      <c r="DN640" s="1571"/>
      <c r="DO640" s="1530"/>
      <c r="DP640" s="1530"/>
    </row>
    <row r="641" spans="1:120">
      <c r="A641" s="1451"/>
      <c r="C641" s="1451"/>
      <c r="K641" s="1451"/>
      <c r="L641" s="1451"/>
      <c r="U641" s="1530"/>
      <c r="V641" s="1530"/>
      <c r="W641" s="1530"/>
      <c r="X641" s="1530"/>
      <c r="Y641" s="1530"/>
      <c r="Z641" s="1530"/>
      <c r="AA641" s="1530"/>
      <c r="AB641" s="1530"/>
      <c r="AC641" s="1530"/>
      <c r="AD641" s="1530"/>
      <c r="AE641" s="1530"/>
      <c r="AF641" s="1530"/>
      <c r="AG641" s="1530"/>
      <c r="AH641" s="1530"/>
      <c r="AI641" s="1530"/>
      <c r="AJ641" s="1530"/>
      <c r="AK641" s="1530"/>
      <c r="AL641" s="1530"/>
      <c r="AM641" s="1530"/>
      <c r="AN641" s="1530"/>
      <c r="AO641" s="1530"/>
      <c r="AP641" s="1530"/>
      <c r="AQ641" s="1530"/>
      <c r="AR641" s="1530"/>
      <c r="AS641" s="1530"/>
      <c r="AT641" s="1530"/>
      <c r="AU641" s="1530"/>
      <c r="AV641" s="1530"/>
      <c r="AW641" s="1530"/>
      <c r="AX641" s="1530"/>
      <c r="AY641" s="1530"/>
      <c r="AZ641" s="1530"/>
      <c r="BA641" s="1530"/>
      <c r="BB641" s="1530"/>
      <c r="BC641" s="1530"/>
      <c r="BD641" s="1530"/>
      <c r="BE641" s="1530"/>
      <c r="BF641" s="1530"/>
      <c r="BG641" s="1530"/>
      <c r="BH641" s="1530"/>
      <c r="BI641" s="1530"/>
      <c r="BJ641" s="1530"/>
      <c r="BK641" s="1530"/>
      <c r="BL641" s="1530"/>
      <c r="BM641" s="1530"/>
      <c r="BN641" s="1530"/>
      <c r="BW641" s="1569"/>
      <c r="CO641" s="1530"/>
      <c r="CP641" s="1530"/>
      <c r="CQ641" s="1530"/>
      <c r="CR641" s="1530"/>
      <c r="CS641" s="1530"/>
      <c r="CT641" s="1530"/>
      <c r="CU641" s="1530"/>
      <c r="CV641" s="1530"/>
      <c r="CW641" s="1530"/>
      <c r="CX641" s="1530"/>
      <c r="CY641" s="1530"/>
      <c r="CZ641" s="1530"/>
      <c r="DA641" s="1530"/>
      <c r="DB641" s="1530"/>
      <c r="DC641" s="1530"/>
      <c r="DD641" s="1530"/>
      <c r="DE641" s="1530"/>
      <c r="DF641" s="1530"/>
      <c r="DG641" s="1530"/>
      <c r="DH641" s="1530"/>
      <c r="DI641" s="1530"/>
      <c r="DJ641" s="1530"/>
      <c r="DK641" s="1530"/>
      <c r="DL641" s="1530"/>
      <c r="DM641" s="1530"/>
      <c r="DN641" s="1571"/>
      <c r="DO641" s="1530"/>
      <c r="DP641" s="1530"/>
    </row>
    <row r="642" spans="1:120">
      <c r="A642" s="1451"/>
      <c r="C642" s="1451"/>
      <c r="K642" s="1451"/>
      <c r="L642" s="1451"/>
      <c r="U642" s="1530"/>
      <c r="V642" s="1530"/>
      <c r="W642" s="1530"/>
      <c r="X642" s="1530"/>
      <c r="Y642" s="1530"/>
      <c r="Z642" s="1530"/>
      <c r="AA642" s="1530"/>
      <c r="AB642" s="1530"/>
      <c r="AC642" s="1530"/>
      <c r="AD642" s="1530"/>
      <c r="AE642" s="1530"/>
      <c r="AF642" s="1530"/>
      <c r="AG642" s="1530"/>
      <c r="AH642" s="1530"/>
      <c r="AI642" s="1530"/>
      <c r="AJ642" s="1530"/>
      <c r="AK642" s="1530"/>
      <c r="AL642" s="1530"/>
      <c r="AM642" s="1530"/>
      <c r="AN642" s="1530"/>
      <c r="AO642" s="1530"/>
      <c r="AP642" s="1530"/>
      <c r="AQ642" s="1530"/>
      <c r="AR642" s="1530"/>
      <c r="AS642" s="1530"/>
      <c r="AT642" s="1530"/>
      <c r="AU642" s="1530"/>
      <c r="AV642" s="1530"/>
      <c r="AW642" s="1530"/>
      <c r="AX642" s="1530"/>
      <c r="AY642" s="1530"/>
      <c r="AZ642" s="1530"/>
      <c r="BA642" s="1530"/>
      <c r="BB642" s="1530"/>
      <c r="BC642" s="1530"/>
      <c r="BD642" s="1530"/>
      <c r="BE642" s="1530"/>
      <c r="BF642" s="1530"/>
      <c r="BG642" s="1530"/>
      <c r="BH642" s="1530"/>
      <c r="BI642" s="1530"/>
      <c r="BJ642" s="1530"/>
      <c r="BK642" s="1530"/>
      <c r="BL642" s="1530"/>
      <c r="BM642" s="1530"/>
      <c r="BN642" s="1530"/>
      <c r="BW642" s="1569"/>
      <c r="CO642" s="1530"/>
      <c r="CP642" s="1530"/>
      <c r="CQ642" s="1530"/>
      <c r="CR642" s="1530"/>
      <c r="CS642" s="1530"/>
      <c r="CT642" s="1530"/>
      <c r="CU642" s="1530"/>
      <c r="CV642" s="1530"/>
      <c r="CW642" s="1530"/>
      <c r="CX642" s="1530"/>
      <c r="CY642" s="1530"/>
      <c r="CZ642" s="1530"/>
      <c r="DA642" s="1530"/>
      <c r="DB642" s="1530"/>
      <c r="DC642" s="1530"/>
      <c r="DD642" s="1530"/>
      <c r="DE642" s="1530"/>
      <c r="DF642" s="1530"/>
      <c r="DG642" s="1530"/>
      <c r="DH642" s="1530"/>
      <c r="DI642" s="1530"/>
      <c r="DJ642" s="1530"/>
      <c r="DK642" s="1530"/>
      <c r="DL642" s="1530"/>
      <c r="DM642" s="1530"/>
      <c r="DN642" s="1571"/>
      <c r="DO642" s="1530"/>
      <c r="DP642" s="1530"/>
    </row>
    <row r="643" spans="1:120">
      <c r="A643" s="1451"/>
      <c r="C643" s="1451"/>
      <c r="K643" s="1451"/>
      <c r="L643" s="1451"/>
      <c r="U643" s="1530"/>
      <c r="V643" s="1530"/>
      <c r="W643" s="1530"/>
      <c r="X643" s="1530"/>
      <c r="Y643" s="1530"/>
      <c r="Z643" s="1530"/>
      <c r="AA643" s="1530"/>
      <c r="AB643" s="1530"/>
      <c r="AC643" s="1530"/>
      <c r="AD643" s="1530"/>
      <c r="AE643" s="1530"/>
      <c r="AF643" s="1530"/>
      <c r="AG643" s="1530"/>
      <c r="AH643" s="1530"/>
      <c r="AI643" s="1530"/>
      <c r="AJ643" s="1530"/>
      <c r="AK643" s="1530"/>
      <c r="AL643" s="1530"/>
      <c r="AM643" s="1530"/>
      <c r="AN643" s="1530"/>
      <c r="AO643" s="1530"/>
      <c r="AP643" s="1530"/>
      <c r="AQ643" s="1530"/>
      <c r="AR643" s="1530"/>
      <c r="AS643" s="1530"/>
      <c r="AT643" s="1530"/>
      <c r="AU643" s="1530"/>
      <c r="AV643" s="1530"/>
      <c r="AW643" s="1530"/>
      <c r="AX643" s="1530"/>
      <c r="AY643" s="1530"/>
      <c r="AZ643" s="1530"/>
      <c r="BA643" s="1530"/>
      <c r="BB643" s="1530"/>
      <c r="BC643" s="1530"/>
      <c r="BD643" s="1530"/>
      <c r="BE643" s="1530"/>
      <c r="BF643" s="1530"/>
      <c r="BG643" s="1530"/>
      <c r="BH643" s="1530"/>
      <c r="BI643" s="1530"/>
      <c r="BJ643" s="1530"/>
      <c r="BK643" s="1530"/>
      <c r="BL643" s="1530"/>
      <c r="BM643" s="1530"/>
      <c r="BN643" s="1530"/>
      <c r="BW643" s="1569"/>
      <c r="CO643" s="1530"/>
      <c r="CP643" s="1530"/>
      <c r="CQ643" s="1530"/>
      <c r="CR643" s="1530"/>
      <c r="CS643" s="1530"/>
      <c r="CT643" s="1530"/>
      <c r="CU643" s="1530"/>
      <c r="CV643" s="1530"/>
      <c r="CW643" s="1530"/>
      <c r="CX643" s="1530"/>
      <c r="CY643" s="1530"/>
      <c r="CZ643" s="1530"/>
      <c r="DA643" s="1530"/>
      <c r="DB643" s="1530"/>
      <c r="DC643" s="1530"/>
      <c r="DD643" s="1530"/>
      <c r="DE643" s="1530"/>
      <c r="DF643" s="1530"/>
      <c r="DG643" s="1530"/>
      <c r="DH643" s="1530"/>
      <c r="DI643" s="1530"/>
      <c r="DJ643" s="1530"/>
      <c r="DK643" s="1530"/>
      <c r="DL643" s="1530"/>
      <c r="DM643" s="1530"/>
      <c r="DN643" s="1571"/>
      <c r="DO643" s="1530"/>
      <c r="DP643" s="1530"/>
    </row>
    <row r="644" spans="1:120">
      <c r="A644" s="1451"/>
      <c r="C644" s="1451"/>
      <c r="K644" s="1451"/>
      <c r="L644" s="1451"/>
      <c r="U644" s="1530"/>
      <c r="V644" s="1530"/>
      <c r="W644" s="1530"/>
      <c r="X644" s="1530"/>
      <c r="Y644" s="1530"/>
      <c r="Z644" s="1530"/>
      <c r="AA644" s="1530"/>
      <c r="AB644" s="1530"/>
      <c r="AC644" s="1530"/>
      <c r="AD644" s="1530"/>
      <c r="AE644" s="1530"/>
      <c r="AF644" s="1530"/>
      <c r="AG644" s="1530"/>
      <c r="AH644" s="1530"/>
      <c r="AI644" s="1530"/>
      <c r="AJ644" s="1530"/>
      <c r="AK644" s="1530"/>
      <c r="AL644" s="1530"/>
      <c r="AM644" s="1530"/>
      <c r="AN644" s="1530"/>
      <c r="AO644" s="1530"/>
      <c r="AP644" s="1530"/>
      <c r="AQ644" s="1530"/>
      <c r="AR644" s="1530"/>
      <c r="AS644" s="1530"/>
      <c r="AT644" s="1530"/>
      <c r="AU644" s="1530"/>
      <c r="AV644" s="1530"/>
      <c r="AW644" s="1530"/>
      <c r="AX644" s="1530"/>
      <c r="AY644" s="1530"/>
      <c r="AZ644" s="1530"/>
      <c r="BA644" s="1530"/>
      <c r="BB644" s="1530"/>
      <c r="BC644" s="1530"/>
      <c r="BD644" s="1530"/>
      <c r="BE644" s="1530"/>
      <c r="BF644" s="1530"/>
      <c r="BG644" s="1530"/>
      <c r="BH644" s="1530"/>
      <c r="BI644" s="1530"/>
      <c r="BJ644" s="1530"/>
      <c r="BK644" s="1530"/>
      <c r="BL644" s="1530"/>
      <c r="BM644" s="1530"/>
      <c r="BN644" s="1530"/>
      <c r="BW644" s="1569"/>
      <c r="CO644" s="1530"/>
      <c r="CP644" s="1530"/>
      <c r="CQ644" s="1530"/>
      <c r="CR644" s="1530"/>
      <c r="CS644" s="1530"/>
      <c r="CT644" s="1530"/>
      <c r="CU644" s="1530"/>
      <c r="CV644" s="1530"/>
      <c r="CW644" s="1530"/>
      <c r="CX644" s="1530"/>
      <c r="CY644" s="1530"/>
      <c r="CZ644" s="1530"/>
      <c r="DA644" s="1530"/>
      <c r="DB644" s="1530"/>
      <c r="DC644" s="1530"/>
      <c r="DD644" s="1530"/>
      <c r="DE644" s="1530"/>
      <c r="DF644" s="1530"/>
      <c r="DG644" s="1530"/>
      <c r="DH644" s="1530"/>
      <c r="DI644" s="1530"/>
      <c r="DJ644" s="1530"/>
      <c r="DK644" s="1530"/>
      <c r="DL644" s="1530"/>
      <c r="DM644" s="1530"/>
      <c r="DN644" s="1571"/>
      <c r="DO644" s="1530"/>
      <c r="DP644" s="1530"/>
    </row>
    <row r="645" spans="1:120">
      <c r="A645" s="1451"/>
      <c r="C645" s="1451"/>
      <c r="K645" s="1451"/>
      <c r="L645" s="1451"/>
      <c r="U645" s="1530"/>
      <c r="V645" s="1530"/>
      <c r="W645" s="1530"/>
      <c r="X645" s="1530"/>
      <c r="Y645" s="1530"/>
      <c r="Z645" s="1530"/>
      <c r="AA645" s="1530"/>
      <c r="AB645" s="1530"/>
      <c r="AC645" s="1530"/>
      <c r="AD645" s="1530"/>
      <c r="AE645" s="1530"/>
      <c r="AF645" s="1530"/>
      <c r="AG645" s="1530"/>
      <c r="AH645" s="1530"/>
      <c r="AI645" s="1530"/>
      <c r="AJ645" s="1530"/>
      <c r="AK645" s="1530"/>
      <c r="AL645" s="1530"/>
      <c r="AM645" s="1530"/>
      <c r="AN645" s="1530"/>
      <c r="AO645" s="1530"/>
      <c r="AP645" s="1530"/>
      <c r="AQ645" s="1530"/>
      <c r="AR645" s="1530"/>
      <c r="AS645" s="1530"/>
      <c r="AT645" s="1530"/>
      <c r="AU645" s="1530"/>
      <c r="AV645" s="1530"/>
      <c r="AW645" s="1530"/>
      <c r="AX645" s="1530"/>
      <c r="AY645" s="1530"/>
      <c r="AZ645" s="1530"/>
      <c r="BA645" s="1530"/>
      <c r="BB645" s="1530"/>
      <c r="BC645" s="1530"/>
      <c r="BD645" s="1530"/>
      <c r="BE645" s="1530"/>
      <c r="BF645" s="1530"/>
      <c r="BG645" s="1530"/>
      <c r="BH645" s="1530"/>
      <c r="BI645" s="1530"/>
      <c r="BJ645" s="1530"/>
      <c r="BK645" s="1530"/>
      <c r="BL645" s="1530"/>
      <c r="BM645" s="1530"/>
      <c r="BN645" s="1530"/>
      <c r="BW645" s="1569"/>
      <c r="CO645" s="1530"/>
      <c r="CP645" s="1530"/>
      <c r="CQ645" s="1530"/>
      <c r="CR645" s="1530"/>
      <c r="CS645" s="1530"/>
      <c r="CT645" s="1530"/>
      <c r="CU645" s="1530"/>
      <c r="CV645" s="1530"/>
      <c r="CW645" s="1530"/>
      <c r="CX645" s="1530"/>
      <c r="CY645" s="1530"/>
      <c r="CZ645" s="1530"/>
      <c r="DA645" s="1530"/>
      <c r="DB645" s="1530"/>
      <c r="DC645" s="1530"/>
      <c r="DD645" s="1530"/>
      <c r="DE645" s="1530"/>
      <c r="DF645" s="1530"/>
      <c r="DG645" s="1530"/>
      <c r="DH645" s="1530"/>
      <c r="DI645" s="1530"/>
      <c r="DJ645" s="1530"/>
      <c r="DK645" s="1530"/>
      <c r="DL645" s="1530"/>
      <c r="DM645" s="1530"/>
      <c r="DN645" s="1571"/>
      <c r="DO645" s="1530"/>
      <c r="DP645" s="1530"/>
    </row>
    <row r="646" spans="1:120">
      <c r="A646" s="1451"/>
      <c r="C646" s="1451"/>
      <c r="K646" s="1451"/>
      <c r="L646" s="1451"/>
      <c r="U646" s="1530"/>
      <c r="V646" s="1530"/>
      <c r="W646" s="1530"/>
      <c r="X646" s="1530"/>
      <c r="Y646" s="1530"/>
      <c r="Z646" s="1530"/>
      <c r="AA646" s="1530"/>
      <c r="AB646" s="1530"/>
      <c r="AC646" s="1530"/>
      <c r="AD646" s="1530"/>
      <c r="AE646" s="1530"/>
      <c r="AF646" s="1530"/>
      <c r="AG646" s="1530"/>
      <c r="AH646" s="1530"/>
      <c r="AI646" s="1530"/>
      <c r="AJ646" s="1530"/>
      <c r="AK646" s="1530"/>
      <c r="AL646" s="1530"/>
      <c r="AM646" s="1530"/>
      <c r="AN646" s="1530"/>
      <c r="AO646" s="1530"/>
      <c r="AP646" s="1530"/>
      <c r="AQ646" s="1530"/>
      <c r="AR646" s="1530"/>
      <c r="AS646" s="1530"/>
      <c r="AT646" s="1530"/>
      <c r="AU646" s="1530"/>
      <c r="AV646" s="1530"/>
      <c r="AW646" s="1530"/>
      <c r="AX646" s="1530"/>
      <c r="AY646" s="1530"/>
      <c r="AZ646" s="1530"/>
      <c r="BA646" s="1530"/>
      <c r="BB646" s="1530"/>
      <c r="BC646" s="1530"/>
      <c r="BD646" s="1530"/>
      <c r="BE646" s="1530"/>
      <c r="BF646" s="1530"/>
      <c r="BG646" s="1530"/>
      <c r="BH646" s="1530"/>
      <c r="BI646" s="1530"/>
      <c r="BJ646" s="1530"/>
      <c r="BK646" s="1530"/>
      <c r="BL646" s="1530"/>
      <c r="BM646" s="1530"/>
      <c r="BN646" s="1530"/>
      <c r="BW646" s="1569"/>
      <c r="CO646" s="1530"/>
      <c r="CP646" s="1530"/>
      <c r="CQ646" s="1530"/>
      <c r="CR646" s="1530"/>
      <c r="CS646" s="1530"/>
      <c r="CT646" s="1530"/>
      <c r="CU646" s="1530"/>
      <c r="CV646" s="1530"/>
      <c r="CW646" s="1530"/>
      <c r="CX646" s="1530"/>
      <c r="CY646" s="1530"/>
      <c r="CZ646" s="1530"/>
      <c r="DA646" s="1530"/>
      <c r="DB646" s="1530"/>
      <c r="DC646" s="1530"/>
      <c r="DD646" s="1530"/>
      <c r="DE646" s="1530"/>
      <c r="DF646" s="1530"/>
      <c r="DG646" s="1530"/>
      <c r="DH646" s="1530"/>
      <c r="DI646" s="1530"/>
      <c r="DJ646" s="1530"/>
      <c r="DK646" s="1530"/>
      <c r="DL646" s="1530"/>
      <c r="DM646" s="1530"/>
      <c r="DN646" s="1571"/>
      <c r="DO646" s="1530"/>
      <c r="DP646" s="1530"/>
    </row>
    <row r="647" spans="1:120">
      <c r="A647" s="1451"/>
      <c r="C647" s="1451"/>
      <c r="K647" s="1451"/>
      <c r="L647" s="1451"/>
      <c r="U647" s="1530"/>
      <c r="V647" s="1530"/>
      <c r="W647" s="1530"/>
      <c r="X647" s="1530"/>
      <c r="Y647" s="1530"/>
      <c r="Z647" s="1530"/>
      <c r="AA647" s="1530"/>
      <c r="AB647" s="1530"/>
      <c r="AC647" s="1530"/>
      <c r="AD647" s="1530"/>
      <c r="AE647" s="1530"/>
      <c r="AF647" s="1530"/>
      <c r="AG647" s="1530"/>
      <c r="AH647" s="1530"/>
      <c r="AI647" s="1530"/>
      <c r="AJ647" s="1530"/>
      <c r="AK647" s="1530"/>
      <c r="AL647" s="1530"/>
      <c r="AM647" s="1530"/>
      <c r="AN647" s="1530"/>
      <c r="AO647" s="1530"/>
      <c r="AP647" s="1530"/>
      <c r="AQ647" s="1530"/>
      <c r="AR647" s="1530"/>
      <c r="AS647" s="1530"/>
      <c r="AT647" s="1530"/>
      <c r="AU647" s="1530"/>
      <c r="AV647" s="1530"/>
      <c r="AW647" s="1530"/>
      <c r="AX647" s="1530"/>
      <c r="AY647" s="1530"/>
      <c r="AZ647" s="1530"/>
      <c r="BA647" s="1530"/>
      <c r="BB647" s="1530"/>
      <c r="BC647" s="1530"/>
      <c r="BD647" s="1530"/>
      <c r="BE647" s="1530"/>
      <c r="BF647" s="1530"/>
      <c r="BG647" s="1530"/>
      <c r="BH647" s="1530"/>
      <c r="BI647" s="1530"/>
      <c r="BJ647" s="1530"/>
      <c r="BK647" s="1530"/>
      <c r="BL647" s="1530"/>
      <c r="BM647" s="1530"/>
      <c r="BN647" s="1530"/>
      <c r="BW647" s="1569"/>
      <c r="CO647" s="1530"/>
      <c r="CP647" s="1530"/>
      <c r="CQ647" s="1530"/>
      <c r="CR647" s="1530"/>
      <c r="CS647" s="1530"/>
      <c r="CT647" s="1530"/>
      <c r="CU647" s="1530"/>
      <c r="CV647" s="1530"/>
      <c r="CW647" s="1530"/>
      <c r="CX647" s="1530"/>
      <c r="CY647" s="1530"/>
      <c r="CZ647" s="1530"/>
      <c r="DA647" s="1530"/>
      <c r="DB647" s="1530"/>
      <c r="DC647" s="1530"/>
      <c r="DD647" s="1530"/>
      <c r="DE647" s="1530"/>
      <c r="DF647" s="1530"/>
      <c r="DG647" s="1530"/>
      <c r="DH647" s="1530"/>
      <c r="DI647" s="1530"/>
      <c r="DJ647" s="1530"/>
      <c r="DK647" s="1530"/>
      <c r="DL647" s="1530"/>
      <c r="DM647" s="1530"/>
      <c r="DN647" s="1571"/>
      <c r="DO647" s="1530"/>
      <c r="DP647" s="1530"/>
    </row>
    <row r="648" spans="1:120">
      <c r="A648" s="1451"/>
      <c r="C648" s="1451"/>
      <c r="K648" s="1451"/>
      <c r="L648" s="1451"/>
      <c r="U648" s="1530"/>
      <c r="V648" s="1530"/>
      <c r="W648" s="1530"/>
      <c r="X648" s="1530"/>
      <c r="Y648" s="1530"/>
      <c r="Z648" s="1530"/>
      <c r="AA648" s="1530"/>
      <c r="AB648" s="1530"/>
      <c r="AC648" s="1530"/>
      <c r="AD648" s="1530"/>
      <c r="AE648" s="1530"/>
      <c r="AF648" s="1530"/>
      <c r="AG648" s="1530"/>
      <c r="AH648" s="1530"/>
      <c r="AI648" s="1530"/>
      <c r="AJ648" s="1530"/>
      <c r="AK648" s="1530"/>
      <c r="AL648" s="1530"/>
      <c r="AM648" s="1530"/>
      <c r="AN648" s="1530"/>
      <c r="AO648" s="1530"/>
      <c r="AP648" s="1530"/>
      <c r="AQ648" s="1530"/>
      <c r="AR648" s="1530"/>
      <c r="AS648" s="1530"/>
      <c r="AT648" s="1530"/>
      <c r="AU648" s="1530"/>
      <c r="AV648" s="1530"/>
      <c r="AW648" s="1530"/>
      <c r="AX648" s="1530"/>
      <c r="AY648" s="1530"/>
      <c r="AZ648" s="1530"/>
      <c r="BA648" s="1530"/>
      <c r="BB648" s="1530"/>
      <c r="BC648" s="1530"/>
      <c r="BD648" s="1530"/>
      <c r="BE648" s="1530"/>
      <c r="BF648" s="1530"/>
      <c r="BG648" s="1530"/>
      <c r="BH648" s="1530"/>
      <c r="BI648" s="1530"/>
      <c r="BJ648" s="1530"/>
      <c r="BK648" s="1530"/>
      <c r="BL648" s="1530"/>
      <c r="BM648" s="1530"/>
      <c r="BN648" s="1530"/>
      <c r="BW648" s="1569"/>
      <c r="CO648" s="1530"/>
      <c r="CP648" s="1530"/>
      <c r="CQ648" s="1530"/>
      <c r="CR648" s="1530"/>
      <c r="CS648" s="1530"/>
      <c r="CT648" s="1530"/>
      <c r="CU648" s="1530"/>
      <c r="CV648" s="1530"/>
      <c r="CW648" s="1530"/>
      <c r="CX648" s="1530"/>
      <c r="CY648" s="1530"/>
      <c r="CZ648" s="1530"/>
      <c r="DA648" s="1530"/>
      <c r="DB648" s="1530"/>
      <c r="DC648" s="1530"/>
      <c r="DD648" s="1530"/>
      <c r="DE648" s="1530"/>
      <c r="DF648" s="1530"/>
      <c r="DG648" s="1530"/>
      <c r="DH648" s="1530"/>
      <c r="DI648" s="1530"/>
      <c r="DJ648" s="1530"/>
      <c r="DK648" s="1530"/>
      <c r="DL648" s="1530"/>
      <c r="DM648" s="1530"/>
      <c r="DN648" s="1571"/>
      <c r="DO648" s="1530"/>
      <c r="DP648" s="1530"/>
    </row>
    <row r="649" spans="1:120">
      <c r="A649" s="1451"/>
      <c r="C649" s="1451"/>
      <c r="K649" s="1451"/>
      <c r="L649" s="1451"/>
      <c r="U649" s="1530"/>
      <c r="V649" s="1530"/>
      <c r="W649" s="1530"/>
      <c r="X649" s="1530"/>
      <c r="Y649" s="1530"/>
      <c r="Z649" s="1530"/>
      <c r="AA649" s="1530"/>
      <c r="AB649" s="1530"/>
      <c r="AC649" s="1530"/>
      <c r="AD649" s="1530"/>
      <c r="AE649" s="1530"/>
      <c r="AF649" s="1530"/>
      <c r="AG649" s="1530"/>
      <c r="AH649" s="1530"/>
      <c r="AI649" s="1530"/>
      <c r="AJ649" s="1530"/>
      <c r="AK649" s="1530"/>
      <c r="AL649" s="1530"/>
      <c r="AM649" s="1530"/>
      <c r="AN649" s="1530"/>
      <c r="AO649" s="1530"/>
      <c r="AP649" s="1530"/>
      <c r="AQ649" s="1530"/>
      <c r="AR649" s="1530"/>
      <c r="AS649" s="1530"/>
      <c r="AT649" s="1530"/>
      <c r="AU649" s="1530"/>
      <c r="AV649" s="1530"/>
      <c r="AW649" s="1530"/>
      <c r="AX649" s="1530"/>
      <c r="AY649" s="1530"/>
      <c r="AZ649" s="1530"/>
      <c r="BA649" s="1530"/>
      <c r="BB649" s="1530"/>
      <c r="BC649" s="1530"/>
      <c r="BD649" s="1530"/>
      <c r="BE649" s="1530"/>
      <c r="BF649" s="1530"/>
      <c r="BG649" s="1530"/>
      <c r="BH649" s="1530"/>
      <c r="BI649" s="1530"/>
      <c r="BJ649" s="1530"/>
      <c r="BK649" s="1530"/>
      <c r="BL649" s="1530"/>
      <c r="BM649" s="1530"/>
      <c r="BN649" s="1530"/>
      <c r="BW649" s="1569"/>
      <c r="CO649" s="1530"/>
      <c r="CP649" s="1530"/>
      <c r="CQ649" s="1530"/>
      <c r="CR649" s="1530"/>
      <c r="CS649" s="1530"/>
      <c r="CT649" s="1530"/>
      <c r="CU649" s="1530"/>
      <c r="CV649" s="1530"/>
      <c r="CW649" s="1530"/>
      <c r="CX649" s="1530"/>
      <c r="CY649" s="1530"/>
      <c r="CZ649" s="1530"/>
      <c r="DA649" s="1530"/>
      <c r="DB649" s="1530"/>
      <c r="DC649" s="1530"/>
      <c r="DD649" s="1530"/>
      <c r="DE649" s="1530"/>
      <c r="DF649" s="1530"/>
      <c r="DG649" s="1530"/>
      <c r="DH649" s="1530"/>
      <c r="DI649" s="1530"/>
      <c r="DJ649" s="1530"/>
      <c r="DK649" s="1530"/>
      <c r="DL649" s="1530"/>
      <c r="DM649" s="1530"/>
      <c r="DN649" s="1571"/>
      <c r="DO649" s="1530"/>
      <c r="DP649" s="1530"/>
    </row>
    <row r="650" spans="1:120">
      <c r="A650" s="1451"/>
      <c r="C650" s="1451"/>
      <c r="K650" s="1451"/>
      <c r="L650" s="1451"/>
      <c r="U650" s="1530"/>
      <c r="V650" s="1530"/>
      <c r="W650" s="1530"/>
      <c r="X650" s="1530"/>
      <c r="Y650" s="1530"/>
      <c r="Z650" s="1530"/>
      <c r="AA650" s="1530"/>
      <c r="AB650" s="1530"/>
      <c r="AC650" s="1530"/>
      <c r="AD650" s="1530"/>
      <c r="AE650" s="1530"/>
      <c r="AF650" s="1530"/>
      <c r="AG650" s="1530"/>
      <c r="AH650" s="1530"/>
      <c r="AI650" s="1530"/>
      <c r="AJ650" s="1530"/>
      <c r="AK650" s="1530"/>
      <c r="AL650" s="1530"/>
      <c r="AM650" s="1530"/>
      <c r="AN650" s="1530"/>
      <c r="AO650" s="1530"/>
      <c r="AP650" s="1530"/>
      <c r="AQ650" s="1530"/>
      <c r="AR650" s="1530"/>
      <c r="AS650" s="1530"/>
      <c r="AT650" s="1530"/>
      <c r="AU650" s="1530"/>
      <c r="AV650" s="1530"/>
      <c r="AW650" s="1530"/>
      <c r="AX650" s="1530"/>
      <c r="AY650" s="1530"/>
      <c r="AZ650" s="1530"/>
      <c r="BA650" s="1530"/>
      <c r="BB650" s="1530"/>
      <c r="BC650" s="1530"/>
      <c r="BD650" s="1530"/>
      <c r="BE650" s="1530"/>
      <c r="BF650" s="1530"/>
      <c r="BG650" s="1530"/>
      <c r="BH650" s="1530"/>
      <c r="BI650" s="1530"/>
      <c r="BJ650" s="1530"/>
      <c r="BK650" s="1530"/>
      <c r="BL650" s="1530"/>
      <c r="BM650" s="1530"/>
      <c r="BN650" s="1530"/>
      <c r="BW650" s="1569"/>
      <c r="CO650" s="1530"/>
      <c r="CP650" s="1530"/>
      <c r="CQ650" s="1530"/>
      <c r="CR650" s="1530"/>
      <c r="CS650" s="1530"/>
      <c r="CT650" s="1530"/>
      <c r="CU650" s="1530"/>
      <c r="CV650" s="1530"/>
      <c r="CW650" s="1530"/>
      <c r="CX650" s="1530"/>
      <c r="CY650" s="1530"/>
      <c r="CZ650" s="1530"/>
      <c r="DA650" s="1530"/>
      <c r="DB650" s="1530"/>
      <c r="DC650" s="1530"/>
      <c r="DD650" s="1530"/>
      <c r="DE650" s="1530"/>
      <c r="DF650" s="1530"/>
      <c r="DG650" s="1530"/>
      <c r="DH650" s="1530"/>
      <c r="DI650" s="1530"/>
      <c r="DJ650" s="1530"/>
      <c r="DK650" s="1530"/>
      <c r="DL650" s="1530"/>
      <c r="DM650" s="1530"/>
      <c r="DN650" s="1571"/>
      <c r="DO650" s="1530"/>
      <c r="DP650" s="1530"/>
    </row>
    <row r="651" spans="1:120">
      <c r="A651" s="1451"/>
      <c r="C651" s="1451"/>
      <c r="K651" s="1451"/>
      <c r="L651" s="1451"/>
      <c r="U651" s="1530"/>
      <c r="V651" s="1530"/>
      <c r="W651" s="1530"/>
      <c r="X651" s="1530"/>
      <c r="Y651" s="1530"/>
      <c r="Z651" s="1530"/>
      <c r="AA651" s="1530"/>
      <c r="AB651" s="1530"/>
      <c r="AC651" s="1530"/>
      <c r="AD651" s="1530"/>
      <c r="AE651" s="1530"/>
      <c r="AF651" s="1530"/>
      <c r="AG651" s="1530"/>
      <c r="AH651" s="1530"/>
      <c r="AI651" s="1530"/>
      <c r="AJ651" s="1530"/>
      <c r="AK651" s="1530"/>
      <c r="AL651" s="1530"/>
      <c r="AM651" s="1530"/>
      <c r="AN651" s="1530"/>
      <c r="AO651" s="1530"/>
      <c r="AP651" s="1530"/>
      <c r="AQ651" s="1530"/>
      <c r="AR651" s="1530"/>
      <c r="AS651" s="1530"/>
      <c r="AT651" s="1530"/>
      <c r="AU651" s="1530"/>
      <c r="AV651" s="1530"/>
      <c r="AW651" s="1530"/>
      <c r="AX651" s="1530"/>
      <c r="AY651" s="1530"/>
      <c r="AZ651" s="1530"/>
      <c r="BA651" s="1530"/>
      <c r="BB651" s="1530"/>
      <c r="BC651" s="1530"/>
      <c r="BD651" s="1530"/>
      <c r="BE651" s="1530"/>
      <c r="BF651" s="1530"/>
      <c r="BG651" s="1530"/>
      <c r="BH651" s="1530"/>
      <c r="BI651" s="1530"/>
      <c r="BJ651" s="1530"/>
      <c r="BK651" s="1530"/>
      <c r="BL651" s="1530"/>
      <c r="BM651" s="1530"/>
      <c r="BN651" s="1530"/>
      <c r="BW651" s="1569"/>
      <c r="CO651" s="1530"/>
      <c r="CP651" s="1530"/>
      <c r="CQ651" s="1530"/>
      <c r="CR651" s="1530"/>
      <c r="CS651" s="1530"/>
      <c r="CT651" s="1530"/>
      <c r="CU651" s="1530"/>
      <c r="CV651" s="1530"/>
      <c r="CW651" s="1530"/>
      <c r="CX651" s="1530"/>
      <c r="CY651" s="1530"/>
      <c r="CZ651" s="1530"/>
      <c r="DA651" s="1530"/>
      <c r="DB651" s="1530"/>
      <c r="DC651" s="1530"/>
      <c r="DD651" s="1530"/>
      <c r="DE651" s="1530"/>
      <c r="DF651" s="1530"/>
      <c r="DG651" s="1530"/>
      <c r="DH651" s="1530"/>
      <c r="DI651" s="1530"/>
      <c r="DJ651" s="1530"/>
      <c r="DK651" s="1530"/>
      <c r="DL651" s="1530"/>
      <c r="DM651" s="1530"/>
      <c r="DN651" s="1571"/>
      <c r="DO651" s="1530"/>
      <c r="DP651" s="1530"/>
    </row>
    <row r="652" spans="1:120">
      <c r="A652" s="1451"/>
      <c r="C652" s="1451"/>
      <c r="K652" s="1451"/>
      <c r="L652" s="1451"/>
      <c r="U652" s="1530"/>
      <c r="V652" s="1530"/>
      <c r="W652" s="1530"/>
      <c r="X652" s="1530"/>
      <c r="Y652" s="1530"/>
      <c r="Z652" s="1530"/>
      <c r="AA652" s="1530"/>
      <c r="AB652" s="1530"/>
      <c r="AC652" s="1530"/>
      <c r="AD652" s="1530"/>
      <c r="AE652" s="1530"/>
      <c r="AF652" s="1530"/>
      <c r="AG652" s="1530"/>
      <c r="AH652" s="1530"/>
      <c r="AI652" s="1530"/>
      <c r="AJ652" s="1530"/>
      <c r="AK652" s="1530"/>
      <c r="AL652" s="1530"/>
      <c r="AM652" s="1530"/>
      <c r="AN652" s="1530"/>
      <c r="AO652" s="1530"/>
      <c r="AP652" s="1530"/>
      <c r="AQ652" s="1530"/>
      <c r="AR652" s="1530"/>
      <c r="AS652" s="1530"/>
      <c r="AT652" s="1530"/>
      <c r="AU652" s="1530"/>
      <c r="AV652" s="1530"/>
      <c r="AW652" s="1530"/>
      <c r="AX652" s="1530"/>
      <c r="AY652" s="1530"/>
      <c r="AZ652" s="1530"/>
      <c r="BA652" s="1530"/>
      <c r="BB652" s="1530"/>
      <c r="BC652" s="1530"/>
      <c r="BD652" s="1530"/>
      <c r="BE652" s="1530"/>
      <c r="BF652" s="1530"/>
      <c r="BG652" s="1530"/>
      <c r="BH652" s="1530"/>
      <c r="BI652" s="1530"/>
      <c r="BJ652" s="1530"/>
      <c r="BK652" s="1530"/>
      <c r="BL652" s="1530"/>
      <c r="BM652" s="1530"/>
      <c r="BN652" s="1530"/>
      <c r="BW652" s="1569"/>
      <c r="CO652" s="1530"/>
      <c r="CP652" s="1530"/>
      <c r="CQ652" s="1530"/>
      <c r="CR652" s="1530"/>
      <c r="CS652" s="1530"/>
      <c r="CT652" s="1530"/>
      <c r="CU652" s="1530"/>
      <c r="CV652" s="1530"/>
      <c r="CW652" s="1530"/>
      <c r="CX652" s="1530"/>
      <c r="CY652" s="1530"/>
      <c r="CZ652" s="1530"/>
      <c r="DA652" s="1530"/>
      <c r="DB652" s="1530"/>
      <c r="DC652" s="1530"/>
      <c r="DD652" s="1530"/>
      <c r="DE652" s="1530"/>
      <c r="DF652" s="1530"/>
      <c r="DG652" s="1530"/>
      <c r="DH652" s="1530"/>
      <c r="DI652" s="1530"/>
      <c r="DJ652" s="1530"/>
      <c r="DK652" s="1530"/>
      <c r="DL652" s="1530"/>
      <c r="DM652" s="1530"/>
      <c r="DN652" s="1571"/>
      <c r="DO652" s="1530"/>
      <c r="DP652" s="1530"/>
    </row>
    <row r="653" spans="1:120">
      <c r="A653" s="1451"/>
      <c r="C653" s="1451"/>
      <c r="K653" s="1451"/>
      <c r="L653" s="1451"/>
      <c r="U653" s="1530"/>
      <c r="V653" s="1530"/>
      <c r="W653" s="1530"/>
      <c r="X653" s="1530"/>
      <c r="Y653" s="1530"/>
      <c r="Z653" s="1530"/>
      <c r="AA653" s="1530"/>
      <c r="AB653" s="1530"/>
      <c r="AC653" s="1530"/>
      <c r="AD653" s="1530"/>
      <c r="AE653" s="1530"/>
      <c r="AF653" s="1530"/>
      <c r="AG653" s="1530"/>
      <c r="AH653" s="1530"/>
      <c r="AI653" s="1530"/>
      <c r="AJ653" s="1530"/>
      <c r="AK653" s="1530"/>
      <c r="AL653" s="1530"/>
      <c r="AM653" s="1530"/>
      <c r="AN653" s="1530"/>
      <c r="AO653" s="1530"/>
      <c r="AP653" s="1530"/>
      <c r="AQ653" s="1530"/>
      <c r="AR653" s="1530"/>
      <c r="AS653" s="1530"/>
      <c r="AT653" s="1530"/>
      <c r="AU653" s="1530"/>
      <c r="AV653" s="1530"/>
      <c r="AW653" s="1530"/>
      <c r="AX653" s="1530"/>
      <c r="AY653" s="1530"/>
      <c r="AZ653" s="1530"/>
      <c r="BA653" s="1530"/>
      <c r="BB653" s="1530"/>
      <c r="BC653" s="1530"/>
      <c r="BD653" s="1530"/>
      <c r="BE653" s="1530"/>
      <c r="BF653" s="1530"/>
      <c r="BG653" s="1530"/>
      <c r="BH653" s="1530"/>
      <c r="BI653" s="1530"/>
      <c r="BJ653" s="1530"/>
      <c r="BK653" s="1530"/>
      <c r="BL653" s="1530"/>
      <c r="BM653" s="1530"/>
      <c r="BN653" s="1530"/>
      <c r="BW653" s="1569"/>
      <c r="CO653" s="1530"/>
      <c r="CP653" s="1530"/>
      <c r="CQ653" s="1530"/>
      <c r="CR653" s="1530"/>
      <c r="CS653" s="1530"/>
      <c r="CT653" s="1530"/>
      <c r="CU653" s="1530"/>
      <c r="CV653" s="1530"/>
      <c r="CW653" s="1530"/>
      <c r="CX653" s="1530"/>
      <c r="CY653" s="1530"/>
      <c r="CZ653" s="1530"/>
      <c r="DA653" s="1530"/>
      <c r="DB653" s="1530"/>
      <c r="DC653" s="1530"/>
      <c r="DD653" s="1530"/>
      <c r="DE653" s="1530"/>
      <c r="DF653" s="1530"/>
      <c r="DG653" s="1530"/>
      <c r="DH653" s="1530"/>
      <c r="DI653" s="1530"/>
      <c r="DJ653" s="1530"/>
      <c r="DK653" s="1530"/>
      <c r="DL653" s="1530"/>
      <c r="DM653" s="1530"/>
      <c r="DN653" s="1571"/>
      <c r="DO653" s="1530"/>
      <c r="DP653" s="1530"/>
    </row>
    <row r="654" spans="1:120">
      <c r="A654" s="1451"/>
      <c r="C654" s="1451"/>
      <c r="K654" s="1451"/>
      <c r="L654" s="1451"/>
      <c r="U654" s="1530"/>
      <c r="V654" s="1530"/>
      <c r="W654" s="1530"/>
      <c r="X654" s="1530"/>
      <c r="Y654" s="1530"/>
      <c r="Z654" s="1530"/>
      <c r="AA654" s="1530"/>
      <c r="AB654" s="1530"/>
      <c r="AC654" s="1530"/>
      <c r="AD654" s="1530"/>
      <c r="AE654" s="1530"/>
      <c r="AF654" s="1530"/>
      <c r="AG654" s="1530"/>
      <c r="AH654" s="1530"/>
      <c r="AI654" s="1530"/>
      <c r="AJ654" s="1530"/>
      <c r="AK654" s="1530"/>
      <c r="AL654" s="1530"/>
      <c r="AM654" s="1530"/>
      <c r="AN654" s="1530"/>
      <c r="AO654" s="1530"/>
      <c r="AP654" s="1530"/>
      <c r="AQ654" s="1530"/>
      <c r="AR654" s="1530"/>
      <c r="AS654" s="1530"/>
      <c r="AT654" s="1530"/>
      <c r="AU654" s="1530"/>
      <c r="AV654" s="1530"/>
      <c r="AW654" s="1530"/>
      <c r="AX654" s="1530"/>
      <c r="AY654" s="1530"/>
      <c r="AZ654" s="1530"/>
      <c r="BA654" s="1530"/>
      <c r="BB654" s="1530"/>
      <c r="BC654" s="1530"/>
      <c r="BD654" s="1530"/>
      <c r="BE654" s="1530"/>
      <c r="BF654" s="1530"/>
      <c r="BG654" s="1530"/>
      <c r="BH654" s="1530"/>
      <c r="BI654" s="1530"/>
      <c r="BJ654" s="1530"/>
      <c r="BK654" s="1530"/>
      <c r="BL654" s="1530"/>
      <c r="BM654" s="1530"/>
      <c r="BN654" s="1530"/>
      <c r="BW654" s="1569"/>
      <c r="CO654" s="1530"/>
      <c r="CP654" s="1530"/>
      <c r="CQ654" s="1530"/>
      <c r="CR654" s="1530"/>
      <c r="CS654" s="1530"/>
      <c r="CT654" s="1530"/>
      <c r="CU654" s="1530"/>
      <c r="CV654" s="1530"/>
      <c r="CW654" s="1530"/>
      <c r="CX654" s="1530"/>
      <c r="CY654" s="1530"/>
      <c r="CZ654" s="1530"/>
      <c r="DA654" s="1530"/>
      <c r="DB654" s="1530"/>
      <c r="DC654" s="1530"/>
      <c r="DD654" s="1530"/>
      <c r="DE654" s="1530"/>
      <c r="DF654" s="1530"/>
      <c r="DG654" s="1530"/>
      <c r="DH654" s="1530"/>
      <c r="DI654" s="1530"/>
      <c r="DJ654" s="1530"/>
      <c r="DK654" s="1530"/>
      <c r="DL654" s="1530"/>
      <c r="DM654" s="1530"/>
      <c r="DN654" s="1571"/>
      <c r="DO654" s="1530"/>
      <c r="DP654" s="1530"/>
    </row>
    <row r="655" spans="1:120">
      <c r="A655" s="1451"/>
      <c r="C655" s="1451"/>
      <c r="K655" s="1451"/>
      <c r="L655" s="1451"/>
      <c r="U655" s="1530"/>
      <c r="V655" s="1530"/>
      <c r="W655" s="1530"/>
      <c r="X655" s="1530"/>
      <c r="Y655" s="1530"/>
      <c r="Z655" s="1530"/>
      <c r="AA655" s="1530"/>
      <c r="AB655" s="1530"/>
      <c r="AC655" s="1530"/>
      <c r="AD655" s="1530"/>
      <c r="AE655" s="1530"/>
      <c r="AF655" s="1530"/>
      <c r="AG655" s="1530"/>
      <c r="AH655" s="1530"/>
      <c r="AI655" s="1530"/>
      <c r="AJ655" s="1530"/>
      <c r="AK655" s="1530"/>
      <c r="AL655" s="1530"/>
      <c r="AM655" s="1530"/>
      <c r="AN655" s="1530"/>
      <c r="AO655" s="1530"/>
      <c r="AP655" s="1530"/>
      <c r="AQ655" s="1530"/>
      <c r="AR655" s="1530"/>
      <c r="AS655" s="1530"/>
      <c r="AT655" s="1530"/>
      <c r="AU655" s="1530"/>
      <c r="AV655" s="1530"/>
      <c r="AW655" s="1530"/>
      <c r="AX655" s="1530"/>
      <c r="AY655" s="1530"/>
      <c r="AZ655" s="1530"/>
      <c r="BA655" s="1530"/>
      <c r="BB655" s="1530"/>
      <c r="BC655" s="1530"/>
      <c r="BD655" s="1530"/>
      <c r="BE655" s="1530"/>
      <c r="BF655" s="1530"/>
      <c r="BG655" s="1530"/>
      <c r="BH655" s="1530"/>
      <c r="BI655" s="1530"/>
      <c r="BJ655" s="1530"/>
      <c r="BK655" s="1530"/>
      <c r="BL655" s="1530"/>
      <c r="BM655" s="1530"/>
      <c r="BN655" s="1530"/>
      <c r="BW655" s="1569"/>
      <c r="CO655" s="1530"/>
      <c r="CP655" s="1530"/>
      <c r="CQ655" s="1530"/>
      <c r="CR655" s="1530"/>
      <c r="CS655" s="1530"/>
      <c r="CT655" s="1530"/>
      <c r="CU655" s="1530"/>
      <c r="CV655" s="1530"/>
      <c r="CW655" s="1530"/>
      <c r="CX655" s="1530"/>
      <c r="CY655" s="1530"/>
      <c r="CZ655" s="1530"/>
      <c r="DA655" s="1530"/>
      <c r="DB655" s="1530"/>
      <c r="DC655" s="1530"/>
      <c r="DD655" s="1530"/>
      <c r="DE655" s="1530"/>
      <c r="DF655" s="1530"/>
      <c r="DG655" s="1530"/>
      <c r="DH655" s="1530"/>
      <c r="DI655" s="1530"/>
      <c r="DJ655" s="1530"/>
      <c r="DK655" s="1530"/>
      <c r="DL655" s="1530"/>
      <c r="DM655" s="1530"/>
      <c r="DN655" s="1571"/>
      <c r="DO655" s="1530"/>
      <c r="DP655" s="1530"/>
    </row>
    <row r="656" spans="1:120">
      <c r="A656" s="1451"/>
      <c r="C656" s="1451"/>
      <c r="K656" s="1451"/>
      <c r="L656" s="1451"/>
      <c r="U656" s="1530"/>
      <c r="V656" s="1530"/>
      <c r="W656" s="1530"/>
      <c r="X656" s="1530"/>
      <c r="Y656" s="1530"/>
      <c r="Z656" s="1530"/>
      <c r="AA656" s="1530"/>
      <c r="AB656" s="1530"/>
      <c r="AC656" s="1530"/>
      <c r="AD656" s="1530"/>
      <c r="AE656" s="1530"/>
      <c r="AF656" s="1530"/>
      <c r="AG656" s="1530"/>
      <c r="AH656" s="1530"/>
      <c r="AI656" s="1530"/>
      <c r="AJ656" s="1530"/>
      <c r="AK656" s="1530"/>
      <c r="AL656" s="1530"/>
      <c r="AM656" s="1530"/>
      <c r="AN656" s="1530"/>
      <c r="AO656" s="1530"/>
      <c r="AP656" s="1530"/>
      <c r="AQ656" s="1530"/>
      <c r="AR656" s="1530"/>
      <c r="AS656" s="1530"/>
      <c r="AT656" s="1530"/>
      <c r="AU656" s="1530"/>
      <c r="AV656" s="1530"/>
      <c r="AW656" s="1530"/>
      <c r="AX656" s="1530"/>
      <c r="AY656" s="1530"/>
      <c r="AZ656" s="1530"/>
      <c r="BA656" s="1530"/>
      <c r="BB656" s="1530"/>
      <c r="BC656" s="1530"/>
      <c r="BD656" s="1530"/>
      <c r="BE656" s="1530"/>
      <c r="BF656" s="1530"/>
      <c r="BG656" s="1530"/>
      <c r="BH656" s="1530"/>
      <c r="BI656" s="1530"/>
      <c r="BJ656" s="1530"/>
      <c r="BK656" s="1530"/>
      <c r="BL656" s="1530"/>
      <c r="BM656" s="1530"/>
      <c r="BN656" s="1530"/>
      <c r="BW656" s="1569"/>
      <c r="CO656" s="1530"/>
      <c r="CP656" s="1530"/>
      <c r="CQ656" s="1530"/>
      <c r="CR656" s="1530"/>
      <c r="CS656" s="1530"/>
      <c r="CT656" s="1530"/>
      <c r="CU656" s="1530"/>
      <c r="CV656" s="1530"/>
      <c r="CW656" s="1530"/>
      <c r="CX656" s="1530"/>
      <c r="CY656" s="1530"/>
      <c r="CZ656" s="1530"/>
      <c r="DA656" s="1530"/>
      <c r="DB656" s="1530"/>
      <c r="DC656" s="1530"/>
      <c r="DD656" s="1530"/>
      <c r="DE656" s="1530"/>
      <c r="DF656" s="1530"/>
      <c r="DG656" s="1530"/>
      <c r="DH656" s="1530"/>
      <c r="DI656" s="1530"/>
      <c r="DJ656" s="1530"/>
      <c r="DK656" s="1530"/>
      <c r="DL656" s="1530"/>
      <c r="DM656" s="1530"/>
      <c r="DN656" s="1571"/>
      <c r="DO656" s="1530"/>
      <c r="DP656" s="1530"/>
    </row>
    <row r="657" spans="1:120">
      <c r="A657" s="1451"/>
      <c r="C657" s="1451"/>
      <c r="K657" s="1451"/>
      <c r="L657" s="1451"/>
      <c r="U657" s="1530"/>
      <c r="V657" s="1530"/>
      <c r="W657" s="1530"/>
      <c r="X657" s="1530"/>
      <c r="Y657" s="1530"/>
      <c r="Z657" s="1530"/>
      <c r="AA657" s="1530"/>
      <c r="AB657" s="1530"/>
      <c r="AC657" s="1530"/>
      <c r="AD657" s="1530"/>
      <c r="AE657" s="1530"/>
      <c r="AF657" s="1530"/>
      <c r="AG657" s="1530"/>
      <c r="AH657" s="1530"/>
      <c r="AI657" s="1530"/>
      <c r="AJ657" s="1530"/>
      <c r="AK657" s="1530"/>
      <c r="AL657" s="1530"/>
      <c r="AM657" s="1530"/>
      <c r="AN657" s="1530"/>
      <c r="AO657" s="1530"/>
      <c r="AP657" s="1530"/>
      <c r="AQ657" s="1530"/>
      <c r="AR657" s="1530"/>
      <c r="AS657" s="1530"/>
      <c r="AT657" s="1530"/>
      <c r="AU657" s="1530"/>
      <c r="AV657" s="1530"/>
      <c r="AW657" s="1530"/>
      <c r="AX657" s="1530"/>
      <c r="AY657" s="1530"/>
      <c r="AZ657" s="1530"/>
      <c r="BA657" s="1530"/>
      <c r="BB657" s="1530"/>
      <c r="BC657" s="1530"/>
      <c r="BD657" s="1530"/>
      <c r="BE657" s="1530"/>
      <c r="BF657" s="1530"/>
      <c r="BG657" s="1530"/>
      <c r="BH657" s="1530"/>
      <c r="BI657" s="1530"/>
      <c r="BJ657" s="1530"/>
      <c r="BK657" s="1530"/>
      <c r="BL657" s="1530"/>
      <c r="BM657" s="1530"/>
      <c r="BN657" s="1530"/>
      <c r="BW657" s="1569"/>
      <c r="CO657" s="1530"/>
      <c r="CP657" s="1530"/>
      <c r="CQ657" s="1530"/>
      <c r="CR657" s="1530"/>
      <c r="CS657" s="1530"/>
      <c r="CT657" s="1530"/>
      <c r="CU657" s="1530"/>
      <c r="CV657" s="1530"/>
      <c r="CW657" s="1530"/>
      <c r="CX657" s="1530"/>
      <c r="CY657" s="1530"/>
      <c r="CZ657" s="1530"/>
      <c r="DA657" s="1530"/>
      <c r="DB657" s="1530"/>
      <c r="DC657" s="1530"/>
      <c r="DD657" s="1530"/>
      <c r="DE657" s="1530"/>
      <c r="DF657" s="1530"/>
      <c r="DG657" s="1530"/>
      <c r="DH657" s="1530"/>
      <c r="DI657" s="1530"/>
      <c r="DJ657" s="1530"/>
      <c r="DK657" s="1530"/>
      <c r="DL657" s="1530"/>
      <c r="DM657" s="1530"/>
      <c r="DN657" s="1571"/>
      <c r="DO657" s="1530"/>
      <c r="DP657" s="1530"/>
    </row>
    <row r="658" spans="1:120">
      <c r="A658" s="1451"/>
      <c r="C658" s="1451"/>
      <c r="K658" s="1451"/>
      <c r="L658" s="1451"/>
      <c r="U658" s="1530"/>
      <c r="V658" s="1530"/>
      <c r="W658" s="1530"/>
      <c r="X658" s="1530"/>
      <c r="Y658" s="1530"/>
      <c r="Z658" s="1530"/>
      <c r="AA658" s="1530"/>
      <c r="AB658" s="1530"/>
      <c r="AC658" s="1530"/>
      <c r="AD658" s="1530"/>
      <c r="AE658" s="1530"/>
      <c r="AF658" s="1530"/>
      <c r="AG658" s="1530"/>
      <c r="AH658" s="1530"/>
      <c r="AI658" s="1530"/>
      <c r="AJ658" s="1530"/>
      <c r="AK658" s="1530"/>
      <c r="AL658" s="1530"/>
      <c r="AM658" s="1530"/>
      <c r="AN658" s="1530"/>
      <c r="AO658" s="1530"/>
      <c r="AP658" s="1530"/>
      <c r="AQ658" s="1530"/>
      <c r="AR658" s="1530"/>
      <c r="AS658" s="1530"/>
      <c r="AT658" s="1530"/>
      <c r="AU658" s="1530"/>
      <c r="AV658" s="1530"/>
      <c r="AW658" s="1530"/>
      <c r="AX658" s="1530"/>
      <c r="AY658" s="1530"/>
      <c r="AZ658" s="1530"/>
      <c r="BA658" s="1530"/>
      <c r="BB658" s="1530"/>
      <c r="BC658" s="1530"/>
      <c r="BD658" s="1530"/>
      <c r="BE658" s="1530"/>
      <c r="BF658" s="1530"/>
      <c r="BG658" s="1530"/>
      <c r="BH658" s="1530"/>
      <c r="BI658" s="1530"/>
      <c r="BJ658" s="1530"/>
      <c r="BK658" s="1530"/>
      <c r="BL658" s="1530"/>
      <c r="BM658" s="1530"/>
      <c r="BN658" s="1530"/>
      <c r="BW658" s="1569"/>
      <c r="CO658" s="1530"/>
      <c r="CP658" s="1530"/>
      <c r="CQ658" s="1530"/>
      <c r="CR658" s="1530"/>
      <c r="CS658" s="1530"/>
      <c r="CT658" s="1530"/>
      <c r="CU658" s="1530"/>
      <c r="CV658" s="1530"/>
      <c r="CW658" s="1530"/>
      <c r="CX658" s="1530"/>
      <c r="CY658" s="1530"/>
      <c r="CZ658" s="1530"/>
      <c r="DA658" s="1530"/>
      <c r="DB658" s="1530"/>
      <c r="DC658" s="1530"/>
      <c r="DD658" s="1530"/>
      <c r="DE658" s="1530"/>
      <c r="DF658" s="1530"/>
      <c r="DG658" s="1530"/>
      <c r="DH658" s="1530"/>
      <c r="DI658" s="1530"/>
      <c r="DJ658" s="1530"/>
      <c r="DK658" s="1530"/>
      <c r="DL658" s="1530"/>
      <c r="DM658" s="1530"/>
      <c r="DN658" s="1571"/>
      <c r="DO658" s="1530"/>
      <c r="DP658" s="1530"/>
    </row>
    <row r="659" spans="1:120">
      <c r="A659" s="1451"/>
      <c r="C659" s="1451"/>
      <c r="K659" s="1451"/>
      <c r="L659" s="1451"/>
      <c r="U659" s="1530"/>
      <c r="V659" s="1530"/>
      <c r="W659" s="1530"/>
      <c r="X659" s="1530"/>
      <c r="Y659" s="1530"/>
      <c r="Z659" s="1530"/>
      <c r="AA659" s="1530"/>
      <c r="AB659" s="1530"/>
      <c r="AC659" s="1530"/>
      <c r="AD659" s="1530"/>
      <c r="AE659" s="1530"/>
      <c r="AF659" s="1530"/>
      <c r="AG659" s="1530"/>
      <c r="AH659" s="1530"/>
      <c r="AI659" s="1530"/>
      <c r="AJ659" s="1530"/>
      <c r="AK659" s="1530"/>
      <c r="AL659" s="1530"/>
      <c r="AM659" s="1530"/>
      <c r="AN659" s="1530"/>
      <c r="AO659" s="1530"/>
      <c r="AP659" s="1530"/>
      <c r="AQ659" s="1530"/>
      <c r="AR659" s="1530"/>
      <c r="AS659" s="1530"/>
      <c r="AT659" s="1530"/>
      <c r="AU659" s="1530"/>
      <c r="AV659" s="1530"/>
      <c r="AW659" s="1530"/>
      <c r="AX659" s="1530"/>
      <c r="AY659" s="1530"/>
      <c r="AZ659" s="1530"/>
      <c r="BA659" s="1530"/>
      <c r="BB659" s="1530"/>
      <c r="BC659" s="1530"/>
      <c r="BD659" s="1530"/>
      <c r="BE659" s="1530"/>
      <c r="BF659" s="1530"/>
      <c r="BG659" s="1530"/>
      <c r="BH659" s="1530"/>
      <c r="BI659" s="1530"/>
      <c r="BJ659" s="1530"/>
      <c r="BK659" s="1530"/>
      <c r="BL659" s="1530"/>
      <c r="BM659" s="1530"/>
      <c r="BN659" s="1530"/>
      <c r="BW659" s="1569"/>
      <c r="CO659" s="1530"/>
      <c r="CP659" s="1530"/>
      <c r="CQ659" s="1530"/>
      <c r="CR659" s="1530"/>
      <c r="CS659" s="1530"/>
      <c r="CT659" s="1530"/>
      <c r="CU659" s="1530"/>
      <c r="CV659" s="1530"/>
      <c r="CW659" s="1530"/>
      <c r="CX659" s="1530"/>
      <c r="CY659" s="1530"/>
      <c r="CZ659" s="1530"/>
      <c r="DA659" s="1530"/>
      <c r="DB659" s="1530"/>
      <c r="DC659" s="1530"/>
      <c r="DD659" s="1530"/>
      <c r="DE659" s="1530"/>
      <c r="DF659" s="1530"/>
      <c r="DG659" s="1530"/>
      <c r="DH659" s="1530"/>
      <c r="DI659" s="1530"/>
      <c r="DJ659" s="1530"/>
      <c r="DK659" s="1530"/>
      <c r="DL659" s="1530"/>
      <c r="DM659" s="1530"/>
      <c r="DN659" s="1571"/>
      <c r="DO659" s="1530"/>
      <c r="DP659" s="1530"/>
    </row>
    <row r="660" spans="1:120">
      <c r="A660" s="1451"/>
      <c r="C660" s="1451"/>
      <c r="K660" s="1451"/>
      <c r="L660" s="1451"/>
      <c r="U660" s="1530"/>
      <c r="V660" s="1530"/>
      <c r="W660" s="1530"/>
      <c r="X660" s="1530"/>
      <c r="Y660" s="1530"/>
      <c r="Z660" s="1530"/>
      <c r="AA660" s="1530"/>
      <c r="AB660" s="1530"/>
      <c r="AC660" s="1530"/>
      <c r="AD660" s="1530"/>
      <c r="AE660" s="1530"/>
      <c r="AF660" s="1530"/>
      <c r="AG660" s="1530"/>
      <c r="AH660" s="1530"/>
      <c r="AI660" s="1530"/>
      <c r="AJ660" s="1530"/>
      <c r="AK660" s="1530"/>
      <c r="AL660" s="1530"/>
      <c r="AM660" s="1530"/>
      <c r="AN660" s="1530"/>
      <c r="AO660" s="1530"/>
      <c r="AP660" s="1530"/>
      <c r="AQ660" s="1530"/>
      <c r="AR660" s="1530"/>
      <c r="AS660" s="1530"/>
      <c r="AT660" s="1530"/>
      <c r="AU660" s="1530"/>
      <c r="AV660" s="1530"/>
      <c r="AW660" s="1530"/>
      <c r="AX660" s="1530"/>
      <c r="AY660" s="1530"/>
      <c r="AZ660" s="1530"/>
      <c r="BA660" s="1530"/>
      <c r="BB660" s="1530"/>
      <c r="BC660" s="1530"/>
      <c r="BD660" s="1530"/>
      <c r="BE660" s="1530"/>
      <c r="BF660" s="1530"/>
      <c r="BG660" s="1530"/>
      <c r="BH660" s="1530"/>
      <c r="BI660" s="1530"/>
      <c r="BJ660" s="1530"/>
      <c r="BK660" s="1530"/>
      <c r="BL660" s="1530"/>
      <c r="BM660" s="1530"/>
      <c r="BN660" s="1530"/>
      <c r="BW660" s="1569"/>
      <c r="CO660" s="1530"/>
      <c r="CP660" s="1530"/>
      <c r="CQ660" s="1530"/>
      <c r="CR660" s="1530"/>
      <c r="CS660" s="1530"/>
      <c r="CT660" s="1530"/>
      <c r="CU660" s="1530"/>
      <c r="CV660" s="1530"/>
      <c r="CW660" s="1530"/>
      <c r="CX660" s="1530"/>
      <c r="CY660" s="1530"/>
      <c r="CZ660" s="1530"/>
      <c r="DA660" s="1530"/>
      <c r="DB660" s="1530"/>
      <c r="DC660" s="1530"/>
      <c r="DD660" s="1530"/>
      <c r="DE660" s="1530"/>
      <c r="DF660" s="1530"/>
      <c r="DG660" s="1530"/>
      <c r="DH660" s="1530"/>
      <c r="DI660" s="1530"/>
      <c r="DJ660" s="1530"/>
      <c r="DK660" s="1530"/>
      <c r="DL660" s="1530"/>
      <c r="DM660" s="1530"/>
      <c r="DN660" s="1571"/>
      <c r="DO660" s="1530"/>
      <c r="DP660" s="1530"/>
    </row>
    <row r="661" spans="1:120">
      <c r="A661" s="1451"/>
      <c r="C661" s="1451"/>
      <c r="K661" s="1451"/>
      <c r="L661" s="1451"/>
      <c r="U661" s="1530"/>
      <c r="V661" s="1530"/>
      <c r="W661" s="1530"/>
      <c r="X661" s="1530"/>
      <c r="Y661" s="1530"/>
      <c r="Z661" s="1530"/>
      <c r="AA661" s="1530"/>
      <c r="AB661" s="1530"/>
      <c r="AC661" s="1530"/>
      <c r="AD661" s="1530"/>
      <c r="AE661" s="1530"/>
      <c r="AF661" s="1530"/>
      <c r="AG661" s="1530"/>
      <c r="AH661" s="1530"/>
      <c r="AI661" s="1530"/>
      <c r="AJ661" s="1530"/>
      <c r="AK661" s="1530"/>
      <c r="AL661" s="1530"/>
      <c r="AM661" s="1530"/>
      <c r="AN661" s="1530"/>
      <c r="AO661" s="1530"/>
      <c r="AP661" s="1530"/>
      <c r="AQ661" s="1530"/>
      <c r="AR661" s="1530"/>
      <c r="AS661" s="1530"/>
      <c r="AT661" s="1530"/>
      <c r="AU661" s="1530"/>
      <c r="AV661" s="1530"/>
      <c r="AW661" s="1530"/>
      <c r="AX661" s="1530"/>
      <c r="AY661" s="1530"/>
      <c r="AZ661" s="1530"/>
      <c r="BA661" s="1530"/>
      <c r="BB661" s="1530"/>
      <c r="BC661" s="1530"/>
      <c r="BD661" s="1530"/>
      <c r="BE661" s="1530"/>
      <c r="BF661" s="1530"/>
      <c r="BG661" s="1530"/>
      <c r="BH661" s="1530"/>
      <c r="BI661" s="1530"/>
      <c r="BJ661" s="1530"/>
      <c r="BK661" s="1530"/>
      <c r="BL661" s="1530"/>
      <c r="BM661" s="1530"/>
      <c r="BN661" s="1530"/>
      <c r="BW661" s="1569"/>
      <c r="CO661" s="1530"/>
      <c r="CP661" s="1530"/>
      <c r="CQ661" s="1530"/>
      <c r="CR661" s="1530"/>
      <c r="CS661" s="1530"/>
      <c r="CT661" s="1530"/>
      <c r="CU661" s="1530"/>
      <c r="CV661" s="1530"/>
      <c r="CW661" s="1530"/>
      <c r="CX661" s="1530"/>
      <c r="CY661" s="1530"/>
      <c r="CZ661" s="1530"/>
      <c r="DA661" s="1530"/>
      <c r="DB661" s="1530"/>
      <c r="DC661" s="1530"/>
      <c r="DD661" s="1530"/>
      <c r="DE661" s="1530"/>
      <c r="DF661" s="1530"/>
      <c r="DG661" s="1530"/>
      <c r="DH661" s="1530"/>
      <c r="DI661" s="1530"/>
      <c r="DJ661" s="1530"/>
      <c r="DK661" s="1530"/>
      <c r="DL661" s="1530"/>
      <c r="DM661" s="1530"/>
      <c r="DN661" s="1571"/>
      <c r="DO661" s="1530"/>
      <c r="DP661" s="1530"/>
    </row>
    <row r="662" spans="1:120">
      <c r="A662" s="1451"/>
      <c r="C662" s="1451"/>
      <c r="K662" s="1451"/>
      <c r="L662" s="1451"/>
      <c r="U662" s="1530"/>
      <c r="V662" s="1530"/>
      <c r="W662" s="1530"/>
      <c r="X662" s="1530"/>
      <c r="Y662" s="1530"/>
      <c r="Z662" s="1530"/>
      <c r="AA662" s="1530"/>
      <c r="AB662" s="1530"/>
      <c r="AC662" s="1530"/>
      <c r="AD662" s="1530"/>
      <c r="AE662" s="1530"/>
      <c r="AF662" s="1530"/>
      <c r="AG662" s="1530"/>
      <c r="AH662" s="1530"/>
      <c r="AI662" s="1530"/>
      <c r="AJ662" s="1530"/>
      <c r="AK662" s="1530"/>
      <c r="AL662" s="1530"/>
      <c r="AM662" s="1530"/>
      <c r="AN662" s="1530"/>
      <c r="AO662" s="1530"/>
      <c r="AP662" s="1530"/>
      <c r="AQ662" s="1530"/>
      <c r="AR662" s="1530"/>
      <c r="AS662" s="1530"/>
      <c r="AT662" s="1530"/>
      <c r="AU662" s="1530"/>
      <c r="AV662" s="1530"/>
      <c r="AW662" s="1530"/>
      <c r="AX662" s="1530"/>
      <c r="AY662" s="1530"/>
      <c r="AZ662" s="1530"/>
      <c r="BA662" s="1530"/>
      <c r="BB662" s="1530"/>
      <c r="BC662" s="1530"/>
      <c r="BD662" s="1530"/>
      <c r="BE662" s="1530"/>
      <c r="BF662" s="1530"/>
      <c r="BG662" s="1530"/>
      <c r="BH662" s="1530"/>
      <c r="BI662" s="1530"/>
      <c r="BJ662" s="1530"/>
      <c r="BK662" s="1530"/>
      <c r="BL662" s="1530"/>
      <c r="BM662" s="1530"/>
      <c r="BN662" s="1530"/>
      <c r="BW662" s="1569"/>
      <c r="CO662" s="1530"/>
      <c r="CP662" s="1530"/>
      <c r="CQ662" s="1530"/>
      <c r="CR662" s="1530"/>
      <c r="CS662" s="1530"/>
      <c r="CT662" s="1530"/>
      <c r="CU662" s="1530"/>
      <c r="CV662" s="1530"/>
      <c r="CW662" s="1530"/>
      <c r="CX662" s="1530"/>
      <c r="CY662" s="1530"/>
      <c r="CZ662" s="1530"/>
      <c r="DA662" s="1530"/>
      <c r="DB662" s="1530"/>
      <c r="DC662" s="1530"/>
      <c r="DD662" s="1530"/>
      <c r="DE662" s="1530"/>
      <c r="DF662" s="1530"/>
      <c r="DG662" s="1530"/>
      <c r="DH662" s="1530"/>
      <c r="DI662" s="1530"/>
      <c r="DJ662" s="1530"/>
      <c r="DK662" s="1530"/>
      <c r="DL662" s="1530"/>
      <c r="DM662" s="1530"/>
      <c r="DN662" s="1571"/>
      <c r="DO662" s="1530"/>
      <c r="DP662" s="1530"/>
    </row>
    <row r="663" spans="1:120">
      <c r="A663" s="1451"/>
      <c r="C663" s="1451"/>
      <c r="K663" s="1451"/>
      <c r="L663" s="1451"/>
      <c r="U663" s="1530"/>
      <c r="V663" s="1530"/>
      <c r="W663" s="1530"/>
      <c r="X663" s="1530"/>
      <c r="Y663" s="1530"/>
      <c r="Z663" s="1530"/>
      <c r="AA663" s="1530"/>
      <c r="AB663" s="1530"/>
      <c r="AC663" s="1530"/>
      <c r="AD663" s="1530"/>
      <c r="AE663" s="1530"/>
      <c r="AF663" s="1530"/>
      <c r="AG663" s="1530"/>
      <c r="AH663" s="1530"/>
      <c r="AI663" s="1530"/>
      <c r="AJ663" s="1530"/>
      <c r="AK663" s="1530"/>
      <c r="AL663" s="1530"/>
      <c r="AM663" s="1530"/>
      <c r="AN663" s="1530"/>
      <c r="AO663" s="1530"/>
      <c r="AP663" s="1530"/>
      <c r="AQ663" s="1530"/>
      <c r="AR663" s="1530"/>
      <c r="AS663" s="1530"/>
      <c r="AT663" s="1530"/>
      <c r="AU663" s="1530"/>
      <c r="AV663" s="1530"/>
      <c r="AW663" s="1530"/>
      <c r="AX663" s="1530"/>
      <c r="AY663" s="1530"/>
      <c r="AZ663" s="1530"/>
      <c r="BA663" s="1530"/>
      <c r="BB663" s="1530"/>
      <c r="BC663" s="1530"/>
      <c r="BD663" s="1530"/>
      <c r="BE663" s="1530"/>
      <c r="BF663" s="1530"/>
      <c r="BG663" s="1530"/>
      <c r="BH663" s="1530"/>
      <c r="BI663" s="1530"/>
      <c r="BJ663" s="1530"/>
      <c r="BK663" s="1530"/>
      <c r="BL663" s="1530"/>
      <c r="BM663" s="1530"/>
      <c r="BN663" s="1530"/>
      <c r="BW663" s="1569"/>
      <c r="CO663" s="1530"/>
      <c r="CP663" s="1530"/>
      <c r="CQ663" s="1530"/>
      <c r="CR663" s="1530"/>
      <c r="CS663" s="1530"/>
      <c r="CT663" s="1530"/>
      <c r="CU663" s="1530"/>
      <c r="CV663" s="1530"/>
      <c r="CW663" s="1530"/>
      <c r="CX663" s="1530"/>
      <c r="CY663" s="1530"/>
      <c r="CZ663" s="1530"/>
      <c r="DA663" s="1530"/>
      <c r="DB663" s="1530"/>
      <c r="DC663" s="1530"/>
      <c r="DD663" s="1530"/>
      <c r="DE663" s="1530"/>
      <c r="DF663" s="1530"/>
      <c r="DG663" s="1530"/>
      <c r="DH663" s="1530"/>
      <c r="DI663" s="1530"/>
      <c r="DJ663" s="1530"/>
      <c r="DK663" s="1530"/>
      <c r="DL663" s="1530"/>
      <c r="DM663" s="1530"/>
      <c r="DN663" s="1571"/>
      <c r="DO663" s="1530"/>
      <c r="DP663" s="1530"/>
    </row>
    <row r="664" spans="1:120">
      <c r="A664" s="1451"/>
      <c r="C664" s="1451"/>
      <c r="K664" s="1451"/>
      <c r="L664" s="1451"/>
      <c r="U664" s="1530"/>
      <c r="V664" s="1530"/>
      <c r="W664" s="1530"/>
      <c r="X664" s="1530"/>
      <c r="Y664" s="1530"/>
      <c r="Z664" s="1530"/>
      <c r="AA664" s="1530"/>
      <c r="AB664" s="1530"/>
      <c r="AC664" s="1530"/>
      <c r="AD664" s="1530"/>
      <c r="AE664" s="1530"/>
      <c r="AF664" s="1530"/>
      <c r="AG664" s="1530"/>
      <c r="AH664" s="1530"/>
      <c r="AI664" s="1530"/>
      <c r="AJ664" s="1530"/>
      <c r="AK664" s="1530"/>
      <c r="AL664" s="1530"/>
      <c r="AM664" s="1530"/>
      <c r="AN664" s="1530"/>
      <c r="AO664" s="1530"/>
      <c r="AP664" s="1530"/>
      <c r="AQ664" s="1530"/>
      <c r="AR664" s="1530"/>
      <c r="AS664" s="1530"/>
      <c r="AT664" s="1530"/>
      <c r="AU664" s="1530"/>
      <c r="AV664" s="1530"/>
      <c r="AW664" s="1530"/>
      <c r="AX664" s="1530"/>
      <c r="AY664" s="1530"/>
      <c r="AZ664" s="1530"/>
      <c r="BA664" s="1530"/>
      <c r="BB664" s="1530"/>
      <c r="BC664" s="1530"/>
      <c r="BD664" s="1530"/>
      <c r="BE664" s="1530"/>
      <c r="BF664" s="1530"/>
      <c r="BG664" s="1530"/>
      <c r="BH664" s="1530"/>
      <c r="BI664" s="1530"/>
      <c r="BJ664" s="1530"/>
      <c r="BK664" s="1530"/>
      <c r="BL664" s="1530"/>
      <c r="BM664" s="1530"/>
      <c r="BN664" s="1530"/>
      <c r="BW664" s="1569"/>
      <c r="CO664" s="1530"/>
      <c r="CP664" s="1530"/>
      <c r="CQ664" s="1530"/>
      <c r="CR664" s="1530"/>
      <c r="CS664" s="1530"/>
      <c r="CT664" s="1530"/>
      <c r="CU664" s="1530"/>
      <c r="CV664" s="1530"/>
      <c r="CW664" s="1530"/>
      <c r="CX664" s="1530"/>
      <c r="CY664" s="1530"/>
      <c r="CZ664" s="1530"/>
      <c r="DA664" s="1530"/>
      <c r="DB664" s="1530"/>
      <c r="DC664" s="1530"/>
      <c r="DD664" s="1530"/>
      <c r="DE664" s="1530"/>
      <c r="DF664" s="1530"/>
      <c r="DG664" s="1530"/>
      <c r="DH664" s="1530"/>
      <c r="DI664" s="1530"/>
      <c r="DJ664" s="1530"/>
      <c r="DK664" s="1530"/>
      <c r="DL664" s="1530"/>
      <c r="DM664" s="1530"/>
      <c r="DN664" s="1571"/>
      <c r="DO664" s="1530"/>
      <c r="DP664" s="1530"/>
    </row>
    <row r="665" spans="1:120">
      <c r="A665" s="1451"/>
      <c r="C665" s="1451"/>
      <c r="K665" s="1451"/>
      <c r="L665" s="1451"/>
      <c r="U665" s="1530"/>
      <c r="V665" s="1530"/>
      <c r="W665" s="1530"/>
      <c r="X665" s="1530"/>
      <c r="Y665" s="1530"/>
      <c r="Z665" s="1530"/>
      <c r="AA665" s="1530"/>
      <c r="AB665" s="1530"/>
      <c r="AC665" s="1530"/>
      <c r="AD665" s="1530"/>
      <c r="AE665" s="1530"/>
      <c r="AF665" s="1530"/>
      <c r="AG665" s="1530"/>
      <c r="AH665" s="1530"/>
      <c r="AI665" s="1530"/>
      <c r="AJ665" s="1530"/>
      <c r="AK665" s="1530"/>
      <c r="AL665" s="1530"/>
      <c r="AM665" s="1530"/>
      <c r="AN665" s="1530"/>
      <c r="AO665" s="1530"/>
      <c r="AP665" s="1530"/>
      <c r="AQ665" s="1530"/>
      <c r="AR665" s="1530"/>
      <c r="AS665" s="1530"/>
      <c r="AT665" s="1530"/>
      <c r="AU665" s="1530"/>
      <c r="AV665" s="1530"/>
      <c r="AW665" s="1530"/>
      <c r="AX665" s="1530"/>
      <c r="AY665" s="1530"/>
      <c r="AZ665" s="1530"/>
      <c r="BA665" s="1530"/>
      <c r="BB665" s="1530"/>
      <c r="BC665" s="1530"/>
      <c r="BD665" s="1530"/>
      <c r="BE665" s="1530"/>
      <c r="BF665" s="1530"/>
      <c r="BG665" s="1530"/>
      <c r="BH665" s="1530"/>
      <c r="BI665" s="1530"/>
      <c r="BJ665" s="1530"/>
      <c r="BK665" s="1530"/>
      <c r="BL665" s="1530"/>
      <c r="BM665" s="1530"/>
      <c r="BN665" s="1530"/>
      <c r="BW665" s="1569"/>
      <c r="CO665" s="1530"/>
      <c r="CP665" s="1530"/>
      <c r="CQ665" s="1530"/>
      <c r="CR665" s="1530"/>
      <c r="CS665" s="1530"/>
      <c r="CT665" s="1530"/>
      <c r="CU665" s="1530"/>
      <c r="CV665" s="1530"/>
      <c r="CW665" s="1530"/>
      <c r="CX665" s="1530"/>
      <c r="CY665" s="1530"/>
      <c r="CZ665" s="1530"/>
      <c r="DA665" s="1530"/>
      <c r="DB665" s="1530"/>
      <c r="DC665" s="1530"/>
      <c r="DD665" s="1530"/>
      <c r="DE665" s="1530"/>
      <c r="DF665" s="1530"/>
      <c r="DG665" s="1530"/>
      <c r="DH665" s="1530"/>
      <c r="DI665" s="1530"/>
      <c r="DJ665" s="1530"/>
      <c r="DK665" s="1530"/>
      <c r="DL665" s="1530"/>
      <c r="DM665" s="1530"/>
      <c r="DN665" s="1571"/>
      <c r="DO665" s="1530"/>
      <c r="DP665" s="1530"/>
    </row>
    <row r="666" spans="1:120">
      <c r="A666" s="1451"/>
      <c r="C666" s="1451"/>
      <c r="K666" s="1451"/>
      <c r="L666" s="1451"/>
      <c r="U666" s="1530"/>
      <c r="V666" s="1530"/>
      <c r="W666" s="1530"/>
      <c r="X666" s="1530"/>
      <c r="Y666" s="1530"/>
      <c r="Z666" s="1530"/>
      <c r="AA666" s="1530"/>
      <c r="AB666" s="1530"/>
      <c r="AC666" s="1530"/>
      <c r="AD666" s="1530"/>
      <c r="AE666" s="1530"/>
      <c r="AF666" s="1530"/>
      <c r="AG666" s="1530"/>
      <c r="AH666" s="1530"/>
      <c r="AI666" s="1530"/>
      <c r="AJ666" s="1530"/>
      <c r="AK666" s="1530"/>
      <c r="AL666" s="1530"/>
      <c r="AM666" s="1530"/>
      <c r="AN666" s="1530"/>
      <c r="AO666" s="1530"/>
      <c r="AP666" s="1530"/>
      <c r="AQ666" s="1530"/>
      <c r="AR666" s="1530"/>
      <c r="AS666" s="1530"/>
      <c r="AT666" s="1530"/>
      <c r="AU666" s="1530"/>
      <c r="AV666" s="1530"/>
      <c r="AW666" s="1530"/>
      <c r="AX666" s="1530"/>
      <c r="AY666" s="1530"/>
      <c r="AZ666" s="1530"/>
      <c r="BA666" s="1530"/>
      <c r="BB666" s="1530"/>
      <c r="BC666" s="1530"/>
      <c r="BD666" s="1530"/>
      <c r="BE666" s="1530"/>
      <c r="BF666" s="1530"/>
      <c r="BG666" s="1530"/>
      <c r="BH666" s="1530"/>
      <c r="BI666" s="1530"/>
      <c r="BJ666" s="1530"/>
      <c r="BK666" s="1530"/>
      <c r="BL666" s="1530"/>
      <c r="BM666" s="1530"/>
      <c r="BN666" s="1530"/>
      <c r="BW666" s="1569"/>
      <c r="CO666" s="1530"/>
      <c r="CP666" s="1530"/>
      <c r="CQ666" s="1530"/>
      <c r="CR666" s="1530"/>
      <c r="CS666" s="1530"/>
      <c r="CT666" s="1530"/>
      <c r="CU666" s="1530"/>
      <c r="CV666" s="1530"/>
      <c r="CW666" s="1530"/>
      <c r="CX666" s="1530"/>
      <c r="CY666" s="1530"/>
      <c r="CZ666" s="1530"/>
      <c r="DA666" s="1530"/>
      <c r="DB666" s="1530"/>
      <c r="DC666" s="1530"/>
      <c r="DD666" s="1530"/>
      <c r="DE666" s="1530"/>
      <c r="DF666" s="1530"/>
      <c r="DG666" s="1530"/>
      <c r="DH666" s="1530"/>
      <c r="DI666" s="1530"/>
      <c r="DJ666" s="1530"/>
      <c r="DK666" s="1530"/>
      <c r="DL666" s="1530"/>
      <c r="DM666" s="1530"/>
      <c r="DN666" s="1571"/>
      <c r="DO666" s="1530"/>
      <c r="DP666" s="1530"/>
    </row>
    <row r="667" spans="1:120">
      <c r="A667" s="1451"/>
      <c r="C667" s="1451"/>
      <c r="K667" s="1451"/>
      <c r="L667" s="1451"/>
      <c r="U667" s="1530"/>
      <c r="V667" s="1530"/>
      <c r="W667" s="1530"/>
      <c r="X667" s="1530"/>
      <c r="Y667" s="1530"/>
      <c r="Z667" s="1530"/>
      <c r="AA667" s="1530"/>
      <c r="AB667" s="1530"/>
      <c r="AC667" s="1530"/>
      <c r="AD667" s="1530"/>
      <c r="AE667" s="1530"/>
      <c r="AF667" s="1530"/>
      <c r="AG667" s="1530"/>
      <c r="AH667" s="1530"/>
      <c r="AI667" s="1530"/>
      <c r="AJ667" s="1530"/>
      <c r="AK667" s="1530"/>
      <c r="AL667" s="1530"/>
      <c r="AM667" s="1530"/>
      <c r="AN667" s="1530"/>
      <c r="AO667" s="1530"/>
      <c r="AP667" s="1530"/>
      <c r="AQ667" s="1530"/>
      <c r="AR667" s="1530"/>
      <c r="AS667" s="1530"/>
      <c r="AT667" s="1530"/>
      <c r="AU667" s="1530"/>
      <c r="AV667" s="1530"/>
      <c r="AW667" s="1530"/>
      <c r="AX667" s="1530"/>
      <c r="AY667" s="1530"/>
      <c r="AZ667" s="1530"/>
      <c r="BA667" s="1530"/>
      <c r="BB667" s="1530"/>
      <c r="BC667" s="1530"/>
      <c r="BD667" s="1530"/>
      <c r="BE667" s="1530"/>
      <c r="BF667" s="1530"/>
      <c r="BG667" s="1530"/>
      <c r="BH667" s="1530"/>
      <c r="BI667" s="1530"/>
      <c r="BJ667" s="1530"/>
      <c r="BK667" s="1530"/>
      <c r="BL667" s="1530"/>
      <c r="BM667" s="1530"/>
      <c r="BN667" s="1530"/>
      <c r="BW667" s="1569"/>
      <c r="CO667" s="1530"/>
      <c r="CP667" s="1530"/>
      <c r="CQ667" s="1530"/>
      <c r="CR667" s="1530"/>
      <c r="CS667" s="1530"/>
      <c r="CT667" s="1530"/>
      <c r="CU667" s="1530"/>
      <c r="CV667" s="1530"/>
      <c r="CW667" s="1530"/>
      <c r="CX667" s="1530"/>
      <c r="CY667" s="1530"/>
      <c r="CZ667" s="1530"/>
      <c r="DA667" s="1530"/>
      <c r="DB667" s="1530"/>
      <c r="DC667" s="1530"/>
      <c r="DD667" s="1530"/>
      <c r="DE667" s="1530"/>
      <c r="DF667" s="1530"/>
      <c r="DG667" s="1530"/>
      <c r="DH667" s="1530"/>
      <c r="DI667" s="1530"/>
      <c r="DJ667" s="1530"/>
      <c r="DK667" s="1530"/>
      <c r="DL667" s="1530"/>
      <c r="DM667" s="1530"/>
      <c r="DN667" s="1571"/>
      <c r="DO667" s="1530"/>
      <c r="DP667" s="1530"/>
    </row>
    <row r="668" spans="1:120">
      <c r="A668" s="1451"/>
      <c r="C668" s="1451"/>
      <c r="K668" s="1451"/>
      <c r="L668" s="1451"/>
      <c r="U668" s="1530"/>
      <c r="V668" s="1530"/>
      <c r="W668" s="1530"/>
      <c r="X668" s="1530"/>
      <c r="Y668" s="1530"/>
      <c r="Z668" s="1530"/>
      <c r="AA668" s="1530"/>
      <c r="AB668" s="1530"/>
      <c r="AC668" s="1530"/>
      <c r="AD668" s="1530"/>
      <c r="AE668" s="1530"/>
      <c r="AF668" s="1530"/>
      <c r="AG668" s="1530"/>
      <c r="AH668" s="1530"/>
      <c r="AI668" s="1530"/>
      <c r="AJ668" s="1530"/>
      <c r="AK668" s="1530"/>
      <c r="AL668" s="1530"/>
      <c r="AM668" s="1530"/>
      <c r="AN668" s="1530"/>
      <c r="AO668" s="1530"/>
      <c r="AP668" s="1530"/>
      <c r="AQ668" s="1530"/>
      <c r="AR668" s="1530"/>
      <c r="AS668" s="1530"/>
      <c r="AT668" s="1530"/>
      <c r="AU668" s="1530"/>
      <c r="AV668" s="1530"/>
      <c r="AW668" s="1530"/>
      <c r="AX668" s="1530"/>
      <c r="AY668" s="1530"/>
      <c r="AZ668" s="1530"/>
      <c r="BA668" s="1530"/>
      <c r="BB668" s="1530"/>
      <c r="BC668" s="1530"/>
      <c r="BD668" s="1530"/>
      <c r="BE668" s="1530"/>
      <c r="BF668" s="1530"/>
      <c r="BG668" s="1530"/>
      <c r="BH668" s="1530"/>
      <c r="BI668" s="1530"/>
      <c r="BJ668" s="1530"/>
      <c r="BK668" s="1530"/>
      <c r="BL668" s="1530"/>
      <c r="BM668" s="1530"/>
      <c r="BN668" s="1530"/>
      <c r="BW668" s="1569"/>
      <c r="CO668" s="1530"/>
      <c r="CP668" s="1530"/>
      <c r="CQ668" s="1530"/>
      <c r="CR668" s="1530"/>
      <c r="CS668" s="1530"/>
      <c r="CT668" s="1530"/>
      <c r="CU668" s="1530"/>
      <c r="CV668" s="1530"/>
      <c r="CW668" s="1530"/>
      <c r="CX668" s="1530"/>
      <c r="CY668" s="1530"/>
      <c r="CZ668" s="1530"/>
      <c r="DA668" s="1530"/>
      <c r="DB668" s="1530"/>
      <c r="DC668" s="1530"/>
      <c r="DD668" s="1530"/>
      <c r="DE668" s="1530"/>
      <c r="DF668" s="1530"/>
      <c r="DG668" s="1530"/>
      <c r="DH668" s="1530"/>
      <c r="DI668" s="1530"/>
      <c r="DJ668" s="1530"/>
      <c r="DK668" s="1530"/>
      <c r="DL668" s="1530"/>
      <c r="DM668" s="1530"/>
      <c r="DN668" s="1571"/>
      <c r="DO668" s="1530"/>
      <c r="DP668" s="1530"/>
    </row>
    <row r="669" spans="1:120">
      <c r="A669" s="1451"/>
      <c r="C669" s="1451"/>
      <c r="K669" s="1451"/>
      <c r="L669" s="1451"/>
      <c r="U669" s="1530"/>
      <c r="V669" s="1530"/>
      <c r="W669" s="1530"/>
      <c r="X669" s="1530"/>
      <c r="Y669" s="1530"/>
      <c r="Z669" s="1530"/>
      <c r="AA669" s="1530"/>
      <c r="AB669" s="1530"/>
      <c r="AC669" s="1530"/>
      <c r="AD669" s="1530"/>
      <c r="AE669" s="1530"/>
      <c r="AF669" s="1530"/>
      <c r="AG669" s="1530"/>
      <c r="AH669" s="1530"/>
      <c r="AI669" s="1530"/>
      <c r="AJ669" s="1530"/>
      <c r="AK669" s="1530"/>
      <c r="AL669" s="1530"/>
      <c r="AM669" s="1530"/>
      <c r="AN669" s="1530"/>
      <c r="AO669" s="1530"/>
      <c r="AP669" s="1530"/>
      <c r="AQ669" s="1530"/>
      <c r="AR669" s="1530"/>
      <c r="AS669" s="1530"/>
      <c r="AT669" s="1530"/>
      <c r="AU669" s="1530"/>
      <c r="AV669" s="1530"/>
      <c r="AW669" s="1530"/>
      <c r="AX669" s="1530"/>
      <c r="AY669" s="1530"/>
      <c r="AZ669" s="1530"/>
      <c r="BA669" s="1530"/>
      <c r="BB669" s="1530"/>
      <c r="BC669" s="1530"/>
      <c r="BD669" s="1530"/>
      <c r="BE669" s="1530"/>
      <c r="BF669" s="1530"/>
      <c r="BG669" s="1530"/>
      <c r="BH669" s="1530"/>
      <c r="BI669" s="1530"/>
      <c r="BJ669" s="1530"/>
      <c r="BK669" s="1530"/>
      <c r="BL669" s="1530"/>
      <c r="BM669" s="1530"/>
      <c r="BN669" s="1530"/>
      <c r="BW669" s="1569"/>
      <c r="CO669" s="1530"/>
      <c r="CP669" s="1530"/>
      <c r="CQ669" s="1530"/>
      <c r="CR669" s="1530"/>
      <c r="CS669" s="1530"/>
      <c r="CT669" s="1530"/>
      <c r="CU669" s="1530"/>
      <c r="CV669" s="1530"/>
      <c r="CW669" s="1530"/>
      <c r="CX669" s="1530"/>
      <c r="CY669" s="1530"/>
      <c r="CZ669" s="1530"/>
      <c r="DA669" s="1530"/>
      <c r="DB669" s="1530"/>
      <c r="DC669" s="1530"/>
      <c r="DD669" s="1530"/>
      <c r="DE669" s="1530"/>
      <c r="DF669" s="1530"/>
      <c r="DG669" s="1530"/>
      <c r="DH669" s="1530"/>
      <c r="DI669" s="1530"/>
      <c r="DJ669" s="1530"/>
      <c r="DK669" s="1530"/>
      <c r="DL669" s="1530"/>
      <c r="DM669" s="1530"/>
      <c r="DN669" s="1571"/>
      <c r="DO669" s="1530"/>
      <c r="DP669" s="1530"/>
    </row>
    <row r="670" spans="1:120">
      <c r="A670" s="1451"/>
      <c r="C670" s="1451"/>
      <c r="K670" s="1451"/>
      <c r="L670" s="1451"/>
      <c r="U670" s="1530"/>
      <c r="V670" s="1530"/>
      <c r="W670" s="1530"/>
      <c r="X670" s="1530"/>
      <c r="Y670" s="1530"/>
      <c r="Z670" s="1530"/>
      <c r="AA670" s="1530"/>
      <c r="AB670" s="1530"/>
      <c r="AC670" s="1530"/>
      <c r="AD670" s="1530"/>
      <c r="AE670" s="1530"/>
      <c r="AF670" s="1530"/>
      <c r="AG670" s="1530"/>
      <c r="AH670" s="1530"/>
      <c r="AI670" s="1530"/>
      <c r="AJ670" s="1530"/>
      <c r="AK670" s="1530"/>
      <c r="AL670" s="1530"/>
      <c r="AM670" s="1530"/>
      <c r="AN670" s="1530"/>
      <c r="AO670" s="1530"/>
      <c r="AP670" s="1530"/>
      <c r="AQ670" s="1530"/>
      <c r="AR670" s="1530"/>
      <c r="AS670" s="1530"/>
      <c r="AT670" s="1530"/>
      <c r="AU670" s="1530"/>
      <c r="AV670" s="1530"/>
      <c r="AW670" s="1530"/>
      <c r="AX670" s="1530"/>
      <c r="AY670" s="1530"/>
      <c r="AZ670" s="1530"/>
      <c r="BA670" s="1530"/>
      <c r="BB670" s="1530"/>
      <c r="BC670" s="1530"/>
      <c r="BD670" s="1530"/>
      <c r="BE670" s="1530"/>
      <c r="BF670" s="1530"/>
      <c r="BG670" s="1530"/>
      <c r="BH670" s="1530"/>
      <c r="BI670" s="1530"/>
      <c r="BJ670" s="1530"/>
      <c r="BK670" s="1530"/>
      <c r="BL670" s="1530"/>
      <c r="BM670" s="1530"/>
      <c r="BN670" s="1530"/>
      <c r="BW670" s="1569"/>
      <c r="CO670" s="1530"/>
      <c r="CP670" s="1530"/>
      <c r="CQ670" s="1530"/>
      <c r="CR670" s="1530"/>
      <c r="CS670" s="1530"/>
      <c r="CT670" s="1530"/>
      <c r="CU670" s="1530"/>
      <c r="CV670" s="1530"/>
      <c r="CW670" s="1530"/>
      <c r="CX670" s="1530"/>
      <c r="CY670" s="1530"/>
      <c r="CZ670" s="1530"/>
      <c r="DA670" s="1530"/>
      <c r="DB670" s="1530"/>
      <c r="DC670" s="1530"/>
      <c r="DD670" s="1530"/>
      <c r="DE670" s="1530"/>
      <c r="DF670" s="1530"/>
      <c r="DG670" s="1530"/>
      <c r="DH670" s="1530"/>
      <c r="DI670" s="1530"/>
      <c r="DJ670" s="1530"/>
      <c r="DK670" s="1530"/>
      <c r="DL670" s="1530"/>
      <c r="DM670" s="1530"/>
      <c r="DN670" s="1571"/>
      <c r="DO670" s="1530"/>
      <c r="DP670" s="1530"/>
    </row>
    <row r="671" spans="1:120">
      <c r="A671" s="1451"/>
      <c r="C671" s="1451"/>
      <c r="K671" s="1451"/>
      <c r="L671" s="1451"/>
      <c r="U671" s="1530"/>
      <c r="V671" s="1530"/>
      <c r="W671" s="1530"/>
      <c r="X671" s="1530"/>
      <c r="Y671" s="1530"/>
      <c r="Z671" s="1530"/>
      <c r="AA671" s="1530"/>
      <c r="AB671" s="1530"/>
      <c r="AC671" s="1530"/>
      <c r="AD671" s="1530"/>
      <c r="AE671" s="1530"/>
      <c r="AF671" s="1530"/>
      <c r="AG671" s="1530"/>
      <c r="AH671" s="1530"/>
      <c r="AI671" s="1530"/>
      <c r="AJ671" s="1530"/>
      <c r="AK671" s="1530"/>
      <c r="AL671" s="1530"/>
      <c r="AM671" s="1530"/>
      <c r="AN671" s="1530"/>
      <c r="AO671" s="1530"/>
      <c r="AP671" s="1530"/>
      <c r="AQ671" s="1530"/>
      <c r="AR671" s="1530"/>
      <c r="AS671" s="1530"/>
      <c r="AT671" s="1530"/>
      <c r="AU671" s="1530"/>
      <c r="AV671" s="1530"/>
      <c r="AW671" s="1530"/>
      <c r="AX671" s="1530"/>
      <c r="AY671" s="1530"/>
      <c r="AZ671" s="1530"/>
      <c r="BA671" s="1530"/>
      <c r="BB671" s="1530"/>
      <c r="BC671" s="1530"/>
      <c r="BD671" s="1530"/>
      <c r="BE671" s="1530"/>
      <c r="BF671" s="1530"/>
      <c r="BG671" s="1530"/>
      <c r="BH671" s="1530"/>
      <c r="BI671" s="1530"/>
      <c r="BJ671" s="1530"/>
      <c r="BK671" s="1530"/>
      <c r="BL671" s="1530"/>
      <c r="BM671" s="1530"/>
      <c r="BN671" s="1530"/>
      <c r="BW671" s="1569"/>
      <c r="CO671" s="1530"/>
      <c r="CP671" s="1530"/>
      <c r="CQ671" s="1530"/>
      <c r="CR671" s="1530"/>
      <c r="CS671" s="1530"/>
      <c r="CT671" s="1530"/>
      <c r="CU671" s="1530"/>
      <c r="CV671" s="1530"/>
      <c r="CW671" s="1530"/>
      <c r="CX671" s="1530"/>
      <c r="CY671" s="1530"/>
      <c r="CZ671" s="1530"/>
      <c r="DA671" s="1530"/>
      <c r="DB671" s="1530"/>
      <c r="DC671" s="1530"/>
      <c r="DD671" s="1530"/>
      <c r="DE671" s="1530"/>
      <c r="DF671" s="1530"/>
      <c r="DG671" s="1530"/>
      <c r="DH671" s="1530"/>
      <c r="DI671" s="1530"/>
      <c r="DJ671" s="1530"/>
      <c r="DK671" s="1530"/>
      <c r="DL671" s="1530"/>
      <c r="DM671" s="1530"/>
      <c r="DN671" s="1571"/>
      <c r="DO671" s="1530"/>
      <c r="DP671" s="1530"/>
    </row>
    <row r="672" spans="1:120">
      <c r="A672" s="1451"/>
      <c r="C672" s="1451"/>
      <c r="K672" s="1451"/>
      <c r="L672" s="1451"/>
      <c r="U672" s="1530"/>
      <c r="V672" s="1530"/>
      <c r="W672" s="1530"/>
      <c r="X672" s="1530"/>
      <c r="Y672" s="1530"/>
      <c r="Z672" s="1530"/>
      <c r="AA672" s="1530"/>
      <c r="AB672" s="1530"/>
      <c r="AC672" s="1530"/>
      <c r="AD672" s="1530"/>
      <c r="AE672" s="1530"/>
      <c r="AF672" s="1530"/>
      <c r="AG672" s="1530"/>
      <c r="AH672" s="1530"/>
      <c r="AI672" s="1530"/>
      <c r="AJ672" s="1530"/>
      <c r="AK672" s="1530"/>
      <c r="AL672" s="1530"/>
      <c r="AM672" s="1530"/>
      <c r="AN672" s="1530"/>
      <c r="AO672" s="1530"/>
      <c r="AP672" s="1530"/>
      <c r="AQ672" s="1530"/>
      <c r="AR672" s="1530"/>
      <c r="AS672" s="1530"/>
      <c r="AT672" s="1530"/>
      <c r="AU672" s="1530"/>
      <c r="AV672" s="1530"/>
      <c r="AW672" s="1530"/>
      <c r="AX672" s="1530"/>
      <c r="AY672" s="1530"/>
      <c r="AZ672" s="1530"/>
      <c r="BA672" s="1530"/>
      <c r="BB672" s="1530"/>
      <c r="BC672" s="1530"/>
      <c r="BD672" s="1530"/>
      <c r="BE672" s="1530"/>
      <c r="BF672" s="1530"/>
      <c r="BG672" s="1530"/>
      <c r="BH672" s="1530"/>
      <c r="BI672" s="1530"/>
      <c r="BJ672" s="1530"/>
      <c r="BK672" s="1530"/>
      <c r="BL672" s="1530"/>
      <c r="BM672" s="1530"/>
      <c r="BN672" s="1530"/>
      <c r="BW672" s="1569"/>
      <c r="CO672" s="1530"/>
      <c r="CP672" s="1530"/>
      <c r="CQ672" s="1530"/>
      <c r="CR672" s="1530"/>
      <c r="CS672" s="1530"/>
      <c r="CT672" s="1530"/>
      <c r="CU672" s="1530"/>
      <c r="CV672" s="1530"/>
      <c r="CW672" s="1530"/>
      <c r="CX672" s="1530"/>
      <c r="CY672" s="1530"/>
      <c r="CZ672" s="1530"/>
      <c r="DA672" s="1530"/>
      <c r="DB672" s="1530"/>
      <c r="DC672" s="1530"/>
      <c r="DD672" s="1530"/>
      <c r="DE672" s="1530"/>
      <c r="DF672" s="1530"/>
      <c r="DG672" s="1530"/>
      <c r="DH672" s="1530"/>
      <c r="DI672" s="1530"/>
      <c r="DJ672" s="1530"/>
      <c r="DK672" s="1530"/>
      <c r="DL672" s="1530"/>
      <c r="DM672" s="1530"/>
      <c r="DN672" s="1571"/>
      <c r="DO672" s="1530"/>
      <c r="DP672" s="1530"/>
    </row>
    <row r="673" spans="1:120">
      <c r="A673" s="1451"/>
      <c r="C673" s="1451"/>
      <c r="K673" s="1451"/>
      <c r="L673" s="1451"/>
      <c r="U673" s="1530"/>
      <c r="V673" s="1530"/>
      <c r="W673" s="1530"/>
      <c r="X673" s="1530"/>
      <c r="Y673" s="1530"/>
      <c r="Z673" s="1530"/>
      <c r="AA673" s="1530"/>
      <c r="AB673" s="1530"/>
      <c r="AC673" s="1530"/>
      <c r="AD673" s="1530"/>
      <c r="AE673" s="1530"/>
      <c r="AF673" s="1530"/>
      <c r="AG673" s="1530"/>
      <c r="AH673" s="1530"/>
      <c r="AI673" s="1530"/>
      <c r="AJ673" s="1530"/>
      <c r="AK673" s="1530"/>
      <c r="AL673" s="1530"/>
      <c r="AM673" s="1530"/>
      <c r="AN673" s="1530"/>
      <c r="AO673" s="1530"/>
      <c r="AP673" s="1530"/>
      <c r="AQ673" s="1530"/>
      <c r="AR673" s="1530"/>
      <c r="AS673" s="1530"/>
      <c r="AT673" s="1530"/>
      <c r="AU673" s="1530"/>
      <c r="AV673" s="1530"/>
      <c r="AW673" s="1530"/>
      <c r="AX673" s="1530"/>
      <c r="AY673" s="1530"/>
      <c r="AZ673" s="1530"/>
      <c r="BA673" s="1530"/>
      <c r="BB673" s="1530"/>
      <c r="BC673" s="1530"/>
      <c r="BD673" s="1530"/>
      <c r="BE673" s="1530"/>
      <c r="BF673" s="1530"/>
      <c r="BG673" s="1530"/>
      <c r="BH673" s="1530"/>
      <c r="BI673" s="1530"/>
      <c r="BJ673" s="1530"/>
      <c r="BK673" s="1530"/>
      <c r="BL673" s="1530"/>
      <c r="BM673" s="1530"/>
      <c r="BN673" s="1530"/>
      <c r="BW673" s="1569"/>
      <c r="CO673" s="1530"/>
      <c r="CP673" s="1530"/>
      <c r="CQ673" s="1530"/>
      <c r="CR673" s="1530"/>
      <c r="CS673" s="1530"/>
      <c r="CT673" s="1530"/>
      <c r="CU673" s="1530"/>
      <c r="CV673" s="1530"/>
      <c r="CW673" s="1530"/>
      <c r="CX673" s="1530"/>
      <c r="CY673" s="1530"/>
      <c r="CZ673" s="1530"/>
      <c r="DA673" s="1530"/>
      <c r="DB673" s="1530"/>
      <c r="DC673" s="1530"/>
      <c r="DD673" s="1530"/>
      <c r="DE673" s="1530"/>
      <c r="DF673" s="1530"/>
      <c r="DG673" s="1530"/>
      <c r="DH673" s="1530"/>
      <c r="DI673" s="1530"/>
      <c r="DJ673" s="1530"/>
      <c r="DK673" s="1530"/>
      <c r="DL673" s="1530"/>
      <c r="DM673" s="1530"/>
      <c r="DN673" s="1571"/>
      <c r="DO673" s="1530"/>
      <c r="DP673" s="1530"/>
    </row>
    <row r="674" spans="1:120">
      <c r="A674" s="1451"/>
      <c r="C674" s="1451"/>
      <c r="K674" s="1451"/>
      <c r="L674" s="1451"/>
      <c r="U674" s="1530"/>
      <c r="V674" s="1530"/>
      <c r="W674" s="1530"/>
      <c r="X674" s="1530"/>
      <c r="Y674" s="1530"/>
      <c r="Z674" s="1530"/>
      <c r="AA674" s="1530"/>
      <c r="AB674" s="1530"/>
      <c r="AC674" s="1530"/>
      <c r="AD674" s="1530"/>
      <c r="AE674" s="1530"/>
      <c r="AF674" s="1530"/>
      <c r="AG674" s="1530"/>
      <c r="AH674" s="1530"/>
      <c r="AI674" s="1530"/>
      <c r="AJ674" s="1530"/>
      <c r="AK674" s="1530"/>
      <c r="AL674" s="1530"/>
      <c r="AM674" s="1530"/>
      <c r="AN674" s="1530"/>
      <c r="AO674" s="1530"/>
      <c r="AP674" s="1530"/>
      <c r="AQ674" s="1530"/>
      <c r="AR674" s="1530"/>
      <c r="AS674" s="1530"/>
      <c r="AT674" s="1530"/>
      <c r="AU674" s="1530"/>
      <c r="AV674" s="1530"/>
      <c r="AW674" s="1530"/>
      <c r="AX674" s="1530"/>
      <c r="AY674" s="1530"/>
      <c r="AZ674" s="1530"/>
      <c r="BA674" s="1530"/>
      <c r="BB674" s="1530"/>
      <c r="BC674" s="1530"/>
      <c r="BD674" s="1530"/>
      <c r="BE674" s="1530"/>
      <c r="BF674" s="1530"/>
      <c r="BG674" s="1530"/>
      <c r="BH674" s="1530"/>
      <c r="BI674" s="1530"/>
      <c r="BJ674" s="1530"/>
      <c r="BK674" s="1530"/>
      <c r="BL674" s="1530"/>
      <c r="BM674" s="1530"/>
      <c r="BN674" s="1530"/>
      <c r="BW674" s="1569"/>
      <c r="CO674" s="1530"/>
      <c r="CP674" s="1530"/>
      <c r="CQ674" s="1530"/>
      <c r="CR674" s="1530"/>
      <c r="CS674" s="1530"/>
      <c r="CT674" s="1530"/>
      <c r="CU674" s="1530"/>
      <c r="CV674" s="1530"/>
      <c r="CW674" s="1530"/>
      <c r="CX674" s="1530"/>
      <c r="CY674" s="1530"/>
      <c r="CZ674" s="1530"/>
      <c r="DA674" s="1530"/>
      <c r="DB674" s="1530"/>
      <c r="DC674" s="1530"/>
      <c r="DD674" s="1530"/>
      <c r="DE674" s="1530"/>
      <c r="DF674" s="1530"/>
      <c r="DG674" s="1530"/>
      <c r="DH674" s="1530"/>
      <c r="DI674" s="1530"/>
      <c r="DJ674" s="1530"/>
      <c r="DK674" s="1530"/>
      <c r="DL674" s="1530"/>
      <c r="DM674" s="1530"/>
      <c r="DN674" s="1571"/>
      <c r="DO674" s="1530"/>
      <c r="DP674" s="1530"/>
    </row>
    <row r="675" spans="1:120">
      <c r="A675" s="1451"/>
      <c r="C675" s="1451"/>
      <c r="K675" s="1451"/>
      <c r="L675" s="1451"/>
      <c r="U675" s="1530"/>
      <c r="V675" s="1530"/>
      <c r="W675" s="1530"/>
      <c r="X675" s="1530"/>
      <c r="Y675" s="1530"/>
      <c r="Z675" s="1530"/>
      <c r="AA675" s="1530"/>
      <c r="AB675" s="1530"/>
      <c r="AC675" s="1530"/>
      <c r="AD675" s="1530"/>
      <c r="AE675" s="1530"/>
      <c r="AF675" s="1530"/>
      <c r="AG675" s="1530"/>
      <c r="AH675" s="1530"/>
      <c r="AI675" s="1530"/>
      <c r="AJ675" s="1530"/>
      <c r="AK675" s="1530"/>
      <c r="AL675" s="1530"/>
      <c r="AM675" s="1530"/>
      <c r="AN675" s="1530"/>
      <c r="AO675" s="1530"/>
      <c r="AP675" s="1530"/>
      <c r="AQ675" s="1530"/>
      <c r="AR675" s="1530"/>
      <c r="AS675" s="1530"/>
      <c r="AT675" s="1530"/>
      <c r="AU675" s="1530"/>
      <c r="AV675" s="1530"/>
      <c r="AW675" s="1530"/>
      <c r="AX675" s="1530"/>
      <c r="AY675" s="1530"/>
      <c r="AZ675" s="1530"/>
      <c r="BA675" s="1530"/>
      <c r="BB675" s="1530"/>
      <c r="BC675" s="1530"/>
      <c r="BD675" s="1530"/>
      <c r="BE675" s="1530"/>
      <c r="BF675" s="1530"/>
      <c r="BG675" s="1530"/>
      <c r="BH675" s="1530"/>
      <c r="BI675" s="1530"/>
      <c r="BJ675" s="1530"/>
      <c r="BK675" s="1530"/>
      <c r="BL675" s="1530"/>
      <c r="BM675" s="1530"/>
      <c r="BN675" s="1530"/>
      <c r="BW675" s="1569"/>
      <c r="CO675" s="1530"/>
      <c r="CP675" s="1530"/>
      <c r="CQ675" s="1530"/>
      <c r="CR675" s="1530"/>
      <c r="CS675" s="1530"/>
      <c r="CT675" s="1530"/>
      <c r="CU675" s="1530"/>
      <c r="CV675" s="1530"/>
      <c r="CW675" s="1530"/>
      <c r="CX675" s="1530"/>
      <c r="CY675" s="1530"/>
      <c r="CZ675" s="1530"/>
      <c r="DA675" s="1530"/>
      <c r="DB675" s="1530"/>
      <c r="DC675" s="1530"/>
      <c r="DD675" s="1530"/>
      <c r="DE675" s="1530"/>
      <c r="DF675" s="1530"/>
      <c r="DG675" s="1530"/>
      <c r="DH675" s="1530"/>
      <c r="DI675" s="1530"/>
      <c r="DJ675" s="1530"/>
      <c r="DK675" s="1530"/>
      <c r="DL675" s="1530"/>
      <c r="DM675" s="1530"/>
      <c r="DN675" s="1571"/>
      <c r="DO675" s="1530"/>
      <c r="DP675" s="1530"/>
    </row>
    <row r="676" spans="1:120">
      <c r="A676" s="1451"/>
      <c r="C676" s="1451"/>
      <c r="K676" s="1451"/>
      <c r="L676" s="1451"/>
      <c r="U676" s="1530"/>
      <c r="V676" s="1530"/>
      <c r="W676" s="1530"/>
      <c r="X676" s="1530"/>
      <c r="Y676" s="1530"/>
      <c r="Z676" s="1530"/>
      <c r="AA676" s="1530"/>
      <c r="AB676" s="1530"/>
      <c r="AC676" s="1530"/>
      <c r="AD676" s="1530"/>
      <c r="AE676" s="1530"/>
      <c r="AF676" s="1530"/>
      <c r="AG676" s="1530"/>
      <c r="AH676" s="1530"/>
      <c r="AI676" s="1530"/>
      <c r="AJ676" s="1530"/>
      <c r="AK676" s="1530"/>
      <c r="AL676" s="1530"/>
      <c r="AM676" s="1530"/>
      <c r="AN676" s="1530"/>
      <c r="AO676" s="1530"/>
      <c r="AP676" s="1530"/>
      <c r="AQ676" s="1530"/>
      <c r="AR676" s="1530"/>
      <c r="AS676" s="1530"/>
      <c r="AT676" s="1530"/>
      <c r="AU676" s="1530"/>
      <c r="AV676" s="1530"/>
      <c r="AW676" s="1530"/>
      <c r="AX676" s="1530"/>
      <c r="AY676" s="1530"/>
      <c r="AZ676" s="1530"/>
      <c r="BA676" s="1530"/>
      <c r="BB676" s="1530"/>
      <c r="BC676" s="1530"/>
      <c r="BD676" s="1530"/>
      <c r="BE676" s="1530"/>
      <c r="BF676" s="1530"/>
      <c r="BG676" s="1530"/>
      <c r="BH676" s="1530"/>
      <c r="BI676" s="1530"/>
      <c r="BJ676" s="1530"/>
      <c r="BK676" s="1530"/>
      <c r="BL676" s="1530"/>
      <c r="BM676" s="1530"/>
      <c r="BN676" s="1530"/>
      <c r="BW676" s="1569"/>
      <c r="CO676" s="1530"/>
      <c r="CP676" s="1530"/>
      <c r="CQ676" s="1530"/>
      <c r="CR676" s="1530"/>
      <c r="CS676" s="1530"/>
      <c r="CT676" s="1530"/>
      <c r="CU676" s="1530"/>
      <c r="CV676" s="1530"/>
      <c r="CW676" s="1530"/>
      <c r="CX676" s="1530"/>
      <c r="CY676" s="1530"/>
      <c r="CZ676" s="1530"/>
      <c r="DA676" s="1530"/>
      <c r="DB676" s="1530"/>
      <c r="DC676" s="1530"/>
      <c r="DD676" s="1530"/>
      <c r="DE676" s="1530"/>
      <c r="DF676" s="1530"/>
      <c r="DG676" s="1530"/>
      <c r="DH676" s="1530"/>
      <c r="DI676" s="1530"/>
      <c r="DJ676" s="1530"/>
      <c r="DK676" s="1530"/>
      <c r="DL676" s="1530"/>
      <c r="DM676" s="1530"/>
      <c r="DN676" s="1571"/>
      <c r="DO676" s="1530"/>
      <c r="DP676" s="1530"/>
    </row>
    <row r="677" spans="1:120">
      <c r="A677" s="1451"/>
      <c r="C677" s="1451"/>
      <c r="K677" s="1451"/>
      <c r="L677" s="1451"/>
      <c r="U677" s="1530"/>
      <c r="V677" s="1530"/>
      <c r="W677" s="1530"/>
      <c r="X677" s="1530"/>
      <c r="Y677" s="1530"/>
      <c r="Z677" s="1530"/>
      <c r="AA677" s="1530"/>
      <c r="AB677" s="1530"/>
      <c r="AC677" s="1530"/>
      <c r="AD677" s="1530"/>
      <c r="AE677" s="1530"/>
      <c r="AF677" s="1530"/>
      <c r="AG677" s="1530"/>
      <c r="AH677" s="1530"/>
      <c r="AI677" s="1530"/>
      <c r="AJ677" s="1530"/>
      <c r="AK677" s="1530"/>
      <c r="AL677" s="1530"/>
      <c r="AM677" s="1530"/>
      <c r="AN677" s="1530"/>
      <c r="AO677" s="1530"/>
      <c r="AP677" s="1530"/>
      <c r="AQ677" s="1530"/>
      <c r="AR677" s="1530"/>
      <c r="AS677" s="1530"/>
      <c r="AT677" s="1530"/>
      <c r="AU677" s="1530"/>
      <c r="AV677" s="1530"/>
      <c r="AW677" s="1530"/>
      <c r="AX677" s="1530"/>
      <c r="AY677" s="1530"/>
      <c r="AZ677" s="1530"/>
      <c r="BA677" s="1530"/>
      <c r="BB677" s="1530"/>
      <c r="BC677" s="1530"/>
      <c r="BD677" s="1530"/>
      <c r="BE677" s="1530"/>
      <c r="BF677" s="1530"/>
      <c r="BG677" s="1530"/>
      <c r="BH677" s="1530"/>
      <c r="BI677" s="1530"/>
      <c r="BJ677" s="1530"/>
      <c r="BK677" s="1530"/>
      <c r="BL677" s="1530"/>
      <c r="BM677" s="1530"/>
      <c r="BN677" s="1530"/>
      <c r="BW677" s="1569"/>
      <c r="CO677" s="1530"/>
      <c r="CP677" s="1530"/>
      <c r="CQ677" s="1530"/>
      <c r="CR677" s="1530"/>
      <c r="CS677" s="1530"/>
      <c r="CT677" s="1530"/>
      <c r="CU677" s="1530"/>
      <c r="CV677" s="1530"/>
      <c r="CW677" s="1530"/>
      <c r="CX677" s="1530"/>
      <c r="CY677" s="1530"/>
      <c r="CZ677" s="1530"/>
      <c r="DA677" s="1530"/>
      <c r="DB677" s="1530"/>
      <c r="DC677" s="1530"/>
      <c r="DD677" s="1530"/>
      <c r="DE677" s="1530"/>
      <c r="DF677" s="1530"/>
      <c r="DG677" s="1530"/>
      <c r="DH677" s="1530"/>
      <c r="DI677" s="1530"/>
      <c r="DJ677" s="1530"/>
      <c r="DK677" s="1530"/>
      <c r="DL677" s="1530"/>
      <c r="DM677" s="1530"/>
      <c r="DN677" s="1571"/>
      <c r="DO677" s="1530"/>
      <c r="DP677" s="1530"/>
    </row>
    <row r="678" spans="1:120">
      <c r="A678" s="1451"/>
      <c r="C678" s="1451"/>
      <c r="K678" s="1451"/>
      <c r="L678" s="1451"/>
      <c r="U678" s="1530"/>
      <c r="V678" s="1530"/>
      <c r="W678" s="1530"/>
      <c r="X678" s="1530"/>
      <c r="Y678" s="1530"/>
      <c r="Z678" s="1530"/>
      <c r="AA678" s="1530"/>
      <c r="AB678" s="1530"/>
      <c r="AC678" s="1530"/>
      <c r="AD678" s="1530"/>
      <c r="AE678" s="1530"/>
      <c r="AF678" s="1530"/>
      <c r="AG678" s="1530"/>
      <c r="AH678" s="1530"/>
      <c r="AI678" s="1530"/>
      <c r="AJ678" s="1530"/>
      <c r="AK678" s="1530"/>
      <c r="AL678" s="1530"/>
      <c r="AM678" s="1530"/>
      <c r="AN678" s="1530"/>
      <c r="AO678" s="1530"/>
      <c r="AP678" s="1530"/>
      <c r="AQ678" s="1530"/>
      <c r="AR678" s="1530"/>
      <c r="AS678" s="1530"/>
      <c r="AT678" s="1530"/>
      <c r="AU678" s="1530"/>
      <c r="AV678" s="1530"/>
      <c r="AW678" s="1530"/>
      <c r="AX678" s="1530"/>
      <c r="AY678" s="1530"/>
      <c r="AZ678" s="1530"/>
      <c r="BA678" s="1530"/>
      <c r="BB678" s="1530"/>
      <c r="BC678" s="1530"/>
      <c r="BD678" s="1530"/>
      <c r="BE678" s="1530"/>
      <c r="BF678" s="1530"/>
      <c r="BG678" s="1530"/>
      <c r="BH678" s="1530"/>
      <c r="BI678" s="1530"/>
      <c r="BJ678" s="1530"/>
      <c r="BK678" s="1530"/>
      <c r="BL678" s="1530"/>
      <c r="BM678" s="1530"/>
      <c r="BN678" s="1530"/>
      <c r="BW678" s="1569"/>
      <c r="CO678" s="1530"/>
      <c r="CP678" s="1530"/>
      <c r="CQ678" s="1530"/>
      <c r="CR678" s="1530"/>
      <c r="CS678" s="1530"/>
      <c r="CT678" s="1530"/>
      <c r="CU678" s="1530"/>
      <c r="CV678" s="1530"/>
      <c r="CW678" s="1530"/>
      <c r="CX678" s="1530"/>
      <c r="CY678" s="1530"/>
      <c r="CZ678" s="1530"/>
      <c r="DA678" s="1530"/>
      <c r="DB678" s="1530"/>
      <c r="DC678" s="1530"/>
      <c r="DD678" s="1530"/>
      <c r="DE678" s="1530"/>
      <c r="DF678" s="1530"/>
      <c r="DG678" s="1530"/>
      <c r="DH678" s="1530"/>
      <c r="DI678" s="1530"/>
      <c r="DJ678" s="1530"/>
      <c r="DK678" s="1530"/>
      <c r="DL678" s="1530"/>
      <c r="DM678" s="1530"/>
      <c r="DN678" s="1571"/>
      <c r="DO678" s="1530"/>
      <c r="DP678" s="1530"/>
    </row>
    <row r="679" spans="1:120">
      <c r="A679" s="1451"/>
      <c r="C679" s="1451"/>
      <c r="K679" s="1451"/>
      <c r="L679" s="1451"/>
      <c r="U679" s="1530"/>
      <c r="V679" s="1530"/>
      <c r="W679" s="1530"/>
      <c r="X679" s="1530"/>
      <c r="Y679" s="1530"/>
      <c r="Z679" s="1530"/>
      <c r="AA679" s="1530"/>
      <c r="AB679" s="1530"/>
      <c r="AC679" s="1530"/>
      <c r="AD679" s="1530"/>
      <c r="AE679" s="1530"/>
      <c r="AF679" s="1530"/>
      <c r="AG679" s="1530"/>
      <c r="AH679" s="1530"/>
      <c r="AI679" s="1530"/>
      <c r="AJ679" s="1530"/>
      <c r="AK679" s="1530"/>
      <c r="AL679" s="1530"/>
      <c r="AM679" s="1530"/>
      <c r="AN679" s="1530"/>
      <c r="AO679" s="1530"/>
      <c r="AP679" s="1530"/>
      <c r="AQ679" s="1530"/>
      <c r="AR679" s="1530"/>
      <c r="AS679" s="1530"/>
      <c r="AT679" s="1530"/>
      <c r="AU679" s="1530"/>
      <c r="AV679" s="1530"/>
      <c r="AW679" s="1530"/>
      <c r="AX679" s="1530"/>
      <c r="AY679" s="1530"/>
      <c r="AZ679" s="1530"/>
      <c r="BA679" s="1530"/>
      <c r="BB679" s="1530"/>
      <c r="BC679" s="1530"/>
      <c r="BD679" s="1530"/>
      <c r="BE679" s="1530"/>
      <c r="BF679" s="1530"/>
      <c r="BG679" s="1530"/>
      <c r="BH679" s="1530"/>
      <c r="BI679" s="1530"/>
      <c r="BJ679" s="1530"/>
      <c r="BK679" s="1530"/>
      <c r="BL679" s="1530"/>
      <c r="BM679" s="1530"/>
      <c r="BN679" s="1530"/>
      <c r="BW679" s="1569"/>
      <c r="CO679" s="1530"/>
      <c r="CP679" s="1530"/>
      <c r="CQ679" s="1530"/>
      <c r="CR679" s="1530"/>
      <c r="CS679" s="1530"/>
      <c r="CT679" s="1530"/>
      <c r="CU679" s="1530"/>
      <c r="CV679" s="1530"/>
      <c r="CW679" s="1530"/>
      <c r="CX679" s="1530"/>
      <c r="CY679" s="1530"/>
      <c r="CZ679" s="1530"/>
      <c r="DA679" s="1530"/>
      <c r="DB679" s="1530"/>
      <c r="DC679" s="1530"/>
      <c r="DD679" s="1530"/>
      <c r="DE679" s="1530"/>
      <c r="DF679" s="1530"/>
      <c r="DG679" s="1530"/>
      <c r="DH679" s="1530"/>
      <c r="DI679" s="1530"/>
      <c r="DJ679" s="1530"/>
      <c r="DK679" s="1530"/>
      <c r="DL679" s="1530"/>
      <c r="DM679" s="1530"/>
      <c r="DN679" s="1571"/>
      <c r="DO679" s="1530"/>
      <c r="DP679" s="1530"/>
    </row>
    <row r="680" spans="1:120">
      <c r="A680" s="1451"/>
      <c r="C680" s="1451"/>
      <c r="K680" s="1451"/>
      <c r="L680" s="1451"/>
      <c r="U680" s="1530"/>
      <c r="V680" s="1530"/>
      <c r="W680" s="1530"/>
      <c r="X680" s="1530"/>
      <c r="Y680" s="1530"/>
      <c r="Z680" s="1530"/>
      <c r="AA680" s="1530"/>
      <c r="AB680" s="1530"/>
      <c r="AC680" s="1530"/>
      <c r="AD680" s="1530"/>
      <c r="AE680" s="1530"/>
      <c r="AF680" s="1530"/>
      <c r="AG680" s="1530"/>
      <c r="AH680" s="1530"/>
      <c r="AI680" s="1530"/>
      <c r="AJ680" s="1530"/>
      <c r="AK680" s="1530"/>
      <c r="AL680" s="1530"/>
      <c r="AM680" s="1530"/>
      <c r="AN680" s="1530"/>
      <c r="AO680" s="1530"/>
      <c r="AP680" s="1530"/>
      <c r="AQ680" s="1530"/>
      <c r="AR680" s="1530"/>
      <c r="AS680" s="1530"/>
      <c r="AT680" s="1530"/>
      <c r="AU680" s="1530"/>
      <c r="AV680" s="1530"/>
      <c r="AW680" s="1530"/>
      <c r="AX680" s="1530"/>
      <c r="AY680" s="1530"/>
      <c r="AZ680" s="1530"/>
      <c r="BA680" s="1530"/>
      <c r="BB680" s="1530"/>
      <c r="BC680" s="1530"/>
      <c r="BD680" s="1530"/>
      <c r="BE680" s="1530"/>
      <c r="BF680" s="1530"/>
      <c r="BG680" s="1530"/>
      <c r="BH680" s="1530"/>
      <c r="BI680" s="1530"/>
      <c r="BJ680" s="1530"/>
      <c r="BK680" s="1530"/>
      <c r="BL680" s="1530"/>
      <c r="BM680" s="1530"/>
      <c r="BN680" s="1530"/>
      <c r="BW680" s="1569"/>
      <c r="CO680" s="1530"/>
      <c r="CP680" s="1530"/>
      <c r="CQ680" s="1530"/>
      <c r="CR680" s="1530"/>
      <c r="CS680" s="1530"/>
      <c r="CT680" s="1530"/>
      <c r="CU680" s="1530"/>
      <c r="CV680" s="1530"/>
      <c r="CW680" s="1530"/>
      <c r="CX680" s="1530"/>
      <c r="CY680" s="1530"/>
      <c r="CZ680" s="1530"/>
      <c r="DA680" s="1530"/>
      <c r="DB680" s="1530"/>
      <c r="DC680" s="1530"/>
      <c r="DD680" s="1530"/>
      <c r="DE680" s="1530"/>
      <c r="DF680" s="1530"/>
      <c r="DG680" s="1530"/>
      <c r="DH680" s="1530"/>
      <c r="DI680" s="1530"/>
      <c r="DJ680" s="1530"/>
      <c r="DK680" s="1530"/>
      <c r="DL680" s="1530"/>
      <c r="DM680" s="1530"/>
      <c r="DN680" s="1571"/>
      <c r="DO680" s="1530"/>
      <c r="DP680" s="1530"/>
    </row>
    <row r="681" spans="1:120">
      <c r="A681" s="1451"/>
      <c r="C681" s="1451"/>
      <c r="K681" s="1451"/>
      <c r="L681" s="1451"/>
      <c r="U681" s="1530"/>
      <c r="V681" s="1530"/>
      <c r="W681" s="1530"/>
      <c r="X681" s="1530"/>
      <c r="Y681" s="1530"/>
      <c r="Z681" s="1530"/>
      <c r="AA681" s="1530"/>
      <c r="AB681" s="1530"/>
      <c r="AC681" s="1530"/>
      <c r="AD681" s="1530"/>
      <c r="AE681" s="1530"/>
      <c r="AF681" s="1530"/>
      <c r="AG681" s="1530"/>
      <c r="AH681" s="1530"/>
      <c r="AI681" s="1530"/>
      <c r="AJ681" s="1530"/>
      <c r="AK681" s="1530"/>
      <c r="AL681" s="1530"/>
      <c r="AM681" s="1530"/>
      <c r="AN681" s="1530"/>
      <c r="AO681" s="1530"/>
      <c r="AP681" s="1530"/>
      <c r="AQ681" s="1530"/>
      <c r="AR681" s="1530"/>
      <c r="AS681" s="1530"/>
      <c r="AT681" s="1530"/>
      <c r="AU681" s="1530"/>
      <c r="AV681" s="1530"/>
      <c r="AW681" s="1530"/>
      <c r="AX681" s="1530"/>
      <c r="AY681" s="1530"/>
      <c r="AZ681" s="1530"/>
      <c r="BA681" s="1530"/>
      <c r="BB681" s="1530"/>
      <c r="BC681" s="1530"/>
      <c r="BD681" s="1530"/>
      <c r="BE681" s="1530"/>
      <c r="BF681" s="1530"/>
      <c r="BG681" s="1530"/>
      <c r="BH681" s="1530"/>
      <c r="BI681" s="1530"/>
      <c r="BJ681" s="1530"/>
      <c r="BK681" s="1530"/>
      <c r="BL681" s="1530"/>
      <c r="BM681" s="1530"/>
      <c r="BN681" s="1530"/>
      <c r="BW681" s="1569"/>
      <c r="CO681" s="1530"/>
      <c r="CP681" s="1530"/>
      <c r="CQ681" s="1530"/>
      <c r="CR681" s="1530"/>
      <c r="CS681" s="1530"/>
      <c r="CT681" s="1530"/>
      <c r="CU681" s="1530"/>
      <c r="CV681" s="1530"/>
      <c r="CW681" s="1530"/>
      <c r="CX681" s="1530"/>
      <c r="CY681" s="1530"/>
      <c r="CZ681" s="1530"/>
      <c r="DA681" s="1530"/>
      <c r="DB681" s="1530"/>
      <c r="DC681" s="1530"/>
      <c r="DD681" s="1530"/>
      <c r="DE681" s="1530"/>
      <c r="DF681" s="1530"/>
      <c r="DG681" s="1530"/>
      <c r="DH681" s="1530"/>
      <c r="DI681" s="1530"/>
      <c r="DJ681" s="1530"/>
      <c r="DK681" s="1530"/>
      <c r="DL681" s="1530"/>
      <c r="DM681" s="1530"/>
      <c r="DN681" s="1571"/>
      <c r="DO681" s="1530"/>
      <c r="DP681" s="1530"/>
    </row>
    <row r="682" spans="1:120">
      <c r="A682" s="1451"/>
      <c r="C682" s="1451"/>
      <c r="K682" s="1451"/>
      <c r="L682" s="1451"/>
      <c r="U682" s="1530"/>
      <c r="V682" s="1530"/>
      <c r="W682" s="1530"/>
      <c r="X682" s="1530"/>
      <c r="Y682" s="1530"/>
      <c r="Z682" s="1530"/>
      <c r="AA682" s="1530"/>
      <c r="AB682" s="1530"/>
      <c r="AC682" s="1530"/>
      <c r="AD682" s="1530"/>
      <c r="AE682" s="1530"/>
      <c r="AF682" s="1530"/>
      <c r="AG682" s="1530"/>
      <c r="AH682" s="1530"/>
      <c r="AI682" s="1530"/>
      <c r="AJ682" s="1530"/>
      <c r="AK682" s="1530"/>
      <c r="AL682" s="1530"/>
      <c r="AM682" s="1530"/>
      <c r="AN682" s="1530"/>
      <c r="AO682" s="1530"/>
      <c r="AP682" s="1530"/>
      <c r="AQ682" s="1530"/>
      <c r="AR682" s="1530"/>
      <c r="AS682" s="1530"/>
      <c r="AT682" s="1530"/>
      <c r="AU682" s="1530"/>
      <c r="AV682" s="1530"/>
      <c r="AW682" s="1530"/>
      <c r="AX682" s="1530"/>
      <c r="AY682" s="1530"/>
      <c r="AZ682" s="1530"/>
      <c r="BA682" s="1530"/>
      <c r="BB682" s="1530"/>
      <c r="BC682" s="1530"/>
      <c r="BD682" s="1530"/>
      <c r="BE682" s="1530"/>
      <c r="BF682" s="1530"/>
      <c r="BG682" s="1530"/>
      <c r="BH682" s="1530"/>
      <c r="BI682" s="1530"/>
      <c r="BJ682" s="1530"/>
      <c r="BK682" s="1530"/>
      <c r="BL682" s="1530"/>
      <c r="BM682" s="1530"/>
      <c r="BN682" s="1530"/>
      <c r="BW682" s="1569"/>
      <c r="CO682" s="1530"/>
      <c r="CP682" s="1530"/>
      <c r="CQ682" s="1530"/>
      <c r="CR682" s="1530"/>
      <c r="CS682" s="1530"/>
      <c r="CT682" s="1530"/>
      <c r="CU682" s="1530"/>
      <c r="CV682" s="1530"/>
      <c r="CW682" s="1530"/>
      <c r="CX682" s="1530"/>
      <c r="CY682" s="1530"/>
      <c r="CZ682" s="1530"/>
      <c r="DA682" s="1530"/>
      <c r="DB682" s="1530"/>
      <c r="DC682" s="1530"/>
      <c r="DD682" s="1530"/>
      <c r="DE682" s="1530"/>
      <c r="DF682" s="1530"/>
      <c r="DG682" s="1530"/>
      <c r="DH682" s="1530"/>
      <c r="DI682" s="1530"/>
      <c r="DJ682" s="1530"/>
      <c r="DK682" s="1530"/>
      <c r="DL682" s="1530"/>
      <c r="DM682" s="1530"/>
      <c r="DN682" s="1571"/>
      <c r="DO682" s="1530"/>
      <c r="DP682" s="1530"/>
    </row>
    <row r="683" spans="1:120">
      <c r="A683" s="1451"/>
      <c r="C683" s="1451"/>
      <c r="K683" s="1451"/>
      <c r="L683" s="1451"/>
      <c r="U683" s="1530"/>
      <c r="V683" s="1530"/>
      <c r="W683" s="1530"/>
      <c r="X683" s="1530"/>
      <c r="Y683" s="1530"/>
      <c r="Z683" s="1530"/>
      <c r="AA683" s="1530"/>
      <c r="AB683" s="1530"/>
      <c r="AC683" s="1530"/>
      <c r="AD683" s="1530"/>
      <c r="AE683" s="1530"/>
      <c r="AF683" s="1530"/>
      <c r="AG683" s="1530"/>
      <c r="AH683" s="1530"/>
      <c r="AI683" s="1530"/>
      <c r="AJ683" s="1530"/>
      <c r="AK683" s="1530"/>
      <c r="AL683" s="1530"/>
      <c r="AM683" s="1530"/>
      <c r="AN683" s="1530"/>
      <c r="AO683" s="1530"/>
      <c r="AP683" s="1530"/>
      <c r="AQ683" s="1530"/>
      <c r="AR683" s="1530"/>
      <c r="AS683" s="1530"/>
      <c r="AT683" s="1530"/>
      <c r="AU683" s="1530"/>
      <c r="AV683" s="1530"/>
      <c r="AW683" s="1530"/>
      <c r="AX683" s="1530"/>
      <c r="AY683" s="1530"/>
      <c r="AZ683" s="1530"/>
      <c r="BA683" s="1530"/>
      <c r="BB683" s="1530"/>
      <c r="BC683" s="1530"/>
      <c r="BD683" s="1530"/>
      <c r="BE683" s="1530"/>
      <c r="BF683" s="1530"/>
      <c r="BG683" s="1530"/>
      <c r="BH683" s="1530"/>
      <c r="BI683" s="1530"/>
      <c r="BJ683" s="1530"/>
      <c r="BK683" s="1530"/>
      <c r="BL683" s="1530"/>
      <c r="BM683" s="1530"/>
      <c r="BN683" s="1530"/>
      <c r="BW683" s="1569"/>
      <c r="CO683" s="1530"/>
      <c r="CP683" s="1530"/>
      <c r="CQ683" s="1530"/>
      <c r="CR683" s="1530"/>
      <c r="CS683" s="1530"/>
      <c r="CT683" s="1530"/>
      <c r="CU683" s="1530"/>
      <c r="CV683" s="1530"/>
      <c r="CW683" s="1530"/>
      <c r="CX683" s="1530"/>
      <c r="CY683" s="1530"/>
      <c r="CZ683" s="1530"/>
      <c r="DA683" s="1530"/>
      <c r="DB683" s="1530"/>
      <c r="DC683" s="1530"/>
      <c r="DD683" s="1530"/>
      <c r="DE683" s="1530"/>
      <c r="DF683" s="1530"/>
      <c r="DG683" s="1530"/>
      <c r="DH683" s="1530"/>
      <c r="DI683" s="1530"/>
      <c r="DJ683" s="1530"/>
      <c r="DK683" s="1530"/>
      <c r="DL683" s="1530"/>
      <c r="DM683" s="1530"/>
      <c r="DN683" s="1571"/>
      <c r="DO683" s="1530"/>
      <c r="DP683" s="1530"/>
    </row>
    <row r="684" spans="1:120">
      <c r="A684" s="1451"/>
      <c r="C684" s="1451"/>
      <c r="K684" s="1451"/>
      <c r="L684" s="1451"/>
      <c r="U684" s="1530"/>
      <c r="V684" s="1530"/>
      <c r="W684" s="1530"/>
      <c r="X684" s="1530"/>
      <c r="Y684" s="1530"/>
      <c r="Z684" s="1530"/>
      <c r="AA684" s="1530"/>
      <c r="AB684" s="1530"/>
      <c r="AC684" s="1530"/>
      <c r="AD684" s="1530"/>
      <c r="AE684" s="1530"/>
      <c r="AF684" s="1530"/>
      <c r="AG684" s="1530"/>
      <c r="AH684" s="1530"/>
      <c r="AI684" s="1530"/>
      <c r="AJ684" s="1530"/>
      <c r="AK684" s="1530"/>
      <c r="AL684" s="1530"/>
      <c r="AM684" s="1530"/>
      <c r="AN684" s="1530"/>
      <c r="AO684" s="1530"/>
      <c r="AP684" s="1530"/>
      <c r="AQ684" s="1530"/>
      <c r="AR684" s="1530"/>
      <c r="AS684" s="1530"/>
      <c r="AT684" s="1530"/>
      <c r="AU684" s="1530"/>
      <c r="AV684" s="1530"/>
      <c r="AW684" s="1530"/>
      <c r="AX684" s="1530"/>
      <c r="AY684" s="1530"/>
      <c r="AZ684" s="1530"/>
      <c r="BA684" s="1530"/>
      <c r="BB684" s="1530"/>
      <c r="BC684" s="1530"/>
      <c r="BD684" s="1530"/>
      <c r="BE684" s="1530"/>
      <c r="BF684" s="1530"/>
      <c r="BG684" s="1530"/>
      <c r="BH684" s="1530"/>
      <c r="BI684" s="1530"/>
      <c r="BJ684" s="1530"/>
      <c r="BK684" s="1530"/>
      <c r="BL684" s="1530"/>
      <c r="BM684" s="1530"/>
      <c r="BN684" s="1530"/>
      <c r="BW684" s="1569"/>
      <c r="CO684" s="1530"/>
      <c r="CP684" s="1530"/>
      <c r="CQ684" s="1530"/>
      <c r="CR684" s="1530"/>
      <c r="CS684" s="1530"/>
      <c r="CT684" s="1530"/>
      <c r="CU684" s="1530"/>
      <c r="CV684" s="1530"/>
      <c r="CW684" s="1530"/>
      <c r="CX684" s="1530"/>
      <c r="CY684" s="1530"/>
      <c r="CZ684" s="1530"/>
      <c r="DA684" s="1530"/>
      <c r="DB684" s="1530"/>
      <c r="DC684" s="1530"/>
      <c r="DD684" s="1530"/>
      <c r="DE684" s="1530"/>
      <c r="DF684" s="1530"/>
      <c r="DG684" s="1530"/>
      <c r="DH684" s="1530"/>
      <c r="DI684" s="1530"/>
      <c r="DJ684" s="1530"/>
      <c r="DK684" s="1530"/>
      <c r="DL684" s="1530"/>
      <c r="DM684" s="1530"/>
      <c r="DN684" s="1571"/>
      <c r="DO684" s="1530"/>
      <c r="DP684" s="1530"/>
    </row>
    <row r="685" spans="1:120">
      <c r="A685" s="1451"/>
      <c r="C685" s="1451"/>
      <c r="K685" s="1451"/>
      <c r="L685" s="1451"/>
      <c r="U685" s="1530"/>
      <c r="V685" s="1530"/>
      <c r="W685" s="1530"/>
      <c r="X685" s="1530"/>
      <c r="Y685" s="1530"/>
      <c r="Z685" s="1530"/>
      <c r="AA685" s="1530"/>
      <c r="AB685" s="1530"/>
      <c r="AC685" s="1530"/>
      <c r="AD685" s="1530"/>
      <c r="AE685" s="1530"/>
      <c r="AF685" s="1530"/>
      <c r="AG685" s="1530"/>
      <c r="AH685" s="1530"/>
      <c r="AI685" s="1530"/>
      <c r="AJ685" s="1530"/>
      <c r="AK685" s="1530"/>
      <c r="AL685" s="1530"/>
      <c r="AM685" s="1530"/>
      <c r="AN685" s="1530"/>
      <c r="AO685" s="1530"/>
      <c r="AP685" s="1530"/>
      <c r="AQ685" s="1530"/>
      <c r="AR685" s="1530"/>
      <c r="AS685" s="1530"/>
      <c r="AT685" s="1530"/>
      <c r="AU685" s="1530"/>
      <c r="AV685" s="1530"/>
      <c r="AW685" s="1530"/>
      <c r="AX685" s="1530"/>
      <c r="AY685" s="1530"/>
      <c r="AZ685" s="1530"/>
      <c r="BA685" s="1530"/>
      <c r="BB685" s="1530"/>
      <c r="BC685" s="1530"/>
      <c r="BD685" s="1530"/>
      <c r="BE685" s="1530"/>
      <c r="BF685" s="1530"/>
      <c r="BG685" s="1530"/>
      <c r="BH685" s="1530"/>
      <c r="BI685" s="1530"/>
      <c r="BJ685" s="1530"/>
      <c r="BK685" s="1530"/>
      <c r="BL685" s="1530"/>
      <c r="BM685" s="1530"/>
      <c r="BN685" s="1530"/>
      <c r="BW685" s="1569"/>
      <c r="CO685" s="1530"/>
      <c r="CP685" s="1530"/>
      <c r="CQ685" s="1530"/>
      <c r="CR685" s="1530"/>
      <c r="CS685" s="1530"/>
      <c r="CT685" s="1530"/>
      <c r="CU685" s="1530"/>
      <c r="CV685" s="1530"/>
      <c r="CW685" s="1530"/>
      <c r="CX685" s="1530"/>
      <c r="CY685" s="1530"/>
      <c r="CZ685" s="1530"/>
      <c r="DA685" s="1530"/>
      <c r="DB685" s="1530"/>
      <c r="DC685" s="1530"/>
      <c r="DD685" s="1530"/>
      <c r="DE685" s="1530"/>
      <c r="DF685" s="1530"/>
      <c r="DG685" s="1530"/>
      <c r="DH685" s="1530"/>
      <c r="DI685" s="1530"/>
      <c r="DJ685" s="1530"/>
      <c r="DK685" s="1530"/>
      <c r="DL685" s="1530"/>
      <c r="DM685" s="1530"/>
      <c r="DN685" s="1571"/>
      <c r="DO685" s="1530"/>
      <c r="DP685" s="1530"/>
    </row>
    <row r="686" spans="1:120">
      <c r="A686" s="1451"/>
      <c r="C686" s="1451"/>
      <c r="K686" s="1451"/>
      <c r="L686" s="1451"/>
      <c r="U686" s="1530"/>
      <c r="V686" s="1530"/>
      <c r="W686" s="1530"/>
      <c r="X686" s="1530"/>
      <c r="Y686" s="1530"/>
      <c r="Z686" s="1530"/>
      <c r="AA686" s="1530"/>
      <c r="AB686" s="1530"/>
      <c r="AC686" s="1530"/>
      <c r="AD686" s="1530"/>
      <c r="AE686" s="1530"/>
      <c r="AF686" s="1530"/>
      <c r="AG686" s="1530"/>
      <c r="AH686" s="1530"/>
      <c r="AI686" s="1530"/>
      <c r="AJ686" s="1530"/>
      <c r="AK686" s="1530"/>
      <c r="AL686" s="1530"/>
      <c r="AM686" s="1530"/>
      <c r="AN686" s="1530"/>
      <c r="AO686" s="1530"/>
      <c r="AP686" s="1530"/>
      <c r="AQ686" s="1530"/>
      <c r="AR686" s="1530"/>
      <c r="AS686" s="1530"/>
      <c r="AT686" s="1530"/>
      <c r="AU686" s="1530"/>
      <c r="AV686" s="1530"/>
      <c r="AW686" s="1530"/>
      <c r="AX686" s="1530"/>
      <c r="AY686" s="1530"/>
      <c r="AZ686" s="1530"/>
      <c r="BA686" s="1530"/>
      <c r="BB686" s="1530"/>
      <c r="BC686" s="1530"/>
      <c r="BD686" s="1530"/>
      <c r="BE686" s="1530"/>
      <c r="BF686" s="1530"/>
      <c r="BG686" s="1530"/>
      <c r="BH686" s="1530"/>
      <c r="BI686" s="1530"/>
      <c r="BJ686" s="1530"/>
      <c r="BK686" s="1530"/>
      <c r="BL686" s="1530"/>
      <c r="BM686" s="1530"/>
      <c r="BN686" s="1530"/>
      <c r="BW686" s="1569"/>
      <c r="CO686" s="1530"/>
      <c r="CP686" s="1530"/>
      <c r="CQ686" s="1530"/>
      <c r="CR686" s="1530"/>
      <c r="CS686" s="1530"/>
      <c r="CT686" s="1530"/>
      <c r="CU686" s="1530"/>
      <c r="CV686" s="1530"/>
      <c r="CW686" s="1530"/>
      <c r="CX686" s="1530"/>
      <c r="CY686" s="1530"/>
      <c r="CZ686" s="1530"/>
      <c r="DA686" s="1530"/>
      <c r="DB686" s="1530"/>
      <c r="DC686" s="1530"/>
      <c r="DD686" s="1530"/>
      <c r="DE686" s="1530"/>
      <c r="DF686" s="1530"/>
      <c r="DG686" s="1530"/>
      <c r="DH686" s="1530"/>
      <c r="DI686" s="1530"/>
      <c r="DJ686" s="1530"/>
      <c r="DK686" s="1530"/>
      <c r="DL686" s="1530"/>
      <c r="DM686" s="1530"/>
      <c r="DN686" s="1571"/>
      <c r="DO686" s="1530"/>
      <c r="DP686" s="1530"/>
    </row>
    <row r="687" spans="1:120">
      <c r="A687" s="1451"/>
      <c r="C687" s="1451"/>
      <c r="K687" s="1451"/>
      <c r="L687" s="1451"/>
      <c r="U687" s="1530"/>
      <c r="V687" s="1530"/>
      <c r="W687" s="1530"/>
      <c r="X687" s="1530"/>
      <c r="Y687" s="1530"/>
      <c r="Z687" s="1530"/>
      <c r="AA687" s="1530"/>
      <c r="AB687" s="1530"/>
      <c r="AC687" s="1530"/>
      <c r="AD687" s="1530"/>
      <c r="AE687" s="1530"/>
      <c r="AF687" s="1530"/>
      <c r="AG687" s="1530"/>
      <c r="AH687" s="1530"/>
      <c r="AI687" s="1530"/>
      <c r="AJ687" s="1530"/>
      <c r="AK687" s="1530"/>
      <c r="AL687" s="1530"/>
      <c r="AM687" s="1530"/>
      <c r="AN687" s="1530"/>
      <c r="AO687" s="1530"/>
      <c r="AP687" s="1530"/>
      <c r="AQ687" s="1530"/>
      <c r="AR687" s="1530"/>
      <c r="AS687" s="1530"/>
      <c r="AT687" s="1530"/>
      <c r="AU687" s="1530"/>
      <c r="AV687" s="1530"/>
      <c r="AW687" s="1530"/>
      <c r="AX687" s="1530"/>
      <c r="AY687" s="1530"/>
      <c r="AZ687" s="1530"/>
      <c r="BA687" s="1530"/>
      <c r="BB687" s="1530"/>
      <c r="BC687" s="1530"/>
      <c r="BD687" s="1530"/>
      <c r="BE687" s="1530"/>
      <c r="BF687" s="1530"/>
      <c r="BG687" s="1530"/>
      <c r="BH687" s="1530"/>
      <c r="BI687" s="1530"/>
      <c r="BJ687" s="1530"/>
      <c r="BK687" s="1530"/>
      <c r="BL687" s="1530"/>
      <c r="BM687" s="1530"/>
      <c r="BN687" s="1530"/>
      <c r="BW687" s="1569"/>
      <c r="CO687" s="1530"/>
      <c r="CP687" s="1530"/>
      <c r="CQ687" s="1530"/>
      <c r="CR687" s="1530"/>
      <c r="CS687" s="1530"/>
      <c r="CT687" s="1530"/>
      <c r="CU687" s="1530"/>
      <c r="CV687" s="1530"/>
      <c r="CW687" s="1530"/>
      <c r="CX687" s="1530"/>
      <c r="CY687" s="1530"/>
      <c r="CZ687" s="1530"/>
      <c r="DA687" s="1530"/>
      <c r="DB687" s="1530"/>
      <c r="DC687" s="1530"/>
      <c r="DD687" s="1530"/>
      <c r="DE687" s="1530"/>
      <c r="DF687" s="1530"/>
      <c r="DG687" s="1530"/>
      <c r="DH687" s="1530"/>
      <c r="DI687" s="1530"/>
      <c r="DJ687" s="1530"/>
      <c r="DK687" s="1530"/>
      <c r="DL687" s="1530"/>
      <c r="DM687" s="1530"/>
      <c r="DN687" s="1571"/>
      <c r="DO687" s="1530"/>
      <c r="DP687" s="1530"/>
    </row>
    <row r="688" spans="1:120">
      <c r="A688" s="1451"/>
      <c r="C688" s="1451"/>
      <c r="K688" s="1451"/>
      <c r="L688" s="1451"/>
      <c r="U688" s="1530"/>
      <c r="V688" s="1530"/>
      <c r="W688" s="1530"/>
      <c r="X688" s="1530"/>
      <c r="Y688" s="1530"/>
      <c r="Z688" s="1530"/>
      <c r="AA688" s="1530"/>
      <c r="AB688" s="1530"/>
      <c r="AC688" s="1530"/>
      <c r="AD688" s="1530"/>
      <c r="AE688" s="1530"/>
      <c r="AF688" s="1530"/>
      <c r="AG688" s="1530"/>
      <c r="AH688" s="1530"/>
      <c r="AI688" s="1530"/>
      <c r="AJ688" s="1530"/>
      <c r="AK688" s="1530"/>
      <c r="AL688" s="1530"/>
      <c r="AM688" s="1530"/>
      <c r="AN688" s="1530"/>
      <c r="AO688" s="1530"/>
      <c r="AP688" s="1530"/>
      <c r="AQ688" s="1530"/>
      <c r="AR688" s="1530"/>
      <c r="AS688" s="1530"/>
      <c r="AT688" s="1530"/>
      <c r="AU688" s="1530"/>
      <c r="AV688" s="1530"/>
      <c r="AW688" s="1530"/>
      <c r="AX688" s="1530"/>
      <c r="AY688" s="1530"/>
      <c r="AZ688" s="1530"/>
      <c r="BA688" s="1530"/>
      <c r="BB688" s="1530"/>
      <c r="BC688" s="1530"/>
      <c r="BD688" s="1530"/>
      <c r="BE688" s="1530"/>
      <c r="BF688" s="1530"/>
      <c r="BG688" s="1530"/>
      <c r="BH688" s="1530"/>
      <c r="BI688" s="1530"/>
      <c r="BJ688" s="1530"/>
      <c r="BK688" s="1530"/>
      <c r="BL688" s="1530"/>
      <c r="BM688" s="1530"/>
      <c r="BN688" s="1530"/>
      <c r="BW688" s="1569"/>
      <c r="CO688" s="1530"/>
      <c r="CP688" s="1530"/>
      <c r="CQ688" s="1530"/>
      <c r="CR688" s="1530"/>
      <c r="CS688" s="1530"/>
      <c r="CT688" s="1530"/>
      <c r="CU688" s="1530"/>
      <c r="CV688" s="1530"/>
      <c r="CW688" s="1530"/>
      <c r="CX688" s="1530"/>
      <c r="CY688" s="1530"/>
      <c r="CZ688" s="1530"/>
      <c r="DA688" s="1530"/>
      <c r="DB688" s="1530"/>
      <c r="DC688" s="1530"/>
      <c r="DD688" s="1530"/>
      <c r="DE688" s="1530"/>
      <c r="DF688" s="1530"/>
      <c r="DG688" s="1530"/>
      <c r="DH688" s="1530"/>
      <c r="DI688" s="1530"/>
      <c r="DJ688" s="1530"/>
      <c r="DK688" s="1530"/>
      <c r="DL688" s="1530"/>
      <c r="DM688" s="1530"/>
      <c r="DN688" s="1571"/>
      <c r="DO688" s="1530"/>
      <c r="DP688" s="1530"/>
    </row>
    <row r="689" spans="1:120">
      <c r="A689" s="1451"/>
      <c r="C689" s="1451"/>
      <c r="K689" s="1451"/>
      <c r="L689" s="1451"/>
      <c r="U689" s="1530"/>
      <c r="V689" s="1530"/>
      <c r="W689" s="1530"/>
      <c r="X689" s="1530"/>
      <c r="Y689" s="1530"/>
      <c r="Z689" s="1530"/>
      <c r="AA689" s="1530"/>
      <c r="AB689" s="1530"/>
      <c r="AC689" s="1530"/>
      <c r="AD689" s="1530"/>
      <c r="AE689" s="1530"/>
      <c r="AF689" s="1530"/>
      <c r="AG689" s="1530"/>
      <c r="AH689" s="1530"/>
      <c r="AI689" s="1530"/>
      <c r="AJ689" s="1530"/>
      <c r="AK689" s="1530"/>
      <c r="AL689" s="1530"/>
      <c r="AM689" s="1530"/>
      <c r="AN689" s="1530"/>
      <c r="AO689" s="1530"/>
      <c r="AP689" s="1530"/>
      <c r="AQ689" s="1530"/>
      <c r="AR689" s="1530"/>
      <c r="AS689" s="1530"/>
      <c r="AT689" s="1530"/>
      <c r="AU689" s="1530"/>
      <c r="AV689" s="1530"/>
      <c r="AW689" s="1530"/>
      <c r="AX689" s="1530"/>
      <c r="AY689" s="1530"/>
      <c r="AZ689" s="1530"/>
      <c r="BA689" s="1530"/>
      <c r="BB689" s="1530"/>
      <c r="BC689" s="1530"/>
      <c r="BD689" s="1530"/>
      <c r="BE689" s="1530"/>
      <c r="BF689" s="1530"/>
      <c r="BG689" s="1530"/>
      <c r="BH689" s="1530"/>
      <c r="BI689" s="1530"/>
      <c r="BJ689" s="1530"/>
      <c r="BK689" s="1530"/>
      <c r="BL689" s="1530"/>
      <c r="BM689" s="1530"/>
      <c r="BN689" s="1530"/>
      <c r="BW689" s="1569"/>
      <c r="CO689" s="1530"/>
      <c r="CP689" s="1530"/>
      <c r="CQ689" s="1530"/>
      <c r="CR689" s="1530"/>
      <c r="CS689" s="1530"/>
      <c r="CT689" s="1530"/>
      <c r="CU689" s="1530"/>
      <c r="CV689" s="1530"/>
      <c r="CW689" s="1530"/>
      <c r="CX689" s="1530"/>
      <c r="CY689" s="1530"/>
      <c r="CZ689" s="1530"/>
      <c r="DA689" s="1530"/>
      <c r="DB689" s="1530"/>
      <c r="DC689" s="1530"/>
      <c r="DD689" s="1530"/>
      <c r="DE689" s="1530"/>
      <c r="DF689" s="1530"/>
      <c r="DG689" s="1530"/>
      <c r="DH689" s="1530"/>
      <c r="DI689" s="1530"/>
      <c r="DJ689" s="1530"/>
      <c r="DK689" s="1530"/>
      <c r="DL689" s="1530"/>
      <c r="DM689" s="1530"/>
      <c r="DN689" s="1571"/>
      <c r="DO689" s="1530"/>
      <c r="DP689" s="1530"/>
    </row>
    <row r="690" spans="1:120">
      <c r="A690" s="1451"/>
      <c r="C690" s="1451"/>
      <c r="K690" s="1451"/>
      <c r="L690" s="1451"/>
      <c r="U690" s="1530"/>
      <c r="V690" s="1530"/>
      <c r="W690" s="1530"/>
      <c r="X690" s="1530"/>
      <c r="Y690" s="1530"/>
      <c r="Z690" s="1530"/>
      <c r="AA690" s="1530"/>
      <c r="AB690" s="1530"/>
      <c r="AC690" s="1530"/>
      <c r="AD690" s="1530"/>
      <c r="AE690" s="1530"/>
      <c r="AF690" s="1530"/>
      <c r="AG690" s="1530"/>
      <c r="AH690" s="1530"/>
      <c r="AI690" s="1530"/>
      <c r="AJ690" s="1530"/>
      <c r="AK690" s="1530"/>
      <c r="AL690" s="1530"/>
      <c r="AM690" s="1530"/>
      <c r="AN690" s="1530"/>
      <c r="AO690" s="1530"/>
      <c r="AP690" s="1530"/>
      <c r="AQ690" s="1530"/>
      <c r="AR690" s="1530"/>
      <c r="AS690" s="1530"/>
      <c r="AT690" s="1530"/>
      <c r="AU690" s="1530"/>
      <c r="AV690" s="1530"/>
      <c r="AW690" s="1530"/>
      <c r="AX690" s="1530"/>
      <c r="AY690" s="1530"/>
      <c r="AZ690" s="1530"/>
      <c r="BA690" s="1530"/>
      <c r="BB690" s="1530"/>
      <c r="BC690" s="1530"/>
      <c r="BD690" s="1530"/>
      <c r="BE690" s="1530"/>
      <c r="BF690" s="1530"/>
      <c r="BG690" s="1530"/>
      <c r="BH690" s="1530"/>
      <c r="BI690" s="1530"/>
      <c r="BJ690" s="1530"/>
      <c r="BK690" s="1530"/>
      <c r="BL690" s="1530"/>
      <c r="BM690" s="1530"/>
      <c r="BN690" s="1530"/>
      <c r="BW690" s="1569"/>
      <c r="CO690" s="1530"/>
      <c r="CP690" s="1530"/>
      <c r="CQ690" s="1530"/>
      <c r="CR690" s="1530"/>
      <c r="CS690" s="1530"/>
      <c r="CT690" s="1530"/>
      <c r="CU690" s="1530"/>
      <c r="CV690" s="1530"/>
      <c r="CW690" s="1530"/>
      <c r="CX690" s="1530"/>
      <c r="CY690" s="1530"/>
      <c r="CZ690" s="1530"/>
      <c r="DA690" s="1530"/>
      <c r="DB690" s="1530"/>
      <c r="DC690" s="1530"/>
      <c r="DD690" s="1530"/>
      <c r="DE690" s="1530"/>
      <c r="DF690" s="1530"/>
      <c r="DG690" s="1530"/>
      <c r="DH690" s="1530"/>
      <c r="DI690" s="1530"/>
      <c r="DJ690" s="1530"/>
      <c r="DK690" s="1530"/>
      <c r="DL690" s="1530"/>
      <c r="DM690" s="1530"/>
      <c r="DN690" s="1571"/>
      <c r="DO690" s="1530"/>
      <c r="DP690" s="1530"/>
    </row>
    <row r="691" spans="1:120">
      <c r="A691" s="1451"/>
      <c r="C691" s="1451"/>
      <c r="K691" s="1451"/>
      <c r="L691" s="1451"/>
      <c r="U691" s="1530"/>
      <c r="V691" s="1530"/>
      <c r="W691" s="1530"/>
      <c r="X691" s="1530"/>
      <c r="Y691" s="1530"/>
      <c r="Z691" s="1530"/>
      <c r="AA691" s="1530"/>
      <c r="AB691" s="1530"/>
      <c r="AC691" s="1530"/>
      <c r="AD691" s="1530"/>
      <c r="AE691" s="1530"/>
      <c r="AF691" s="1530"/>
      <c r="AG691" s="1530"/>
      <c r="AH691" s="1530"/>
      <c r="AI691" s="1530"/>
      <c r="AJ691" s="1530"/>
      <c r="AK691" s="1530"/>
      <c r="AL691" s="1530"/>
      <c r="AM691" s="1530"/>
      <c r="AN691" s="1530"/>
      <c r="AO691" s="1530"/>
      <c r="AP691" s="1530"/>
      <c r="AQ691" s="1530"/>
      <c r="AR691" s="1530"/>
      <c r="AS691" s="1530"/>
      <c r="AT691" s="1530"/>
      <c r="AU691" s="1530"/>
      <c r="AV691" s="1530"/>
      <c r="AW691" s="1530"/>
      <c r="AX691" s="1530"/>
      <c r="AY691" s="1530"/>
      <c r="AZ691" s="1530"/>
      <c r="BA691" s="1530"/>
      <c r="BB691" s="1530"/>
      <c r="BC691" s="1530"/>
      <c r="BD691" s="1530"/>
      <c r="BE691" s="1530"/>
      <c r="BF691" s="1530"/>
      <c r="BG691" s="1530"/>
      <c r="BH691" s="1530"/>
      <c r="BI691" s="1530"/>
      <c r="BJ691" s="1530"/>
      <c r="BK691" s="1530"/>
      <c r="BL691" s="1530"/>
      <c r="BM691" s="1530"/>
      <c r="BN691" s="1530"/>
      <c r="BW691" s="1569"/>
      <c r="CO691" s="1530"/>
      <c r="CP691" s="1530"/>
      <c r="CQ691" s="1530"/>
      <c r="CR691" s="1530"/>
      <c r="CS691" s="1530"/>
      <c r="CT691" s="1530"/>
      <c r="CU691" s="1530"/>
      <c r="CV691" s="1530"/>
      <c r="CW691" s="1530"/>
      <c r="CX691" s="1530"/>
      <c r="CY691" s="1530"/>
      <c r="CZ691" s="1530"/>
      <c r="DA691" s="1530"/>
      <c r="DB691" s="1530"/>
      <c r="DC691" s="1530"/>
      <c r="DD691" s="1530"/>
      <c r="DE691" s="1530"/>
      <c r="DF691" s="1530"/>
      <c r="DG691" s="1530"/>
      <c r="DH691" s="1530"/>
      <c r="DI691" s="1530"/>
      <c r="DJ691" s="1530"/>
      <c r="DK691" s="1530"/>
      <c r="DL691" s="1530"/>
      <c r="DM691" s="1530"/>
      <c r="DN691" s="1571"/>
      <c r="DO691" s="1530"/>
      <c r="DP691" s="1530"/>
    </row>
    <row r="692" spans="1:120">
      <c r="A692" s="1451"/>
      <c r="C692" s="1451"/>
      <c r="K692" s="1451"/>
      <c r="L692" s="1451"/>
      <c r="U692" s="1530"/>
      <c r="V692" s="1530"/>
      <c r="W692" s="1530"/>
      <c r="X692" s="1530"/>
      <c r="Y692" s="1530"/>
      <c r="Z692" s="1530"/>
      <c r="AA692" s="1530"/>
      <c r="AB692" s="1530"/>
      <c r="AC692" s="1530"/>
      <c r="AD692" s="1530"/>
      <c r="AE692" s="1530"/>
      <c r="AF692" s="1530"/>
      <c r="AG692" s="1530"/>
      <c r="AH692" s="1530"/>
      <c r="AI692" s="1530"/>
      <c r="AJ692" s="1530"/>
      <c r="AK692" s="1530"/>
      <c r="AL692" s="1530"/>
      <c r="AM692" s="1530"/>
      <c r="AN692" s="1530"/>
      <c r="AO692" s="1530"/>
      <c r="AP692" s="1530"/>
      <c r="AQ692" s="1530"/>
      <c r="AR692" s="1530"/>
      <c r="AS692" s="1530"/>
      <c r="AT692" s="1530"/>
      <c r="AU692" s="1530"/>
      <c r="AV692" s="1530"/>
      <c r="AW692" s="1530"/>
      <c r="AX692" s="1530"/>
      <c r="AY692" s="1530"/>
      <c r="AZ692" s="1530"/>
      <c r="BA692" s="1530"/>
      <c r="BB692" s="1530"/>
      <c r="BC692" s="1530"/>
      <c r="BD692" s="1530"/>
      <c r="BE692" s="1530"/>
      <c r="BF692" s="1530"/>
      <c r="BG692" s="1530"/>
      <c r="BH692" s="1530"/>
      <c r="BI692" s="1530"/>
      <c r="BJ692" s="1530"/>
      <c r="BK692" s="1530"/>
      <c r="BL692" s="1530"/>
      <c r="BM692" s="1530"/>
      <c r="BN692" s="1530"/>
      <c r="BW692" s="1569"/>
      <c r="CO692" s="1530"/>
      <c r="CP692" s="1530"/>
      <c r="CQ692" s="1530"/>
      <c r="CR692" s="1530"/>
      <c r="CS692" s="1530"/>
      <c r="CT692" s="1530"/>
      <c r="CU692" s="1530"/>
      <c r="CV692" s="1530"/>
      <c r="CW692" s="1530"/>
      <c r="CX692" s="1530"/>
      <c r="CY692" s="1530"/>
      <c r="CZ692" s="1530"/>
      <c r="DA692" s="1530"/>
      <c r="DB692" s="1530"/>
      <c r="DC692" s="1530"/>
      <c r="DD692" s="1530"/>
      <c r="DE692" s="1530"/>
      <c r="DF692" s="1530"/>
      <c r="DG692" s="1530"/>
      <c r="DH692" s="1530"/>
      <c r="DI692" s="1530"/>
      <c r="DJ692" s="1530"/>
      <c r="DK692" s="1530"/>
      <c r="DL692" s="1530"/>
      <c r="DM692" s="1530"/>
      <c r="DN692" s="1571"/>
      <c r="DO692" s="1530"/>
      <c r="DP692" s="1530"/>
    </row>
    <row r="693" spans="1:120">
      <c r="A693" s="1451"/>
      <c r="C693" s="1451"/>
      <c r="K693" s="1451"/>
      <c r="L693" s="1451"/>
      <c r="U693" s="1530"/>
      <c r="V693" s="1530"/>
      <c r="W693" s="1530"/>
      <c r="X693" s="1530"/>
      <c r="Y693" s="1530"/>
      <c r="Z693" s="1530"/>
      <c r="AA693" s="1530"/>
      <c r="AB693" s="1530"/>
      <c r="AC693" s="1530"/>
      <c r="AD693" s="1530"/>
      <c r="AE693" s="1530"/>
      <c r="AF693" s="1530"/>
      <c r="AG693" s="1530"/>
      <c r="AH693" s="1530"/>
      <c r="AI693" s="1530"/>
      <c r="AJ693" s="1530"/>
      <c r="AK693" s="1530"/>
      <c r="AL693" s="1530"/>
      <c r="AM693" s="1530"/>
      <c r="AN693" s="1530"/>
      <c r="AO693" s="1530"/>
      <c r="AP693" s="1530"/>
      <c r="AQ693" s="1530"/>
      <c r="AR693" s="1530"/>
      <c r="AS693" s="1530"/>
      <c r="AT693" s="1530"/>
      <c r="AU693" s="1530"/>
      <c r="AV693" s="1530"/>
      <c r="AW693" s="1530"/>
      <c r="AX693" s="1530"/>
      <c r="AY693" s="1530"/>
      <c r="AZ693" s="1530"/>
      <c r="BA693" s="1530"/>
      <c r="BB693" s="1530"/>
      <c r="BC693" s="1530"/>
      <c r="BD693" s="1530"/>
      <c r="BE693" s="1530"/>
      <c r="BF693" s="1530"/>
      <c r="BG693" s="1530"/>
      <c r="BH693" s="1530"/>
      <c r="BI693" s="1530"/>
      <c r="BJ693" s="1530"/>
      <c r="BK693" s="1530"/>
      <c r="BL693" s="1530"/>
      <c r="BM693" s="1530"/>
      <c r="BN693" s="1530"/>
      <c r="BW693" s="1569"/>
      <c r="CO693" s="1530"/>
      <c r="CP693" s="1530"/>
      <c r="CQ693" s="1530"/>
      <c r="CR693" s="1530"/>
      <c r="CS693" s="1530"/>
      <c r="CT693" s="1530"/>
      <c r="CU693" s="1530"/>
      <c r="CV693" s="1530"/>
      <c r="CW693" s="1530"/>
      <c r="CX693" s="1530"/>
      <c r="CY693" s="1530"/>
      <c r="CZ693" s="1530"/>
      <c r="DA693" s="1530"/>
      <c r="DB693" s="1530"/>
      <c r="DC693" s="1530"/>
      <c r="DD693" s="1530"/>
      <c r="DE693" s="1530"/>
      <c r="DF693" s="1530"/>
      <c r="DG693" s="1530"/>
      <c r="DH693" s="1530"/>
      <c r="DI693" s="1530"/>
      <c r="DJ693" s="1530"/>
      <c r="DK693" s="1530"/>
      <c r="DL693" s="1530"/>
      <c r="DM693" s="1530"/>
      <c r="DN693" s="1571"/>
      <c r="DO693" s="1530"/>
      <c r="DP693" s="1530"/>
    </row>
    <row r="694" spans="1:120">
      <c r="A694" s="1451"/>
      <c r="C694" s="1451"/>
      <c r="K694" s="1451"/>
      <c r="L694" s="1451"/>
      <c r="U694" s="1530"/>
      <c r="V694" s="1530"/>
      <c r="W694" s="1530"/>
      <c r="X694" s="1530"/>
      <c r="Y694" s="1530"/>
      <c r="Z694" s="1530"/>
      <c r="AA694" s="1530"/>
      <c r="AB694" s="1530"/>
      <c r="AC694" s="1530"/>
      <c r="AD694" s="1530"/>
      <c r="AE694" s="1530"/>
      <c r="AF694" s="1530"/>
      <c r="AG694" s="1530"/>
      <c r="AH694" s="1530"/>
      <c r="AI694" s="1530"/>
      <c r="AJ694" s="1530"/>
      <c r="AK694" s="1530"/>
      <c r="AL694" s="1530"/>
      <c r="AM694" s="1530"/>
      <c r="AN694" s="1530"/>
      <c r="AO694" s="1530"/>
      <c r="AP694" s="1530"/>
      <c r="AQ694" s="1530"/>
      <c r="AR694" s="1530"/>
      <c r="AS694" s="1530"/>
      <c r="AT694" s="1530"/>
      <c r="AU694" s="1530"/>
      <c r="AV694" s="1530"/>
      <c r="AW694" s="1530"/>
      <c r="AX694" s="1530"/>
      <c r="AY694" s="1530"/>
      <c r="AZ694" s="1530"/>
      <c r="BA694" s="1530"/>
      <c r="BB694" s="1530"/>
      <c r="BC694" s="1530"/>
      <c r="BD694" s="1530"/>
      <c r="BE694" s="1530"/>
      <c r="BF694" s="1530"/>
      <c r="BG694" s="1530"/>
      <c r="BH694" s="1530"/>
      <c r="BI694" s="1530"/>
      <c r="BJ694" s="1530"/>
      <c r="BK694" s="1530"/>
      <c r="BL694" s="1530"/>
      <c r="BM694" s="1530"/>
      <c r="BN694" s="1530"/>
      <c r="BW694" s="1569"/>
      <c r="CO694" s="1530"/>
      <c r="CP694" s="1530"/>
      <c r="CQ694" s="1530"/>
      <c r="CR694" s="1530"/>
      <c r="CS694" s="1530"/>
      <c r="CT694" s="1530"/>
      <c r="CU694" s="1530"/>
      <c r="CV694" s="1530"/>
      <c r="CW694" s="1530"/>
      <c r="CX694" s="1530"/>
      <c r="CY694" s="1530"/>
      <c r="CZ694" s="1530"/>
      <c r="DA694" s="1530"/>
      <c r="DB694" s="1530"/>
      <c r="DC694" s="1530"/>
      <c r="DD694" s="1530"/>
      <c r="DE694" s="1530"/>
      <c r="DF694" s="1530"/>
      <c r="DG694" s="1530"/>
      <c r="DH694" s="1530"/>
      <c r="DI694" s="1530"/>
      <c r="DJ694" s="1530"/>
      <c r="DK694" s="1530"/>
      <c r="DL694" s="1530"/>
      <c r="DM694" s="1530"/>
      <c r="DN694" s="1571"/>
      <c r="DO694" s="1530"/>
      <c r="DP694" s="1530"/>
    </row>
    <row r="695" spans="1:120">
      <c r="A695" s="1451"/>
      <c r="C695" s="1451"/>
      <c r="K695" s="1451"/>
      <c r="L695" s="1451"/>
      <c r="U695" s="1530"/>
      <c r="V695" s="1530"/>
      <c r="W695" s="1530"/>
      <c r="X695" s="1530"/>
      <c r="Y695" s="1530"/>
      <c r="Z695" s="1530"/>
      <c r="AA695" s="1530"/>
      <c r="AB695" s="1530"/>
      <c r="AC695" s="1530"/>
      <c r="AD695" s="1530"/>
      <c r="AE695" s="1530"/>
      <c r="AF695" s="1530"/>
      <c r="AG695" s="1530"/>
      <c r="AH695" s="1530"/>
      <c r="AI695" s="1530"/>
      <c r="AJ695" s="1530"/>
      <c r="AK695" s="1530"/>
      <c r="AL695" s="1530"/>
      <c r="AM695" s="1530"/>
      <c r="AN695" s="1530"/>
      <c r="AO695" s="1530"/>
      <c r="AP695" s="1530"/>
      <c r="AQ695" s="1530"/>
      <c r="AR695" s="1530"/>
      <c r="AS695" s="1530"/>
      <c r="AT695" s="1530"/>
      <c r="AU695" s="1530"/>
      <c r="AV695" s="1530"/>
      <c r="AW695" s="1530"/>
      <c r="AX695" s="1530"/>
      <c r="AY695" s="1530"/>
      <c r="AZ695" s="1530"/>
      <c r="BA695" s="1530"/>
      <c r="BB695" s="1530"/>
      <c r="BC695" s="1530"/>
      <c r="BD695" s="1530"/>
      <c r="BE695" s="1530"/>
      <c r="BF695" s="1530"/>
      <c r="BG695" s="1530"/>
      <c r="BH695" s="1530"/>
      <c r="BI695" s="1530"/>
      <c r="BJ695" s="1530"/>
      <c r="BK695" s="1530"/>
      <c r="BL695" s="1530"/>
      <c r="BM695" s="1530"/>
      <c r="BN695" s="1530"/>
      <c r="BW695" s="1569"/>
      <c r="CO695" s="1530"/>
      <c r="CP695" s="1530"/>
      <c r="CQ695" s="1530"/>
      <c r="CR695" s="1530"/>
      <c r="CS695" s="1530"/>
      <c r="CT695" s="1530"/>
      <c r="CU695" s="1530"/>
      <c r="CV695" s="1530"/>
      <c r="CW695" s="1530"/>
      <c r="CX695" s="1530"/>
      <c r="CY695" s="1530"/>
      <c r="CZ695" s="1530"/>
      <c r="DA695" s="1530"/>
      <c r="DB695" s="1530"/>
      <c r="DC695" s="1530"/>
      <c r="DD695" s="1530"/>
      <c r="DE695" s="1530"/>
      <c r="DF695" s="1530"/>
      <c r="DG695" s="1530"/>
      <c r="DH695" s="1530"/>
      <c r="DI695" s="1530"/>
      <c r="DJ695" s="1530"/>
      <c r="DK695" s="1530"/>
      <c r="DL695" s="1530"/>
      <c r="DM695" s="1530"/>
      <c r="DN695" s="1571"/>
      <c r="DO695" s="1530"/>
      <c r="DP695" s="1530"/>
    </row>
    <row r="696" spans="1:120">
      <c r="A696" s="1451"/>
      <c r="C696" s="1451"/>
      <c r="K696" s="1451"/>
      <c r="L696" s="1451"/>
      <c r="U696" s="1530"/>
      <c r="V696" s="1530"/>
      <c r="W696" s="1530"/>
      <c r="X696" s="1530"/>
      <c r="Y696" s="1530"/>
      <c r="Z696" s="1530"/>
      <c r="AA696" s="1530"/>
      <c r="AB696" s="1530"/>
      <c r="AC696" s="1530"/>
      <c r="AD696" s="1530"/>
      <c r="AE696" s="1530"/>
      <c r="AF696" s="1530"/>
      <c r="AG696" s="1530"/>
      <c r="AH696" s="1530"/>
      <c r="AI696" s="1530"/>
      <c r="AJ696" s="1530"/>
      <c r="AK696" s="1530"/>
      <c r="AL696" s="1530"/>
      <c r="AM696" s="1530"/>
      <c r="AN696" s="1530"/>
      <c r="AO696" s="1530"/>
      <c r="AP696" s="1530"/>
      <c r="AQ696" s="1530"/>
      <c r="AR696" s="1530"/>
      <c r="AS696" s="1530"/>
      <c r="AT696" s="1530"/>
      <c r="AU696" s="1530"/>
      <c r="AV696" s="1530"/>
      <c r="AW696" s="1530"/>
      <c r="AX696" s="1530"/>
      <c r="AY696" s="1530"/>
      <c r="AZ696" s="1530"/>
      <c r="BA696" s="1530"/>
      <c r="BB696" s="1530"/>
      <c r="BC696" s="1530"/>
      <c r="BD696" s="1530"/>
      <c r="BE696" s="1530"/>
      <c r="BF696" s="1530"/>
      <c r="BG696" s="1530"/>
      <c r="BH696" s="1530"/>
      <c r="BI696" s="1530"/>
      <c r="BJ696" s="1530"/>
      <c r="BK696" s="1530"/>
      <c r="BL696" s="1530"/>
      <c r="BM696" s="1530"/>
      <c r="BN696" s="1530"/>
      <c r="BW696" s="1569"/>
      <c r="CO696" s="1530"/>
      <c r="CP696" s="1530"/>
      <c r="CQ696" s="1530"/>
      <c r="CR696" s="1530"/>
      <c r="CS696" s="1530"/>
      <c r="CT696" s="1530"/>
      <c r="CU696" s="1530"/>
      <c r="CV696" s="1530"/>
      <c r="CW696" s="1530"/>
      <c r="CX696" s="1530"/>
      <c r="CY696" s="1530"/>
      <c r="CZ696" s="1530"/>
      <c r="DA696" s="1530"/>
      <c r="DB696" s="1530"/>
      <c r="DC696" s="1530"/>
      <c r="DD696" s="1530"/>
      <c r="DE696" s="1530"/>
      <c r="DF696" s="1530"/>
      <c r="DG696" s="1530"/>
      <c r="DH696" s="1530"/>
      <c r="DI696" s="1530"/>
      <c r="DJ696" s="1530"/>
      <c r="DK696" s="1530"/>
      <c r="DL696" s="1530"/>
      <c r="DM696" s="1530"/>
      <c r="DN696" s="1571"/>
      <c r="DO696" s="1530"/>
      <c r="DP696" s="1530"/>
    </row>
    <row r="697" spans="1:120">
      <c r="A697" s="1451"/>
      <c r="C697" s="1451"/>
      <c r="K697" s="1451"/>
      <c r="L697" s="1451"/>
      <c r="U697" s="1530"/>
      <c r="V697" s="1530"/>
      <c r="W697" s="1530"/>
      <c r="X697" s="1530"/>
      <c r="Y697" s="1530"/>
      <c r="Z697" s="1530"/>
      <c r="AA697" s="1530"/>
      <c r="AB697" s="1530"/>
      <c r="AC697" s="1530"/>
      <c r="AD697" s="1530"/>
      <c r="AE697" s="1530"/>
      <c r="AF697" s="1530"/>
      <c r="AG697" s="1530"/>
      <c r="AH697" s="1530"/>
      <c r="AI697" s="1530"/>
      <c r="AJ697" s="1530"/>
      <c r="AK697" s="1530"/>
      <c r="AL697" s="1530"/>
      <c r="AM697" s="1530"/>
      <c r="AN697" s="1530"/>
      <c r="AO697" s="1530"/>
      <c r="AP697" s="1530"/>
      <c r="AQ697" s="1530"/>
      <c r="AR697" s="1530"/>
      <c r="AS697" s="1530"/>
      <c r="AT697" s="1530"/>
      <c r="AU697" s="1530"/>
      <c r="AV697" s="1530"/>
      <c r="AW697" s="1530"/>
      <c r="AX697" s="1530"/>
      <c r="AY697" s="1530"/>
      <c r="AZ697" s="1530"/>
      <c r="BA697" s="1530"/>
      <c r="BB697" s="1530"/>
      <c r="BC697" s="1530"/>
      <c r="BD697" s="1530"/>
      <c r="BE697" s="1530"/>
      <c r="BF697" s="1530"/>
      <c r="BG697" s="1530"/>
      <c r="BH697" s="1530"/>
      <c r="BI697" s="1530"/>
      <c r="BJ697" s="1530"/>
      <c r="BK697" s="1530"/>
      <c r="BL697" s="1530"/>
      <c r="BM697" s="1530"/>
      <c r="BN697" s="1530"/>
      <c r="BW697" s="1569"/>
      <c r="CO697" s="1530"/>
      <c r="CP697" s="1530"/>
      <c r="CQ697" s="1530"/>
      <c r="CR697" s="1530"/>
      <c r="CS697" s="1530"/>
      <c r="CT697" s="1530"/>
      <c r="CU697" s="1530"/>
      <c r="CV697" s="1530"/>
      <c r="CW697" s="1530"/>
      <c r="CX697" s="1530"/>
      <c r="CY697" s="1530"/>
      <c r="CZ697" s="1530"/>
      <c r="DA697" s="1530"/>
      <c r="DB697" s="1530"/>
      <c r="DC697" s="1530"/>
      <c r="DD697" s="1530"/>
      <c r="DE697" s="1530"/>
      <c r="DF697" s="1530"/>
      <c r="DG697" s="1530"/>
      <c r="DH697" s="1530"/>
      <c r="DI697" s="1530"/>
      <c r="DJ697" s="1530"/>
      <c r="DK697" s="1530"/>
      <c r="DL697" s="1530"/>
      <c r="DM697" s="1530"/>
      <c r="DN697" s="1571"/>
      <c r="DO697" s="1530"/>
      <c r="DP697" s="1530"/>
    </row>
    <row r="698" spans="1:120">
      <c r="A698" s="1451"/>
      <c r="C698" s="1451"/>
      <c r="K698" s="1451"/>
      <c r="L698" s="1451"/>
      <c r="U698" s="1530"/>
      <c r="V698" s="1530"/>
      <c r="W698" s="1530"/>
      <c r="X698" s="1530"/>
      <c r="Y698" s="1530"/>
      <c r="Z698" s="1530"/>
      <c r="AA698" s="1530"/>
      <c r="AB698" s="1530"/>
      <c r="AC698" s="1530"/>
      <c r="AD698" s="1530"/>
      <c r="AE698" s="1530"/>
      <c r="AF698" s="1530"/>
      <c r="AG698" s="1530"/>
      <c r="AH698" s="1530"/>
      <c r="AI698" s="1530"/>
      <c r="AJ698" s="1530"/>
      <c r="AK698" s="1530"/>
      <c r="AL698" s="1530"/>
      <c r="AM698" s="1530"/>
      <c r="AN698" s="1530"/>
      <c r="AO698" s="1530"/>
      <c r="AP698" s="1530"/>
      <c r="AQ698" s="1530"/>
      <c r="AR698" s="1530"/>
      <c r="AS698" s="1530"/>
      <c r="AT698" s="1530"/>
      <c r="AU698" s="1530"/>
      <c r="AV698" s="1530"/>
      <c r="AW698" s="1530"/>
      <c r="AX698" s="1530"/>
      <c r="AY698" s="1530"/>
      <c r="AZ698" s="1530"/>
      <c r="BA698" s="1530"/>
      <c r="BB698" s="1530"/>
      <c r="BC698" s="1530"/>
      <c r="BD698" s="1530"/>
      <c r="BE698" s="1530"/>
      <c r="BF698" s="1530"/>
      <c r="BG698" s="1530"/>
      <c r="BH698" s="1530"/>
      <c r="BI698" s="1530"/>
      <c r="BJ698" s="1530"/>
      <c r="BK698" s="1530"/>
      <c r="BL698" s="1530"/>
      <c r="BM698" s="1530"/>
      <c r="BN698" s="1530"/>
      <c r="BW698" s="1569"/>
      <c r="CO698" s="1530"/>
      <c r="CP698" s="1530"/>
      <c r="CQ698" s="1530"/>
      <c r="CR698" s="1530"/>
      <c r="CS698" s="1530"/>
      <c r="CT698" s="1530"/>
      <c r="CU698" s="1530"/>
      <c r="CV698" s="1530"/>
      <c r="CW698" s="1530"/>
      <c r="CX698" s="1530"/>
      <c r="CY698" s="1530"/>
      <c r="CZ698" s="1530"/>
      <c r="DA698" s="1530"/>
      <c r="DB698" s="1530"/>
      <c r="DC698" s="1530"/>
      <c r="DD698" s="1530"/>
      <c r="DE698" s="1530"/>
      <c r="DF698" s="1530"/>
      <c r="DG698" s="1530"/>
      <c r="DH698" s="1530"/>
      <c r="DI698" s="1530"/>
      <c r="DJ698" s="1530"/>
      <c r="DK698" s="1530"/>
      <c r="DL698" s="1530"/>
      <c r="DM698" s="1530"/>
      <c r="DN698" s="1571"/>
      <c r="DO698" s="1530"/>
      <c r="DP698" s="1530"/>
    </row>
    <row r="699" spans="1:120">
      <c r="A699" s="1451"/>
      <c r="C699" s="1451"/>
      <c r="K699" s="1451"/>
      <c r="L699" s="1451"/>
      <c r="U699" s="1530"/>
      <c r="V699" s="1530"/>
      <c r="W699" s="1530"/>
      <c r="X699" s="1530"/>
      <c r="Y699" s="1530"/>
      <c r="Z699" s="1530"/>
      <c r="AA699" s="1530"/>
      <c r="AB699" s="1530"/>
      <c r="AC699" s="1530"/>
      <c r="AD699" s="1530"/>
      <c r="AE699" s="1530"/>
      <c r="AF699" s="1530"/>
      <c r="AG699" s="1530"/>
      <c r="AH699" s="1530"/>
      <c r="AI699" s="1530"/>
      <c r="AJ699" s="1530"/>
      <c r="AK699" s="1530"/>
      <c r="AL699" s="1530"/>
      <c r="AM699" s="1530"/>
      <c r="AN699" s="1530"/>
      <c r="AO699" s="1530"/>
      <c r="AP699" s="1530"/>
      <c r="AQ699" s="1530"/>
      <c r="AR699" s="1530"/>
      <c r="AS699" s="1530"/>
      <c r="AT699" s="1530"/>
      <c r="AU699" s="1530"/>
      <c r="AV699" s="1530"/>
      <c r="AW699" s="1530"/>
      <c r="AX699" s="1530"/>
      <c r="AY699" s="1530"/>
      <c r="AZ699" s="1530"/>
      <c r="BA699" s="1530"/>
      <c r="BB699" s="1530"/>
      <c r="BC699" s="1530"/>
      <c r="BD699" s="1530"/>
      <c r="BE699" s="1530"/>
      <c r="BF699" s="1530"/>
      <c r="BG699" s="1530"/>
      <c r="BH699" s="1530"/>
      <c r="BI699" s="1530"/>
      <c r="BJ699" s="1530"/>
      <c r="BK699" s="1530"/>
      <c r="BL699" s="1530"/>
      <c r="BM699" s="1530"/>
      <c r="BN699" s="1530"/>
      <c r="BW699" s="1569"/>
      <c r="CO699" s="1530"/>
      <c r="CP699" s="1530"/>
      <c r="CQ699" s="1530"/>
      <c r="CR699" s="1530"/>
      <c r="CS699" s="1530"/>
      <c r="CT699" s="1530"/>
      <c r="CU699" s="1530"/>
      <c r="CV699" s="1530"/>
      <c r="CW699" s="1530"/>
      <c r="CX699" s="1530"/>
      <c r="CY699" s="1530"/>
      <c r="CZ699" s="1530"/>
      <c r="DA699" s="1530"/>
      <c r="DB699" s="1530"/>
      <c r="DC699" s="1530"/>
      <c r="DD699" s="1530"/>
      <c r="DE699" s="1530"/>
      <c r="DF699" s="1530"/>
      <c r="DG699" s="1530"/>
      <c r="DH699" s="1530"/>
      <c r="DI699" s="1530"/>
      <c r="DJ699" s="1530"/>
      <c r="DK699" s="1530"/>
      <c r="DL699" s="1530"/>
      <c r="DM699" s="1530"/>
      <c r="DN699" s="1571"/>
      <c r="DO699" s="1530"/>
      <c r="DP699" s="1530"/>
    </row>
    <row r="700" spans="1:120">
      <c r="A700" s="1451"/>
      <c r="C700" s="1451"/>
      <c r="K700" s="1451"/>
      <c r="L700" s="1451"/>
      <c r="U700" s="1530"/>
      <c r="V700" s="1530"/>
      <c r="W700" s="1530"/>
      <c r="X700" s="1530"/>
      <c r="Y700" s="1530"/>
      <c r="Z700" s="1530"/>
      <c r="AA700" s="1530"/>
      <c r="AB700" s="1530"/>
      <c r="AC700" s="1530"/>
      <c r="AD700" s="1530"/>
      <c r="AE700" s="1530"/>
      <c r="AF700" s="1530"/>
      <c r="AG700" s="1530"/>
      <c r="AH700" s="1530"/>
      <c r="AI700" s="1530"/>
      <c r="AJ700" s="1530"/>
      <c r="AK700" s="1530"/>
      <c r="AL700" s="1530"/>
      <c r="AM700" s="1530"/>
      <c r="AN700" s="1530"/>
      <c r="AO700" s="1530"/>
      <c r="AP700" s="1530"/>
      <c r="AQ700" s="1530"/>
      <c r="AR700" s="1530"/>
      <c r="AS700" s="1530"/>
      <c r="AT700" s="1530"/>
      <c r="AU700" s="1530"/>
      <c r="AV700" s="1530"/>
      <c r="AW700" s="1530"/>
      <c r="AX700" s="1530"/>
      <c r="AY700" s="1530"/>
      <c r="AZ700" s="1530"/>
      <c r="BA700" s="1530"/>
      <c r="BB700" s="1530"/>
      <c r="BC700" s="1530"/>
      <c r="BD700" s="1530"/>
      <c r="BE700" s="1530"/>
      <c r="BF700" s="1530"/>
      <c r="BG700" s="1530"/>
      <c r="BH700" s="1530"/>
      <c r="BI700" s="1530"/>
      <c r="BJ700" s="1530"/>
      <c r="BK700" s="1530"/>
      <c r="BL700" s="1530"/>
      <c r="BM700" s="1530"/>
      <c r="BN700" s="1530"/>
      <c r="BW700" s="1569"/>
      <c r="CO700" s="1530"/>
      <c r="CP700" s="1530"/>
      <c r="CQ700" s="1530"/>
      <c r="CR700" s="1530"/>
      <c r="CS700" s="1530"/>
      <c r="CT700" s="1530"/>
      <c r="CU700" s="1530"/>
      <c r="CV700" s="1530"/>
      <c r="CW700" s="1530"/>
      <c r="CX700" s="1530"/>
      <c r="CY700" s="1530"/>
      <c r="CZ700" s="1530"/>
      <c r="DA700" s="1530"/>
      <c r="DB700" s="1530"/>
      <c r="DC700" s="1530"/>
      <c r="DD700" s="1530"/>
      <c r="DE700" s="1530"/>
      <c r="DF700" s="1530"/>
      <c r="DG700" s="1530"/>
      <c r="DH700" s="1530"/>
      <c r="DI700" s="1530"/>
      <c r="DJ700" s="1530"/>
      <c r="DK700" s="1530"/>
      <c r="DL700" s="1530"/>
      <c r="DM700" s="1530"/>
      <c r="DN700" s="1571"/>
      <c r="DO700" s="1530"/>
      <c r="DP700" s="1530"/>
    </row>
    <row r="701" spans="1:120">
      <c r="A701" s="1451"/>
      <c r="C701" s="1451"/>
      <c r="K701" s="1451"/>
      <c r="L701" s="1451"/>
      <c r="U701" s="1530"/>
      <c r="V701" s="1530"/>
      <c r="W701" s="1530"/>
      <c r="X701" s="1530"/>
      <c r="Y701" s="1530"/>
      <c r="Z701" s="1530"/>
      <c r="AA701" s="1530"/>
      <c r="AB701" s="1530"/>
      <c r="AC701" s="1530"/>
      <c r="AD701" s="1530"/>
      <c r="AE701" s="1530"/>
      <c r="AF701" s="1530"/>
      <c r="AG701" s="1530"/>
      <c r="AH701" s="1530"/>
      <c r="AI701" s="1530"/>
      <c r="AJ701" s="1530"/>
      <c r="AK701" s="1530"/>
      <c r="AL701" s="1530"/>
      <c r="AM701" s="1530"/>
      <c r="AN701" s="1530"/>
      <c r="AO701" s="1530"/>
      <c r="AP701" s="1530"/>
      <c r="AQ701" s="1530"/>
      <c r="AR701" s="1530"/>
      <c r="AS701" s="1530"/>
      <c r="AT701" s="1530"/>
      <c r="AU701" s="1530"/>
      <c r="AV701" s="1530"/>
      <c r="AW701" s="1530"/>
      <c r="AX701" s="1530"/>
      <c r="AY701" s="1530"/>
      <c r="AZ701" s="1530"/>
      <c r="BA701" s="1530"/>
      <c r="BB701" s="1530"/>
      <c r="BC701" s="1530"/>
      <c r="BD701" s="1530"/>
      <c r="BE701" s="1530"/>
      <c r="BF701" s="1530"/>
      <c r="BG701" s="1530"/>
      <c r="BH701" s="1530"/>
      <c r="BI701" s="1530"/>
      <c r="BJ701" s="1530"/>
      <c r="BK701" s="1530"/>
      <c r="BL701" s="1530"/>
      <c r="BM701" s="1530"/>
      <c r="BN701" s="1530"/>
      <c r="BW701" s="1569"/>
      <c r="CO701" s="1530"/>
      <c r="CP701" s="1530"/>
      <c r="CQ701" s="1530"/>
      <c r="CR701" s="1530"/>
      <c r="CS701" s="1530"/>
      <c r="CT701" s="1530"/>
      <c r="CU701" s="1530"/>
      <c r="CV701" s="1530"/>
      <c r="CW701" s="1530"/>
      <c r="CX701" s="1530"/>
      <c r="CY701" s="1530"/>
      <c r="CZ701" s="1530"/>
      <c r="DA701" s="1530"/>
      <c r="DB701" s="1530"/>
      <c r="DC701" s="1530"/>
      <c r="DD701" s="1530"/>
      <c r="DE701" s="1530"/>
      <c r="DF701" s="1530"/>
      <c r="DG701" s="1530"/>
      <c r="DH701" s="1530"/>
      <c r="DI701" s="1530"/>
      <c r="DJ701" s="1530"/>
      <c r="DK701" s="1530"/>
      <c r="DL701" s="1530"/>
      <c r="DM701" s="1530"/>
      <c r="DN701" s="1571"/>
      <c r="DO701" s="1530"/>
      <c r="DP701" s="1530"/>
    </row>
    <row r="702" spans="1:120">
      <c r="A702" s="1451"/>
      <c r="C702" s="1451"/>
      <c r="K702" s="1451"/>
      <c r="L702" s="1451"/>
      <c r="U702" s="1530"/>
      <c r="V702" s="1530"/>
      <c r="W702" s="1530"/>
      <c r="X702" s="1530"/>
      <c r="Y702" s="1530"/>
      <c r="Z702" s="1530"/>
      <c r="AA702" s="1530"/>
      <c r="AB702" s="1530"/>
      <c r="AC702" s="1530"/>
      <c r="AD702" s="1530"/>
      <c r="AE702" s="1530"/>
      <c r="AF702" s="1530"/>
      <c r="AG702" s="1530"/>
      <c r="AH702" s="1530"/>
      <c r="AI702" s="1530"/>
      <c r="AJ702" s="1530"/>
      <c r="AK702" s="1530"/>
      <c r="AL702" s="1530"/>
      <c r="AM702" s="1530"/>
      <c r="AN702" s="1530"/>
      <c r="AO702" s="1530"/>
      <c r="AP702" s="1530"/>
      <c r="AQ702" s="1530"/>
      <c r="AR702" s="1530"/>
      <c r="AS702" s="1530"/>
      <c r="AT702" s="1530"/>
      <c r="AU702" s="1530"/>
      <c r="AV702" s="1530"/>
      <c r="AW702" s="1530"/>
      <c r="AX702" s="1530"/>
      <c r="AY702" s="1530"/>
      <c r="AZ702" s="1530"/>
      <c r="BA702" s="1530"/>
      <c r="BB702" s="1530"/>
      <c r="BC702" s="1530"/>
      <c r="BD702" s="1530"/>
      <c r="BE702" s="1530"/>
      <c r="BF702" s="1530"/>
      <c r="BG702" s="1530"/>
      <c r="BH702" s="1530"/>
      <c r="BI702" s="1530"/>
      <c r="BJ702" s="1530"/>
      <c r="BK702" s="1530"/>
      <c r="BL702" s="1530"/>
      <c r="BM702" s="1530"/>
      <c r="BN702" s="1530"/>
      <c r="BW702" s="1569"/>
      <c r="CO702" s="1530"/>
      <c r="CP702" s="1530"/>
      <c r="CQ702" s="1530"/>
      <c r="CR702" s="1530"/>
      <c r="CS702" s="1530"/>
      <c r="CT702" s="1530"/>
      <c r="CU702" s="1530"/>
      <c r="CV702" s="1530"/>
      <c r="CW702" s="1530"/>
      <c r="CX702" s="1530"/>
      <c r="CY702" s="1530"/>
      <c r="CZ702" s="1530"/>
      <c r="DA702" s="1530"/>
      <c r="DB702" s="1530"/>
      <c r="DC702" s="1530"/>
      <c r="DD702" s="1530"/>
      <c r="DE702" s="1530"/>
      <c r="DF702" s="1530"/>
      <c r="DG702" s="1530"/>
      <c r="DH702" s="1530"/>
      <c r="DI702" s="1530"/>
      <c r="DJ702" s="1530"/>
      <c r="DK702" s="1530"/>
      <c r="DL702" s="1530"/>
      <c r="DM702" s="1530"/>
      <c r="DN702" s="1571"/>
      <c r="DO702" s="1530"/>
      <c r="DP702" s="1530"/>
    </row>
    <row r="703" spans="1:120">
      <c r="A703" s="1451"/>
      <c r="C703" s="1451"/>
      <c r="K703" s="1451"/>
      <c r="L703" s="1451"/>
      <c r="U703" s="1530"/>
      <c r="V703" s="1530"/>
      <c r="W703" s="1530"/>
      <c r="X703" s="1530"/>
      <c r="Y703" s="1530"/>
      <c r="Z703" s="1530"/>
      <c r="AA703" s="1530"/>
      <c r="AB703" s="1530"/>
      <c r="AC703" s="1530"/>
      <c r="AD703" s="1530"/>
      <c r="AE703" s="1530"/>
      <c r="AF703" s="1530"/>
      <c r="AG703" s="1530"/>
      <c r="AH703" s="1530"/>
      <c r="AI703" s="1530"/>
      <c r="AJ703" s="1530"/>
      <c r="AK703" s="1530"/>
      <c r="AL703" s="1530"/>
      <c r="AM703" s="1530"/>
      <c r="AN703" s="1530"/>
      <c r="AO703" s="1530"/>
      <c r="AP703" s="1530"/>
      <c r="AQ703" s="1530"/>
      <c r="AR703" s="1530"/>
      <c r="AS703" s="1530"/>
      <c r="AT703" s="1530"/>
      <c r="AU703" s="1530"/>
      <c r="AV703" s="1530"/>
      <c r="AW703" s="1530"/>
      <c r="AX703" s="1530"/>
      <c r="AY703" s="1530"/>
      <c r="AZ703" s="1530"/>
      <c r="BA703" s="1530"/>
      <c r="BB703" s="1530"/>
      <c r="BC703" s="1530"/>
      <c r="BD703" s="1530"/>
      <c r="BE703" s="1530"/>
      <c r="BF703" s="1530"/>
      <c r="BG703" s="1530"/>
      <c r="BH703" s="1530"/>
      <c r="BI703" s="1530"/>
      <c r="BJ703" s="1530"/>
      <c r="BK703" s="1530"/>
      <c r="BL703" s="1530"/>
      <c r="BM703" s="1530"/>
      <c r="BN703" s="1530"/>
      <c r="BW703" s="1569"/>
      <c r="CO703" s="1530"/>
      <c r="CP703" s="1530"/>
      <c r="CQ703" s="1530"/>
      <c r="CR703" s="1530"/>
      <c r="CS703" s="1530"/>
      <c r="CT703" s="1530"/>
      <c r="CU703" s="1530"/>
      <c r="CV703" s="1530"/>
      <c r="CW703" s="1530"/>
      <c r="CX703" s="1530"/>
      <c r="CY703" s="1530"/>
      <c r="CZ703" s="1530"/>
      <c r="DA703" s="1530"/>
      <c r="DB703" s="1530"/>
      <c r="DC703" s="1530"/>
      <c r="DD703" s="1530"/>
      <c r="DE703" s="1530"/>
      <c r="DF703" s="1530"/>
      <c r="DG703" s="1530"/>
      <c r="DH703" s="1530"/>
      <c r="DI703" s="1530"/>
      <c r="DJ703" s="1530"/>
      <c r="DK703" s="1530"/>
      <c r="DL703" s="1530"/>
      <c r="DM703" s="1530"/>
      <c r="DN703" s="1571"/>
      <c r="DO703" s="1530"/>
      <c r="DP703" s="1530"/>
    </row>
    <row r="704" spans="1:120">
      <c r="A704" s="1451"/>
      <c r="C704" s="1451"/>
      <c r="K704" s="1451"/>
      <c r="L704" s="1451"/>
      <c r="U704" s="1530"/>
      <c r="V704" s="1530"/>
      <c r="W704" s="1530"/>
      <c r="X704" s="1530"/>
      <c r="Y704" s="1530"/>
      <c r="Z704" s="1530"/>
      <c r="AA704" s="1530"/>
      <c r="AB704" s="1530"/>
      <c r="AC704" s="1530"/>
      <c r="AD704" s="1530"/>
      <c r="AE704" s="1530"/>
      <c r="AF704" s="1530"/>
      <c r="AG704" s="1530"/>
      <c r="AH704" s="1530"/>
      <c r="AI704" s="1530"/>
      <c r="AJ704" s="1530"/>
      <c r="AK704" s="1530"/>
      <c r="AL704" s="1530"/>
      <c r="AM704" s="1530"/>
      <c r="AN704" s="1530"/>
      <c r="AO704" s="1530"/>
      <c r="AP704" s="1530"/>
      <c r="AQ704" s="1530"/>
      <c r="AR704" s="1530"/>
      <c r="AS704" s="1530"/>
      <c r="AT704" s="1530"/>
      <c r="AU704" s="1530"/>
      <c r="AV704" s="1530"/>
      <c r="AW704" s="1530"/>
      <c r="AX704" s="1530"/>
      <c r="AY704" s="1530"/>
      <c r="AZ704" s="1530"/>
      <c r="BA704" s="1530"/>
      <c r="BB704" s="1530"/>
      <c r="BC704" s="1530"/>
      <c r="BD704" s="1530"/>
      <c r="BE704" s="1530"/>
      <c r="BF704" s="1530"/>
      <c r="BG704" s="1530"/>
      <c r="BH704" s="1530"/>
      <c r="BI704" s="1530"/>
      <c r="BJ704" s="1530"/>
      <c r="BK704" s="1530"/>
      <c r="BL704" s="1530"/>
      <c r="BM704" s="1530"/>
      <c r="BN704" s="1530"/>
      <c r="BW704" s="1569"/>
      <c r="CO704" s="1530"/>
      <c r="CP704" s="1530"/>
      <c r="CQ704" s="1530"/>
      <c r="CR704" s="1530"/>
      <c r="CS704" s="1530"/>
      <c r="CT704" s="1530"/>
      <c r="CU704" s="1530"/>
      <c r="CV704" s="1530"/>
      <c r="CW704" s="1530"/>
      <c r="CX704" s="1530"/>
      <c r="CY704" s="1530"/>
      <c r="CZ704" s="1530"/>
      <c r="DA704" s="1530"/>
      <c r="DB704" s="1530"/>
      <c r="DC704" s="1530"/>
      <c r="DD704" s="1530"/>
      <c r="DE704" s="1530"/>
      <c r="DF704" s="1530"/>
      <c r="DG704" s="1530"/>
      <c r="DH704" s="1530"/>
      <c r="DI704" s="1530"/>
      <c r="DJ704" s="1530"/>
      <c r="DK704" s="1530"/>
      <c r="DL704" s="1530"/>
      <c r="DM704" s="1530"/>
      <c r="DN704" s="1571"/>
      <c r="DO704" s="1530"/>
      <c r="DP704" s="1530"/>
    </row>
    <row r="705" spans="1:120">
      <c r="A705" s="1451"/>
      <c r="C705" s="1451"/>
      <c r="K705" s="1451"/>
      <c r="L705" s="1451"/>
      <c r="U705" s="1530"/>
      <c r="V705" s="1530"/>
      <c r="W705" s="1530"/>
      <c r="X705" s="1530"/>
      <c r="Y705" s="1530"/>
      <c r="Z705" s="1530"/>
      <c r="AA705" s="1530"/>
      <c r="AB705" s="1530"/>
      <c r="AC705" s="1530"/>
      <c r="AD705" s="1530"/>
      <c r="AE705" s="1530"/>
      <c r="AF705" s="1530"/>
      <c r="AG705" s="1530"/>
      <c r="AH705" s="1530"/>
      <c r="AI705" s="1530"/>
      <c r="AJ705" s="1530"/>
      <c r="AK705" s="1530"/>
      <c r="AL705" s="1530"/>
      <c r="AM705" s="1530"/>
      <c r="AN705" s="1530"/>
      <c r="AO705" s="1530"/>
      <c r="AP705" s="1530"/>
      <c r="AQ705" s="1530"/>
      <c r="AR705" s="1530"/>
      <c r="AS705" s="1530"/>
      <c r="AT705" s="1530"/>
      <c r="AU705" s="1530"/>
      <c r="AV705" s="1530"/>
      <c r="AW705" s="1530"/>
      <c r="AX705" s="1530"/>
      <c r="AY705" s="1530"/>
      <c r="AZ705" s="1530"/>
      <c r="BA705" s="1530"/>
      <c r="BB705" s="1530"/>
      <c r="BC705" s="1530"/>
      <c r="BD705" s="1530"/>
      <c r="BE705" s="1530"/>
      <c r="BF705" s="1530"/>
      <c r="BG705" s="1530"/>
      <c r="BH705" s="1530"/>
      <c r="BI705" s="1530"/>
      <c r="BJ705" s="1530"/>
      <c r="BK705" s="1530"/>
      <c r="BL705" s="1530"/>
      <c r="BM705" s="1530"/>
      <c r="BN705" s="1530"/>
      <c r="BW705" s="1569"/>
      <c r="CO705" s="1530"/>
      <c r="CP705" s="1530"/>
      <c r="CQ705" s="1530"/>
      <c r="CR705" s="1530"/>
      <c r="CS705" s="1530"/>
      <c r="CT705" s="1530"/>
      <c r="CU705" s="1530"/>
      <c r="CV705" s="1530"/>
      <c r="CW705" s="1530"/>
      <c r="CX705" s="1530"/>
      <c r="CY705" s="1530"/>
      <c r="CZ705" s="1530"/>
      <c r="DA705" s="1530"/>
      <c r="DB705" s="1530"/>
      <c r="DC705" s="1530"/>
      <c r="DD705" s="1530"/>
      <c r="DE705" s="1530"/>
      <c r="DF705" s="1530"/>
      <c r="DG705" s="1530"/>
      <c r="DH705" s="1530"/>
      <c r="DI705" s="1530"/>
      <c r="DJ705" s="1530"/>
      <c r="DK705" s="1530"/>
      <c r="DL705" s="1530"/>
      <c r="DM705" s="1530"/>
      <c r="DN705" s="1571"/>
      <c r="DO705" s="1530"/>
      <c r="DP705" s="1530"/>
    </row>
    <row r="706" spans="1:120">
      <c r="A706" s="1451"/>
      <c r="C706" s="1451"/>
      <c r="K706" s="1451"/>
      <c r="L706" s="1451"/>
      <c r="U706" s="1530"/>
      <c r="V706" s="1530"/>
      <c r="W706" s="1530"/>
      <c r="X706" s="1530"/>
      <c r="Y706" s="1530"/>
      <c r="Z706" s="1530"/>
      <c r="AA706" s="1530"/>
      <c r="AB706" s="1530"/>
      <c r="AC706" s="1530"/>
      <c r="AD706" s="1530"/>
      <c r="AE706" s="1530"/>
      <c r="AF706" s="1530"/>
      <c r="AG706" s="1530"/>
      <c r="AH706" s="1530"/>
      <c r="AI706" s="1530"/>
      <c r="AJ706" s="1530"/>
      <c r="AK706" s="1530"/>
      <c r="AL706" s="1530"/>
      <c r="AM706" s="1530"/>
      <c r="AN706" s="1530"/>
      <c r="AO706" s="1530"/>
      <c r="AP706" s="1530"/>
      <c r="AQ706" s="1530"/>
      <c r="AR706" s="1530"/>
      <c r="AS706" s="1530"/>
      <c r="AT706" s="1530"/>
      <c r="AU706" s="1530"/>
      <c r="AV706" s="1530"/>
      <c r="AW706" s="1530"/>
      <c r="AX706" s="1530"/>
      <c r="AY706" s="1530"/>
      <c r="AZ706" s="1530"/>
      <c r="BA706" s="1530"/>
      <c r="BB706" s="1530"/>
      <c r="BC706" s="1530"/>
      <c r="BD706" s="1530"/>
      <c r="BE706" s="1530"/>
      <c r="BF706" s="1530"/>
      <c r="BG706" s="1530"/>
      <c r="BH706" s="1530"/>
      <c r="BI706" s="1530"/>
      <c r="BJ706" s="1530"/>
      <c r="BK706" s="1530"/>
      <c r="BL706" s="1530"/>
      <c r="BM706" s="1530"/>
      <c r="BN706" s="1530"/>
      <c r="BW706" s="1569"/>
      <c r="CO706" s="1530"/>
      <c r="CP706" s="1530"/>
      <c r="CQ706" s="1530"/>
      <c r="CR706" s="1530"/>
      <c r="CS706" s="1530"/>
      <c r="CT706" s="1530"/>
      <c r="CU706" s="1530"/>
      <c r="CV706" s="1530"/>
      <c r="CW706" s="1530"/>
      <c r="CX706" s="1530"/>
      <c r="CY706" s="1530"/>
      <c r="CZ706" s="1530"/>
      <c r="DA706" s="1530"/>
      <c r="DB706" s="1530"/>
      <c r="DC706" s="1530"/>
      <c r="DD706" s="1530"/>
      <c r="DE706" s="1530"/>
      <c r="DF706" s="1530"/>
      <c r="DG706" s="1530"/>
      <c r="DH706" s="1530"/>
      <c r="DI706" s="1530"/>
      <c r="DJ706" s="1530"/>
      <c r="DK706" s="1530"/>
      <c r="DL706" s="1530"/>
      <c r="DM706" s="1530"/>
      <c r="DN706" s="1571"/>
      <c r="DO706" s="1530"/>
      <c r="DP706" s="1530"/>
    </row>
    <row r="707" spans="1:120">
      <c r="A707" s="1451"/>
      <c r="C707" s="1451"/>
      <c r="K707" s="1451"/>
      <c r="L707" s="1451"/>
      <c r="U707" s="1530"/>
      <c r="V707" s="1530"/>
      <c r="W707" s="1530"/>
      <c r="X707" s="1530"/>
      <c r="Y707" s="1530"/>
      <c r="Z707" s="1530"/>
      <c r="AA707" s="1530"/>
      <c r="AB707" s="1530"/>
      <c r="AC707" s="1530"/>
      <c r="AD707" s="1530"/>
      <c r="AE707" s="1530"/>
      <c r="AF707" s="1530"/>
      <c r="AG707" s="1530"/>
      <c r="AH707" s="1530"/>
      <c r="AI707" s="1530"/>
      <c r="AJ707" s="1530"/>
      <c r="AK707" s="1530"/>
      <c r="AL707" s="1530"/>
      <c r="AM707" s="1530"/>
      <c r="AN707" s="1530"/>
      <c r="AO707" s="1530"/>
      <c r="AP707" s="1530"/>
      <c r="AQ707" s="1530"/>
      <c r="AR707" s="1530"/>
      <c r="AS707" s="1530"/>
      <c r="AT707" s="1530"/>
      <c r="AU707" s="1530"/>
      <c r="AV707" s="1530"/>
      <c r="AW707" s="1530"/>
      <c r="AX707" s="1530"/>
      <c r="AY707" s="1530"/>
      <c r="AZ707" s="1530"/>
      <c r="BA707" s="1530"/>
      <c r="BB707" s="1530"/>
      <c r="BC707" s="1530"/>
      <c r="BD707" s="1530"/>
      <c r="BE707" s="1530"/>
      <c r="BF707" s="1530"/>
      <c r="BG707" s="1530"/>
      <c r="BH707" s="1530"/>
      <c r="BI707" s="1530"/>
      <c r="BJ707" s="1530"/>
      <c r="BK707" s="1530"/>
      <c r="BL707" s="1530"/>
      <c r="BM707" s="1530"/>
      <c r="BN707" s="1530"/>
      <c r="BW707" s="1569"/>
      <c r="CO707" s="1530"/>
      <c r="CP707" s="1530"/>
      <c r="CQ707" s="1530"/>
      <c r="CR707" s="1530"/>
      <c r="CS707" s="1530"/>
      <c r="CT707" s="1530"/>
      <c r="CU707" s="1530"/>
      <c r="CV707" s="1530"/>
      <c r="CW707" s="1530"/>
      <c r="CX707" s="1530"/>
      <c r="CY707" s="1530"/>
      <c r="CZ707" s="1530"/>
      <c r="DA707" s="1530"/>
      <c r="DB707" s="1530"/>
      <c r="DC707" s="1530"/>
      <c r="DD707" s="1530"/>
      <c r="DE707" s="1530"/>
      <c r="DF707" s="1530"/>
      <c r="DG707" s="1530"/>
      <c r="DH707" s="1530"/>
      <c r="DI707" s="1530"/>
      <c r="DJ707" s="1530"/>
      <c r="DK707" s="1530"/>
      <c r="DL707" s="1530"/>
      <c r="DM707" s="1530"/>
      <c r="DN707" s="1571"/>
      <c r="DO707" s="1530"/>
      <c r="DP707" s="1530"/>
    </row>
    <row r="708" spans="1:120">
      <c r="A708" s="1451"/>
      <c r="C708" s="1451"/>
      <c r="K708" s="1451"/>
      <c r="L708" s="1451"/>
      <c r="U708" s="1530"/>
      <c r="V708" s="1530"/>
      <c r="W708" s="1530"/>
      <c r="X708" s="1530"/>
      <c r="Y708" s="1530"/>
      <c r="Z708" s="1530"/>
      <c r="AA708" s="1530"/>
      <c r="AB708" s="1530"/>
      <c r="AC708" s="1530"/>
      <c r="AD708" s="1530"/>
      <c r="AE708" s="1530"/>
      <c r="AF708" s="1530"/>
      <c r="AG708" s="1530"/>
      <c r="AH708" s="1530"/>
      <c r="AI708" s="1530"/>
      <c r="AJ708" s="1530"/>
      <c r="AK708" s="1530"/>
      <c r="AL708" s="1530"/>
      <c r="AM708" s="1530"/>
      <c r="AN708" s="1530"/>
      <c r="AO708" s="1530"/>
      <c r="AP708" s="1530"/>
      <c r="AQ708" s="1530"/>
      <c r="AR708" s="1530"/>
      <c r="AS708" s="1530"/>
      <c r="AT708" s="1530"/>
      <c r="AU708" s="1530"/>
      <c r="AV708" s="1530"/>
      <c r="AW708" s="1530"/>
      <c r="AX708" s="1530"/>
      <c r="AY708" s="1530"/>
      <c r="AZ708" s="1530"/>
      <c r="BA708" s="1530"/>
      <c r="BB708" s="1530"/>
      <c r="BC708" s="1530"/>
      <c r="BD708" s="1530"/>
      <c r="BE708" s="1530"/>
      <c r="BF708" s="1530"/>
      <c r="BG708" s="1530"/>
      <c r="BH708" s="1530"/>
      <c r="BI708" s="1530"/>
      <c r="BJ708" s="1530"/>
      <c r="BK708" s="1530"/>
      <c r="BL708" s="1530"/>
      <c r="BM708" s="1530"/>
      <c r="BN708" s="1530"/>
      <c r="BW708" s="1569"/>
      <c r="CO708" s="1530"/>
      <c r="CP708" s="1530"/>
      <c r="CQ708" s="1530"/>
      <c r="CR708" s="1530"/>
      <c r="CS708" s="1530"/>
      <c r="CT708" s="1530"/>
      <c r="CU708" s="1530"/>
      <c r="CV708" s="1530"/>
      <c r="CW708" s="1530"/>
      <c r="CX708" s="1530"/>
      <c r="CY708" s="1530"/>
      <c r="CZ708" s="1530"/>
      <c r="DA708" s="1530"/>
      <c r="DB708" s="1530"/>
      <c r="DC708" s="1530"/>
      <c r="DD708" s="1530"/>
      <c r="DE708" s="1530"/>
      <c r="DF708" s="1530"/>
      <c r="DG708" s="1530"/>
      <c r="DH708" s="1530"/>
      <c r="DI708" s="1530"/>
      <c r="DJ708" s="1530"/>
      <c r="DK708" s="1530"/>
      <c r="DL708" s="1530"/>
      <c r="DM708" s="1530"/>
      <c r="DN708" s="1571"/>
      <c r="DO708" s="1530"/>
      <c r="DP708" s="1530"/>
    </row>
    <row r="709" spans="1:120">
      <c r="A709" s="1451"/>
      <c r="C709" s="1451"/>
      <c r="K709" s="1451"/>
      <c r="L709" s="1451"/>
      <c r="U709" s="1530"/>
      <c r="V709" s="1530"/>
      <c r="W709" s="1530"/>
      <c r="X709" s="1530"/>
      <c r="Y709" s="1530"/>
      <c r="Z709" s="1530"/>
      <c r="AA709" s="1530"/>
      <c r="AB709" s="1530"/>
      <c r="AC709" s="1530"/>
      <c r="AD709" s="1530"/>
      <c r="AE709" s="1530"/>
      <c r="AF709" s="1530"/>
      <c r="AG709" s="1530"/>
      <c r="AH709" s="1530"/>
      <c r="AI709" s="1530"/>
      <c r="AJ709" s="1530"/>
      <c r="AK709" s="1530"/>
      <c r="AL709" s="1530"/>
      <c r="AM709" s="1530"/>
      <c r="AN709" s="1530"/>
      <c r="AO709" s="1530"/>
      <c r="AP709" s="1530"/>
      <c r="AQ709" s="1530"/>
      <c r="AR709" s="1530"/>
      <c r="AS709" s="1530"/>
      <c r="AT709" s="1530"/>
      <c r="AU709" s="1530"/>
      <c r="AV709" s="1530"/>
      <c r="AW709" s="1530"/>
      <c r="AX709" s="1530"/>
      <c r="AY709" s="1530"/>
      <c r="AZ709" s="1530"/>
      <c r="BA709" s="1530"/>
      <c r="BB709" s="1530"/>
      <c r="BC709" s="1530"/>
      <c r="BD709" s="1530"/>
      <c r="BE709" s="1530"/>
      <c r="BF709" s="1530"/>
      <c r="BG709" s="1530"/>
      <c r="BH709" s="1530"/>
      <c r="BI709" s="1530"/>
      <c r="BJ709" s="1530"/>
      <c r="BK709" s="1530"/>
      <c r="BL709" s="1530"/>
      <c r="BM709" s="1530"/>
      <c r="BN709" s="1530"/>
      <c r="BW709" s="1569"/>
      <c r="CO709" s="1530"/>
      <c r="CP709" s="1530"/>
      <c r="CQ709" s="1530"/>
      <c r="CR709" s="1530"/>
      <c r="CS709" s="1530"/>
      <c r="CT709" s="1530"/>
      <c r="CU709" s="1530"/>
      <c r="CV709" s="1530"/>
      <c r="CW709" s="1530"/>
      <c r="CX709" s="1530"/>
      <c r="CY709" s="1530"/>
      <c r="CZ709" s="1530"/>
      <c r="DA709" s="1530"/>
      <c r="DB709" s="1530"/>
      <c r="DC709" s="1530"/>
      <c r="DD709" s="1530"/>
      <c r="DE709" s="1530"/>
      <c r="DF709" s="1530"/>
      <c r="DG709" s="1530"/>
      <c r="DH709" s="1530"/>
      <c r="DI709" s="1530"/>
      <c r="DJ709" s="1530"/>
      <c r="DK709" s="1530"/>
      <c r="DL709" s="1530"/>
      <c r="DM709" s="1530"/>
      <c r="DN709" s="1571"/>
      <c r="DO709" s="1530"/>
      <c r="DP709" s="1530"/>
    </row>
    <row r="710" spans="1:120">
      <c r="A710" s="1451"/>
      <c r="C710" s="1451"/>
      <c r="K710" s="1451"/>
      <c r="L710" s="1451"/>
      <c r="U710" s="1530"/>
      <c r="V710" s="1530"/>
      <c r="W710" s="1530"/>
      <c r="X710" s="1530"/>
      <c r="Y710" s="1530"/>
      <c r="Z710" s="1530"/>
      <c r="AA710" s="1530"/>
      <c r="AB710" s="1530"/>
      <c r="AC710" s="1530"/>
      <c r="AD710" s="1530"/>
      <c r="AE710" s="1530"/>
      <c r="AF710" s="1530"/>
      <c r="AG710" s="1530"/>
      <c r="AH710" s="1530"/>
      <c r="AI710" s="1530"/>
      <c r="AJ710" s="1530"/>
      <c r="AK710" s="1530"/>
      <c r="AL710" s="1530"/>
      <c r="AM710" s="1530"/>
      <c r="AN710" s="1530"/>
      <c r="AO710" s="1530"/>
      <c r="AP710" s="1530"/>
      <c r="AQ710" s="1530"/>
      <c r="AR710" s="1530"/>
      <c r="AS710" s="1530"/>
      <c r="AT710" s="1530"/>
      <c r="AU710" s="1530"/>
      <c r="AV710" s="1530"/>
      <c r="AW710" s="1530"/>
      <c r="AX710" s="1530"/>
      <c r="AY710" s="1530"/>
      <c r="AZ710" s="1530"/>
      <c r="BA710" s="1530"/>
      <c r="BB710" s="1530"/>
      <c r="BC710" s="1530"/>
      <c r="BD710" s="1530"/>
      <c r="BE710" s="1530"/>
      <c r="BF710" s="1530"/>
      <c r="BG710" s="1530"/>
      <c r="BH710" s="1530"/>
      <c r="BI710" s="1530"/>
      <c r="BJ710" s="1530"/>
      <c r="BK710" s="1530"/>
      <c r="BL710" s="1530"/>
      <c r="BM710" s="1530"/>
      <c r="BN710" s="1530"/>
      <c r="BW710" s="1569"/>
      <c r="CO710" s="1530"/>
      <c r="CP710" s="1530"/>
      <c r="CQ710" s="1530"/>
      <c r="CR710" s="1530"/>
      <c r="CS710" s="1530"/>
      <c r="CT710" s="1530"/>
      <c r="CU710" s="1530"/>
      <c r="CV710" s="1530"/>
      <c r="CW710" s="1530"/>
      <c r="CX710" s="1530"/>
      <c r="CY710" s="1530"/>
      <c r="CZ710" s="1530"/>
      <c r="DA710" s="1530"/>
      <c r="DB710" s="1530"/>
      <c r="DC710" s="1530"/>
      <c r="DD710" s="1530"/>
      <c r="DE710" s="1530"/>
      <c r="DF710" s="1530"/>
      <c r="DG710" s="1530"/>
      <c r="DH710" s="1530"/>
      <c r="DI710" s="1530"/>
      <c r="DJ710" s="1530"/>
      <c r="DK710" s="1530"/>
      <c r="DL710" s="1530"/>
      <c r="DM710" s="1530"/>
      <c r="DN710" s="1571"/>
      <c r="DO710" s="1530"/>
      <c r="DP710" s="1530"/>
    </row>
    <row r="711" spans="1:120">
      <c r="A711" s="1451"/>
      <c r="C711" s="1451"/>
      <c r="K711" s="1451"/>
      <c r="L711" s="1451"/>
      <c r="U711" s="1530"/>
      <c r="V711" s="1530"/>
      <c r="W711" s="1530"/>
      <c r="X711" s="1530"/>
      <c r="Y711" s="1530"/>
      <c r="Z711" s="1530"/>
      <c r="AA711" s="1530"/>
      <c r="AB711" s="1530"/>
      <c r="AC711" s="1530"/>
      <c r="AD711" s="1530"/>
      <c r="AE711" s="1530"/>
      <c r="AF711" s="1530"/>
      <c r="AG711" s="1530"/>
      <c r="AH711" s="1530"/>
      <c r="AI711" s="1530"/>
      <c r="AJ711" s="1530"/>
      <c r="AK711" s="1530"/>
      <c r="AL711" s="1530"/>
      <c r="AM711" s="1530"/>
      <c r="AN711" s="1530"/>
      <c r="AO711" s="1530"/>
      <c r="AP711" s="1530"/>
      <c r="AQ711" s="1530"/>
      <c r="AR711" s="1530"/>
      <c r="AS711" s="1530"/>
      <c r="AT711" s="1530"/>
      <c r="AU711" s="1530"/>
      <c r="AV711" s="1530"/>
      <c r="AW711" s="1530"/>
      <c r="AX711" s="1530"/>
      <c r="AY711" s="1530"/>
      <c r="AZ711" s="1530"/>
      <c r="BA711" s="1530"/>
      <c r="BB711" s="1530"/>
      <c r="BC711" s="1530"/>
      <c r="BD711" s="1530"/>
      <c r="BE711" s="1530"/>
      <c r="BF711" s="1530"/>
      <c r="BG711" s="1530"/>
      <c r="BH711" s="1530"/>
      <c r="BI711" s="1530"/>
      <c r="BJ711" s="1530"/>
      <c r="BK711" s="1530"/>
      <c r="BL711" s="1530"/>
      <c r="BM711" s="1530"/>
      <c r="BN711" s="1530"/>
      <c r="BW711" s="1569"/>
      <c r="CO711" s="1530"/>
      <c r="CP711" s="1530"/>
      <c r="CQ711" s="1530"/>
      <c r="CR711" s="1530"/>
      <c r="CS711" s="1530"/>
      <c r="CT711" s="1530"/>
      <c r="CU711" s="1530"/>
      <c r="CV711" s="1530"/>
      <c r="CW711" s="1530"/>
      <c r="CX711" s="1530"/>
      <c r="CY711" s="1530"/>
      <c r="CZ711" s="1530"/>
      <c r="DA711" s="1530"/>
      <c r="DB711" s="1530"/>
      <c r="DC711" s="1530"/>
      <c r="DD711" s="1530"/>
      <c r="DE711" s="1530"/>
      <c r="DF711" s="1530"/>
      <c r="DG711" s="1530"/>
      <c r="DH711" s="1530"/>
      <c r="DI711" s="1530"/>
      <c r="DJ711" s="1530"/>
      <c r="DK711" s="1530"/>
      <c r="DL711" s="1530"/>
      <c r="DM711" s="1530"/>
      <c r="DN711" s="1571"/>
      <c r="DO711" s="1530"/>
      <c r="DP711" s="1530"/>
    </row>
    <row r="712" spans="1:120">
      <c r="A712" s="1451"/>
      <c r="C712" s="1451"/>
      <c r="K712" s="1451"/>
      <c r="L712" s="1451"/>
      <c r="U712" s="1530"/>
      <c r="V712" s="1530"/>
      <c r="W712" s="1530"/>
      <c r="X712" s="1530"/>
      <c r="Y712" s="1530"/>
      <c r="Z712" s="1530"/>
      <c r="AA712" s="1530"/>
      <c r="AB712" s="1530"/>
      <c r="AC712" s="1530"/>
      <c r="AD712" s="1530"/>
      <c r="AE712" s="1530"/>
      <c r="AF712" s="1530"/>
      <c r="AG712" s="1530"/>
      <c r="AH712" s="1530"/>
      <c r="AI712" s="1530"/>
      <c r="AJ712" s="1530"/>
      <c r="AK712" s="1530"/>
      <c r="AL712" s="1530"/>
      <c r="AM712" s="1530"/>
      <c r="AN712" s="1530"/>
      <c r="AO712" s="1530"/>
      <c r="AP712" s="1530"/>
      <c r="AQ712" s="1530"/>
      <c r="AR712" s="1530"/>
      <c r="AS712" s="1530"/>
      <c r="AT712" s="1530"/>
      <c r="AU712" s="1530"/>
      <c r="AV712" s="1530"/>
      <c r="AW712" s="1530"/>
      <c r="AX712" s="1530"/>
      <c r="AY712" s="1530"/>
      <c r="AZ712" s="1530"/>
      <c r="BA712" s="1530"/>
      <c r="BB712" s="1530"/>
      <c r="BC712" s="1530"/>
      <c r="BD712" s="1530"/>
      <c r="BE712" s="1530"/>
      <c r="BF712" s="1530"/>
      <c r="BG712" s="1530"/>
      <c r="BH712" s="1530"/>
      <c r="BI712" s="1530"/>
      <c r="BJ712" s="1530"/>
      <c r="BK712" s="1530"/>
      <c r="BL712" s="1530"/>
      <c r="BM712" s="1530"/>
      <c r="BN712" s="1530"/>
      <c r="BW712" s="1569"/>
      <c r="CO712" s="1530"/>
      <c r="CP712" s="1530"/>
      <c r="CQ712" s="1530"/>
      <c r="CR712" s="1530"/>
      <c r="CS712" s="1530"/>
      <c r="CT712" s="1530"/>
      <c r="CU712" s="1530"/>
      <c r="CV712" s="1530"/>
      <c r="CW712" s="1530"/>
      <c r="CX712" s="1530"/>
      <c r="CY712" s="1530"/>
      <c r="CZ712" s="1530"/>
      <c r="DA712" s="1530"/>
      <c r="DB712" s="1530"/>
      <c r="DC712" s="1530"/>
      <c r="DD712" s="1530"/>
      <c r="DE712" s="1530"/>
      <c r="DF712" s="1530"/>
      <c r="DG712" s="1530"/>
      <c r="DH712" s="1530"/>
      <c r="DI712" s="1530"/>
      <c r="DJ712" s="1530"/>
      <c r="DK712" s="1530"/>
      <c r="DL712" s="1530"/>
      <c r="DM712" s="1530"/>
      <c r="DN712" s="1571"/>
      <c r="DO712" s="1530"/>
      <c r="DP712" s="1530"/>
    </row>
    <row r="713" spans="1:120">
      <c r="A713" s="1451"/>
      <c r="C713" s="1451"/>
      <c r="K713" s="1451"/>
      <c r="L713" s="1451"/>
      <c r="U713" s="1530"/>
      <c r="V713" s="1530"/>
      <c r="W713" s="1530"/>
      <c r="X713" s="1530"/>
      <c r="Y713" s="1530"/>
      <c r="Z713" s="1530"/>
      <c r="AA713" s="1530"/>
      <c r="AB713" s="1530"/>
      <c r="AC713" s="1530"/>
      <c r="AD713" s="1530"/>
      <c r="AE713" s="1530"/>
      <c r="AF713" s="1530"/>
      <c r="AG713" s="1530"/>
      <c r="AH713" s="1530"/>
      <c r="AI713" s="1530"/>
      <c r="AJ713" s="1530"/>
      <c r="AK713" s="1530"/>
      <c r="AL713" s="1530"/>
      <c r="AM713" s="1530"/>
      <c r="AN713" s="1530"/>
      <c r="AO713" s="1530"/>
      <c r="AP713" s="1530"/>
      <c r="AQ713" s="1530"/>
      <c r="AR713" s="1530"/>
      <c r="AS713" s="1530"/>
      <c r="AT713" s="1530"/>
      <c r="AU713" s="1530"/>
      <c r="AV713" s="1530"/>
      <c r="AW713" s="1530"/>
      <c r="AX713" s="1530"/>
      <c r="AY713" s="1530"/>
      <c r="AZ713" s="1530"/>
      <c r="BA713" s="1530"/>
      <c r="BB713" s="1530"/>
      <c r="BC713" s="1530"/>
      <c r="BD713" s="1530"/>
      <c r="BE713" s="1530"/>
      <c r="BF713" s="1530"/>
      <c r="BG713" s="1530"/>
      <c r="BH713" s="1530"/>
      <c r="BI713" s="1530"/>
      <c r="BJ713" s="1530"/>
      <c r="BK713" s="1530"/>
      <c r="BL713" s="1530"/>
      <c r="BM713" s="1530"/>
      <c r="BN713" s="1530"/>
      <c r="BW713" s="1569"/>
      <c r="CO713" s="1530"/>
      <c r="CP713" s="1530"/>
      <c r="CQ713" s="1530"/>
      <c r="CR713" s="1530"/>
      <c r="CS713" s="1530"/>
      <c r="CT713" s="1530"/>
      <c r="CU713" s="1530"/>
      <c r="CV713" s="1530"/>
      <c r="CW713" s="1530"/>
      <c r="CX713" s="1530"/>
      <c r="CY713" s="1530"/>
      <c r="CZ713" s="1530"/>
      <c r="DA713" s="1530"/>
      <c r="DB713" s="1530"/>
      <c r="DC713" s="1530"/>
      <c r="DD713" s="1530"/>
      <c r="DE713" s="1530"/>
      <c r="DF713" s="1530"/>
      <c r="DG713" s="1530"/>
      <c r="DH713" s="1530"/>
      <c r="DI713" s="1530"/>
      <c r="DJ713" s="1530"/>
      <c r="DK713" s="1530"/>
      <c r="DL713" s="1530"/>
      <c r="DM713" s="1530"/>
      <c r="DN713" s="1571"/>
      <c r="DO713" s="1530"/>
      <c r="DP713" s="1530"/>
    </row>
    <row r="714" spans="1:120">
      <c r="A714" s="1451"/>
      <c r="C714" s="1451"/>
      <c r="K714" s="1451"/>
      <c r="L714" s="1451"/>
      <c r="U714" s="1530"/>
      <c r="V714" s="1530"/>
      <c r="W714" s="1530"/>
      <c r="X714" s="1530"/>
      <c r="Y714" s="1530"/>
      <c r="Z714" s="1530"/>
      <c r="AA714" s="1530"/>
      <c r="AB714" s="1530"/>
      <c r="AC714" s="1530"/>
      <c r="AD714" s="1530"/>
      <c r="AE714" s="1530"/>
      <c r="AF714" s="1530"/>
      <c r="AG714" s="1530"/>
      <c r="AH714" s="1530"/>
      <c r="AI714" s="1530"/>
      <c r="AJ714" s="1530"/>
      <c r="AK714" s="1530"/>
      <c r="AL714" s="1530"/>
      <c r="AM714" s="1530"/>
      <c r="AN714" s="1530"/>
      <c r="AO714" s="1530"/>
      <c r="AP714" s="1530"/>
      <c r="AQ714" s="1530"/>
      <c r="AR714" s="1530"/>
      <c r="AS714" s="1530"/>
      <c r="AT714" s="1530"/>
      <c r="AU714" s="1530"/>
      <c r="AV714" s="1530"/>
      <c r="AW714" s="1530"/>
      <c r="AX714" s="1530"/>
      <c r="AY714" s="1530"/>
      <c r="AZ714" s="1530"/>
      <c r="BA714" s="1530"/>
      <c r="BB714" s="1530"/>
      <c r="BC714" s="1530"/>
      <c r="BD714" s="1530"/>
      <c r="BE714" s="1530"/>
      <c r="BF714" s="1530"/>
      <c r="BG714" s="1530"/>
      <c r="BH714" s="1530"/>
      <c r="BI714" s="1530"/>
      <c r="BJ714" s="1530"/>
      <c r="BK714" s="1530"/>
      <c r="BL714" s="1530"/>
      <c r="BM714" s="1530"/>
      <c r="BN714" s="1530"/>
      <c r="BW714" s="1569"/>
      <c r="CO714" s="1530"/>
      <c r="CP714" s="1530"/>
      <c r="CQ714" s="1530"/>
      <c r="CR714" s="1530"/>
      <c r="CS714" s="1530"/>
      <c r="CT714" s="1530"/>
      <c r="CU714" s="1530"/>
      <c r="CV714" s="1530"/>
      <c r="CW714" s="1530"/>
      <c r="CX714" s="1530"/>
      <c r="CY714" s="1530"/>
      <c r="CZ714" s="1530"/>
      <c r="DA714" s="1530"/>
      <c r="DB714" s="1530"/>
      <c r="DC714" s="1530"/>
      <c r="DD714" s="1530"/>
      <c r="DE714" s="1530"/>
      <c r="DF714" s="1530"/>
      <c r="DG714" s="1530"/>
      <c r="DH714" s="1530"/>
      <c r="DI714" s="1530"/>
      <c r="DJ714" s="1530"/>
      <c r="DK714" s="1530"/>
      <c r="DL714" s="1530"/>
      <c r="DM714" s="1530"/>
      <c r="DN714" s="1571"/>
      <c r="DO714" s="1530"/>
      <c r="DP714" s="1530"/>
    </row>
    <row r="715" spans="1:120">
      <c r="A715" s="1451"/>
      <c r="C715" s="1451"/>
      <c r="K715" s="1451"/>
      <c r="L715" s="1451"/>
      <c r="U715" s="1530"/>
      <c r="V715" s="1530"/>
      <c r="W715" s="1530"/>
      <c r="X715" s="1530"/>
      <c r="Y715" s="1530"/>
      <c r="Z715" s="1530"/>
      <c r="AA715" s="1530"/>
      <c r="AB715" s="1530"/>
      <c r="AC715" s="1530"/>
      <c r="AD715" s="1530"/>
      <c r="AE715" s="1530"/>
      <c r="AF715" s="1530"/>
      <c r="AG715" s="1530"/>
      <c r="AH715" s="1530"/>
      <c r="AI715" s="1530"/>
      <c r="AJ715" s="1530"/>
      <c r="AK715" s="1530"/>
      <c r="AL715" s="1530"/>
      <c r="AM715" s="1530"/>
      <c r="AN715" s="1530"/>
      <c r="AO715" s="1530"/>
      <c r="AP715" s="1530"/>
      <c r="AQ715" s="1530"/>
      <c r="AR715" s="1530"/>
      <c r="AS715" s="1530"/>
      <c r="AT715" s="1530"/>
      <c r="AU715" s="1530"/>
      <c r="AV715" s="1530"/>
      <c r="AW715" s="1530"/>
      <c r="AX715" s="1530"/>
      <c r="AY715" s="1530"/>
      <c r="AZ715" s="1530"/>
      <c r="BA715" s="1530"/>
      <c r="BB715" s="1530"/>
      <c r="BC715" s="1530"/>
      <c r="BD715" s="1530"/>
      <c r="BE715" s="1530"/>
      <c r="BF715" s="1530"/>
      <c r="BG715" s="1530"/>
      <c r="BH715" s="1530"/>
      <c r="BI715" s="1530"/>
      <c r="BJ715" s="1530"/>
      <c r="BK715" s="1530"/>
      <c r="BL715" s="1530"/>
      <c r="BM715" s="1530"/>
      <c r="BN715" s="1530"/>
      <c r="BW715" s="1569"/>
      <c r="CO715" s="1530"/>
      <c r="CP715" s="1530"/>
      <c r="CQ715" s="1530"/>
      <c r="CR715" s="1530"/>
      <c r="CS715" s="1530"/>
      <c r="CT715" s="1530"/>
      <c r="CU715" s="1530"/>
      <c r="CV715" s="1530"/>
      <c r="CW715" s="1530"/>
      <c r="CX715" s="1530"/>
      <c r="CY715" s="1530"/>
      <c r="CZ715" s="1530"/>
      <c r="DA715" s="1530"/>
      <c r="DB715" s="1530"/>
      <c r="DC715" s="1530"/>
      <c r="DD715" s="1530"/>
      <c r="DE715" s="1530"/>
      <c r="DF715" s="1530"/>
      <c r="DG715" s="1530"/>
      <c r="DH715" s="1530"/>
      <c r="DI715" s="1530"/>
      <c r="DJ715" s="1530"/>
      <c r="DK715" s="1530"/>
      <c r="DL715" s="1530"/>
      <c r="DM715" s="1530"/>
      <c r="DN715" s="1571"/>
      <c r="DO715" s="1530"/>
      <c r="DP715" s="1530"/>
    </row>
    <row r="716" spans="1:120">
      <c r="A716" s="1451"/>
      <c r="C716" s="1451"/>
      <c r="K716" s="1451"/>
      <c r="L716" s="1451"/>
      <c r="U716" s="1530"/>
      <c r="V716" s="1530"/>
      <c r="W716" s="1530"/>
      <c r="X716" s="1530"/>
      <c r="Y716" s="1530"/>
      <c r="Z716" s="1530"/>
      <c r="AA716" s="1530"/>
      <c r="AB716" s="1530"/>
      <c r="AC716" s="1530"/>
      <c r="AD716" s="1530"/>
      <c r="AE716" s="1530"/>
      <c r="AF716" s="1530"/>
      <c r="AG716" s="1530"/>
      <c r="AH716" s="1530"/>
      <c r="AI716" s="1530"/>
      <c r="AJ716" s="1530"/>
      <c r="AK716" s="1530"/>
      <c r="AL716" s="1530"/>
      <c r="AM716" s="1530"/>
      <c r="AN716" s="1530"/>
      <c r="AO716" s="1530"/>
      <c r="AP716" s="1530"/>
      <c r="AQ716" s="1530"/>
      <c r="AR716" s="1530"/>
      <c r="AS716" s="1530"/>
      <c r="AT716" s="1530"/>
      <c r="AU716" s="1530"/>
      <c r="AV716" s="1530"/>
      <c r="AW716" s="1530"/>
      <c r="AX716" s="1530"/>
      <c r="AY716" s="1530"/>
      <c r="AZ716" s="1530"/>
      <c r="BA716" s="1530"/>
      <c r="BB716" s="1530"/>
      <c r="BC716" s="1530"/>
      <c r="BD716" s="1530"/>
      <c r="BE716" s="1530"/>
      <c r="BF716" s="1530"/>
      <c r="BG716" s="1530"/>
      <c r="BH716" s="1530"/>
      <c r="BI716" s="1530"/>
      <c r="BJ716" s="1530"/>
      <c r="BK716" s="1530"/>
      <c r="BL716" s="1530"/>
      <c r="BM716" s="1530"/>
      <c r="BN716" s="1530"/>
      <c r="BW716" s="1569"/>
      <c r="CO716" s="1530"/>
      <c r="CP716" s="1530"/>
      <c r="CQ716" s="1530"/>
      <c r="CR716" s="1530"/>
      <c r="CS716" s="1530"/>
      <c r="CT716" s="1530"/>
      <c r="CU716" s="1530"/>
      <c r="CV716" s="1530"/>
      <c r="CW716" s="1530"/>
      <c r="CX716" s="1530"/>
      <c r="CY716" s="1530"/>
      <c r="CZ716" s="1530"/>
      <c r="DA716" s="1530"/>
      <c r="DB716" s="1530"/>
      <c r="DC716" s="1530"/>
      <c r="DD716" s="1530"/>
      <c r="DE716" s="1530"/>
      <c r="DF716" s="1530"/>
      <c r="DG716" s="1530"/>
      <c r="DH716" s="1530"/>
      <c r="DI716" s="1530"/>
      <c r="DJ716" s="1530"/>
      <c r="DK716" s="1530"/>
      <c r="DL716" s="1530"/>
      <c r="DM716" s="1530"/>
      <c r="DN716" s="1571"/>
      <c r="DO716" s="1530"/>
      <c r="DP716" s="1530"/>
    </row>
    <row r="717" spans="1:120">
      <c r="A717" s="1451"/>
      <c r="C717" s="1451"/>
      <c r="K717" s="1451"/>
      <c r="L717" s="1451"/>
      <c r="U717" s="1530"/>
      <c r="V717" s="1530"/>
      <c r="W717" s="1530"/>
      <c r="X717" s="1530"/>
      <c r="Y717" s="1530"/>
      <c r="Z717" s="1530"/>
      <c r="AA717" s="1530"/>
      <c r="AB717" s="1530"/>
      <c r="AC717" s="1530"/>
      <c r="AD717" s="1530"/>
      <c r="AE717" s="1530"/>
      <c r="AF717" s="1530"/>
      <c r="AG717" s="1530"/>
      <c r="AH717" s="1530"/>
      <c r="AI717" s="1530"/>
      <c r="AJ717" s="1530"/>
      <c r="AK717" s="1530"/>
      <c r="AL717" s="1530"/>
      <c r="AM717" s="1530"/>
      <c r="AN717" s="1530"/>
      <c r="AO717" s="1530"/>
      <c r="AP717" s="1530"/>
      <c r="AQ717" s="1530"/>
      <c r="AR717" s="1530"/>
      <c r="AS717" s="1530"/>
      <c r="AT717" s="1530"/>
      <c r="AU717" s="1530"/>
      <c r="AV717" s="1530"/>
      <c r="AW717" s="1530"/>
      <c r="AX717" s="1530"/>
      <c r="AY717" s="1530"/>
      <c r="AZ717" s="1530"/>
      <c r="BA717" s="1530"/>
      <c r="BB717" s="1530"/>
      <c r="BC717" s="1530"/>
      <c r="BD717" s="1530"/>
      <c r="BE717" s="1530"/>
      <c r="BF717" s="1530"/>
      <c r="BG717" s="1530"/>
      <c r="BH717" s="1530"/>
      <c r="BI717" s="1530"/>
      <c r="BJ717" s="1530"/>
      <c r="BK717" s="1530"/>
      <c r="BL717" s="1530"/>
      <c r="BM717" s="1530"/>
      <c r="BN717" s="1530"/>
      <c r="BW717" s="1569"/>
      <c r="CO717" s="1530"/>
      <c r="CP717" s="1530"/>
      <c r="CQ717" s="1530"/>
      <c r="CR717" s="1530"/>
      <c r="CS717" s="1530"/>
      <c r="CT717" s="1530"/>
      <c r="CU717" s="1530"/>
      <c r="CV717" s="1530"/>
      <c r="CW717" s="1530"/>
      <c r="CX717" s="1530"/>
      <c r="CY717" s="1530"/>
      <c r="CZ717" s="1530"/>
      <c r="DA717" s="1530"/>
      <c r="DB717" s="1530"/>
      <c r="DC717" s="1530"/>
      <c r="DD717" s="1530"/>
      <c r="DE717" s="1530"/>
      <c r="DF717" s="1530"/>
      <c r="DG717" s="1530"/>
      <c r="DH717" s="1530"/>
      <c r="DI717" s="1530"/>
      <c r="DJ717" s="1530"/>
      <c r="DK717" s="1530"/>
      <c r="DL717" s="1530"/>
      <c r="DM717" s="1530"/>
      <c r="DN717" s="1571"/>
      <c r="DO717" s="1530"/>
      <c r="DP717" s="1530"/>
    </row>
    <row r="718" spans="1:120">
      <c r="A718" s="1451"/>
      <c r="C718" s="1451"/>
      <c r="K718" s="1451"/>
      <c r="L718" s="1451"/>
      <c r="U718" s="1530"/>
      <c r="V718" s="1530"/>
      <c r="W718" s="1530"/>
      <c r="X718" s="1530"/>
      <c r="Y718" s="1530"/>
      <c r="Z718" s="1530"/>
      <c r="AA718" s="1530"/>
      <c r="AB718" s="1530"/>
      <c r="AC718" s="1530"/>
      <c r="AD718" s="1530"/>
      <c r="AE718" s="1530"/>
      <c r="AF718" s="1530"/>
      <c r="AG718" s="1530"/>
      <c r="AH718" s="1530"/>
      <c r="AI718" s="1530"/>
      <c r="AJ718" s="1530"/>
      <c r="AK718" s="1530"/>
      <c r="AL718" s="1530"/>
      <c r="AM718" s="1530"/>
      <c r="AN718" s="1530"/>
      <c r="AO718" s="1530"/>
      <c r="AP718" s="1530"/>
      <c r="AQ718" s="1530"/>
      <c r="AR718" s="1530"/>
      <c r="AS718" s="1530"/>
      <c r="AT718" s="1530"/>
      <c r="AU718" s="1530"/>
      <c r="AV718" s="1530"/>
      <c r="AW718" s="1530"/>
      <c r="AX718" s="1530"/>
      <c r="AY718" s="1530"/>
      <c r="AZ718" s="1530"/>
      <c r="BA718" s="1530"/>
      <c r="BB718" s="1530"/>
      <c r="BC718" s="1530"/>
      <c r="BD718" s="1530"/>
      <c r="BE718" s="1530"/>
      <c r="BF718" s="1530"/>
      <c r="BG718" s="1530"/>
      <c r="BH718" s="1530"/>
      <c r="BI718" s="1530"/>
      <c r="BJ718" s="1530"/>
      <c r="BK718" s="1530"/>
      <c r="BL718" s="1530"/>
      <c r="BM718" s="1530"/>
      <c r="BN718" s="1530"/>
      <c r="BW718" s="1569"/>
      <c r="CO718" s="1530"/>
      <c r="CP718" s="1530"/>
      <c r="CQ718" s="1530"/>
      <c r="CR718" s="1530"/>
      <c r="CS718" s="1530"/>
      <c r="CT718" s="1530"/>
      <c r="CU718" s="1530"/>
      <c r="CV718" s="1530"/>
      <c r="CW718" s="1530"/>
      <c r="CX718" s="1530"/>
      <c r="CY718" s="1530"/>
      <c r="CZ718" s="1530"/>
      <c r="DA718" s="1530"/>
      <c r="DB718" s="1530"/>
      <c r="DC718" s="1530"/>
      <c r="DD718" s="1530"/>
      <c r="DE718" s="1530"/>
      <c r="DF718" s="1530"/>
      <c r="DG718" s="1530"/>
      <c r="DH718" s="1530"/>
      <c r="DI718" s="1530"/>
      <c r="DJ718" s="1530"/>
      <c r="DK718" s="1530"/>
      <c r="DL718" s="1530"/>
      <c r="DM718" s="1530"/>
      <c r="DN718" s="1571"/>
      <c r="DO718" s="1530"/>
      <c r="DP718" s="1530"/>
    </row>
    <row r="719" spans="1:120">
      <c r="A719" s="1451"/>
      <c r="C719" s="1451"/>
      <c r="K719" s="1451"/>
      <c r="L719" s="1451"/>
      <c r="U719" s="1530"/>
      <c r="V719" s="1530"/>
      <c r="W719" s="1530"/>
      <c r="X719" s="1530"/>
      <c r="Y719" s="1530"/>
      <c r="Z719" s="1530"/>
      <c r="AA719" s="1530"/>
      <c r="AB719" s="1530"/>
      <c r="AC719" s="1530"/>
      <c r="AD719" s="1530"/>
      <c r="AE719" s="1530"/>
      <c r="AF719" s="1530"/>
      <c r="AG719" s="1530"/>
      <c r="AH719" s="1530"/>
      <c r="AI719" s="1530"/>
      <c r="AJ719" s="1530"/>
      <c r="AK719" s="1530"/>
      <c r="AL719" s="1530"/>
      <c r="AM719" s="1530"/>
      <c r="AN719" s="1530"/>
      <c r="AO719" s="1530"/>
      <c r="AP719" s="1530"/>
      <c r="AQ719" s="1530"/>
      <c r="AR719" s="1530"/>
      <c r="AS719" s="1530"/>
      <c r="AT719" s="1530"/>
      <c r="AU719" s="1530"/>
      <c r="AV719" s="1530"/>
      <c r="AW719" s="1530"/>
      <c r="AX719" s="1530"/>
      <c r="AY719" s="1530"/>
      <c r="AZ719" s="1530"/>
      <c r="BA719" s="1530"/>
      <c r="BB719" s="1530"/>
      <c r="BC719" s="1530"/>
      <c r="BD719" s="1530"/>
      <c r="BE719" s="1530"/>
      <c r="BF719" s="1530"/>
      <c r="BG719" s="1530"/>
      <c r="BH719" s="1530"/>
      <c r="BI719" s="1530"/>
      <c r="BJ719" s="1530"/>
      <c r="BK719" s="1530"/>
      <c r="BL719" s="1530"/>
      <c r="BM719" s="1530"/>
      <c r="BN719" s="1530"/>
      <c r="BW719" s="1569"/>
      <c r="CO719" s="1530"/>
      <c r="CP719" s="1530"/>
      <c r="CQ719" s="1530"/>
      <c r="CR719" s="1530"/>
      <c r="CS719" s="1530"/>
      <c r="CT719" s="1530"/>
      <c r="CU719" s="1530"/>
      <c r="CV719" s="1530"/>
      <c r="CW719" s="1530"/>
      <c r="CX719" s="1530"/>
      <c r="CY719" s="1530"/>
      <c r="CZ719" s="1530"/>
      <c r="DA719" s="1530"/>
      <c r="DB719" s="1530"/>
      <c r="DC719" s="1530"/>
      <c r="DD719" s="1530"/>
      <c r="DE719" s="1530"/>
      <c r="DF719" s="1530"/>
      <c r="DG719" s="1530"/>
      <c r="DH719" s="1530"/>
      <c r="DI719" s="1530"/>
      <c r="DJ719" s="1530"/>
      <c r="DK719" s="1530"/>
      <c r="DL719" s="1530"/>
      <c r="DM719" s="1530"/>
      <c r="DN719" s="1571"/>
      <c r="DO719" s="1530"/>
      <c r="DP719" s="1530"/>
    </row>
    <row r="720" spans="1:120">
      <c r="A720" s="1451"/>
      <c r="C720" s="1451"/>
      <c r="K720" s="1451"/>
      <c r="L720" s="1451"/>
      <c r="U720" s="1530"/>
      <c r="V720" s="1530"/>
      <c r="W720" s="1530"/>
      <c r="X720" s="1530"/>
      <c r="Y720" s="1530"/>
      <c r="Z720" s="1530"/>
      <c r="AA720" s="1530"/>
      <c r="AB720" s="1530"/>
      <c r="AC720" s="1530"/>
      <c r="AD720" s="1530"/>
      <c r="AE720" s="1530"/>
      <c r="AF720" s="1530"/>
      <c r="AG720" s="1530"/>
      <c r="AH720" s="1530"/>
      <c r="AI720" s="1530"/>
      <c r="AJ720" s="1530"/>
      <c r="AK720" s="1530"/>
      <c r="AL720" s="1530"/>
      <c r="AM720" s="1530"/>
      <c r="AN720" s="1530"/>
      <c r="AO720" s="1530"/>
      <c r="AP720" s="1530"/>
      <c r="AQ720" s="1530"/>
      <c r="AR720" s="1530"/>
      <c r="AS720" s="1530"/>
      <c r="AT720" s="1530"/>
      <c r="AU720" s="1530"/>
      <c r="AV720" s="1530"/>
      <c r="AW720" s="1530"/>
      <c r="AX720" s="1530"/>
      <c r="AY720" s="1530"/>
      <c r="AZ720" s="1530"/>
      <c r="BA720" s="1530"/>
      <c r="BB720" s="1530"/>
      <c r="BC720" s="1530"/>
      <c r="BD720" s="1530"/>
      <c r="BE720" s="1530"/>
      <c r="BF720" s="1530"/>
      <c r="BG720" s="1530"/>
      <c r="BH720" s="1530"/>
      <c r="BI720" s="1530"/>
      <c r="BJ720" s="1530"/>
      <c r="BK720" s="1530"/>
      <c r="BL720" s="1530"/>
      <c r="BM720" s="1530"/>
      <c r="BN720" s="1530"/>
      <c r="BW720" s="1569"/>
      <c r="CO720" s="1530"/>
      <c r="CP720" s="1530"/>
      <c r="CQ720" s="1530"/>
      <c r="CR720" s="1530"/>
      <c r="CS720" s="1530"/>
      <c r="CT720" s="1530"/>
      <c r="CU720" s="1530"/>
      <c r="CV720" s="1530"/>
      <c r="CW720" s="1530"/>
      <c r="CX720" s="1530"/>
      <c r="CY720" s="1530"/>
      <c r="CZ720" s="1530"/>
      <c r="DA720" s="1530"/>
      <c r="DB720" s="1530"/>
      <c r="DC720" s="1530"/>
      <c r="DD720" s="1530"/>
      <c r="DE720" s="1530"/>
      <c r="DF720" s="1530"/>
      <c r="DG720" s="1530"/>
      <c r="DH720" s="1530"/>
      <c r="DI720" s="1530"/>
      <c r="DJ720" s="1530"/>
      <c r="DK720" s="1530"/>
      <c r="DL720" s="1530"/>
      <c r="DM720" s="1530"/>
      <c r="DN720" s="1571"/>
      <c r="DO720" s="1530"/>
      <c r="DP720" s="1530"/>
    </row>
    <row r="721" spans="1:120">
      <c r="A721" s="1451"/>
      <c r="C721" s="1451"/>
      <c r="K721" s="1451"/>
      <c r="L721" s="1451"/>
      <c r="U721" s="1530"/>
      <c r="V721" s="1530"/>
      <c r="W721" s="1530"/>
      <c r="X721" s="1530"/>
      <c r="Y721" s="1530"/>
      <c r="Z721" s="1530"/>
      <c r="AA721" s="1530"/>
      <c r="AB721" s="1530"/>
      <c r="AC721" s="1530"/>
      <c r="AD721" s="1530"/>
      <c r="AE721" s="1530"/>
      <c r="AF721" s="1530"/>
      <c r="AG721" s="1530"/>
      <c r="AH721" s="1530"/>
      <c r="AI721" s="1530"/>
      <c r="AJ721" s="1530"/>
      <c r="AK721" s="1530"/>
      <c r="AL721" s="1530"/>
      <c r="AM721" s="1530"/>
      <c r="AN721" s="1530"/>
      <c r="AO721" s="1530"/>
      <c r="AP721" s="1530"/>
      <c r="AQ721" s="1530"/>
      <c r="AR721" s="1530"/>
      <c r="AS721" s="1530"/>
      <c r="AT721" s="1530"/>
      <c r="AU721" s="1530"/>
      <c r="AV721" s="1530"/>
      <c r="AW721" s="1530"/>
      <c r="AX721" s="1530"/>
      <c r="AY721" s="1530"/>
      <c r="AZ721" s="1530"/>
      <c r="BA721" s="1530"/>
      <c r="BB721" s="1530"/>
      <c r="BC721" s="1530"/>
      <c r="BD721" s="1530"/>
      <c r="BE721" s="1530"/>
      <c r="BF721" s="1530"/>
      <c r="BG721" s="1530"/>
      <c r="BH721" s="1530"/>
      <c r="BI721" s="1530"/>
      <c r="BJ721" s="1530"/>
      <c r="BK721" s="1530"/>
      <c r="BL721" s="1530"/>
      <c r="BM721" s="1530"/>
      <c r="BN721" s="1530"/>
      <c r="BW721" s="1569"/>
      <c r="CO721" s="1530"/>
      <c r="CP721" s="1530"/>
      <c r="CQ721" s="1530"/>
      <c r="CR721" s="1530"/>
      <c r="CS721" s="1530"/>
      <c r="CT721" s="1530"/>
      <c r="CU721" s="1530"/>
      <c r="CV721" s="1530"/>
      <c r="CW721" s="1530"/>
      <c r="CX721" s="1530"/>
      <c r="CY721" s="1530"/>
      <c r="CZ721" s="1530"/>
      <c r="DA721" s="1530"/>
      <c r="DB721" s="1530"/>
      <c r="DC721" s="1530"/>
      <c r="DD721" s="1530"/>
      <c r="DE721" s="1530"/>
      <c r="DF721" s="1530"/>
      <c r="DG721" s="1530"/>
      <c r="DH721" s="1530"/>
      <c r="DI721" s="1530"/>
      <c r="DJ721" s="1530"/>
      <c r="DK721" s="1530"/>
      <c r="DL721" s="1530"/>
      <c r="DM721" s="1530"/>
      <c r="DN721" s="1571"/>
      <c r="DO721" s="1530"/>
      <c r="DP721" s="1530"/>
    </row>
    <row r="722" spans="1:120">
      <c r="A722" s="1451"/>
      <c r="C722" s="1451"/>
      <c r="K722" s="1451"/>
      <c r="L722" s="1451"/>
      <c r="U722" s="1530"/>
      <c r="V722" s="1530"/>
      <c r="W722" s="1530"/>
      <c r="X722" s="1530"/>
      <c r="Y722" s="1530"/>
      <c r="Z722" s="1530"/>
      <c r="AA722" s="1530"/>
      <c r="AB722" s="1530"/>
      <c r="AC722" s="1530"/>
      <c r="AD722" s="1530"/>
      <c r="AE722" s="1530"/>
      <c r="AF722" s="1530"/>
      <c r="AG722" s="1530"/>
      <c r="AH722" s="1530"/>
      <c r="AI722" s="1530"/>
      <c r="AJ722" s="1530"/>
      <c r="AK722" s="1530"/>
      <c r="AL722" s="1530"/>
      <c r="AM722" s="1530"/>
      <c r="AN722" s="1530"/>
      <c r="AO722" s="1530"/>
      <c r="AP722" s="1530"/>
      <c r="AQ722" s="1530"/>
      <c r="AR722" s="1530"/>
      <c r="AS722" s="1530"/>
      <c r="AT722" s="1530"/>
      <c r="AU722" s="1530"/>
      <c r="AV722" s="1530"/>
      <c r="AW722" s="1530"/>
      <c r="AX722" s="1530"/>
      <c r="AY722" s="1530"/>
      <c r="AZ722" s="1530"/>
      <c r="BA722" s="1530"/>
      <c r="BB722" s="1530"/>
      <c r="BC722" s="1530"/>
      <c r="BD722" s="1530"/>
      <c r="BE722" s="1530"/>
      <c r="BF722" s="1530"/>
      <c r="BG722" s="1530"/>
      <c r="BH722" s="1530"/>
      <c r="BI722" s="1530"/>
      <c r="BJ722" s="1530"/>
      <c r="BK722" s="1530"/>
      <c r="BL722" s="1530"/>
      <c r="BM722" s="1530"/>
      <c r="BN722" s="1530"/>
      <c r="BW722" s="1569"/>
      <c r="CO722" s="1530"/>
      <c r="CP722" s="1530"/>
      <c r="CQ722" s="1530"/>
      <c r="CR722" s="1530"/>
      <c r="CS722" s="1530"/>
      <c r="CT722" s="1530"/>
      <c r="CU722" s="1530"/>
      <c r="CV722" s="1530"/>
      <c r="CW722" s="1530"/>
      <c r="CX722" s="1530"/>
      <c r="CY722" s="1530"/>
      <c r="CZ722" s="1530"/>
      <c r="DA722" s="1530"/>
      <c r="DB722" s="1530"/>
      <c r="DC722" s="1530"/>
      <c r="DD722" s="1530"/>
      <c r="DE722" s="1530"/>
      <c r="DF722" s="1530"/>
      <c r="DG722" s="1530"/>
      <c r="DH722" s="1530"/>
      <c r="DI722" s="1530"/>
      <c r="DJ722" s="1530"/>
      <c r="DK722" s="1530"/>
      <c r="DL722" s="1530"/>
      <c r="DM722" s="1530"/>
      <c r="DN722" s="1571"/>
      <c r="DO722" s="1530"/>
      <c r="DP722" s="1530"/>
    </row>
    <row r="723" spans="1:120">
      <c r="A723" s="1451"/>
      <c r="C723" s="1451"/>
      <c r="K723" s="1451"/>
      <c r="L723" s="1451"/>
      <c r="U723" s="1530"/>
      <c r="V723" s="1530"/>
      <c r="W723" s="1530"/>
      <c r="X723" s="1530"/>
      <c r="Y723" s="1530"/>
      <c r="Z723" s="1530"/>
      <c r="AA723" s="1530"/>
      <c r="AB723" s="1530"/>
      <c r="AC723" s="1530"/>
      <c r="AD723" s="1530"/>
      <c r="AE723" s="1530"/>
      <c r="AF723" s="1530"/>
      <c r="AG723" s="1530"/>
      <c r="AH723" s="1530"/>
      <c r="AI723" s="1530"/>
      <c r="AJ723" s="1530"/>
      <c r="AK723" s="1530"/>
      <c r="AL723" s="1530"/>
      <c r="AM723" s="1530"/>
      <c r="AN723" s="1530"/>
      <c r="AO723" s="1530"/>
      <c r="AP723" s="1530"/>
      <c r="AQ723" s="1530"/>
      <c r="AR723" s="1530"/>
      <c r="AS723" s="1530"/>
      <c r="AT723" s="1530"/>
      <c r="AU723" s="1530"/>
      <c r="AV723" s="1530"/>
      <c r="AW723" s="1530"/>
      <c r="AX723" s="1530"/>
      <c r="AY723" s="1530"/>
      <c r="AZ723" s="1530"/>
      <c r="BA723" s="1530"/>
      <c r="BB723" s="1530"/>
      <c r="BC723" s="1530"/>
      <c r="BD723" s="1530"/>
      <c r="BE723" s="1530"/>
      <c r="BF723" s="1530"/>
      <c r="BG723" s="1530"/>
      <c r="BH723" s="1530"/>
      <c r="BI723" s="1530"/>
      <c r="BJ723" s="1530"/>
      <c r="BK723" s="1530"/>
      <c r="BL723" s="1530"/>
      <c r="BM723" s="1530"/>
      <c r="BN723" s="1530"/>
      <c r="BW723" s="1569"/>
      <c r="CO723" s="1530"/>
      <c r="CP723" s="1530"/>
      <c r="CQ723" s="1530"/>
      <c r="CR723" s="1530"/>
      <c r="CS723" s="1530"/>
      <c r="CT723" s="1530"/>
      <c r="CU723" s="1530"/>
      <c r="CV723" s="1530"/>
      <c r="CW723" s="1530"/>
      <c r="CX723" s="1530"/>
      <c r="CY723" s="1530"/>
      <c r="CZ723" s="1530"/>
      <c r="DA723" s="1530"/>
      <c r="DB723" s="1530"/>
      <c r="DC723" s="1530"/>
      <c r="DD723" s="1530"/>
      <c r="DE723" s="1530"/>
      <c r="DF723" s="1530"/>
      <c r="DG723" s="1530"/>
      <c r="DH723" s="1530"/>
      <c r="DI723" s="1530"/>
      <c r="DJ723" s="1530"/>
      <c r="DK723" s="1530"/>
      <c r="DL723" s="1530"/>
      <c r="DM723" s="1530"/>
      <c r="DN723" s="1571"/>
      <c r="DO723" s="1530"/>
      <c r="DP723" s="1530"/>
    </row>
    <row r="724" spans="1:120">
      <c r="A724" s="1451"/>
      <c r="C724" s="1451"/>
      <c r="K724" s="1451"/>
      <c r="L724" s="1451"/>
      <c r="U724" s="1530"/>
      <c r="V724" s="1530"/>
      <c r="W724" s="1530"/>
      <c r="X724" s="1530"/>
      <c r="Y724" s="1530"/>
      <c r="Z724" s="1530"/>
      <c r="AA724" s="1530"/>
      <c r="AB724" s="1530"/>
      <c r="AC724" s="1530"/>
      <c r="AD724" s="1530"/>
      <c r="AE724" s="1530"/>
      <c r="AF724" s="1530"/>
      <c r="AG724" s="1530"/>
      <c r="AH724" s="1530"/>
      <c r="AI724" s="1530"/>
      <c r="AJ724" s="1530"/>
      <c r="AK724" s="1530"/>
      <c r="AL724" s="1530"/>
      <c r="AM724" s="1530"/>
      <c r="AN724" s="1530"/>
      <c r="AO724" s="1530"/>
      <c r="AP724" s="1530"/>
      <c r="AQ724" s="1530"/>
      <c r="AR724" s="1530"/>
      <c r="AS724" s="1530"/>
      <c r="AT724" s="1530"/>
      <c r="AU724" s="1530"/>
      <c r="AV724" s="1530"/>
      <c r="AW724" s="1530"/>
      <c r="AX724" s="1530"/>
      <c r="AY724" s="1530"/>
      <c r="AZ724" s="1530"/>
      <c r="BA724" s="1530"/>
      <c r="BB724" s="1530"/>
      <c r="BC724" s="1530"/>
      <c r="BD724" s="1530"/>
      <c r="BE724" s="1530"/>
      <c r="BF724" s="1530"/>
      <c r="BG724" s="1530"/>
      <c r="BH724" s="1530"/>
      <c r="BI724" s="1530"/>
      <c r="BJ724" s="1530"/>
      <c r="BK724" s="1530"/>
      <c r="BL724" s="1530"/>
      <c r="BM724" s="1530"/>
      <c r="BN724" s="1530"/>
      <c r="BW724" s="1569"/>
      <c r="CO724" s="1530"/>
      <c r="CP724" s="1530"/>
      <c r="CQ724" s="1530"/>
      <c r="CR724" s="1530"/>
      <c r="CS724" s="1530"/>
      <c r="CT724" s="1530"/>
      <c r="CU724" s="1530"/>
      <c r="CV724" s="1530"/>
      <c r="CW724" s="1530"/>
      <c r="CX724" s="1530"/>
      <c r="CY724" s="1530"/>
      <c r="CZ724" s="1530"/>
      <c r="DA724" s="1530"/>
      <c r="DB724" s="1530"/>
      <c r="DC724" s="1530"/>
      <c r="DD724" s="1530"/>
      <c r="DE724" s="1530"/>
      <c r="DF724" s="1530"/>
      <c r="DG724" s="1530"/>
      <c r="DH724" s="1530"/>
      <c r="DI724" s="1530"/>
      <c r="DJ724" s="1530"/>
      <c r="DK724" s="1530"/>
      <c r="DL724" s="1530"/>
      <c r="DM724" s="1530"/>
      <c r="DN724" s="1571"/>
      <c r="DO724" s="1530"/>
      <c r="DP724" s="1530"/>
    </row>
    <row r="725" spans="1:120">
      <c r="A725" s="1451"/>
      <c r="C725" s="1451"/>
      <c r="K725" s="1451"/>
      <c r="L725" s="1451"/>
      <c r="U725" s="1530"/>
      <c r="V725" s="1530"/>
      <c r="W725" s="1530"/>
      <c r="X725" s="1530"/>
      <c r="Y725" s="1530"/>
      <c r="Z725" s="1530"/>
      <c r="AA725" s="1530"/>
      <c r="AB725" s="1530"/>
      <c r="AC725" s="1530"/>
      <c r="AD725" s="1530"/>
      <c r="AE725" s="1530"/>
      <c r="AF725" s="1530"/>
      <c r="AG725" s="1530"/>
      <c r="AH725" s="1530"/>
      <c r="AI725" s="1530"/>
      <c r="AJ725" s="1530"/>
      <c r="AK725" s="1530"/>
      <c r="AL725" s="1530"/>
      <c r="AM725" s="1530"/>
      <c r="AN725" s="1530"/>
      <c r="AO725" s="1530"/>
      <c r="AP725" s="1530"/>
      <c r="AQ725" s="1530"/>
      <c r="AR725" s="1530"/>
      <c r="AS725" s="1530"/>
      <c r="AT725" s="1530"/>
      <c r="AU725" s="1530"/>
      <c r="AV725" s="1530"/>
      <c r="AW725" s="1530"/>
      <c r="AX725" s="1530"/>
      <c r="AY725" s="1530"/>
      <c r="AZ725" s="1530"/>
      <c r="BA725" s="1530"/>
      <c r="BB725" s="1530"/>
      <c r="BC725" s="1530"/>
      <c r="BD725" s="1530"/>
      <c r="BE725" s="1530"/>
      <c r="BF725" s="1530"/>
      <c r="BG725" s="1530"/>
      <c r="BH725" s="1530"/>
      <c r="BI725" s="1530"/>
      <c r="BJ725" s="1530"/>
      <c r="BK725" s="1530"/>
      <c r="BL725" s="1530"/>
      <c r="BM725" s="1530"/>
      <c r="BN725" s="1530"/>
      <c r="BW725" s="1569"/>
      <c r="CO725" s="1530"/>
      <c r="CP725" s="1530"/>
      <c r="CQ725" s="1530"/>
      <c r="CR725" s="1530"/>
      <c r="CS725" s="1530"/>
      <c r="CT725" s="1530"/>
      <c r="CU725" s="1530"/>
      <c r="CV725" s="1530"/>
      <c r="CW725" s="1530"/>
      <c r="CX725" s="1530"/>
      <c r="CY725" s="1530"/>
      <c r="CZ725" s="1530"/>
      <c r="DA725" s="1530"/>
      <c r="DB725" s="1530"/>
      <c r="DC725" s="1530"/>
      <c r="DD725" s="1530"/>
      <c r="DE725" s="1530"/>
      <c r="DF725" s="1530"/>
      <c r="DG725" s="1530"/>
      <c r="DH725" s="1530"/>
      <c r="DI725" s="1530"/>
      <c r="DJ725" s="1530"/>
      <c r="DK725" s="1530"/>
      <c r="DL725" s="1530"/>
      <c r="DM725" s="1530"/>
      <c r="DN725" s="1571"/>
      <c r="DO725" s="1530"/>
      <c r="DP725" s="1530"/>
    </row>
    <row r="726" spans="1:120">
      <c r="A726" s="1451"/>
      <c r="C726" s="1451"/>
      <c r="K726" s="1451"/>
      <c r="L726" s="1451"/>
      <c r="U726" s="1530"/>
      <c r="V726" s="1530"/>
      <c r="W726" s="1530"/>
      <c r="X726" s="1530"/>
      <c r="Y726" s="1530"/>
      <c r="Z726" s="1530"/>
      <c r="AA726" s="1530"/>
      <c r="AB726" s="1530"/>
      <c r="AC726" s="1530"/>
      <c r="AD726" s="1530"/>
      <c r="AE726" s="1530"/>
      <c r="AF726" s="1530"/>
      <c r="AG726" s="1530"/>
      <c r="AH726" s="1530"/>
      <c r="AI726" s="1530"/>
      <c r="AJ726" s="1530"/>
      <c r="AK726" s="1530"/>
      <c r="AL726" s="1530"/>
      <c r="AM726" s="1530"/>
      <c r="AN726" s="1530"/>
      <c r="AO726" s="1530"/>
      <c r="AP726" s="1530"/>
      <c r="AQ726" s="1530"/>
      <c r="AR726" s="1530"/>
      <c r="AS726" s="1530"/>
      <c r="AT726" s="1530"/>
      <c r="AU726" s="1530"/>
      <c r="AV726" s="1530"/>
      <c r="AW726" s="1530"/>
      <c r="AX726" s="1530"/>
      <c r="AY726" s="1530"/>
      <c r="AZ726" s="1530"/>
      <c r="BA726" s="1530"/>
      <c r="BB726" s="1530"/>
      <c r="BC726" s="1530"/>
      <c r="BD726" s="1530"/>
      <c r="BE726" s="1530"/>
      <c r="BF726" s="1530"/>
      <c r="BG726" s="1530"/>
      <c r="BH726" s="1530"/>
      <c r="BI726" s="1530"/>
      <c r="BJ726" s="1530"/>
      <c r="BK726" s="1530"/>
      <c r="BL726" s="1530"/>
      <c r="BM726" s="1530"/>
      <c r="BN726" s="1530"/>
      <c r="BW726" s="1569"/>
      <c r="CO726" s="1530"/>
      <c r="CP726" s="1530"/>
      <c r="CQ726" s="1530"/>
      <c r="CR726" s="1530"/>
      <c r="CS726" s="1530"/>
      <c r="CT726" s="1530"/>
      <c r="CU726" s="1530"/>
      <c r="CV726" s="1530"/>
      <c r="CW726" s="1530"/>
      <c r="CX726" s="1530"/>
      <c r="CY726" s="1530"/>
      <c r="CZ726" s="1530"/>
      <c r="DA726" s="1530"/>
      <c r="DB726" s="1530"/>
      <c r="DC726" s="1530"/>
      <c r="DD726" s="1530"/>
      <c r="DE726" s="1530"/>
      <c r="DF726" s="1530"/>
      <c r="DG726" s="1530"/>
      <c r="DH726" s="1530"/>
      <c r="DI726" s="1530"/>
      <c r="DJ726" s="1530"/>
      <c r="DK726" s="1530"/>
      <c r="DL726" s="1530"/>
      <c r="DM726" s="1530"/>
      <c r="DN726" s="1571"/>
      <c r="DO726" s="1530"/>
      <c r="DP726" s="1530"/>
    </row>
    <row r="727" spans="1:120">
      <c r="A727" s="1451"/>
      <c r="C727" s="1451"/>
      <c r="K727" s="1451"/>
      <c r="L727" s="1451"/>
      <c r="U727" s="1530"/>
      <c r="V727" s="1530"/>
      <c r="W727" s="1530"/>
      <c r="X727" s="1530"/>
      <c r="Y727" s="1530"/>
      <c r="Z727" s="1530"/>
      <c r="AA727" s="1530"/>
      <c r="AB727" s="1530"/>
      <c r="AC727" s="1530"/>
      <c r="AD727" s="1530"/>
      <c r="AE727" s="1530"/>
      <c r="AF727" s="1530"/>
      <c r="AG727" s="1530"/>
      <c r="AH727" s="1530"/>
      <c r="AI727" s="1530"/>
      <c r="AJ727" s="1530"/>
      <c r="AK727" s="1530"/>
      <c r="AL727" s="1530"/>
      <c r="AM727" s="1530"/>
      <c r="AN727" s="1530"/>
      <c r="AO727" s="1530"/>
      <c r="AP727" s="1530"/>
      <c r="AQ727" s="1530"/>
      <c r="AR727" s="1530"/>
      <c r="AS727" s="1530"/>
      <c r="AT727" s="1530"/>
      <c r="AU727" s="1530"/>
      <c r="AV727" s="1530"/>
      <c r="AW727" s="1530"/>
      <c r="AX727" s="1530"/>
      <c r="AY727" s="1530"/>
      <c r="AZ727" s="1530"/>
      <c r="BA727" s="1530"/>
      <c r="BB727" s="1530"/>
      <c r="BC727" s="1530"/>
      <c r="BD727" s="1530"/>
      <c r="BE727" s="1530"/>
      <c r="BF727" s="1530"/>
      <c r="BG727" s="1530"/>
      <c r="BH727" s="1530"/>
      <c r="BI727" s="1530"/>
      <c r="BJ727" s="1530"/>
      <c r="BK727" s="1530"/>
      <c r="BL727" s="1530"/>
      <c r="BM727" s="1530"/>
      <c r="BN727" s="1530"/>
      <c r="BW727" s="1569"/>
      <c r="CO727" s="1530"/>
      <c r="CP727" s="1530"/>
      <c r="CQ727" s="1530"/>
      <c r="CR727" s="1530"/>
      <c r="CS727" s="1530"/>
      <c r="CT727" s="1530"/>
      <c r="CU727" s="1530"/>
      <c r="CV727" s="1530"/>
      <c r="CW727" s="1530"/>
      <c r="CX727" s="1530"/>
      <c r="CY727" s="1530"/>
      <c r="CZ727" s="1530"/>
      <c r="DA727" s="1530"/>
      <c r="DB727" s="1530"/>
      <c r="DC727" s="1530"/>
      <c r="DD727" s="1530"/>
      <c r="DE727" s="1530"/>
      <c r="DF727" s="1530"/>
      <c r="DG727" s="1530"/>
      <c r="DH727" s="1530"/>
      <c r="DI727" s="1530"/>
      <c r="DJ727" s="1530"/>
      <c r="DK727" s="1530"/>
      <c r="DL727" s="1530"/>
      <c r="DM727" s="1530"/>
      <c r="DN727" s="1571"/>
      <c r="DO727" s="1530"/>
      <c r="DP727" s="1530"/>
    </row>
    <row r="728" spans="1:120">
      <c r="A728" s="1451"/>
      <c r="C728" s="1451"/>
      <c r="K728" s="1451"/>
      <c r="L728" s="1451"/>
      <c r="U728" s="1530"/>
      <c r="V728" s="1530"/>
      <c r="W728" s="1530"/>
      <c r="X728" s="1530"/>
      <c r="Y728" s="1530"/>
      <c r="Z728" s="1530"/>
      <c r="AA728" s="1530"/>
      <c r="AB728" s="1530"/>
      <c r="AC728" s="1530"/>
      <c r="AD728" s="1530"/>
      <c r="AE728" s="1530"/>
      <c r="AF728" s="1530"/>
      <c r="AG728" s="1530"/>
      <c r="AH728" s="1530"/>
      <c r="AI728" s="1530"/>
      <c r="AJ728" s="1530"/>
      <c r="AK728" s="1530"/>
      <c r="AL728" s="1530"/>
      <c r="AM728" s="1530"/>
      <c r="AN728" s="1530"/>
      <c r="AO728" s="1530"/>
      <c r="AP728" s="1530"/>
      <c r="AQ728" s="1530"/>
      <c r="AR728" s="1530"/>
      <c r="AS728" s="1530"/>
      <c r="AT728" s="1530"/>
      <c r="AU728" s="1530"/>
      <c r="AV728" s="1530"/>
      <c r="AW728" s="1530"/>
      <c r="AX728" s="1530"/>
      <c r="AY728" s="1530"/>
      <c r="AZ728" s="1530"/>
      <c r="BA728" s="1530"/>
      <c r="BB728" s="1530"/>
      <c r="BC728" s="1530"/>
      <c r="BD728" s="1530"/>
      <c r="BE728" s="1530"/>
      <c r="BF728" s="1530"/>
      <c r="BG728" s="1530"/>
      <c r="BH728" s="1530"/>
      <c r="BI728" s="1530"/>
      <c r="BJ728" s="1530"/>
      <c r="BK728" s="1530"/>
      <c r="BL728" s="1530"/>
      <c r="BM728" s="1530"/>
      <c r="BN728" s="1530"/>
      <c r="BW728" s="1569"/>
      <c r="CO728" s="1530"/>
      <c r="CP728" s="1530"/>
      <c r="CQ728" s="1530"/>
      <c r="CR728" s="1530"/>
      <c r="CS728" s="1530"/>
      <c r="CT728" s="1530"/>
      <c r="CU728" s="1530"/>
      <c r="CV728" s="1530"/>
      <c r="CW728" s="1530"/>
      <c r="CX728" s="1530"/>
      <c r="CY728" s="1530"/>
      <c r="CZ728" s="1530"/>
      <c r="DA728" s="1530"/>
      <c r="DB728" s="1530"/>
      <c r="DC728" s="1530"/>
      <c r="DD728" s="1530"/>
      <c r="DE728" s="1530"/>
      <c r="DF728" s="1530"/>
      <c r="DG728" s="1530"/>
      <c r="DH728" s="1530"/>
      <c r="DI728" s="1530"/>
      <c r="DJ728" s="1530"/>
      <c r="DK728" s="1530"/>
      <c r="DL728" s="1530"/>
      <c r="DM728" s="1530"/>
      <c r="DN728" s="1571"/>
      <c r="DO728" s="1530"/>
      <c r="DP728" s="1530"/>
    </row>
    <row r="729" spans="1:120">
      <c r="A729" s="1451"/>
      <c r="C729" s="1451"/>
      <c r="K729" s="1451"/>
      <c r="L729" s="1451"/>
      <c r="U729" s="1530"/>
      <c r="V729" s="1530"/>
      <c r="W729" s="1530"/>
      <c r="X729" s="1530"/>
      <c r="Y729" s="1530"/>
      <c r="Z729" s="1530"/>
      <c r="AA729" s="1530"/>
      <c r="AB729" s="1530"/>
      <c r="AC729" s="1530"/>
      <c r="AD729" s="1530"/>
      <c r="AE729" s="1530"/>
      <c r="AF729" s="1530"/>
      <c r="AG729" s="1530"/>
      <c r="AH729" s="1530"/>
      <c r="AI729" s="1530"/>
      <c r="AJ729" s="1530"/>
      <c r="AK729" s="1530"/>
      <c r="AL729" s="1530"/>
      <c r="AM729" s="1530"/>
      <c r="AN729" s="1530"/>
      <c r="AO729" s="1530"/>
      <c r="AP729" s="1530"/>
      <c r="AQ729" s="1530"/>
      <c r="AR729" s="1530"/>
      <c r="AS729" s="1530"/>
      <c r="AT729" s="1530"/>
      <c r="AU729" s="1530"/>
      <c r="AV729" s="1530"/>
      <c r="AW729" s="1530"/>
      <c r="AX729" s="1530"/>
      <c r="AY729" s="1530"/>
      <c r="AZ729" s="1530"/>
      <c r="BA729" s="1530"/>
      <c r="BB729" s="1530"/>
      <c r="BC729" s="1530"/>
      <c r="BD729" s="1530"/>
      <c r="BE729" s="1530"/>
      <c r="BF729" s="1530"/>
      <c r="BG729" s="1530"/>
      <c r="BH729" s="1530"/>
      <c r="BI729" s="1530"/>
      <c r="BJ729" s="1530"/>
      <c r="BK729" s="1530"/>
      <c r="BL729" s="1530"/>
      <c r="BM729" s="1530"/>
      <c r="BN729" s="1530"/>
      <c r="BW729" s="1569"/>
      <c r="CO729" s="1530"/>
      <c r="CP729" s="1530"/>
      <c r="CQ729" s="1530"/>
      <c r="CR729" s="1530"/>
      <c r="CS729" s="1530"/>
      <c r="CT729" s="1530"/>
      <c r="CU729" s="1530"/>
      <c r="CV729" s="1530"/>
      <c r="CW729" s="1530"/>
      <c r="CX729" s="1530"/>
      <c r="CY729" s="1530"/>
      <c r="CZ729" s="1530"/>
      <c r="DA729" s="1530"/>
      <c r="DB729" s="1530"/>
      <c r="DC729" s="1530"/>
      <c r="DD729" s="1530"/>
      <c r="DE729" s="1530"/>
      <c r="DF729" s="1530"/>
      <c r="DG729" s="1530"/>
      <c r="DH729" s="1530"/>
      <c r="DI729" s="1530"/>
      <c r="DJ729" s="1530"/>
      <c r="DK729" s="1530"/>
      <c r="DL729" s="1530"/>
      <c r="DM729" s="1530"/>
      <c r="DN729" s="1571"/>
      <c r="DO729" s="1530"/>
      <c r="DP729" s="1530"/>
    </row>
    <row r="730" spans="1:120">
      <c r="A730" s="1451"/>
      <c r="C730" s="1451"/>
      <c r="K730" s="1451"/>
      <c r="L730" s="1451"/>
      <c r="U730" s="1530"/>
      <c r="V730" s="1530"/>
      <c r="W730" s="1530"/>
      <c r="X730" s="1530"/>
      <c r="Y730" s="1530"/>
      <c r="Z730" s="1530"/>
      <c r="AA730" s="1530"/>
      <c r="AB730" s="1530"/>
      <c r="AC730" s="1530"/>
      <c r="AD730" s="1530"/>
      <c r="AE730" s="1530"/>
      <c r="AF730" s="1530"/>
      <c r="AG730" s="1530"/>
      <c r="AH730" s="1530"/>
      <c r="AI730" s="1530"/>
      <c r="AJ730" s="1530"/>
      <c r="AK730" s="1530"/>
      <c r="AL730" s="1530"/>
      <c r="AM730" s="1530"/>
      <c r="AN730" s="1530"/>
      <c r="AO730" s="1530"/>
      <c r="AP730" s="1530"/>
      <c r="AQ730" s="1530"/>
      <c r="AR730" s="1530"/>
      <c r="AS730" s="1530"/>
      <c r="AT730" s="1530"/>
      <c r="AU730" s="1530"/>
      <c r="AV730" s="1530"/>
      <c r="AW730" s="1530"/>
      <c r="AX730" s="1530"/>
      <c r="AY730" s="1530"/>
      <c r="AZ730" s="1530"/>
      <c r="BA730" s="1530"/>
      <c r="BB730" s="1530"/>
      <c r="BC730" s="1530"/>
      <c r="BD730" s="1530"/>
      <c r="BE730" s="1530"/>
      <c r="BF730" s="1530"/>
      <c r="BG730" s="1530"/>
      <c r="BH730" s="1530"/>
      <c r="BI730" s="1530"/>
      <c r="BJ730" s="1530"/>
      <c r="BK730" s="1530"/>
      <c r="BL730" s="1530"/>
      <c r="BM730" s="1530"/>
      <c r="BN730" s="1530"/>
      <c r="BW730" s="1569"/>
      <c r="CO730" s="1530"/>
      <c r="CP730" s="1530"/>
      <c r="CQ730" s="1530"/>
      <c r="CR730" s="1530"/>
      <c r="CS730" s="1530"/>
      <c r="CT730" s="1530"/>
      <c r="CU730" s="1530"/>
      <c r="CV730" s="1530"/>
      <c r="CW730" s="1530"/>
      <c r="CX730" s="1530"/>
      <c r="CY730" s="1530"/>
      <c r="CZ730" s="1530"/>
      <c r="DA730" s="1530"/>
      <c r="DB730" s="1530"/>
      <c r="DC730" s="1530"/>
      <c r="DD730" s="1530"/>
      <c r="DE730" s="1530"/>
      <c r="DF730" s="1530"/>
      <c r="DG730" s="1530"/>
      <c r="DH730" s="1530"/>
      <c r="DI730" s="1530"/>
      <c r="DJ730" s="1530"/>
      <c r="DK730" s="1530"/>
      <c r="DL730" s="1530"/>
      <c r="DM730" s="1530"/>
      <c r="DN730" s="1571"/>
      <c r="DO730" s="1530"/>
      <c r="DP730" s="1530"/>
    </row>
    <row r="731" spans="1:120">
      <c r="A731" s="1451"/>
      <c r="C731" s="1451"/>
      <c r="K731" s="1451"/>
      <c r="L731" s="1451"/>
      <c r="U731" s="1530"/>
      <c r="V731" s="1530"/>
      <c r="W731" s="1530"/>
      <c r="X731" s="1530"/>
      <c r="Y731" s="1530"/>
      <c r="Z731" s="1530"/>
      <c r="AA731" s="1530"/>
      <c r="AB731" s="1530"/>
      <c r="AC731" s="1530"/>
      <c r="AD731" s="1530"/>
      <c r="AE731" s="1530"/>
      <c r="AF731" s="1530"/>
      <c r="AG731" s="1530"/>
      <c r="AH731" s="1530"/>
      <c r="AI731" s="1530"/>
      <c r="AJ731" s="1530"/>
      <c r="AK731" s="1530"/>
      <c r="AL731" s="1530"/>
      <c r="AM731" s="1530"/>
      <c r="AN731" s="1530"/>
      <c r="AO731" s="1530"/>
      <c r="AP731" s="1530"/>
      <c r="AQ731" s="1530"/>
      <c r="AR731" s="1530"/>
      <c r="AS731" s="1530"/>
      <c r="AT731" s="1530"/>
      <c r="AU731" s="1530"/>
      <c r="AV731" s="1530"/>
      <c r="AW731" s="1530"/>
      <c r="AX731" s="1530"/>
      <c r="AY731" s="1530"/>
      <c r="AZ731" s="1530"/>
      <c r="BA731" s="1530"/>
      <c r="BB731" s="1530"/>
      <c r="BC731" s="1530"/>
      <c r="BD731" s="1530"/>
      <c r="BE731" s="1530"/>
      <c r="BF731" s="1530"/>
      <c r="BG731" s="1530"/>
      <c r="BH731" s="1530"/>
      <c r="BI731" s="1530"/>
      <c r="BJ731" s="1530"/>
      <c r="BK731" s="1530"/>
      <c r="BL731" s="1530"/>
      <c r="BM731" s="1530"/>
      <c r="BN731" s="1530"/>
      <c r="BW731" s="1569"/>
      <c r="CO731" s="1530"/>
      <c r="CP731" s="1530"/>
      <c r="CQ731" s="1530"/>
      <c r="CR731" s="1530"/>
      <c r="CS731" s="1530"/>
      <c r="CT731" s="1530"/>
      <c r="CU731" s="1530"/>
      <c r="CV731" s="1530"/>
      <c r="CW731" s="1530"/>
      <c r="CX731" s="1530"/>
      <c r="CY731" s="1530"/>
      <c r="CZ731" s="1530"/>
      <c r="DA731" s="1530"/>
      <c r="DB731" s="1530"/>
      <c r="DC731" s="1530"/>
      <c r="DD731" s="1530"/>
      <c r="DE731" s="1530"/>
      <c r="DF731" s="1530"/>
      <c r="DG731" s="1530"/>
      <c r="DH731" s="1530"/>
      <c r="DI731" s="1530"/>
      <c r="DJ731" s="1530"/>
      <c r="DK731" s="1530"/>
      <c r="DL731" s="1530"/>
      <c r="DM731" s="1530"/>
      <c r="DN731" s="1571"/>
      <c r="DO731" s="1530"/>
      <c r="DP731" s="1530"/>
    </row>
    <row r="732" spans="1:120">
      <c r="A732" s="1451"/>
      <c r="C732" s="1451"/>
      <c r="K732" s="1451"/>
      <c r="L732" s="1451"/>
      <c r="U732" s="1530"/>
      <c r="V732" s="1530"/>
      <c r="W732" s="1530"/>
      <c r="X732" s="1530"/>
      <c r="Y732" s="1530"/>
      <c r="Z732" s="1530"/>
      <c r="AA732" s="1530"/>
      <c r="AB732" s="1530"/>
      <c r="AC732" s="1530"/>
      <c r="AD732" s="1530"/>
      <c r="AE732" s="1530"/>
      <c r="AF732" s="1530"/>
      <c r="AG732" s="1530"/>
      <c r="AH732" s="1530"/>
      <c r="AI732" s="1530"/>
      <c r="AJ732" s="1530"/>
      <c r="AK732" s="1530"/>
      <c r="AL732" s="1530"/>
      <c r="AM732" s="1530"/>
      <c r="AN732" s="1530"/>
      <c r="AO732" s="1530"/>
      <c r="AP732" s="1530"/>
      <c r="AQ732" s="1530"/>
      <c r="AR732" s="1530"/>
      <c r="AS732" s="1530"/>
      <c r="AT732" s="1530"/>
      <c r="AU732" s="1530"/>
      <c r="AV732" s="1530"/>
      <c r="AW732" s="1530"/>
      <c r="AX732" s="1530"/>
      <c r="AY732" s="1530"/>
      <c r="AZ732" s="1530"/>
      <c r="BA732" s="1530"/>
      <c r="BB732" s="1530"/>
      <c r="BC732" s="1530"/>
      <c r="BD732" s="1530"/>
      <c r="BE732" s="1530"/>
      <c r="BF732" s="1530"/>
      <c r="BG732" s="1530"/>
      <c r="BH732" s="1530"/>
      <c r="BI732" s="1530"/>
      <c r="BJ732" s="1530"/>
      <c r="BK732" s="1530"/>
      <c r="BL732" s="1530"/>
      <c r="BM732" s="1530"/>
      <c r="BN732" s="1530"/>
      <c r="BW732" s="1569"/>
      <c r="CO732" s="1530"/>
      <c r="CP732" s="1530"/>
      <c r="CQ732" s="1530"/>
      <c r="CR732" s="1530"/>
      <c r="CS732" s="1530"/>
      <c r="CT732" s="1530"/>
      <c r="CU732" s="1530"/>
      <c r="CV732" s="1530"/>
      <c r="CW732" s="1530"/>
      <c r="CX732" s="1530"/>
      <c r="CY732" s="1530"/>
      <c r="CZ732" s="1530"/>
      <c r="DA732" s="1530"/>
      <c r="DB732" s="1530"/>
      <c r="DC732" s="1530"/>
      <c r="DD732" s="1530"/>
      <c r="DE732" s="1530"/>
      <c r="DF732" s="1530"/>
      <c r="DG732" s="1530"/>
      <c r="DH732" s="1530"/>
      <c r="DI732" s="1530"/>
      <c r="DJ732" s="1530"/>
      <c r="DK732" s="1530"/>
      <c r="DL732" s="1530"/>
      <c r="DM732" s="1530"/>
      <c r="DN732" s="1571"/>
      <c r="DO732" s="1530"/>
      <c r="DP732" s="1530"/>
    </row>
    <row r="733" spans="1:120">
      <c r="A733" s="1451"/>
      <c r="C733" s="1451"/>
      <c r="K733" s="1451"/>
      <c r="L733" s="1451"/>
      <c r="U733" s="1530"/>
      <c r="V733" s="1530"/>
      <c r="W733" s="1530"/>
      <c r="X733" s="1530"/>
      <c r="Y733" s="1530"/>
      <c r="Z733" s="1530"/>
      <c r="AA733" s="1530"/>
      <c r="AB733" s="1530"/>
      <c r="AC733" s="1530"/>
      <c r="AD733" s="1530"/>
      <c r="AE733" s="1530"/>
      <c r="AF733" s="1530"/>
      <c r="AG733" s="1530"/>
      <c r="AH733" s="1530"/>
      <c r="AI733" s="1530"/>
      <c r="AJ733" s="1530"/>
      <c r="AK733" s="1530"/>
      <c r="AL733" s="1530"/>
      <c r="AM733" s="1530"/>
      <c r="AN733" s="1530"/>
      <c r="AO733" s="1530"/>
      <c r="AP733" s="1530"/>
      <c r="AQ733" s="1530"/>
      <c r="AR733" s="1530"/>
      <c r="AS733" s="1530"/>
      <c r="AT733" s="1530"/>
      <c r="AU733" s="1530"/>
      <c r="AV733" s="1530"/>
      <c r="AW733" s="1530"/>
      <c r="AX733" s="1530"/>
      <c r="AY733" s="1530"/>
      <c r="AZ733" s="1530"/>
      <c r="BA733" s="1530"/>
      <c r="BB733" s="1530"/>
      <c r="BC733" s="1530"/>
      <c r="BD733" s="1530"/>
      <c r="BE733" s="1530"/>
      <c r="BF733" s="1530"/>
      <c r="BG733" s="1530"/>
      <c r="BH733" s="1530"/>
      <c r="BI733" s="1530"/>
      <c r="BJ733" s="1530"/>
      <c r="BK733" s="1530"/>
      <c r="BL733" s="1530"/>
      <c r="BM733" s="1530"/>
      <c r="BN733" s="1530"/>
      <c r="BW733" s="1569"/>
      <c r="CO733" s="1530"/>
      <c r="CP733" s="1530"/>
      <c r="CQ733" s="1530"/>
      <c r="CR733" s="1530"/>
      <c r="CS733" s="1530"/>
      <c r="CT733" s="1530"/>
      <c r="CU733" s="1530"/>
      <c r="CV733" s="1530"/>
      <c r="CW733" s="1530"/>
      <c r="CX733" s="1530"/>
      <c r="CY733" s="1530"/>
      <c r="CZ733" s="1530"/>
      <c r="DA733" s="1530"/>
      <c r="DB733" s="1530"/>
      <c r="DC733" s="1530"/>
      <c r="DD733" s="1530"/>
      <c r="DE733" s="1530"/>
      <c r="DF733" s="1530"/>
      <c r="DG733" s="1530"/>
      <c r="DH733" s="1530"/>
      <c r="DI733" s="1530"/>
      <c r="DJ733" s="1530"/>
      <c r="DK733" s="1530"/>
      <c r="DL733" s="1530"/>
      <c r="DM733" s="1530"/>
      <c r="DN733" s="1571"/>
      <c r="DO733" s="1530"/>
      <c r="DP733" s="1530"/>
    </row>
    <row r="734" spans="1:120">
      <c r="A734" s="1451"/>
      <c r="C734" s="1451"/>
      <c r="K734" s="1451"/>
      <c r="L734" s="1451"/>
      <c r="U734" s="1530"/>
      <c r="V734" s="1530"/>
      <c r="W734" s="1530"/>
      <c r="X734" s="1530"/>
      <c r="Y734" s="1530"/>
      <c r="Z734" s="1530"/>
      <c r="AA734" s="1530"/>
      <c r="AB734" s="1530"/>
      <c r="AC734" s="1530"/>
      <c r="AD734" s="1530"/>
      <c r="AE734" s="1530"/>
      <c r="AF734" s="1530"/>
      <c r="AG734" s="1530"/>
      <c r="AH734" s="1530"/>
      <c r="AI734" s="1530"/>
      <c r="AJ734" s="1530"/>
      <c r="AK734" s="1530"/>
      <c r="AL734" s="1530"/>
      <c r="AM734" s="1530"/>
      <c r="AN734" s="1530"/>
      <c r="AO734" s="1530"/>
      <c r="AP734" s="1530"/>
      <c r="AQ734" s="1530"/>
      <c r="AR734" s="1530"/>
      <c r="AS734" s="1530"/>
      <c r="AT734" s="1530"/>
      <c r="AU734" s="1530"/>
      <c r="AV734" s="1530"/>
      <c r="AW734" s="1530"/>
      <c r="AX734" s="1530"/>
      <c r="AY734" s="1530"/>
      <c r="AZ734" s="1530"/>
      <c r="BA734" s="1530"/>
      <c r="BB734" s="1530"/>
      <c r="BC734" s="1530"/>
      <c r="BD734" s="1530"/>
      <c r="BE734" s="1530"/>
      <c r="BF734" s="1530"/>
      <c r="BG734" s="1530"/>
      <c r="BH734" s="1530"/>
      <c r="BI734" s="1530"/>
      <c r="BJ734" s="1530"/>
      <c r="BK734" s="1530"/>
      <c r="BL734" s="1530"/>
      <c r="BM734" s="1530"/>
      <c r="BN734" s="1530"/>
      <c r="BW734" s="1569"/>
      <c r="CO734" s="1530"/>
      <c r="CP734" s="1530"/>
      <c r="CQ734" s="1530"/>
      <c r="CR734" s="1530"/>
      <c r="CS734" s="1530"/>
      <c r="CT734" s="1530"/>
      <c r="CU734" s="1530"/>
      <c r="CV734" s="1530"/>
      <c r="CW734" s="1530"/>
      <c r="CX734" s="1530"/>
      <c r="CY734" s="1530"/>
      <c r="CZ734" s="1530"/>
      <c r="DA734" s="1530"/>
      <c r="DB734" s="1530"/>
      <c r="DC734" s="1530"/>
      <c r="DD734" s="1530"/>
      <c r="DE734" s="1530"/>
      <c r="DF734" s="1530"/>
      <c r="DG734" s="1530"/>
      <c r="DH734" s="1530"/>
      <c r="DI734" s="1530"/>
      <c r="DJ734" s="1530"/>
      <c r="DK734" s="1530"/>
      <c r="DL734" s="1530"/>
      <c r="DM734" s="1530"/>
      <c r="DN734" s="1571"/>
      <c r="DO734" s="1530"/>
      <c r="DP734" s="1530"/>
    </row>
    <row r="735" spans="1:120">
      <c r="A735" s="1451"/>
      <c r="C735" s="1451"/>
      <c r="K735" s="1451"/>
      <c r="L735" s="1451"/>
      <c r="U735" s="1530"/>
      <c r="V735" s="1530"/>
      <c r="W735" s="1530"/>
      <c r="X735" s="1530"/>
      <c r="Y735" s="1530"/>
      <c r="Z735" s="1530"/>
      <c r="AA735" s="1530"/>
      <c r="AB735" s="1530"/>
      <c r="AC735" s="1530"/>
      <c r="AD735" s="1530"/>
      <c r="AE735" s="1530"/>
      <c r="AF735" s="1530"/>
      <c r="AG735" s="1530"/>
      <c r="AH735" s="1530"/>
      <c r="AI735" s="1530"/>
      <c r="AJ735" s="1530"/>
      <c r="AK735" s="1530"/>
      <c r="AL735" s="1530"/>
      <c r="AM735" s="1530"/>
      <c r="AN735" s="1530"/>
      <c r="AO735" s="1530"/>
      <c r="AP735" s="1530"/>
      <c r="AQ735" s="1530"/>
      <c r="AR735" s="1530"/>
      <c r="AS735" s="1530"/>
      <c r="AT735" s="1530"/>
      <c r="AU735" s="1530"/>
      <c r="AV735" s="1530"/>
      <c r="AW735" s="1530"/>
      <c r="AX735" s="1530"/>
      <c r="AY735" s="1530"/>
      <c r="AZ735" s="1530"/>
      <c r="BA735" s="1530"/>
      <c r="BB735" s="1530"/>
      <c r="BC735" s="1530"/>
      <c r="BD735" s="1530"/>
      <c r="BE735" s="1530"/>
      <c r="BF735" s="1530"/>
      <c r="BG735" s="1530"/>
      <c r="BH735" s="1530"/>
      <c r="BI735" s="1530"/>
      <c r="BJ735" s="1530"/>
      <c r="BK735" s="1530"/>
      <c r="BL735" s="1530"/>
      <c r="BM735" s="1530"/>
      <c r="BN735" s="1530"/>
      <c r="BW735" s="1569"/>
      <c r="CO735" s="1530"/>
      <c r="CP735" s="1530"/>
      <c r="CQ735" s="1530"/>
      <c r="CR735" s="1530"/>
      <c r="CS735" s="1530"/>
      <c r="CT735" s="1530"/>
      <c r="CU735" s="1530"/>
      <c r="CV735" s="1530"/>
      <c r="CW735" s="1530"/>
      <c r="CX735" s="1530"/>
      <c r="CY735" s="1530"/>
      <c r="CZ735" s="1530"/>
      <c r="DA735" s="1530"/>
      <c r="DB735" s="1530"/>
      <c r="DC735" s="1530"/>
      <c r="DD735" s="1530"/>
      <c r="DE735" s="1530"/>
      <c r="DF735" s="1530"/>
      <c r="DG735" s="1530"/>
      <c r="DH735" s="1530"/>
      <c r="DI735" s="1530"/>
      <c r="DJ735" s="1530"/>
      <c r="DK735" s="1530"/>
      <c r="DL735" s="1530"/>
      <c r="DM735" s="1530"/>
      <c r="DN735" s="1571"/>
      <c r="DO735" s="1530"/>
      <c r="DP735" s="1530"/>
    </row>
    <row r="736" spans="1:120">
      <c r="A736" s="1451"/>
      <c r="C736" s="1451"/>
      <c r="K736" s="1451"/>
      <c r="L736" s="1451"/>
      <c r="U736" s="1530"/>
      <c r="V736" s="1530"/>
      <c r="W736" s="1530"/>
      <c r="X736" s="1530"/>
      <c r="Y736" s="1530"/>
      <c r="Z736" s="1530"/>
      <c r="AA736" s="1530"/>
      <c r="AB736" s="1530"/>
      <c r="AC736" s="1530"/>
      <c r="AD736" s="1530"/>
      <c r="AE736" s="1530"/>
      <c r="AF736" s="1530"/>
      <c r="AG736" s="1530"/>
      <c r="AH736" s="1530"/>
      <c r="AI736" s="1530"/>
      <c r="AJ736" s="1530"/>
      <c r="AK736" s="1530"/>
      <c r="AL736" s="1530"/>
      <c r="AM736" s="1530"/>
      <c r="AN736" s="1530"/>
      <c r="AO736" s="1530"/>
      <c r="AP736" s="1530"/>
      <c r="AQ736" s="1530"/>
      <c r="AR736" s="1530"/>
      <c r="AS736" s="1530"/>
      <c r="AT736" s="1530"/>
      <c r="AU736" s="1530"/>
      <c r="AV736" s="1530"/>
      <c r="AW736" s="1530"/>
      <c r="AX736" s="1530"/>
      <c r="AY736" s="1530"/>
      <c r="AZ736" s="1530"/>
      <c r="BA736" s="1530"/>
      <c r="BB736" s="1530"/>
      <c r="BC736" s="1530"/>
      <c r="BD736" s="1530"/>
      <c r="BE736" s="1530"/>
      <c r="BF736" s="1530"/>
      <c r="BG736" s="1530"/>
      <c r="BH736" s="1530"/>
      <c r="BI736" s="1530"/>
      <c r="BJ736" s="1530"/>
      <c r="BK736" s="1530"/>
      <c r="BL736" s="1530"/>
      <c r="BM736" s="1530"/>
      <c r="BN736" s="1530"/>
      <c r="BW736" s="1569"/>
      <c r="CO736" s="1530"/>
      <c r="CP736" s="1530"/>
      <c r="CQ736" s="1530"/>
      <c r="CR736" s="1530"/>
      <c r="CS736" s="1530"/>
      <c r="CT736" s="1530"/>
      <c r="CU736" s="1530"/>
      <c r="CV736" s="1530"/>
      <c r="CW736" s="1530"/>
      <c r="CX736" s="1530"/>
      <c r="CY736" s="1530"/>
      <c r="CZ736" s="1530"/>
      <c r="DA736" s="1530"/>
      <c r="DB736" s="1530"/>
      <c r="DC736" s="1530"/>
      <c r="DD736" s="1530"/>
      <c r="DE736" s="1530"/>
      <c r="DF736" s="1530"/>
      <c r="DG736" s="1530"/>
      <c r="DH736" s="1530"/>
      <c r="DI736" s="1530"/>
      <c r="DJ736" s="1530"/>
      <c r="DK736" s="1530"/>
      <c r="DL736" s="1530"/>
      <c r="DM736" s="1530"/>
      <c r="DN736" s="1571"/>
      <c r="DO736" s="1530"/>
      <c r="DP736" s="1530"/>
    </row>
    <row r="737" spans="1:120">
      <c r="A737" s="1451"/>
      <c r="C737" s="1451"/>
      <c r="K737" s="1451"/>
      <c r="L737" s="1451"/>
      <c r="U737" s="1530"/>
      <c r="V737" s="1530"/>
      <c r="W737" s="1530"/>
      <c r="X737" s="1530"/>
      <c r="Y737" s="1530"/>
      <c r="Z737" s="1530"/>
      <c r="AA737" s="1530"/>
      <c r="AB737" s="1530"/>
      <c r="AC737" s="1530"/>
      <c r="AD737" s="1530"/>
      <c r="AE737" s="1530"/>
      <c r="AF737" s="1530"/>
      <c r="AG737" s="1530"/>
      <c r="AH737" s="1530"/>
      <c r="AI737" s="1530"/>
      <c r="AJ737" s="1530"/>
      <c r="AK737" s="1530"/>
      <c r="AL737" s="1530"/>
      <c r="AM737" s="1530"/>
      <c r="AN737" s="1530"/>
      <c r="AO737" s="1530"/>
      <c r="AP737" s="1530"/>
      <c r="AQ737" s="1530"/>
      <c r="AR737" s="1530"/>
      <c r="AS737" s="1530"/>
      <c r="AT737" s="1530"/>
      <c r="AU737" s="1530"/>
      <c r="AV737" s="1530"/>
      <c r="AW737" s="1530"/>
      <c r="AX737" s="1530"/>
      <c r="AY737" s="1530"/>
      <c r="AZ737" s="1530"/>
      <c r="BA737" s="1530"/>
      <c r="BB737" s="1530"/>
      <c r="BC737" s="1530"/>
      <c r="BD737" s="1530"/>
      <c r="BE737" s="1530"/>
      <c r="BF737" s="1530"/>
      <c r="BG737" s="1530"/>
      <c r="BH737" s="1530"/>
      <c r="BI737" s="1530"/>
      <c r="BJ737" s="1530"/>
      <c r="BK737" s="1530"/>
      <c r="BL737" s="1530"/>
      <c r="BM737" s="1530"/>
      <c r="BN737" s="1530"/>
      <c r="BW737" s="1569"/>
      <c r="CO737" s="1530"/>
      <c r="CP737" s="1530"/>
      <c r="CQ737" s="1530"/>
      <c r="CR737" s="1530"/>
      <c r="CS737" s="1530"/>
      <c r="CT737" s="1530"/>
      <c r="CU737" s="1530"/>
      <c r="CV737" s="1530"/>
      <c r="CW737" s="1530"/>
      <c r="CX737" s="1530"/>
      <c r="CY737" s="1530"/>
      <c r="CZ737" s="1530"/>
      <c r="DA737" s="1530"/>
      <c r="DB737" s="1530"/>
      <c r="DC737" s="1530"/>
      <c r="DD737" s="1530"/>
      <c r="DE737" s="1530"/>
      <c r="DF737" s="1530"/>
      <c r="DG737" s="1530"/>
      <c r="DH737" s="1530"/>
      <c r="DI737" s="1530"/>
      <c r="DJ737" s="1530"/>
      <c r="DK737" s="1530"/>
      <c r="DL737" s="1530"/>
      <c r="DM737" s="1530"/>
      <c r="DN737" s="1571"/>
      <c r="DO737" s="1530"/>
      <c r="DP737" s="1530"/>
    </row>
    <row r="738" spans="1:120">
      <c r="A738" s="1451"/>
      <c r="C738" s="1451"/>
      <c r="K738" s="1451"/>
      <c r="L738" s="1451"/>
      <c r="U738" s="1530"/>
      <c r="V738" s="1530"/>
      <c r="W738" s="1530"/>
      <c r="X738" s="1530"/>
      <c r="Y738" s="1530"/>
      <c r="Z738" s="1530"/>
      <c r="AA738" s="1530"/>
      <c r="AB738" s="1530"/>
      <c r="AC738" s="1530"/>
      <c r="AD738" s="1530"/>
      <c r="AE738" s="1530"/>
      <c r="AF738" s="1530"/>
      <c r="AG738" s="1530"/>
      <c r="AH738" s="1530"/>
      <c r="AI738" s="1530"/>
      <c r="AJ738" s="1530"/>
      <c r="AK738" s="1530"/>
      <c r="AL738" s="1530"/>
      <c r="AM738" s="1530"/>
      <c r="AN738" s="1530"/>
      <c r="AO738" s="1530"/>
      <c r="AP738" s="1530"/>
      <c r="AQ738" s="1530"/>
      <c r="AR738" s="1530"/>
      <c r="AS738" s="1530"/>
      <c r="AT738" s="1530"/>
      <c r="AU738" s="1530"/>
      <c r="AV738" s="1530"/>
      <c r="AW738" s="1530"/>
      <c r="AX738" s="1530"/>
      <c r="AY738" s="1530"/>
      <c r="AZ738" s="1530"/>
      <c r="BA738" s="1530"/>
      <c r="BB738" s="1530"/>
      <c r="BC738" s="1530"/>
      <c r="BD738" s="1530"/>
      <c r="BE738" s="1530"/>
      <c r="BF738" s="1530"/>
      <c r="BG738" s="1530"/>
      <c r="BH738" s="1530"/>
      <c r="BI738" s="1530"/>
      <c r="BJ738" s="1530"/>
      <c r="BK738" s="1530"/>
      <c r="BL738" s="1530"/>
      <c r="BM738" s="1530"/>
      <c r="BN738" s="1530"/>
      <c r="BW738" s="1569"/>
      <c r="CO738" s="1530"/>
      <c r="CP738" s="1530"/>
      <c r="CQ738" s="1530"/>
      <c r="CR738" s="1530"/>
      <c r="CS738" s="1530"/>
      <c r="CT738" s="1530"/>
      <c r="CU738" s="1530"/>
      <c r="CV738" s="1530"/>
      <c r="CW738" s="1530"/>
      <c r="CX738" s="1530"/>
      <c r="CY738" s="1530"/>
      <c r="CZ738" s="1530"/>
      <c r="DA738" s="1530"/>
      <c r="DB738" s="1530"/>
      <c r="DC738" s="1530"/>
      <c r="DD738" s="1530"/>
      <c r="DE738" s="1530"/>
      <c r="DF738" s="1530"/>
      <c r="DG738" s="1530"/>
      <c r="DH738" s="1530"/>
      <c r="DI738" s="1530"/>
      <c r="DJ738" s="1530"/>
      <c r="DK738" s="1530"/>
      <c r="DL738" s="1530"/>
      <c r="DM738" s="1530"/>
      <c r="DN738" s="1571"/>
      <c r="DO738" s="1530"/>
      <c r="DP738" s="1530"/>
    </row>
    <row r="739" spans="1:120">
      <c r="A739" s="1451"/>
      <c r="C739" s="1451"/>
      <c r="K739" s="1451"/>
      <c r="L739" s="1451"/>
      <c r="U739" s="1530"/>
      <c r="V739" s="1530"/>
      <c r="W739" s="1530"/>
      <c r="X739" s="1530"/>
      <c r="Y739" s="1530"/>
      <c r="Z739" s="1530"/>
      <c r="AA739" s="1530"/>
      <c r="AB739" s="1530"/>
      <c r="AC739" s="1530"/>
      <c r="AD739" s="1530"/>
      <c r="AE739" s="1530"/>
      <c r="AF739" s="1530"/>
      <c r="AG739" s="1530"/>
      <c r="AH739" s="1530"/>
      <c r="AI739" s="1530"/>
      <c r="AJ739" s="1530"/>
      <c r="AK739" s="1530"/>
      <c r="AL739" s="1530"/>
      <c r="AM739" s="1530"/>
      <c r="AN739" s="1530"/>
      <c r="AO739" s="1530"/>
      <c r="AP739" s="1530"/>
      <c r="AQ739" s="1530"/>
      <c r="AR739" s="1530"/>
      <c r="AS739" s="1530"/>
      <c r="AT739" s="1530"/>
      <c r="AU739" s="1530"/>
      <c r="AV739" s="1530"/>
      <c r="AW739" s="1530"/>
      <c r="AX739" s="1530"/>
      <c r="AY739" s="1530"/>
      <c r="AZ739" s="1530"/>
      <c r="BA739" s="1530"/>
      <c r="BB739" s="1530"/>
      <c r="BC739" s="1530"/>
      <c r="BD739" s="1530"/>
      <c r="BE739" s="1530"/>
      <c r="BF739" s="1530"/>
      <c r="BG739" s="1530"/>
      <c r="BH739" s="1530"/>
      <c r="BI739" s="1530"/>
      <c r="BJ739" s="1530"/>
      <c r="BK739" s="1530"/>
      <c r="BL739" s="1530"/>
      <c r="BM739" s="1530"/>
      <c r="BN739" s="1530"/>
      <c r="BW739" s="1569"/>
      <c r="CO739" s="1530"/>
      <c r="CP739" s="1530"/>
      <c r="CQ739" s="1530"/>
      <c r="CR739" s="1530"/>
      <c r="CS739" s="1530"/>
      <c r="CT739" s="1530"/>
      <c r="CU739" s="1530"/>
      <c r="CV739" s="1530"/>
      <c r="CW739" s="1530"/>
      <c r="CX739" s="1530"/>
      <c r="CY739" s="1530"/>
      <c r="CZ739" s="1530"/>
      <c r="DA739" s="1530"/>
      <c r="DB739" s="1530"/>
      <c r="DC739" s="1530"/>
      <c r="DD739" s="1530"/>
      <c r="DE739" s="1530"/>
      <c r="DF739" s="1530"/>
      <c r="DG739" s="1530"/>
      <c r="DH739" s="1530"/>
      <c r="DI739" s="1530"/>
      <c r="DJ739" s="1530"/>
      <c r="DK739" s="1530"/>
      <c r="DL739" s="1530"/>
      <c r="DM739" s="1530"/>
      <c r="DN739" s="1571"/>
      <c r="DO739" s="1530"/>
      <c r="DP739" s="1530"/>
    </row>
    <row r="740" spans="1:120">
      <c r="A740" s="1451"/>
      <c r="C740" s="1451"/>
      <c r="K740" s="1451"/>
      <c r="L740" s="1451"/>
      <c r="U740" s="1530"/>
      <c r="V740" s="1530"/>
      <c r="W740" s="1530"/>
      <c r="X740" s="1530"/>
      <c r="Y740" s="1530"/>
      <c r="Z740" s="1530"/>
      <c r="AA740" s="1530"/>
      <c r="AB740" s="1530"/>
      <c r="AC740" s="1530"/>
      <c r="AD740" s="1530"/>
      <c r="AE740" s="1530"/>
      <c r="AF740" s="1530"/>
      <c r="AG740" s="1530"/>
      <c r="AH740" s="1530"/>
      <c r="AI740" s="1530"/>
      <c r="AJ740" s="1530"/>
      <c r="AK740" s="1530"/>
      <c r="AL740" s="1530"/>
      <c r="AM740" s="1530"/>
      <c r="AN740" s="1530"/>
      <c r="AO740" s="1530"/>
      <c r="AP740" s="1530"/>
      <c r="AQ740" s="1530"/>
      <c r="AR740" s="1530"/>
      <c r="AS740" s="1530"/>
      <c r="AT740" s="1530"/>
      <c r="AU740" s="1530"/>
      <c r="AV740" s="1530"/>
      <c r="AW740" s="1530"/>
      <c r="AX740" s="1530"/>
      <c r="AY740" s="1530"/>
      <c r="AZ740" s="1530"/>
      <c r="BA740" s="1530"/>
      <c r="BB740" s="1530"/>
      <c r="BC740" s="1530"/>
      <c r="BD740" s="1530"/>
      <c r="BE740" s="1530"/>
      <c r="BF740" s="1530"/>
      <c r="BG740" s="1530"/>
      <c r="BH740" s="1530"/>
      <c r="BI740" s="1530"/>
      <c r="BJ740" s="1530"/>
      <c r="BK740" s="1530"/>
      <c r="BL740" s="1530"/>
      <c r="BM740" s="1530"/>
      <c r="BN740" s="1530"/>
      <c r="BW740" s="1569"/>
      <c r="CO740" s="1530"/>
      <c r="CP740" s="1530"/>
      <c r="CQ740" s="1530"/>
      <c r="CR740" s="1530"/>
      <c r="CS740" s="1530"/>
      <c r="CT740" s="1530"/>
      <c r="CU740" s="1530"/>
      <c r="CV740" s="1530"/>
      <c r="CW740" s="1530"/>
      <c r="CX740" s="1530"/>
      <c r="CY740" s="1530"/>
      <c r="CZ740" s="1530"/>
      <c r="DA740" s="1530"/>
      <c r="DB740" s="1530"/>
      <c r="DC740" s="1530"/>
      <c r="DD740" s="1530"/>
      <c r="DE740" s="1530"/>
      <c r="DF740" s="1530"/>
      <c r="DG740" s="1530"/>
      <c r="DH740" s="1530"/>
      <c r="DI740" s="1530"/>
      <c r="DJ740" s="1530"/>
      <c r="DK740" s="1530"/>
      <c r="DL740" s="1530"/>
      <c r="DM740" s="1530"/>
      <c r="DN740" s="1571"/>
      <c r="DO740" s="1530"/>
      <c r="DP740" s="1530"/>
    </row>
    <row r="741" spans="1:120">
      <c r="A741" s="1451"/>
      <c r="C741" s="1451"/>
      <c r="K741" s="1451"/>
      <c r="L741" s="1451"/>
      <c r="U741" s="1530"/>
      <c r="V741" s="1530"/>
      <c r="W741" s="1530"/>
      <c r="X741" s="1530"/>
      <c r="Y741" s="1530"/>
      <c r="Z741" s="1530"/>
      <c r="AA741" s="1530"/>
      <c r="AB741" s="1530"/>
      <c r="AC741" s="1530"/>
      <c r="AD741" s="1530"/>
      <c r="AE741" s="1530"/>
      <c r="AF741" s="1530"/>
      <c r="AG741" s="1530"/>
      <c r="AH741" s="1530"/>
      <c r="AI741" s="1530"/>
      <c r="AJ741" s="1530"/>
      <c r="AK741" s="1530"/>
      <c r="AL741" s="1530"/>
      <c r="AM741" s="1530"/>
      <c r="AN741" s="1530"/>
      <c r="AO741" s="1530"/>
      <c r="AP741" s="1530"/>
      <c r="AQ741" s="1530"/>
      <c r="AR741" s="1530"/>
      <c r="AS741" s="1530"/>
      <c r="AT741" s="1530"/>
      <c r="AU741" s="1530"/>
      <c r="AV741" s="1530"/>
      <c r="AW741" s="1530"/>
      <c r="AX741" s="1530"/>
      <c r="AY741" s="1530"/>
      <c r="AZ741" s="1530"/>
      <c r="BA741" s="1530"/>
      <c r="BB741" s="1530"/>
      <c r="BC741" s="1530"/>
      <c r="BD741" s="1530"/>
      <c r="BE741" s="1530"/>
      <c r="BF741" s="1530"/>
      <c r="BG741" s="1530"/>
      <c r="BH741" s="1530"/>
      <c r="BI741" s="1530"/>
      <c r="BJ741" s="1530"/>
      <c r="BK741" s="1530"/>
      <c r="BL741" s="1530"/>
      <c r="BM741" s="1530"/>
      <c r="BN741" s="1530"/>
      <c r="BW741" s="1569"/>
      <c r="CO741" s="1530"/>
      <c r="CP741" s="1530"/>
      <c r="CQ741" s="1530"/>
      <c r="CR741" s="1530"/>
      <c r="CS741" s="1530"/>
      <c r="CT741" s="1530"/>
      <c r="CU741" s="1530"/>
      <c r="CV741" s="1530"/>
      <c r="CW741" s="1530"/>
      <c r="CX741" s="1530"/>
      <c r="CY741" s="1530"/>
      <c r="CZ741" s="1530"/>
      <c r="DA741" s="1530"/>
      <c r="DB741" s="1530"/>
      <c r="DC741" s="1530"/>
      <c r="DD741" s="1530"/>
      <c r="DE741" s="1530"/>
      <c r="DF741" s="1530"/>
      <c r="DG741" s="1530"/>
      <c r="DH741" s="1530"/>
      <c r="DI741" s="1530"/>
      <c r="DJ741" s="1530"/>
      <c r="DK741" s="1530"/>
      <c r="DL741" s="1530"/>
      <c r="DM741" s="1530"/>
      <c r="DN741" s="1571"/>
      <c r="DO741" s="1530"/>
      <c r="DP741" s="1530"/>
    </row>
    <row r="742" spans="1:120">
      <c r="A742" s="1451"/>
      <c r="C742" s="1451"/>
      <c r="K742" s="1451"/>
      <c r="L742" s="1451"/>
      <c r="U742" s="1530"/>
      <c r="V742" s="1530"/>
      <c r="W742" s="1530"/>
      <c r="X742" s="1530"/>
      <c r="Y742" s="1530"/>
      <c r="Z742" s="1530"/>
      <c r="AA742" s="1530"/>
      <c r="AB742" s="1530"/>
      <c r="AC742" s="1530"/>
      <c r="AD742" s="1530"/>
      <c r="AE742" s="1530"/>
      <c r="AF742" s="1530"/>
      <c r="AG742" s="1530"/>
      <c r="AH742" s="1530"/>
      <c r="AI742" s="1530"/>
      <c r="AJ742" s="1530"/>
      <c r="AK742" s="1530"/>
      <c r="AL742" s="1530"/>
      <c r="AM742" s="1530"/>
      <c r="AN742" s="1530"/>
      <c r="AO742" s="1530"/>
      <c r="AP742" s="1530"/>
      <c r="AQ742" s="1530"/>
      <c r="AR742" s="1530"/>
      <c r="AS742" s="1530"/>
      <c r="AT742" s="1530"/>
      <c r="AU742" s="1530"/>
      <c r="AV742" s="1530"/>
      <c r="AW742" s="1530"/>
      <c r="AX742" s="1530"/>
      <c r="AY742" s="1530"/>
      <c r="AZ742" s="1530"/>
      <c r="BA742" s="1530"/>
      <c r="BB742" s="1530"/>
      <c r="BC742" s="1530"/>
      <c r="BD742" s="1530"/>
      <c r="BE742" s="1530"/>
      <c r="BF742" s="1530"/>
      <c r="BG742" s="1530"/>
      <c r="BH742" s="1530"/>
      <c r="BI742" s="1530"/>
      <c r="BJ742" s="1530"/>
      <c r="BK742" s="1530"/>
      <c r="BL742" s="1530"/>
      <c r="BM742" s="1530"/>
      <c r="BN742" s="1530"/>
      <c r="BW742" s="1569"/>
      <c r="CO742" s="1530"/>
      <c r="CP742" s="1530"/>
      <c r="CQ742" s="1530"/>
      <c r="CR742" s="1530"/>
      <c r="CS742" s="1530"/>
      <c r="CT742" s="1530"/>
      <c r="CU742" s="1530"/>
      <c r="CV742" s="1530"/>
      <c r="CW742" s="1530"/>
      <c r="CX742" s="1530"/>
      <c r="CY742" s="1530"/>
      <c r="CZ742" s="1530"/>
      <c r="DA742" s="1530"/>
      <c r="DB742" s="1530"/>
      <c r="DC742" s="1530"/>
      <c r="DD742" s="1530"/>
      <c r="DE742" s="1530"/>
      <c r="DF742" s="1530"/>
      <c r="DG742" s="1530"/>
      <c r="DH742" s="1530"/>
      <c r="DI742" s="1530"/>
      <c r="DJ742" s="1530"/>
      <c r="DK742" s="1530"/>
      <c r="DL742" s="1530"/>
      <c r="DM742" s="1530"/>
      <c r="DN742" s="1571"/>
      <c r="DO742" s="1530"/>
      <c r="DP742" s="1530"/>
    </row>
    <row r="743" spans="1:120">
      <c r="A743" s="1451"/>
      <c r="C743" s="1451"/>
      <c r="K743" s="1451"/>
      <c r="L743" s="1451"/>
      <c r="U743" s="1530"/>
      <c r="V743" s="1530"/>
      <c r="W743" s="1530"/>
      <c r="X743" s="1530"/>
      <c r="Y743" s="1530"/>
      <c r="Z743" s="1530"/>
      <c r="AA743" s="1530"/>
      <c r="AB743" s="1530"/>
      <c r="AC743" s="1530"/>
      <c r="AD743" s="1530"/>
      <c r="AE743" s="1530"/>
      <c r="AF743" s="1530"/>
      <c r="AG743" s="1530"/>
      <c r="AH743" s="1530"/>
      <c r="AI743" s="1530"/>
      <c r="AJ743" s="1530"/>
      <c r="AK743" s="1530"/>
      <c r="AL743" s="1530"/>
      <c r="AM743" s="1530"/>
      <c r="AN743" s="1530"/>
      <c r="AO743" s="1530"/>
      <c r="AP743" s="1530"/>
      <c r="AQ743" s="1530"/>
      <c r="AR743" s="1530"/>
      <c r="AS743" s="1530"/>
      <c r="AT743" s="1530"/>
      <c r="AU743" s="1530"/>
      <c r="AV743" s="1530"/>
      <c r="AW743" s="1530"/>
      <c r="AX743" s="1530"/>
      <c r="AY743" s="1530"/>
      <c r="AZ743" s="1530"/>
      <c r="BA743" s="1530"/>
      <c r="BB743" s="1530"/>
      <c r="BC743" s="1530"/>
      <c r="BD743" s="1530"/>
      <c r="BE743" s="1530"/>
      <c r="BF743" s="1530"/>
      <c r="BG743" s="1530"/>
      <c r="BH743" s="1530"/>
      <c r="BI743" s="1530"/>
      <c r="BJ743" s="1530"/>
      <c r="BK743" s="1530"/>
      <c r="BL743" s="1530"/>
      <c r="BM743" s="1530"/>
      <c r="BN743" s="1530"/>
      <c r="BW743" s="1569"/>
      <c r="CO743" s="1530"/>
      <c r="CP743" s="1530"/>
      <c r="CQ743" s="1530"/>
      <c r="CR743" s="1530"/>
      <c r="CS743" s="1530"/>
      <c r="CT743" s="1530"/>
      <c r="CU743" s="1530"/>
      <c r="CV743" s="1530"/>
      <c r="CW743" s="1530"/>
      <c r="CX743" s="1530"/>
      <c r="CY743" s="1530"/>
      <c r="CZ743" s="1530"/>
      <c r="DA743" s="1530"/>
      <c r="DB743" s="1530"/>
      <c r="DC743" s="1530"/>
      <c r="DD743" s="1530"/>
      <c r="DE743" s="1530"/>
      <c r="DF743" s="1530"/>
      <c r="DG743" s="1530"/>
      <c r="DH743" s="1530"/>
      <c r="DI743" s="1530"/>
      <c r="DJ743" s="1530"/>
      <c r="DK743" s="1530"/>
      <c r="DL743" s="1530"/>
      <c r="DM743" s="1530"/>
      <c r="DN743" s="1571"/>
      <c r="DO743" s="1530"/>
      <c r="DP743" s="1530"/>
    </row>
    <row r="744" spans="1:120">
      <c r="A744" s="1451"/>
      <c r="C744" s="1451"/>
      <c r="K744" s="1451"/>
      <c r="L744" s="1451"/>
      <c r="U744" s="1530"/>
      <c r="V744" s="1530"/>
      <c r="W744" s="1530"/>
      <c r="X744" s="1530"/>
      <c r="Y744" s="1530"/>
      <c r="Z744" s="1530"/>
      <c r="AA744" s="1530"/>
      <c r="AB744" s="1530"/>
      <c r="AC744" s="1530"/>
      <c r="AD744" s="1530"/>
      <c r="AE744" s="1530"/>
      <c r="AF744" s="1530"/>
      <c r="AG744" s="1530"/>
      <c r="AH744" s="1530"/>
      <c r="AI744" s="1530"/>
      <c r="AJ744" s="1530"/>
      <c r="AK744" s="1530"/>
      <c r="AL744" s="1530"/>
      <c r="AM744" s="1530"/>
      <c r="AN744" s="1530"/>
      <c r="AO744" s="1530"/>
      <c r="AP744" s="1530"/>
      <c r="AQ744" s="1530"/>
      <c r="AR744" s="1530"/>
      <c r="AS744" s="1530"/>
      <c r="AT744" s="1530"/>
      <c r="AU744" s="1530"/>
      <c r="AV744" s="1530"/>
      <c r="AW744" s="1530"/>
      <c r="AX744" s="1530"/>
      <c r="AY744" s="1530"/>
      <c r="AZ744" s="1530"/>
      <c r="BA744" s="1530"/>
      <c r="BB744" s="1530"/>
      <c r="BC744" s="1530"/>
      <c r="BD744" s="1530"/>
      <c r="BE744" s="1530"/>
      <c r="BF744" s="1530"/>
      <c r="BG744" s="1530"/>
      <c r="BH744" s="1530"/>
      <c r="BI744" s="1530"/>
      <c r="BJ744" s="1530"/>
      <c r="BK744" s="1530"/>
      <c r="BL744" s="1530"/>
      <c r="BM744" s="1530"/>
      <c r="BN744" s="1530"/>
      <c r="BW744" s="1569"/>
      <c r="CO744" s="1530"/>
      <c r="CP744" s="1530"/>
      <c r="CQ744" s="1530"/>
      <c r="CR744" s="1530"/>
      <c r="CS744" s="1530"/>
      <c r="CT744" s="1530"/>
      <c r="CU744" s="1530"/>
      <c r="CV744" s="1530"/>
      <c r="CW744" s="1530"/>
      <c r="CX744" s="1530"/>
      <c r="CY744" s="1530"/>
      <c r="CZ744" s="1530"/>
      <c r="DA744" s="1530"/>
      <c r="DB744" s="1530"/>
      <c r="DC744" s="1530"/>
      <c r="DD744" s="1530"/>
      <c r="DE744" s="1530"/>
      <c r="DF744" s="1530"/>
      <c r="DG744" s="1530"/>
      <c r="DH744" s="1530"/>
      <c r="DI744" s="1530"/>
      <c r="DJ744" s="1530"/>
      <c r="DK744" s="1530"/>
      <c r="DL744" s="1530"/>
      <c r="DM744" s="1530"/>
      <c r="DN744" s="1571"/>
      <c r="DO744" s="1530"/>
      <c r="DP744" s="1530"/>
    </row>
    <row r="745" spans="1:120">
      <c r="A745" s="1451"/>
      <c r="C745" s="1451"/>
      <c r="K745" s="1451"/>
      <c r="L745" s="1451"/>
      <c r="U745" s="1530"/>
      <c r="V745" s="1530"/>
      <c r="W745" s="1530"/>
      <c r="X745" s="1530"/>
      <c r="Y745" s="1530"/>
      <c r="Z745" s="1530"/>
      <c r="AA745" s="1530"/>
      <c r="AB745" s="1530"/>
      <c r="AC745" s="1530"/>
      <c r="AD745" s="1530"/>
      <c r="AE745" s="1530"/>
      <c r="AF745" s="1530"/>
      <c r="AG745" s="1530"/>
      <c r="AH745" s="1530"/>
      <c r="AI745" s="1530"/>
      <c r="AJ745" s="1530"/>
      <c r="AK745" s="1530"/>
      <c r="AL745" s="1530"/>
      <c r="AM745" s="1530"/>
      <c r="AN745" s="1530"/>
      <c r="AO745" s="1530"/>
      <c r="AP745" s="1530"/>
      <c r="AQ745" s="1530"/>
      <c r="AR745" s="1530"/>
      <c r="AS745" s="1530"/>
      <c r="AT745" s="1530"/>
      <c r="AU745" s="1530"/>
      <c r="AV745" s="1530"/>
      <c r="AW745" s="1530"/>
      <c r="AX745" s="1530"/>
      <c r="AY745" s="1530"/>
      <c r="AZ745" s="1530"/>
      <c r="BA745" s="1530"/>
      <c r="BB745" s="1530"/>
      <c r="BC745" s="1530"/>
      <c r="BD745" s="1530"/>
      <c r="BE745" s="1530"/>
      <c r="BF745" s="1530"/>
      <c r="BG745" s="1530"/>
      <c r="BH745" s="1530"/>
      <c r="BI745" s="1530"/>
      <c r="BJ745" s="1530"/>
      <c r="BK745" s="1530"/>
      <c r="BL745" s="1530"/>
      <c r="BM745" s="1530"/>
      <c r="BN745" s="1530"/>
      <c r="BW745" s="1569"/>
      <c r="CO745" s="1530"/>
      <c r="CP745" s="1530"/>
      <c r="CQ745" s="1530"/>
      <c r="CR745" s="1530"/>
      <c r="CS745" s="1530"/>
      <c r="CT745" s="1530"/>
      <c r="CU745" s="1530"/>
      <c r="CV745" s="1530"/>
      <c r="CW745" s="1530"/>
      <c r="CX745" s="1530"/>
      <c r="CY745" s="1530"/>
      <c r="CZ745" s="1530"/>
      <c r="DA745" s="1530"/>
      <c r="DB745" s="1530"/>
      <c r="DC745" s="1530"/>
      <c r="DD745" s="1530"/>
      <c r="DE745" s="1530"/>
      <c r="DF745" s="1530"/>
      <c r="DG745" s="1530"/>
      <c r="DH745" s="1530"/>
      <c r="DI745" s="1530"/>
      <c r="DJ745" s="1530"/>
      <c r="DK745" s="1530"/>
      <c r="DL745" s="1530"/>
      <c r="DM745" s="1530"/>
      <c r="DN745" s="1571"/>
      <c r="DO745" s="1530"/>
      <c r="DP745" s="1530"/>
    </row>
    <row r="746" spans="1:120">
      <c r="A746" s="1451"/>
      <c r="C746" s="1451"/>
      <c r="K746" s="1451"/>
      <c r="L746" s="1451"/>
      <c r="U746" s="1530"/>
      <c r="V746" s="1530"/>
      <c r="W746" s="1530"/>
      <c r="X746" s="1530"/>
      <c r="Y746" s="1530"/>
      <c r="Z746" s="1530"/>
      <c r="AA746" s="1530"/>
      <c r="AB746" s="1530"/>
      <c r="AC746" s="1530"/>
      <c r="AD746" s="1530"/>
      <c r="AE746" s="1530"/>
      <c r="AF746" s="1530"/>
      <c r="AG746" s="1530"/>
      <c r="AH746" s="1530"/>
      <c r="AI746" s="1530"/>
      <c r="AJ746" s="1530"/>
      <c r="AK746" s="1530"/>
      <c r="AL746" s="1530"/>
      <c r="AM746" s="1530"/>
      <c r="AN746" s="1530"/>
      <c r="AO746" s="1530"/>
      <c r="AP746" s="1530"/>
      <c r="AQ746" s="1530"/>
      <c r="AR746" s="1530"/>
      <c r="AS746" s="1530"/>
      <c r="AT746" s="1530"/>
      <c r="AU746" s="1530"/>
      <c r="AV746" s="1530"/>
      <c r="AW746" s="1530"/>
      <c r="AX746" s="1530"/>
      <c r="AY746" s="1530"/>
      <c r="AZ746" s="1530"/>
      <c r="BA746" s="1530"/>
      <c r="BB746" s="1530"/>
      <c r="BC746" s="1530"/>
      <c r="BD746" s="1530"/>
      <c r="BE746" s="1530"/>
      <c r="BF746" s="1530"/>
      <c r="BG746" s="1530"/>
      <c r="BH746" s="1530"/>
      <c r="BI746" s="1530"/>
      <c r="BJ746" s="1530"/>
      <c r="BK746" s="1530"/>
      <c r="BL746" s="1530"/>
      <c r="BM746" s="1530"/>
      <c r="BN746" s="1530"/>
      <c r="BW746" s="1569"/>
      <c r="CO746" s="1530"/>
      <c r="CP746" s="1530"/>
      <c r="CQ746" s="1530"/>
      <c r="CR746" s="1530"/>
      <c r="CS746" s="1530"/>
      <c r="CT746" s="1530"/>
      <c r="CU746" s="1530"/>
      <c r="CV746" s="1530"/>
      <c r="CW746" s="1530"/>
      <c r="CX746" s="1530"/>
      <c r="CY746" s="1530"/>
      <c r="CZ746" s="1530"/>
      <c r="DA746" s="1530"/>
      <c r="DB746" s="1530"/>
      <c r="DC746" s="1530"/>
      <c r="DD746" s="1530"/>
      <c r="DE746" s="1530"/>
      <c r="DF746" s="1530"/>
      <c r="DG746" s="1530"/>
      <c r="DH746" s="1530"/>
      <c r="DI746" s="1530"/>
      <c r="DJ746" s="1530"/>
      <c r="DK746" s="1530"/>
      <c r="DL746" s="1530"/>
      <c r="DM746" s="1530"/>
      <c r="DN746" s="1571"/>
      <c r="DO746" s="1530"/>
      <c r="DP746" s="1530"/>
    </row>
    <row r="747" spans="1:120">
      <c r="A747" s="1451"/>
      <c r="C747" s="1451"/>
      <c r="K747" s="1451"/>
      <c r="L747" s="1451"/>
      <c r="U747" s="1530"/>
      <c r="V747" s="1530"/>
      <c r="W747" s="1530"/>
      <c r="X747" s="1530"/>
      <c r="Y747" s="1530"/>
      <c r="Z747" s="1530"/>
      <c r="AA747" s="1530"/>
      <c r="AB747" s="1530"/>
      <c r="AC747" s="1530"/>
      <c r="AD747" s="1530"/>
      <c r="AE747" s="1530"/>
      <c r="AF747" s="1530"/>
      <c r="AG747" s="1530"/>
      <c r="AH747" s="1530"/>
      <c r="AI747" s="1530"/>
      <c r="AJ747" s="1530"/>
      <c r="AK747" s="1530"/>
      <c r="AL747" s="1530"/>
      <c r="AM747" s="1530"/>
      <c r="AN747" s="1530"/>
      <c r="AO747" s="1530"/>
      <c r="AP747" s="1530"/>
      <c r="AQ747" s="1530"/>
      <c r="AR747" s="1530"/>
      <c r="AS747" s="1530"/>
      <c r="AT747" s="1530"/>
      <c r="AU747" s="1530"/>
      <c r="AV747" s="1530"/>
      <c r="AW747" s="1530"/>
      <c r="AX747" s="1530"/>
      <c r="AY747" s="1530"/>
      <c r="AZ747" s="1530"/>
      <c r="BA747" s="1530"/>
      <c r="BB747" s="1530"/>
      <c r="BC747" s="1530"/>
      <c r="BD747" s="1530"/>
      <c r="BE747" s="1530"/>
      <c r="BF747" s="1530"/>
      <c r="BG747" s="1530"/>
      <c r="BH747" s="1530"/>
      <c r="BI747" s="1530"/>
      <c r="BJ747" s="1530"/>
      <c r="BK747" s="1530"/>
      <c r="BL747" s="1530"/>
      <c r="BM747" s="1530"/>
      <c r="BN747" s="1530"/>
      <c r="BW747" s="1569"/>
      <c r="CO747" s="1530"/>
      <c r="CP747" s="1530"/>
      <c r="CQ747" s="1530"/>
      <c r="CR747" s="1530"/>
      <c r="CS747" s="1530"/>
      <c r="CT747" s="1530"/>
      <c r="CU747" s="1530"/>
      <c r="CV747" s="1530"/>
      <c r="CW747" s="1530"/>
      <c r="CX747" s="1530"/>
      <c r="CY747" s="1530"/>
      <c r="CZ747" s="1530"/>
      <c r="DA747" s="1530"/>
      <c r="DB747" s="1530"/>
      <c r="DC747" s="1530"/>
      <c r="DD747" s="1530"/>
      <c r="DE747" s="1530"/>
      <c r="DF747" s="1530"/>
      <c r="DG747" s="1530"/>
      <c r="DH747" s="1530"/>
      <c r="DI747" s="1530"/>
      <c r="DJ747" s="1530"/>
      <c r="DK747" s="1530"/>
      <c r="DL747" s="1530"/>
      <c r="DM747" s="1530"/>
      <c r="DN747" s="1571"/>
      <c r="DO747" s="1530"/>
      <c r="DP747" s="1530"/>
    </row>
    <row r="748" spans="1:120">
      <c r="A748" s="1451"/>
      <c r="C748" s="1451"/>
      <c r="K748" s="1451"/>
      <c r="L748" s="1451"/>
      <c r="U748" s="1530"/>
      <c r="V748" s="1530"/>
      <c r="W748" s="1530"/>
      <c r="X748" s="1530"/>
      <c r="Y748" s="1530"/>
      <c r="Z748" s="1530"/>
      <c r="AA748" s="1530"/>
      <c r="AB748" s="1530"/>
      <c r="AC748" s="1530"/>
      <c r="AD748" s="1530"/>
      <c r="AE748" s="1530"/>
      <c r="AF748" s="1530"/>
      <c r="AG748" s="1530"/>
      <c r="AH748" s="1530"/>
      <c r="AI748" s="1530"/>
      <c r="AJ748" s="1530"/>
      <c r="AK748" s="1530"/>
      <c r="AL748" s="1530"/>
      <c r="AM748" s="1530"/>
      <c r="AN748" s="1530"/>
      <c r="AO748" s="1530"/>
      <c r="AP748" s="1530"/>
      <c r="AQ748" s="1530"/>
      <c r="AR748" s="1530"/>
      <c r="AS748" s="1530"/>
      <c r="AT748" s="1530"/>
      <c r="AU748" s="1530"/>
      <c r="AV748" s="1530"/>
      <c r="AW748" s="1530"/>
      <c r="AX748" s="1530"/>
      <c r="AY748" s="1530"/>
      <c r="AZ748" s="1530"/>
      <c r="BA748" s="1530"/>
      <c r="BB748" s="1530"/>
      <c r="BC748" s="1530"/>
      <c r="BD748" s="1530"/>
      <c r="BE748" s="1530"/>
      <c r="BF748" s="1530"/>
      <c r="BG748" s="1530"/>
      <c r="BH748" s="1530"/>
      <c r="BI748" s="1530"/>
      <c r="BJ748" s="1530"/>
      <c r="BK748" s="1530"/>
      <c r="BL748" s="1530"/>
      <c r="BM748" s="1530"/>
      <c r="BN748" s="1530"/>
      <c r="BW748" s="1569"/>
      <c r="CO748" s="1530"/>
      <c r="CP748" s="1530"/>
      <c r="CQ748" s="1530"/>
      <c r="CR748" s="1530"/>
      <c r="CS748" s="1530"/>
      <c r="CT748" s="1530"/>
      <c r="CU748" s="1530"/>
      <c r="CV748" s="1530"/>
      <c r="CW748" s="1530"/>
      <c r="CX748" s="1530"/>
      <c r="CY748" s="1530"/>
      <c r="CZ748" s="1530"/>
      <c r="DA748" s="1530"/>
      <c r="DB748" s="1530"/>
      <c r="DC748" s="1530"/>
      <c r="DD748" s="1530"/>
      <c r="DE748" s="1530"/>
      <c r="DF748" s="1530"/>
      <c r="DG748" s="1530"/>
      <c r="DH748" s="1530"/>
      <c r="DI748" s="1530"/>
      <c r="DJ748" s="1530"/>
      <c r="DK748" s="1530"/>
      <c r="DL748" s="1530"/>
      <c r="DM748" s="1530"/>
      <c r="DN748" s="1571"/>
      <c r="DO748" s="1530"/>
      <c r="DP748" s="1530"/>
    </row>
    <row r="749" spans="1:120">
      <c r="A749" s="1451"/>
      <c r="C749" s="1451"/>
      <c r="K749" s="1451"/>
      <c r="L749" s="1451"/>
      <c r="U749" s="1530"/>
      <c r="V749" s="1530"/>
      <c r="W749" s="1530"/>
      <c r="X749" s="1530"/>
      <c r="Y749" s="1530"/>
      <c r="Z749" s="1530"/>
      <c r="AA749" s="1530"/>
      <c r="AB749" s="1530"/>
      <c r="AC749" s="1530"/>
      <c r="AD749" s="1530"/>
      <c r="AE749" s="1530"/>
      <c r="AF749" s="1530"/>
      <c r="AG749" s="1530"/>
      <c r="AH749" s="1530"/>
      <c r="AI749" s="1530"/>
      <c r="AJ749" s="1530"/>
      <c r="AK749" s="1530"/>
      <c r="AL749" s="1530"/>
      <c r="AM749" s="1530"/>
      <c r="AN749" s="1530"/>
      <c r="AO749" s="1530"/>
      <c r="AP749" s="1530"/>
      <c r="AQ749" s="1530"/>
      <c r="AR749" s="1530"/>
      <c r="AS749" s="1530"/>
      <c r="AT749" s="1530"/>
      <c r="AU749" s="1530"/>
      <c r="AV749" s="1530"/>
      <c r="AW749" s="1530"/>
      <c r="AX749" s="1530"/>
      <c r="AY749" s="1530"/>
      <c r="AZ749" s="1530"/>
      <c r="BA749" s="1530"/>
      <c r="BB749" s="1530"/>
      <c r="BC749" s="1530"/>
      <c r="BD749" s="1530"/>
      <c r="BE749" s="1530"/>
      <c r="BF749" s="1530"/>
      <c r="BG749" s="1530"/>
      <c r="BH749" s="1530"/>
      <c r="BI749" s="1530"/>
      <c r="BJ749" s="1530"/>
      <c r="BK749" s="1530"/>
      <c r="BL749" s="1530"/>
      <c r="BM749" s="1530"/>
      <c r="BN749" s="1530"/>
      <c r="BW749" s="1569"/>
      <c r="CO749" s="1530"/>
      <c r="CP749" s="1530"/>
      <c r="CQ749" s="1530"/>
      <c r="CR749" s="1530"/>
      <c r="CS749" s="1530"/>
      <c r="CT749" s="1530"/>
      <c r="CU749" s="1530"/>
      <c r="CV749" s="1530"/>
      <c r="CW749" s="1530"/>
      <c r="CX749" s="1530"/>
      <c r="CY749" s="1530"/>
      <c r="CZ749" s="1530"/>
      <c r="DA749" s="1530"/>
      <c r="DB749" s="1530"/>
      <c r="DC749" s="1530"/>
      <c r="DD749" s="1530"/>
      <c r="DE749" s="1530"/>
      <c r="DF749" s="1530"/>
      <c r="DG749" s="1530"/>
      <c r="DH749" s="1530"/>
      <c r="DI749" s="1530"/>
      <c r="DJ749" s="1530"/>
      <c r="DK749" s="1530"/>
      <c r="DL749" s="1530"/>
      <c r="DM749" s="1530"/>
      <c r="DN749" s="1571"/>
      <c r="DO749" s="1530"/>
      <c r="DP749" s="1530"/>
    </row>
    <row r="750" spans="1:120">
      <c r="A750" s="1451"/>
      <c r="C750" s="1451"/>
      <c r="K750" s="1451"/>
      <c r="L750" s="1451"/>
      <c r="U750" s="1530"/>
      <c r="V750" s="1530"/>
      <c r="W750" s="1530"/>
      <c r="X750" s="1530"/>
      <c r="Y750" s="1530"/>
      <c r="Z750" s="1530"/>
      <c r="AA750" s="1530"/>
      <c r="AB750" s="1530"/>
      <c r="AC750" s="1530"/>
      <c r="AD750" s="1530"/>
      <c r="AE750" s="1530"/>
      <c r="AF750" s="1530"/>
      <c r="AG750" s="1530"/>
      <c r="AH750" s="1530"/>
      <c r="AI750" s="1530"/>
      <c r="AJ750" s="1530"/>
      <c r="AK750" s="1530"/>
      <c r="AL750" s="1530"/>
      <c r="AM750" s="1530"/>
      <c r="AN750" s="1530"/>
      <c r="AO750" s="1530"/>
      <c r="AP750" s="1530"/>
      <c r="AQ750" s="1530"/>
      <c r="AR750" s="1530"/>
      <c r="AS750" s="1530"/>
      <c r="AT750" s="1530"/>
      <c r="AU750" s="1530"/>
      <c r="AV750" s="1530"/>
      <c r="AW750" s="1530"/>
      <c r="AX750" s="1530"/>
      <c r="AY750" s="1530"/>
      <c r="AZ750" s="1530"/>
      <c r="BA750" s="1530"/>
      <c r="BB750" s="1530"/>
      <c r="BC750" s="1530"/>
      <c r="BD750" s="1530"/>
      <c r="BE750" s="1530"/>
      <c r="BF750" s="1530"/>
      <c r="BG750" s="1530"/>
      <c r="BH750" s="1530"/>
      <c r="BI750" s="1530"/>
      <c r="BJ750" s="1530"/>
      <c r="BK750" s="1530"/>
      <c r="BL750" s="1530"/>
      <c r="BM750" s="1530"/>
      <c r="BN750" s="1530"/>
      <c r="BW750" s="1569"/>
      <c r="CO750" s="1530"/>
      <c r="CP750" s="1530"/>
      <c r="CQ750" s="1530"/>
      <c r="CR750" s="1530"/>
      <c r="CS750" s="1530"/>
      <c r="CT750" s="1530"/>
      <c r="CU750" s="1530"/>
      <c r="CV750" s="1530"/>
      <c r="CW750" s="1530"/>
      <c r="CX750" s="1530"/>
      <c r="CY750" s="1530"/>
      <c r="CZ750" s="1530"/>
      <c r="DA750" s="1530"/>
      <c r="DB750" s="1530"/>
      <c r="DC750" s="1530"/>
      <c r="DD750" s="1530"/>
      <c r="DE750" s="1530"/>
      <c r="DF750" s="1530"/>
      <c r="DG750" s="1530"/>
      <c r="DH750" s="1530"/>
      <c r="DI750" s="1530"/>
      <c r="DJ750" s="1530"/>
      <c r="DK750" s="1530"/>
      <c r="DL750" s="1530"/>
      <c r="DM750" s="1530"/>
      <c r="DN750" s="1571"/>
      <c r="DO750" s="1530"/>
      <c r="DP750" s="1530"/>
    </row>
    <row r="751" spans="1:120">
      <c r="A751" s="1451"/>
      <c r="C751" s="1451"/>
      <c r="K751" s="1451"/>
      <c r="L751" s="1451"/>
      <c r="U751" s="1530"/>
      <c r="V751" s="1530"/>
      <c r="W751" s="1530"/>
      <c r="X751" s="1530"/>
      <c r="Y751" s="1530"/>
      <c r="Z751" s="1530"/>
      <c r="AA751" s="1530"/>
      <c r="AB751" s="1530"/>
      <c r="AC751" s="1530"/>
      <c r="AD751" s="1530"/>
      <c r="AE751" s="1530"/>
      <c r="AF751" s="1530"/>
      <c r="AG751" s="1530"/>
      <c r="AH751" s="1530"/>
      <c r="AI751" s="1530"/>
      <c r="AJ751" s="1530"/>
      <c r="AK751" s="1530"/>
      <c r="AL751" s="1530"/>
      <c r="AM751" s="1530"/>
      <c r="AN751" s="1530"/>
      <c r="AO751" s="1530"/>
      <c r="AP751" s="1530"/>
      <c r="AQ751" s="1530"/>
      <c r="AR751" s="1530"/>
      <c r="AS751" s="1530"/>
      <c r="AT751" s="1530"/>
      <c r="AU751" s="1530"/>
      <c r="AV751" s="1530"/>
      <c r="AW751" s="1530"/>
      <c r="AX751" s="1530"/>
      <c r="AY751" s="1530"/>
      <c r="AZ751" s="1530"/>
      <c r="BA751" s="1530"/>
      <c r="BB751" s="1530"/>
      <c r="BC751" s="1530"/>
      <c r="BD751" s="1530"/>
      <c r="BE751" s="1530"/>
      <c r="BF751" s="1530"/>
      <c r="BG751" s="1530"/>
      <c r="BH751" s="1530"/>
      <c r="BI751" s="1530"/>
      <c r="BJ751" s="1530"/>
      <c r="BK751" s="1530"/>
      <c r="BL751" s="1530"/>
      <c r="BM751" s="1530"/>
      <c r="BN751" s="1530"/>
      <c r="BW751" s="1569"/>
      <c r="CO751" s="1530"/>
      <c r="CP751" s="1530"/>
      <c r="CQ751" s="1530"/>
      <c r="CR751" s="1530"/>
      <c r="CS751" s="1530"/>
      <c r="CT751" s="1530"/>
      <c r="CU751" s="1530"/>
      <c r="CV751" s="1530"/>
      <c r="CW751" s="1530"/>
      <c r="CX751" s="1530"/>
      <c r="CY751" s="1530"/>
      <c r="CZ751" s="1530"/>
      <c r="DA751" s="1530"/>
      <c r="DB751" s="1530"/>
      <c r="DC751" s="1530"/>
      <c r="DD751" s="1530"/>
      <c r="DE751" s="1530"/>
      <c r="DF751" s="1530"/>
      <c r="DG751" s="1530"/>
      <c r="DH751" s="1530"/>
      <c r="DI751" s="1530"/>
      <c r="DJ751" s="1530"/>
      <c r="DK751" s="1530"/>
      <c r="DL751" s="1530"/>
      <c r="DM751" s="1530"/>
      <c r="DN751" s="1571"/>
      <c r="DO751" s="1530"/>
      <c r="DP751" s="1530"/>
    </row>
    <row r="752" spans="1:120">
      <c r="A752" s="1451"/>
      <c r="C752" s="1451"/>
      <c r="K752" s="1451"/>
      <c r="L752" s="1451"/>
      <c r="U752" s="1530"/>
      <c r="V752" s="1530"/>
      <c r="W752" s="1530"/>
      <c r="X752" s="1530"/>
      <c r="Y752" s="1530"/>
      <c r="Z752" s="1530"/>
      <c r="AA752" s="1530"/>
      <c r="AB752" s="1530"/>
      <c r="AC752" s="1530"/>
      <c r="AD752" s="1530"/>
      <c r="AE752" s="1530"/>
      <c r="AF752" s="1530"/>
      <c r="AG752" s="1530"/>
      <c r="AH752" s="1530"/>
      <c r="AI752" s="1530"/>
      <c r="AJ752" s="1530"/>
      <c r="AK752" s="1530"/>
      <c r="AL752" s="1530"/>
      <c r="AM752" s="1530"/>
      <c r="AN752" s="1530"/>
      <c r="AO752" s="1530"/>
      <c r="AP752" s="1530"/>
      <c r="AQ752" s="1530"/>
      <c r="AR752" s="1530"/>
      <c r="AS752" s="1530"/>
      <c r="AT752" s="1530"/>
      <c r="AU752" s="1530"/>
      <c r="AV752" s="1530"/>
      <c r="AW752" s="1530"/>
      <c r="AX752" s="1530"/>
      <c r="AY752" s="1530"/>
      <c r="AZ752" s="1530"/>
      <c r="BA752" s="1530"/>
      <c r="BB752" s="1530"/>
      <c r="BC752" s="1530"/>
      <c r="BD752" s="1530"/>
      <c r="BE752" s="1530"/>
      <c r="BF752" s="1530"/>
      <c r="BG752" s="1530"/>
      <c r="BH752" s="1530"/>
      <c r="BI752" s="1530"/>
      <c r="BJ752" s="1530"/>
      <c r="BK752" s="1530"/>
      <c r="BL752" s="1530"/>
      <c r="BM752" s="1530"/>
      <c r="BN752" s="1530"/>
      <c r="BW752" s="1569"/>
      <c r="CO752" s="1530"/>
      <c r="CP752" s="1530"/>
      <c r="CQ752" s="1530"/>
      <c r="CR752" s="1530"/>
      <c r="CS752" s="1530"/>
      <c r="CT752" s="1530"/>
      <c r="CU752" s="1530"/>
      <c r="CV752" s="1530"/>
      <c r="CW752" s="1530"/>
      <c r="CX752" s="1530"/>
      <c r="CY752" s="1530"/>
      <c r="CZ752" s="1530"/>
      <c r="DA752" s="1530"/>
      <c r="DB752" s="1530"/>
      <c r="DC752" s="1530"/>
      <c r="DD752" s="1530"/>
      <c r="DE752" s="1530"/>
      <c r="DF752" s="1530"/>
      <c r="DG752" s="1530"/>
      <c r="DH752" s="1530"/>
      <c r="DI752" s="1530"/>
      <c r="DJ752" s="1530"/>
      <c r="DK752" s="1530"/>
      <c r="DL752" s="1530"/>
      <c r="DM752" s="1530"/>
      <c r="DN752" s="1571"/>
      <c r="DO752" s="1530"/>
      <c r="DP752" s="1530"/>
    </row>
    <row r="753" spans="1:120">
      <c r="A753" s="1451"/>
      <c r="C753" s="1451"/>
      <c r="K753" s="1451"/>
      <c r="L753" s="1451"/>
      <c r="U753" s="1530"/>
      <c r="V753" s="1530"/>
      <c r="W753" s="1530"/>
      <c r="X753" s="1530"/>
      <c r="Y753" s="1530"/>
      <c r="Z753" s="1530"/>
      <c r="AA753" s="1530"/>
      <c r="AB753" s="1530"/>
      <c r="AC753" s="1530"/>
      <c r="AD753" s="1530"/>
      <c r="AE753" s="1530"/>
      <c r="AF753" s="1530"/>
      <c r="AG753" s="1530"/>
      <c r="AH753" s="1530"/>
      <c r="AI753" s="1530"/>
      <c r="AJ753" s="1530"/>
      <c r="AK753" s="1530"/>
      <c r="AL753" s="1530"/>
      <c r="AM753" s="1530"/>
      <c r="AN753" s="1530"/>
      <c r="AO753" s="1530"/>
      <c r="AP753" s="1530"/>
      <c r="AQ753" s="1530"/>
      <c r="AR753" s="1530"/>
      <c r="AS753" s="1530"/>
      <c r="AT753" s="1530"/>
      <c r="AU753" s="1530"/>
      <c r="AV753" s="1530"/>
      <c r="AW753" s="1530"/>
      <c r="AX753" s="1530"/>
      <c r="AY753" s="1530"/>
      <c r="AZ753" s="1530"/>
      <c r="BA753" s="1530"/>
      <c r="BB753" s="1530"/>
      <c r="BC753" s="1530"/>
      <c r="BD753" s="1530"/>
      <c r="BE753" s="1530"/>
      <c r="BF753" s="1530"/>
      <c r="BG753" s="1530"/>
      <c r="BH753" s="1530"/>
      <c r="BI753" s="1530"/>
      <c r="BJ753" s="1530"/>
      <c r="BK753" s="1530"/>
      <c r="BL753" s="1530"/>
      <c r="BM753" s="1530"/>
      <c r="BN753" s="1530"/>
      <c r="BW753" s="1569"/>
      <c r="CO753" s="1530"/>
      <c r="CP753" s="1530"/>
      <c r="CQ753" s="1530"/>
      <c r="CR753" s="1530"/>
      <c r="CS753" s="1530"/>
      <c r="CT753" s="1530"/>
      <c r="CU753" s="1530"/>
      <c r="CV753" s="1530"/>
      <c r="CW753" s="1530"/>
      <c r="CX753" s="1530"/>
      <c r="CY753" s="1530"/>
      <c r="CZ753" s="1530"/>
      <c r="DA753" s="1530"/>
      <c r="DB753" s="1530"/>
      <c r="DC753" s="1530"/>
      <c r="DD753" s="1530"/>
      <c r="DE753" s="1530"/>
      <c r="DF753" s="1530"/>
      <c r="DG753" s="1530"/>
      <c r="DH753" s="1530"/>
      <c r="DI753" s="1530"/>
      <c r="DJ753" s="1530"/>
      <c r="DK753" s="1530"/>
      <c r="DL753" s="1530"/>
      <c r="DM753" s="1530"/>
      <c r="DN753" s="1571"/>
      <c r="DO753" s="1530"/>
      <c r="DP753" s="1530"/>
    </row>
    <row r="754" spans="1:120">
      <c r="A754" s="1451"/>
      <c r="C754" s="1451"/>
      <c r="K754" s="1451"/>
      <c r="L754" s="1451"/>
      <c r="U754" s="1530"/>
      <c r="V754" s="1530"/>
      <c r="W754" s="1530"/>
      <c r="X754" s="1530"/>
      <c r="Y754" s="1530"/>
      <c r="Z754" s="1530"/>
      <c r="AA754" s="1530"/>
      <c r="AB754" s="1530"/>
      <c r="AC754" s="1530"/>
      <c r="AD754" s="1530"/>
      <c r="AE754" s="1530"/>
      <c r="AF754" s="1530"/>
      <c r="AG754" s="1530"/>
      <c r="AH754" s="1530"/>
      <c r="AI754" s="1530"/>
      <c r="AJ754" s="1530"/>
      <c r="AK754" s="1530"/>
      <c r="AL754" s="1530"/>
      <c r="AM754" s="1530"/>
      <c r="AN754" s="1530"/>
      <c r="AO754" s="1530"/>
      <c r="AP754" s="1530"/>
      <c r="AQ754" s="1530"/>
      <c r="AR754" s="1530"/>
      <c r="AS754" s="1530"/>
      <c r="AT754" s="1530"/>
      <c r="AU754" s="1530"/>
      <c r="AV754" s="1530"/>
      <c r="AW754" s="1530"/>
      <c r="AX754" s="1530"/>
      <c r="AY754" s="1530"/>
      <c r="AZ754" s="1530"/>
      <c r="BA754" s="1530"/>
      <c r="BB754" s="1530"/>
      <c r="BC754" s="1530"/>
      <c r="BD754" s="1530"/>
      <c r="BE754" s="1530"/>
      <c r="BF754" s="1530"/>
      <c r="BG754" s="1530"/>
      <c r="BH754" s="1530"/>
      <c r="BI754" s="1530"/>
      <c r="BJ754" s="1530"/>
      <c r="BK754" s="1530"/>
      <c r="BL754" s="1530"/>
      <c r="BM754" s="1530"/>
      <c r="BN754" s="1530"/>
      <c r="BW754" s="1569"/>
      <c r="CO754" s="1530"/>
      <c r="CP754" s="1530"/>
      <c r="CQ754" s="1530"/>
      <c r="CR754" s="1530"/>
      <c r="CS754" s="1530"/>
      <c r="CT754" s="1530"/>
      <c r="CU754" s="1530"/>
      <c r="CV754" s="1530"/>
      <c r="CW754" s="1530"/>
      <c r="CX754" s="1530"/>
      <c r="CY754" s="1530"/>
      <c r="CZ754" s="1530"/>
      <c r="DA754" s="1530"/>
      <c r="DB754" s="1530"/>
      <c r="DC754" s="1530"/>
      <c r="DD754" s="1530"/>
      <c r="DE754" s="1530"/>
      <c r="DF754" s="1530"/>
      <c r="DG754" s="1530"/>
      <c r="DH754" s="1530"/>
      <c r="DI754" s="1530"/>
      <c r="DJ754" s="1530"/>
      <c r="DK754" s="1530"/>
      <c r="DL754" s="1530"/>
      <c r="DM754" s="1530"/>
      <c r="DN754" s="1571"/>
      <c r="DO754" s="1530"/>
      <c r="DP754" s="1530"/>
    </row>
    <row r="755" spans="1:120">
      <c r="A755" s="1451"/>
      <c r="C755" s="1451"/>
      <c r="K755" s="1451"/>
      <c r="L755" s="1451"/>
      <c r="U755" s="1530"/>
      <c r="V755" s="1530"/>
      <c r="W755" s="1530"/>
      <c r="X755" s="1530"/>
      <c r="Y755" s="1530"/>
      <c r="Z755" s="1530"/>
      <c r="AA755" s="1530"/>
      <c r="AB755" s="1530"/>
      <c r="AC755" s="1530"/>
      <c r="AD755" s="1530"/>
      <c r="AE755" s="1530"/>
      <c r="AF755" s="1530"/>
      <c r="AG755" s="1530"/>
      <c r="AH755" s="1530"/>
      <c r="AI755" s="1530"/>
      <c r="AJ755" s="1530"/>
      <c r="AK755" s="1530"/>
      <c r="AL755" s="1530"/>
      <c r="AM755" s="1530"/>
      <c r="AN755" s="1530"/>
      <c r="AO755" s="1530"/>
      <c r="AP755" s="1530"/>
      <c r="AQ755" s="1530"/>
      <c r="AR755" s="1530"/>
      <c r="AS755" s="1530"/>
      <c r="AT755" s="1530"/>
      <c r="AU755" s="1530"/>
      <c r="AV755" s="1530"/>
      <c r="AW755" s="1530"/>
      <c r="AX755" s="1530"/>
      <c r="AY755" s="1530"/>
      <c r="AZ755" s="1530"/>
      <c r="BA755" s="1530"/>
      <c r="BB755" s="1530"/>
      <c r="BC755" s="1530"/>
      <c r="BD755" s="1530"/>
      <c r="BE755" s="1530"/>
      <c r="BF755" s="1530"/>
      <c r="BG755" s="1530"/>
      <c r="BH755" s="1530"/>
      <c r="BI755" s="1530"/>
      <c r="BJ755" s="1530"/>
      <c r="BK755" s="1530"/>
      <c r="BL755" s="1530"/>
      <c r="BM755" s="1530"/>
      <c r="BN755" s="1530"/>
      <c r="BW755" s="1569"/>
      <c r="CO755" s="1530"/>
      <c r="CP755" s="1530"/>
      <c r="CQ755" s="1530"/>
      <c r="CR755" s="1530"/>
      <c r="CS755" s="1530"/>
      <c r="CT755" s="1530"/>
      <c r="CU755" s="1530"/>
      <c r="CV755" s="1530"/>
      <c r="CW755" s="1530"/>
      <c r="CX755" s="1530"/>
      <c r="CY755" s="1530"/>
      <c r="CZ755" s="1530"/>
      <c r="DA755" s="1530"/>
      <c r="DB755" s="1530"/>
      <c r="DC755" s="1530"/>
      <c r="DD755" s="1530"/>
      <c r="DE755" s="1530"/>
      <c r="DF755" s="1530"/>
      <c r="DG755" s="1530"/>
      <c r="DH755" s="1530"/>
      <c r="DI755" s="1530"/>
      <c r="DJ755" s="1530"/>
      <c r="DK755" s="1530"/>
      <c r="DL755" s="1530"/>
      <c r="DM755" s="1530"/>
      <c r="DN755" s="1571"/>
      <c r="DO755" s="1530"/>
      <c r="DP755" s="1530"/>
    </row>
    <row r="756" spans="1:120">
      <c r="A756" s="1451"/>
      <c r="C756" s="1451"/>
      <c r="K756" s="1451"/>
      <c r="L756" s="1451"/>
      <c r="U756" s="1530"/>
      <c r="V756" s="1530"/>
      <c r="W756" s="1530"/>
      <c r="X756" s="1530"/>
      <c r="Y756" s="1530"/>
      <c r="Z756" s="1530"/>
      <c r="AA756" s="1530"/>
      <c r="AB756" s="1530"/>
      <c r="AC756" s="1530"/>
      <c r="AD756" s="1530"/>
      <c r="AE756" s="1530"/>
      <c r="AF756" s="1530"/>
      <c r="AG756" s="1530"/>
      <c r="AH756" s="1530"/>
      <c r="AI756" s="1530"/>
      <c r="AJ756" s="1530"/>
      <c r="AK756" s="1530"/>
      <c r="AL756" s="1530"/>
      <c r="AM756" s="1530"/>
      <c r="AN756" s="1530"/>
      <c r="AO756" s="1530"/>
      <c r="AP756" s="1530"/>
      <c r="AQ756" s="1530"/>
      <c r="AR756" s="1530"/>
      <c r="AS756" s="1530"/>
      <c r="AT756" s="1530"/>
      <c r="AU756" s="1530"/>
      <c r="AV756" s="1530"/>
      <c r="AW756" s="1530"/>
      <c r="AX756" s="1530"/>
      <c r="AY756" s="1530"/>
      <c r="AZ756" s="1530"/>
      <c r="BA756" s="1530"/>
      <c r="BB756" s="1530"/>
      <c r="BC756" s="1530"/>
      <c r="BD756" s="1530"/>
      <c r="BE756" s="1530"/>
      <c r="BF756" s="1530"/>
      <c r="BG756" s="1530"/>
      <c r="BH756" s="1530"/>
      <c r="BI756" s="1530"/>
      <c r="BJ756" s="1530"/>
      <c r="BK756" s="1530"/>
      <c r="BL756" s="1530"/>
      <c r="BM756" s="1530"/>
      <c r="BN756" s="1530"/>
      <c r="BW756" s="1569"/>
      <c r="CO756" s="1530"/>
      <c r="CP756" s="1530"/>
      <c r="CQ756" s="1530"/>
      <c r="CR756" s="1530"/>
      <c r="CS756" s="1530"/>
      <c r="CT756" s="1530"/>
      <c r="CU756" s="1530"/>
      <c r="CV756" s="1530"/>
      <c r="CW756" s="1530"/>
      <c r="CX756" s="1530"/>
      <c r="CY756" s="1530"/>
      <c r="CZ756" s="1530"/>
      <c r="DA756" s="1530"/>
      <c r="DB756" s="1530"/>
      <c r="DC756" s="1530"/>
      <c r="DD756" s="1530"/>
      <c r="DE756" s="1530"/>
      <c r="DF756" s="1530"/>
      <c r="DG756" s="1530"/>
      <c r="DH756" s="1530"/>
      <c r="DI756" s="1530"/>
      <c r="DJ756" s="1530"/>
      <c r="DK756" s="1530"/>
      <c r="DL756" s="1530"/>
      <c r="DM756" s="1530"/>
      <c r="DN756" s="1571"/>
      <c r="DO756" s="1530"/>
      <c r="DP756" s="1530"/>
    </row>
    <row r="757" spans="1:120">
      <c r="A757" s="1451"/>
      <c r="C757" s="1451"/>
      <c r="K757" s="1451"/>
      <c r="L757" s="1451"/>
      <c r="U757" s="1530"/>
      <c r="V757" s="1530"/>
      <c r="W757" s="1530"/>
      <c r="X757" s="1530"/>
      <c r="Y757" s="1530"/>
      <c r="Z757" s="1530"/>
      <c r="AA757" s="1530"/>
      <c r="AB757" s="1530"/>
      <c r="AC757" s="1530"/>
      <c r="AD757" s="1530"/>
      <c r="AE757" s="1530"/>
      <c r="AF757" s="1530"/>
      <c r="AG757" s="1530"/>
      <c r="AH757" s="1530"/>
      <c r="AI757" s="1530"/>
      <c r="AJ757" s="1530"/>
      <c r="AK757" s="1530"/>
      <c r="AL757" s="1530"/>
      <c r="AM757" s="1530"/>
      <c r="AN757" s="1530"/>
      <c r="AO757" s="1530"/>
      <c r="AP757" s="1530"/>
      <c r="AQ757" s="1530"/>
      <c r="AR757" s="1530"/>
      <c r="AS757" s="1530"/>
      <c r="AT757" s="1530"/>
      <c r="AU757" s="1530"/>
      <c r="AV757" s="1530"/>
      <c r="AW757" s="1530"/>
      <c r="AX757" s="1530"/>
      <c r="AY757" s="1530"/>
      <c r="AZ757" s="1530"/>
      <c r="BA757" s="1530"/>
      <c r="BB757" s="1530"/>
      <c r="BC757" s="1530"/>
      <c r="BD757" s="1530"/>
      <c r="BE757" s="1530"/>
      <c r="BF757" s="1530"/>
      <c r="BG757" s="1530"/>
      <c r="BH757" s="1530"/>
      <c r="BI757" s="1530"/>
      <c r="BJ757" s="1530"/>
      <c r="BK757" s="1530"/>
      <c r="BL757" s="1530"/>
      <c r="BM757" s="1530"/>
      <c r="BN757" s="1530"/>
      <c r="BW757" s="1569"/>
      <c r="CO757" s="1530"/>
      <c r="CP757" s="1530"/>
      <c r="CQ757" s="1530"/>
      <c r="CR757" s="1530"/>
      <c r="CS757" s="1530"/>
      <c r="CT757" s="1530"/>
      <c r="CU757" s="1530"/>
      <c r="CV757" s="1530"/>
      <c r="CW757" s="1530"/>
      <c r="CX757" s="1530"/>
      <c r="CY757" s="1530"/>
      <c r="CZ757" s="1530"/>
      <c r="DA757" s="1530"/>
      <c r="DB757" s="1530"/>
      <c r="DC757" s="1530"/>
      <c r="DD757" s="1530"/>
      <c r="DE757" s="1530"/>
      <c r="DF757" s="1530"/>
      <c r="DG757" s="1530"/>
      <c r="DH757" s="1530"/>
      <c r="DI757" s="1530"/>
      <c r="DJ757" s="1530"/>
      <c r="DK757" s="1530"/>
      <c r="DL757" s="1530"/>
      <c r="DM757" s="1530"/>
      <c r="DN757" s="1571"/>
      <c r="DO757" s="1530"/>
      <c r="DP757" s="1530"/>
    </row>
    <row r="758" spans="1:120">
      <c r="A758" s="1451"/>
      <c r="C758" s="1451"/>
      <c r="K758" s="1451"/>
      <c r="L758" s="1451"/>
      <c r="U758" s="1530"/>
      <c r="V758" s="1530"/>
      <c r="W758" s="1530"/>
      <c r="X758" s="1530"/>
      <c r="Y758" s="1530"/>
      <c r="Z758" s="1530"/>
      <c r="AA758" s="1530"/>
      <c r="AB758" s="1530"/>
      <c r="AC758" s="1530"/>
      <c r="AD758" s="1530"/>
      <c r="AE758" s="1530"/>
      <c r="AF758" s="1530"/>
      <c r="AG758" s="1530"/>
      <c r="AH758" s="1530"/>
      <c r="AI758" s="1530"/>
      <c r="AJ758" s="1530"/>
      <c r="AK758" s="1530"/>
      <c r="AL758" s="1530"/>
      <c r="AM758" s="1530"/>
      <c r="AN758" s="1530"/>
      <c r="AO758" s="1530"/>
      <c r="AP758" s="1530"/>
      <c r="AQ758" s="1530"/>
      <c r="AR758" s="1530"/>
      <c r="AS758" s="1530"/>
      <c r="AT758" s="1530"/>
      <c r="AU758" s="1530"/>
      <c r="AV758" s="1530"/>
      <c r="AW758" s="1530"/>
      <c r="AX758" s="1530"/>
      <c r="AY758" s="1530"/>
      <c r="AZ758" s="1530"/>
      <c r="BA758" s="1530"/>
      <c r="BB758" s="1530"/>
      <c r="BC758" s="1530"/>
      <c r="BD758" s="1530"/>
      <c r="BE758" s="1530"/>
      <c r="BF758" s="1530"/>
      <c r="BG758" s="1530"/>
      <c r="BH758" s="1530"/>
      <c r="BI758" s="1530"/>
      <c r="BJ758" s="1530"/>
      <c r="BK758" s="1530"/>
      <c r="BL758" s="1530"/>
      <c r="BM758" s="1530"/>
      <c r="BN758" s="1530"/>
      <c r="BW758" s="1569"/>
      <c r="CO758" s="1530"/>
      <c r="CP758" s="1530"/>
      <c r="CQ758" s="1530"/>
      <c r="CR758" s="1530"/>
      <c r="CS758" s="1530"/>
      <c r="CT758" s="1530"/>
      <c r="CU758" s="1530"/>
      <c r="CV758" s="1530"/>
      <c r="CW758" s="1530"/>
      <c r="CX758" s="1530"/>
      <c r="CY758" s="1530"/>
      <c r="CZ758" s="1530"/>
      <c r="DA758" s="1530"/>
      <c r="DB758" s="1530"/>
      <c r="DC758" s="1530"/>
      <c r="DD758" s="1530"/>
      <c r="DE758" s="1530"/>
      <c r="DF758" s="1530"/>
      <c r="DG758" s="1530"/>
      <c r="DH758" s="1530"/>
      <c r="DI758" s="1530"/>
      <c r="DJ758" s="1530"/>
      <c r="DK758" s="1530"/>
      <c r="DL758" s="1530"/>
      <c r="DM758" s="1530"/>
      <c r="DN758" s="1571"/>
      <c r="DO758" s="1530"/>
      <c r="DP758" s="1530"/>
    </row>
    <row r="759" spans="1:120">
      <c r="A759" s="1451"/>
      <c r="C759" s="1451"/>
      <c r="K759" s="1451"/>
      <c r="L759" s="1451"/>
      <c r="U759" s="1530"/>
      <c r="V759" s="1530"/>
      <c r="W759" s="1530"/>
      <c r="X759" s="1530"/>
      <c r="Y759" s="1530"/>
      <c r="Z759" s="1530"/>
      <c r="AA759" s="1530"/>
      <c r="AB759" s="1530"/>
      <c r="AC759" s="1530"/>
      <c r="AD759" s="1530"/>
      <c r="AE759" s="1530"/>
      <c r="AF759" s="1530"/>
      <c r="AG759" s="1530"/>
      <c r="AH759" s="1530"/>
      <c r="AI759" s="1530"/>
      <c r="AJ759" s="1530"/>
      <c r="AK759" s="1530"/>
      <c r="AL759" s="1530"/>
      <c r="AM759" s="1530"/>
      <c r="AN759" s="1530"/>
      <c r="AO759" s="1530"/>
      <c r="AP759" s="1530"/>
      <c r="AQ759" s="1530"/>
      <c r="AR759" s="1530"/>
      <c r="AS759" s="1530"/>
      <c r="AT759" s="1530"/>
      <c r="AU759" s="1530"/>
      <c r="AV759" s="1530"/>
      <c r="AW759" s="1530"/>
      <c r="AX759" s="1530"/>
      <c r="AY759" s="1530"/>
      <c r="AZ759" s="1530"/>
      <c r="BA759" s="1530"/>
      <c r="BB759" s="1530"/>
      <c r="BC759" s="1530"/>
      <c r="BD759" s="1530"/>
      <c r="BE759" s="1530"/>
      <c r="BF759" s="1530"/>
      <c r="BG759" s="1530"/>
      <c r="BH759" s="1530"/>
      <c r="BI759" s="1530"/>
      <c r="BJ759" s="1530"/>
      <c r="BK759" s="1530"/>
      <c r="BL759" s="1530"/>
      <c r="BM759" s="1530"/>
      <c r="BN759" s="1530"/>
      <c r="BW759" s="1569"/>
      <c r="CO759" s="1530"/>
      <c r="CP759" s="1530"/>
      <c r="CQ759" s="1530"/>
      <c r="CR759" s="1530"/>
      <c r="CS759" s="1530"/>
      <c r="CT759" s="1530"/>
      <c r="CU759" s="1530"/>
      <c r="CV759" s="1530"/>
      <c r="CW759" s="1530"/>
      <c r="CX759" s="1530"/>
      <c r="CY759" s="1530"/>
      <c r="CZ759" s="1530"/>
      <c r="DA759" s="1530"/>
      <c r="DB759" s="1530"/>
      <c r="DC759" s="1530"/>
      <c r="DD759" s="1530"/>
      <c r="DE759" s="1530"/>
      <c r="DF759" s="1530"/>
      <c r="DG759" s="1530"/>
      <c r="DH759" s="1530"/>
      <c r="DI759" s="1530"/>
      <c r="DJ759" s="1530"/>
      <c r="DK759" s="1530"/>
      <c r="DL759" s="1530"/>
      <c r="DM759" s="1530"/>
      <c r="DN759" s="1571"/>
      <c r="DO759" s="1530"/>
      <c r="DP759" s="1530"/>
    </row>
    <row r="760" spans="1:120">
      <c r="A760" s="1451"/>
      <c r="C760" s="1451"/>
      <c r="K760" s="1451"/>
      <c r="L760" s="1451"/>
      <c r="U760" s="1530"/>
      <c r="V760" s="1530"/>
      <c r="W760" s="1530"/>
      <c r="X760" s="1530"/>
      <c r="Y760" s="1530"/>
      <c r="Z760" s="1530"/>
      <c r="AA760" s="1530"/>
      <c r="AB760" s="1530"/>
      <c r="AC760" s="1530"/>
      <c r="AD760" s="1530"/>
      <c r="AE760" s="1530"/>
      <c r="AF760" s="1530"/>
      <c r="AG760" s="1530"/>
      <c r="AH760" s="1530"/>
      <c r="AI760" s="1530"/>
      <c r="AJ760" s="1530"/>
      <c r="AK760" s="1530"/>
      <c r="AL760" s="1530"/>
      <c r="AM760" s="1530"/>
      <c r="AN760" s="1530"/>
      <c r="AO760" s="1530"/>
      <c r="AP760" s="1530"/>
      <c r="AQ760" s="1530"/>
      <c r="AR760" s="1530"/>
      <c r="AS760" s="1530"/>
      <c r="AT760" s="1530"/>
      <c r="AU760" s="1530"/>
      <c r="AV760" s="1530"/>
      <c r="AW760" s="1530"/>
      <c r="AX760" s="1530"/>
      <c r="AY760" s="1530"/>
      <c r="AZ760" s="1530"/>
      <c r="BA760" s="1530"/>
      <c r="BB760" s="1530"/>
      <c r="BC760" s="1530"/>
      <c r="BD760" s="1530"/>
      <c r="BE760" s="1530"/>
      <c r="BF760" s="1530"/>
      <c r="BG760" s="1530"/>
      <c r="BH760" s="1530"/>
      <c r="BI760" s="1530"/>
      <c r="BJ760" s="1530"/>
      <c r="BK760" s="1530"/>
      <c r="BL760" s="1530"/>
      <c r="BM760" s="1530"/>
      <c r="BN760" s="1530"/>
      <c r="BW760" s="1569"/>
      <c r="CO760" s="1530"/>
      <c r="CP760" s="1530"/>
      <c r="CQ760" s="1530"/>
      <c r="CR760" s="1530"/>
      <c r="CS760" s="1530"/>
      <c r="CT760" s="1530"/>
      <c r="CU760" s="1530"/>
      <c r="CV760" s="1530"/>
      <c r="CW760" s="1530"/>
      <c r="CX760" s="1530"/>
      <c r="CY760" s="1530"/>
      <c r="CZ760" s="1530"/>
      <c r="DA760" s="1530"/>
      <c r="DB760" s="1530"/>
      <c r="DC760" s="1530"/>
      <c r="DD760" s="1530"/>
      <c r="DE760" s="1530"/>
      <c r="DF760" s="1530"/>
      <c r="DG760" s="1530"/>
      <c r="DH760" s="1530"/>
      <c r="DI760" s="1530"/>
      <c r="DJ760" s="1530"/>
      <c r="DK760" s="1530"/>
      <c r="DL760" s="1530"/>
      <c r="DM760" s="1530"/>
      <c r="DN760" s="1571"/>
      <c r="DO760" s="1530"/>
      <c r="DP760" s="1530"/>
    </row>
    <row r="761" spans="1:120">
      <c r="A761" s="1451"/>
      <c r="C761" s="1451"/>
      <c r="K761" s="1451"/>
      <c r="L761" s="1451"/>
      <c r="U761" s="1530"/>
      <c r="V761" s="1530"/>
      <c r="W761" s="1530"/>
      <c r="X761" s="1530"/>
      <c r="Y761" s="1530"/>
      <c r="Z761" s="1530"/>
      <c r="AA761" s="1530"/>
      <c r="AB761" s="1530"/>
      <c r="AC761" s="1530"/>
      <c r="AD761" s="1530"/>
      <c r="AE761" s="1530"/>
      <c r="AF761" s="1530"/>
      <c r="AG761" s="1530"/>
      <c r="AH761" s="1530"/>
      <c r="AI761" s="1530"/>
      <c r="AJ761" s="1530"/>
      <c r="AK761" s="1530"/>
      <c r="AL761" s="1530"/>
      <c r="AM761" s="1530"/>
      <c r="AN761" s="1530"/>
      <c r="AO761" s="1530"/>
      <c r="AP761" s="1530"/>
      <c r="AQ761" s="1530"/>
      <c r="AR761" s="1530"/>
      <c r="AS761" s="1530"/>
      <c r="AT761" s="1530"/>
      <c r="AU761" s="1530"/>
      <c r="AV761" s="1530"/>
      <c r="AW761" s="1530"/>
      <c r="AX761" s="1530"/>
      <c r="AY761" s="1530"/>
      <c r="AZ761" s="1530"/>
      <c r="BA761" s="1530"/>
      <c r="BB761" s="1530"/>
      <c r="BC761" s="1530"/>
      <c r="BD761" s="1530"/>
      <c r="BE761" s="1530"/>
      <c r="BF761" s="1530"/>
      <c r="BG761" s="1530"/>
      <c r="BH761" s="1530"/>
      <c r="BI761" s="1530"/>
      <c r="BJ761" s="1530"/>
      <c r="BK761" s="1530"/>
      <c r="BL761" s="1530"/>
      <c r="BM761" s="1530"/>
      <c r="BN761" s="1530"/>
      <c r="BW761" s="1569"/>
      <c r="CO761" s="1530"/>
      <c r="CP761" s="1530"/>
      <c r="CQ761" s="1530"/>
      <c r="CR761" s="1530"/>
      <c r="CS761" s="1530"/>
      <c r="CT761" s="1530"/>
      <c r="CU761" s="1530"/>
      <c r="CV761" s="1530"/>
      <c r="CW761" s="1530"/>
      <c r="CX761" s="1530"/>
      <c r="CY761" s="1530"/>
      <c r="CZ761" s="1530"/>
      <c r="DA761" s="1530"/>
      <c r="DB761" s="1530"/>
      <c r="DC761" s="1530"/>
      <c r="DD761" s="1530"/>
      <c r="DE761" s="1530"/>
      <c r="DF761" s="1530"/>
      <c r="DG761" s="1530"/>
      <c r="DH761" s="1530"/>
      <c r="DI761" s="1530"/>
      <c r="DJ761" s="1530"/>
      <c r="DK761" s="1530"/>
      <c r="DL761" s="1530"/>
      <c r="DM761" s="1530"/>
      <c r="DN761" s="1571"/>
      <c r="DO761" s="1530"/>
      <c r="DP761" s="1530"/>
    </row>
    <row r="762" spans="1:120">
      <c r="A762" s="1451"/>
      <c r="C762" s="1451"/>
      <c r="K762" s="1451"/>
      <c r="L762" s="1451"/>
      <c r="U762" s="1530"/>
      <c r="V762" s="1530"/>
      <c r="W762" s="1530"/>
      <c r="X762" s="1530"/>
      <c r="Y762" s="1530"/>
      <c r="Z762" s="1530"/>
      <c r="AA762" s="1530"/>
      <c r="AB762" s="1530"/>
      <c r="AC762" s="1530"/>
      <c r="AD762" s="1530"/>
      <c r="AE762" s="1530"/>
      <c r="AF762" s="1530"/>
      <c r="AG762" s="1530"/>
      <c r="AH762" s="1530"/>
      <c r="AI762" s="1530"/>
      <c r="AJ762" s="1530"/>
      <c r="AK762" s="1530"/>
      <c r="AL762" s="1530"/>
      <c r="AM762" s="1530"/>
      <c r="AN762" s="1530"/>
      <c r="AO762" s="1530"/>
      <c r="AP762" s="1530"/>
      <c r="AQ762" s="1530"/>
      <c r="AR762" s="1530"/>
      <c r="AS762" s="1530"/>
      <c r="AT762" s="1530"/>
      <c r="AU762" s="1530"/>
      <c r="AV762" s="1530"/>
      <c r="AW762" s="1530"/>
      <c r="AX762" s="1530"/>
      <c r="AY762" s="1530"/>
      <c r="AZ762" s="1530"/>
      <c r="BA762" s="1530"/>
      <c r="BB762" s="1530"/>
      <c r="BC762" s="1530"/>
      <c r="BD762" s="1530"/>
      <c r="BE762" s="1530"/>
      <c r="BF762" s="1530"/>
      <c r="BG762" s="1530"/>
      <c r="BH762" s="1530"/>
      <c r="BI762" s="1530"/>
      <c r="BJ762" s="1530"/>
      <c r="BK762" s="1530"/>
      <c r="BL762" s="1530"/>
      <c r="BM762" s="1530"/>
      <c r="BN762" s="1530"/>
      <c r="BW762" s="1569"/>
      <c r="CO762" s="1530"/>
      <c r="CP762" s="1530"/>
      <c r="CQ762" s="1530"/>
      <c r="CR762" s="1530"/>
      <c r="CS762" s="1530"/>
      <c r="CT762" s="1530"/>
      <c r="CU762" s="1530"/>
      <c r="CV762" s="1530"/>
      <c r="CW762" s="1530"/>
      <c r="CX762" s="1530"/>
      <c r="CY762" s="1530"/>
      <c r="CZ762" s="1530"/>
      <c r="DA762" s="1530"/>
      <c r="DB762" s="1530"/>
      <c r="DC762" s="1530"/>
      <c r="DD762" s="1530"/>
      <c r="DE762" s="1530"/>
      <c r="DF762" s="1530"/>
      <c r="DG762" s="1530"/>
      <c r="DH762" s="1530"/>
      <c r="DI762" s="1530"/>
      <c r="DJ762" s="1530"/>
      <c r="DK762" s="1530"/>
      <c r="DL762" s="1530"/>
      <c r="DM762" s="1530"/>
      <c r="DN762" s="1571"/>
      <c r="DO762" s="1530"/>
      <c r="DP762" s="1530"/>
    </row>
    <row r="763" spans="1:120">
      <c r="A763" s="1451"/>
      <c r="C763" s="1451"/>
      <c r="K763" s="1451"/>
      <c r="L763" s="1451"/>
      <c r="U763" s="1530"/>
      <c r="V763" s="1530"/>
      <c r="W763" s="1530"/>
      <c r="X763" s="1530"/>
      <c r="Y763" s="1530"/>
      <c r="Z763" s="1530"/>
      <c r="AA763" s="1530"/>
      <c r="AB763" s="1530"/>
      <c r="AC763" s="1530"/>
      <c r="AD763" s="1530"/>
      <c r="AE763" s="1530"/>
      <c r="AF763" s="1530"/>
      <c r="AG763" s="1530"/>
      <c r="AH763" s="1530"/>
      <c r="AI763" s="1530"/>
      <c r="AJ763" s="1530"/>
      <c r="AK763" s="1530"/>
      <c r="AL763" s="1530"/>
      <c r="AM763" s="1530"/>
      <c r="AN763" s="1530"/>
      <c r="AO763" s="1530"/>
      <c r="AP763" s="1530"/>
      <c r="AQ763" s="1530"/>
      <c r="AR763" s="1530"/>
      <c r="AS763" s="1530"/>
      <c r="AT763" s="1530"/>
      <c r="AU763" s="1530"/>
      <c r="AV763" s="1530"/>
      <c r="AW763" s="1530"/>
      <c r="AX763" s="1530"/>
      <c r="AY763" s="1530"/>
      <c r="AZ763" s="1530"/>
      <c r="BA763" s="1530"/>
      <c r="BB763" s="1530"/>
      <c r="BC763" s="1530"/>
      <c r="BD763" s="1530"/>
      <c r="BE763" s="1530"/>
      <c r="BF763" s="1530"/>
      <c r="BG763" s="1530"/>
      <c r="BH763" s="1530"/>
      <c r="BI763" s="1530"/>
      <c r="BJ763" s="1530"/>
      <c r="BK763" s="1530"/>
      <c r="BL763" s="1530"/>
      <c r="BM763" s="1530"/>
      <c r="BN763" s="1530"/>
      <c r="BW763" s="1569"/>
      <c r="CO763" s="1530"/>
      <c r="CP763" s="1530"/>
      <c r="CQ763" s="1530"/>
      <c r="CR763" s="1530"/>
      <c r="CS763" s="1530"/>
      <c r="CT763" s="1530"/>
      <c r="CU763" s="1530"/>
      <c r="CV763" s="1530"/>
      <c r="CW763" s="1530"/>
      <c r="CX763" s="1530"/>
      <c r="CY763" s="1530"/>
      <c r="CZ763" s="1530"/>
      <c r="DA763" s="1530"/>
      <c r="DB763" s="1530"/>
      <c r="DC763" s="1530"/>
      <c r="DD763" s="1530"/>
      <c r="DE763" s="1530"/>
      <c r="DF763" s="1530"/>
      <c r="DG763" s="1530"/>
      <c r="DH763" s="1530"/>
      <c r="DI763" s="1530"/>
      <c r="DJ763" s="1530"/>
      <c r="DK763" s="1530"/>
      <c r="DL763" s="1530"/>
      <c r="DM763" s="1530"/>
      <c r="DN763" s="1571"/>
      <c r="DO763" s="1530"/>
      <c r="DP763" s="1530"/>
    </row>
    <row r="764" spans="1:120">
      <c r="A764" s="1451"/>
      <c r="C764" s="1451"/>
      <c r="K764" s="1451"/>
      <c r="L764" s="1451"/>
      <c r="U764" s="1530"/>
      <c r="V764" s="1530"/>
      <c r="W764" s="1530"/>
      <c r="X764" s="1530"/>
      <c r="Y764" s="1530"/>
      <c r="Z764" s="1530"/>
      <c r="AA764" s="1530"/>
      <c r="AB764" s="1530"/>
      <c r="AC764" s="1530"/>
      <c r="AD764" s="1530"/>
      <c r="AE764" s="1530"/>
      <c r="AF764" s="1530"/>
      <c r="AG764" s="1530"/>
      <c r="AH764" s="1530"/>
      <c r="AI764" s="1530"/>
      <c r="AJ764" s="1530"/>
      <c r="AK764" s="1530"/>
      <c r="AL764" s="1530"/>
      <c r="AM764" s="1530"/>
      <c r="AN764" s="1530"/>
      <c r="AO764" s="1530"/>
      <c r="AP764" s="1530"/>
      <c r="AQ764" s="1530"/>
      <c r="AR764" s="1530"/>
      <c r="AS764" s="1530"/>
      <c r="AT764" s="1530"/>
      <c r="AU764" s="1530"/>
      <c r="AV764" s="1530"/>
      <c r="AW764" s="1530"/>
      <c r="AX764" s="1530"/>
      <c r="AY764" s="1530"/>
      <c r="AZ764" s="1530"/>
      <c r="BA764" s="1530"/>
      <c r="BB764" s="1530"/>
      <c r="BC764" s="1530"/>
      <c r="BD764" s="1530"/>
      <c r="BE764" s="1530"/>
      <c r="BF764" s="1530"/>
      <c r="BG764" s="1530"/>
      <c r="BH764" s="1530"/>
      <c r="BI764" s="1530"/>
      <c r="BJ764" s="1530"/>
      <c r="BK764" s="1530"/>
      <c r="BL764" s="1530"/>
      <c r="BM764" s="1530"/>
      <c r="BN764" s="1530"/>
      <c r="BW764" s="1569"/>
      <c r="CO764" s="1530"/>
      <c r="CP764" s="1530"/>
      <c r="CQ764" s="1530"/>
      <c r="CR764" s="1530"/>
      <c r="CS764" s="1530"/>
      <c r="CT764" s="1530"/>
      <c r="CU764" s="1530"/>
      <c r="CV764" s="1530"/>
      <c r="CW764" s="1530"/>
      <c r="CX764" s="1530"/>
      <c r="CY764" s="1530"/>
      <c r="CZ764" s="1530"/>
      <c r="DA764" s="1530"/>
      <c r="DB764" s="1530"/>
      <c r="DC764" s="1530"/>
      <c r="DD764" s="1530"/>
      <c r="DE764" s="1530"/>
      <c r="DF764" s="1530"/>
      <c r="DG764" s="1530"/>
      <c r="DH764" s="1530"/>
      <c r="DI764" s="1530"/>
      <c r="DJ764" s="1530"/>
      <c r="DK764" s="1530"/>
      <c r="DL764" s="1530"/>
      <c r="DM764" s="1530"/>
      <c r="DN764" s="1571"/>
      <c r="DO764" s="1530"/>
      <c r="DP764" s="1530"/>
    </row>
    <row r="765" spans="1:120">
      <c r="A765" s="1451"/>
      <c r="C765" s="1451"/>
      <c r="K765" s="1451"/>
      <c r="L765" s="1451"/>
      <c r="U765" s="1530"/>
      <c r="V765" s="1530"/>
      <c r="W765" s="1530"/>
      <c r="X765" s="1530"/>
      <c r="Y765" s="1530"/>
      <c r="Z765" s="1530"/>
      <c r="AA765" s="1530"/>
      <c r="AB765" s="1530"/>
      <c r="AC765" s="1530"/>
      <c r="AD765" s="1530"/>
      <c r="AE765" s="1530"/>
      <c r="AF765" s="1530"/>
      <c r="AG765" s="1530"/>
      <c r="AH765" s="1530"/>
      <c r="AI765" s="1530"/>
      <c r="AJ765" s="1530"/>
      <c r="AK765" s="1530"/>
      <c r="AL765" s="1530"/>
      <c r="AM765" s="1530"/>
      <c r="AN765" s="1530"/>
      <c r="AO765" s="1530"/>
      <c r="AP765" s="1530"/>
      <c r="AQ765" s="1530"/>
      <c r="AR765" s="1530"/>
      <c r="AS765" s="1530"/>
      <c r="AT765" s="1530"/>
      <c r="AU765" s="1530"/>
      <c r="AV765" s="1530"/>
      <c r="AW765" s="1530"/>
      <c r="AX765" s="1530"/>
      <c r="AY765" s="1530"/>
      <c r="AZ765" s="1530"/>
      <c r="BA765" s="1530"/>
      <c r="BB765" s="1530"/>
      <c r="BC765" s="1530"/>
      <c r="BD765" s="1530"/>
      <c r="BE765" s="1530"/>
      <c r="BF765" s="1530"/>
      <c r="BG765" s="1530"/>
      <c r="BH765" s="1530"/>
      <c r="BI765" s="1530"/>
      <c r="BJ765" s="1530"/>
      <c r="BK765" s="1530"/>
      <c r="BL765" s="1530"/>
      <c r="BM765" s="1530"/>
      <c r="BN765" s="1530"/>
      <c r="BW765" s="1569"/>
      <c r="CO765" s="1530"/>
      <c r="CP765" s="1530"/>
      <c r="CQ765" s="1530"/>
      <c r="CR765" s="1530"/>
      <c r="CS765" s="1530"/>
      <c r="CT765" s="1530"/>
      <c r="CU765" s="1530"/>
      <c r="CV765" s="1530"/>
      <c r="CW765" s="1530"/>
      <c r="CX765" s="1530"/>
      <c r="CY765" s="1530"/>
      <c r="CZ765" s="1530"/>
      <c r="DA765" s="1530"/>
      <c r="DB765" s="1530"/>
      <c r="DC765" s="1530"/>
      <c r="DD765" s="1530"/>
      <c r="DE765" s="1530"/>
      <c r="DF765" s="1530"/>
      <c r="DG765" s="1530"/>
      <c r="DH765" s="1530"/>
      <c r="DI765" s="1530"/>
      <c r="DJ765" s="1530"/>
      <c r="DK765" s="1530"/>
      <c r="DL765" s="1530"/>
      <c r="DM765" s="1530"/>
      <c r="DN765" s="1571"/>
      <c r="DO765" s="1530"/>
      <c r="DP765" s="1530"/>
    </row>
    <row r="766" spans="1:120">
      <c r="A766" s="1451"/>
      <c r="C766" s="1451"/>
      <c r="K766" s="1451"/>
      <c r="L766" s="1451"/>
      <c r="U766" s="1530"/>
      <c r="V766" s="1530"/>
      <c r="W766" s="1530"/>
      <c r="X766" s="1530"/>
      <c r="Y766" s="1530"/>
      <c r="Z766" s="1530"/>
      <c r="AA766" s="1530"/>
      <c r="AB766" s="1530"/>
      <c r="AC766" s="1530"/>
      <c r="AD766" s="1530"/>
      <c r="AE766" s="1530"/>
      <c r="AF766" s="1530"/>
      <c r="AG766" s="1530"/>
      <c r="AH766" s="1530"/>
      <c r="AI766" s="1530"/>
      <c r="AJ766" s="1530"/>
      <c r="AK766" s="1530"/>
      <c r="AL766" s="1530"/>
      <c r="AM766" s="1530"/>
      <c r="AN766" s="1530"/>
      <c r="AO766" s="1530"/>
      <c r="AP766" s="1530"/>
      <c r="AQ766" s="1530"/>
      <c r="AR766" s="1530"/>
      <c r="AS766" s="1530"/>
      <c r="AT766" s="1530"/>
      <c r="AU766" s="1530"/>
      <c r="AV766" s="1530"/>
      <c r="AW766" s="1530"/>
      <c r="AX766" s="1530"/>
      <c r="AY766" s="1530"/>
      <c r="AZ766" s="1530"/>
      <c r="BA766" s="1530"/>
      <c r="BB766" s="1530"/>
      <c r="BC766" s="1530"/>
      <c r="BD766" s="1530"/>
      <c r="BE766" s="1530"/>
      <c r="BF766" s="1530"/>
      <c r="BG766" s="1530"/>
      <c r="BH766" s="1530"/>
      <c r="BI766" s="1530"/>
      <c r="BJ766" s="1530"/>
      <c r="BK766" s="1530"/>
      <c r="BL766" s="1530"/>
      <c r="BM766" s="1530"/>
      <c r="BN766" s="1530"/>
      <c r="BW766" s="1569"/>
      <c r="CO766" s="1530"/>
      <c r="CP766" s="1530"/>
      <c r="CQ766" s="1530"/>
      <c r="CR766" s="1530"/>
      <c r="CS766" s="1530"/>
      <c r="CT766" s="1530"/>
      <c r="CU766" s="1530"/>
      <c r="CV766" s="1530"/>
      <c r="CW766" s="1530"/>
      <c r="CX766" s="1530"/>
      <c r="CY766" s="1530"/>
      <c r="CZ766" s="1530"/>
      <c r="DA766" s="1530"/>
      <c r="DB766" s="1530"/>
      <c r="DC766" s="1530"/>
      <c r="DD766" s="1530"/>
      <c r="DE766" s="1530"/>
      <c r="DF766" s="1530"/>
      <c r="DG766" s="1530"/>
      <c r="DH766" s="1530"/>
      <c r="DI766" s="1530"/>
      <c r="DJ766" s="1530"/>
      <c r="DK766" s="1530"/>
      <c r="DL766" s="1530"/>
      <c r="DM766" s="1530"/>
      <c r="DN766" s="1571"/>
      <c r="DO766" s="1530"/>
      <c r="DP766" s="1530"/>
    </row>
    <row r="767" spans="1:120">
      <c r="A767" s="1451"/>
      <c r="C767" s="1451"/>
      <c r="K767" s="1451"/>
      <c r="L767" s="1451"/>
      <c r="U767" s="1530"/>
      <c r="V767" s="1530"/>
      <c r="W767" s="1530"/>
      <c r="X767" s="1530"/>
      <c r="Y767" s="1530"/>
      <c r="Z767" s="1530"/>
      <c r="AA767" s="1530"/>
      <c r="AB767" s="1530"/>
      <c r="AC767" s="1530"/>
      <c r="AD767" s="1530"/>
      <c r="AE767" s="1530"/>
      <c r="AF767" s="1530"/>
      <c r="AG767" s="1530"/>
      <c r="AH767" s="1530"/>
      <c r="AI767" s="1530"/>
      <c r="AJ767" s="1530"/>
      <c r="AK767" s="1530"/>
      <c r="AL767" s="1530"/>
      <c r="AM767" s="1530"/>
      <c r="AN767" s="1530"/>
      <c r="AO767" s="1530"/>
      <c r="AP767" s="1530"/>
      <c r="AQ767" s="1530"/>
      <c r="AR767" s="1530"/>
      <c r="AS767" s="1530"/>
      <c r="AT767" s="1530"/>
      <c r="AU767" s="1530"/>
      <c r="AV767" s="1530"/>
      <c r="AW767" s="1530"/>
      <c r="AX767" s="1530"/>
      <c r="AY767" s="1530"/>
      <c r="AZ767" s="1530"/>
      <c r="BA767" s="1530"/>
      <c r="BB767" s="1530"/>
      <c r="BC767" s="1530"/>
      <c r="BD767" s="1530"/>
      <c r="BE767" s="1530"/>
      <c r="BF767" s="1530"/>
      <c r="BG767" s="1530"/>
      <c r="BH767" s="1530"/>
      <c r="BI767" s="1530"/>
      <c r="BJ767" s="1530"/>
      <c r="BK767" s="1530"/>
      <c r="BL767" s="1530"/>
      <c r="BM767" s="1530"/>
      <c r="BN767" s="1530"/>
      <c r="BW767" s="1569"/>
      <c r="CO767" s="1530"/>
      <c r="CP767" s="1530"/>
      <c r="CQ767" s="1530"/>
      <c r="CR767" s="1530"/>
      <c r="CS767" s="1530"/>
      <c r="CT767" s="1530"/>
      <c r="CU767" s="1530"/>
      <c r="CV767" s="1530"/>
      <c r="CW767" s="1530"/>
      <c r="CX767" s="1530"/>
      <c r="CY767" s="1530"/>
      <c r="CZ767" s="1530"/>
      <c r="DA767" s="1530"/>
      <c r="DB767" s="1530"/>
      <c r="DC767" s="1530"/>
      <c r="DD767" s="1530"/>
      <c r="DE767" s="1530"/>
      <c r="DF767" s="1530"/>
      <c r="DG767" s="1530"/>
      <c r="DH767" s="1530"/>
      <c r="DI767" s="1530"/>
      <c r="DJ767" s="1530"/>
      <c r="DK767" s="1530"/>
      <c r="DL767" s="1530"/>
      <c r="DM767" s="1530"/>
      <c r="DN767" s="1571"/>
      <c r="DO767" s="1530"/>
      <c r="DP767" s="1530"/>
    </row>
    <row r="768" spans="1:120">
      <c r="A768" s="1451"/>
      <c r="C768" s="1451"/>
      <c r="K768" s="1451"/>
      <c r="L768" s="1451"/>
      <c r="U768" s="1530"/>
      <c r="V768" s="1530"/>
      <c r="W768" s="1530"/>
      <c r="X768" s="1530"/>
      <c r="Y768" s="1530"/>
      <c r="Z768" s="1530"/>
      <c r="AA768" s="1530"/>
      <c r="AB768" s="1530"/>
      <c r="AC768" s="1530"/>
      <c r="AD768" s="1530"/>
      <c r="AE768" s="1530"/>
      <c r="AF768" s="1530"/>
      <c r="AG768" s="1530"/>
      <c r="AH768" s="1530"/>
      <c r="AI768" s="1530"/>
      <c r="AJ768" s="1530"/>
      <c r="AK768" s="1530"/>
      <c r="AL768" s="1530"/>
      <c r="AM768" s="1530"/>
      <c r="AN768" s="1530"/>
      <c r="AO768" s="1530"/>
      <c r="AP768" s="1530"/>
      <c r="AQ768" s="1530"/>
      <c r="AR768" s="1530"/>
      <c r="AS768" s="1530"/>
      <c r="AT768" s="1530"/>
      <c r="AU768" s="1530"/>
      <c r="AV768" s="1530"/>
      <c r="AW768" s="1530"/>
      <c r="AX768" s="1530"/>
      <c r="AY768" s="1530"/>
      <c r="AZ768" s="1530"/>
      <c r="BA768" s="1530"/>
      <c r="BB768" s="1530"/>
      <c r="BC768" s="1530"/>
      <c r="BD768" s="1530"/>
      <c r="BE768" s="1530"/>
      <c r="BF768" s="1530"/>
      <c r="BG768" s="1530"/>
      <c r="BH768" s="1530"/>
      <c r="BI768" s="1530"/>
      <c r="BJ768" s="1530"/>
      <c r="BK768" s="1530"/>
      <c r="BL768" s="1530"/>
      <c r="BM768" s="1530"/>
      <c r="BN768" s="1530"/>
      <c r="BW768" s="1569"/>
      <c r="CO768" s="1530"/>
      <c r="CP768" s="1530"/>
      <c r="CQ768" s="1530"/>
      <c r="CR768" s="1530"/>
      <c r="CS768" s="1530"/>
      <c r="CT768" s="1530"/>
      <c r="CU768" s="1530"/>
      <c r="CV768" s="1530"/>
      <c r="CW768" s="1530"/>
      <c r="CX768" s="1530"/>
      <c r="CY768" s="1530"/>
      <c r="CZ768" s="1530"/>
      <c r="DA768" s="1530"/>
      <c r="DB768" s="1530"/>
      <c r="DC768" s="1530"/>
      <c r="DD768" s="1530"/>
      <c r="DE768" s="1530"/>
      <c r="DF768" s="1530"/>
      <c r="DG768" s="1530"/>
      <c r="DH768" s="1530"/>
      <c r="DI768" s="1530"/>
      <c r="DJ768" s="1530"/>
      <c r="DK768" s="1530"/>
      <c r="DL768" s="1530"/>
      <c r="DM768" s="1530"/>
      <c r="DN768" s="1571"/>
      <c r="DO768" s="1530"/>
      <c r="DP768" s="1530"/>
    </row>
    <row r="769" spans="1:120">
      <c r="A769" s="1451"/>
      <c r="C769" s="1451"/>
      <c r="K769" s="1451"/>
      <c r="L769" s="1451"/>
      <c r="U769" s="1530"/>
      <c r="V769" s="1530"/>
      <c r="W769" s="1530"/>
      <c r="X769" s="1530"/>
      <c r="Y769" s="1530"/>
      <c r="Z769" s="1530"/>
      <c r="AA769" s="1530"/>
      <c r="AB769" s="1530"/>
      <c r="AC769" s="1530"/>
      <c r="AD769" s="1530"/>
      <c r="AE769" s="1530"/>
      <c r="AF769" s="1530"/>
      <c r="AG769" s="1530"/>
      <c r="AH769" s="1530"/>
      <c r="AI769" s="1530"/>
      <c r="AJ769" s="1530"/>
      <c r="AK769" s="1530"/>
      <c r="AL769" s="1530"/>
      <c r="AM769" s="1530"/>
      <c r="AN769" s="1530"/>
      <c r="AO769" s="1530"/>
      <c r="AP769" s="1530"/>
      <c r="AQ769" s="1530"/>
      <c r="AR769" s="1530"/>
      <c r="AS769" s="1530"/>
      <c r="AT769" s="1530"/>
      <c r="AU769" s="1530"/>
      <c r="AV769" s="1530"/>
      <c r="AW769" s="1530"/>
      <c r="AX769" s="1530"/>
      <c r="AY769" s="1530"/>
      <c r="AZ769" s="1530"/>
      <c r="BA769" s="1530"/>
      <c r="BB769" s="1530"/>
      <c r="BC769" s="1530"/>
      <c r="BD769" s="1530"/>
      <c r="BE769" s="1530"/>
      <c r="BF769" s="1530"/>
      <c r="BG769" s="1530"/>
      <c r="BH769" s="1530"/>
      <c r="BI769" s="1530"/>
      <c r="BJ769" s="1530"/>
      <c r="BK769" s="1530"/>
      <c r="BL769" s="1530"/>
      <c r="BM769" s="1530"/>
      <c r="BN769" s="1530"/>
      <c r="BW769" s="1569"/>
      <c r="CO769" s="1530"/>
      <c r="CP769" s="1530"/>
      <c r="CQ769" s="1530"/>
      <c r="CR769" s="1530"/>
      <c r="CS769" s="1530"/>
      <c r="CT769" s="1530"/>
      <c r="CU769" s="1530"/>
      <c r="CV769" s="1530"/>
      <c r="CW769" s="1530"/>
      <c r="CX769" s="1530"/>
      <c r="CY769" s="1530"/>
      <c r="CZ769" s="1530"/>
      <c r="DA769" s="1530"/>
      <c r="DB769" s="1530"/>
      <c r="DC769" s="1530"/>
      <c r="DD769" s="1530"/>
      <c r="DE769" s="1530"/>
      <c r="DF769" s="1530"/>
      <c r="DG769" s="1530"/>
      <c r="DH769" s="1530"/>
      <c r="DI769" s="1530"/>
      <c r="DJ769" s="1530"/>
      <c r="DK769" s="1530"/>
      <c r="DL769" s="1530"/>
      <c r="DM769" s="1530"/>
      <c r="DN769" s="1571"/>
      <c r="DO769" s="1530"/>
      <c r="DP769" s="1530"/>
    </row>
    <row r="770" spans="1:120">
      <c r="A770" s="1451"/>
      <c r="C770" s="1451"/>
      <c r="K770" s="1451"/>
      <c r="L770" s="1451"/>
      <c r="U770" s="1530"/>
      <c r="V770" s="1530"/>
      <c r="W770" s="1530"/>
      <c r="X770" s="1530"/>
      <c r="Y770" s="1530"/>
      <c r="Z770" s="1530"/>
      <c r="AA770" s="1530"/>
      <c r="AB770" s="1530"/>
      <c r="AC770" s="1530"/>
      <c r="AD770" s="1530"/>
      <c r="AE770" s="1530"/>
      <c r="AF770" s="1530"/>
      <c r="AG770" s="1530"/>
      <c r="AH770" s="1530"/>
      <c r="AI770" s="1530"/>
      <c r="AJ770" s="1530"/>
      <c r="AK770" s="1530"/>
      <c r="AL770" s="1530"/>
      <c r="AM770" s="1530"/>
      <c r="AN770" s="1530"/>
      <c r="AO770" s="1530"/>
      <c r="AP770" s="1530"/>
      <c r="AQ770" s="1530"/>
      <c r="AR770" s="1530"/>
      <c r="AS770" s="1530"/>
      <c r="AT770" s="1530"/>
      <c r="AU770" s="1530"/>
      <c r="AV770" s="1530"/>
      <c r="AW770" s="1530"/>
      <c r="AX770" s="1530"/>
      <c r="AY770" s="1530"/>
      <c r="AZ770" s="1530"/>
      <c r="BA770" s="1530"/>
      <c r="BB770" s="1530"/>
      <c r="BC770" s="1530"/>
      <c r="BD770" s="1530"/>
      <c r="BE770" s="1530"/>
      <c r="BF770" s="1530"/>
      <c r="BG770" s="1530"/>
      <c r="BH770" s="1530"/>
      <c r="BI770" s="1530"/>
      <c r="BJ770" s="1530"/>
      <c r="BK770" s="1530"/>
      <c r="BL770" s="1530"/>
      <c r="BM770" s="1530"/>
      <c r="BN770" s="1530"/>
      <c r="BW770" s="1569"/>
      <c r="CO770" s="1530"/>
      <c r="CP770" s="1530"/>
      <c r="CQ770" s="1530"/>
      <c r="CR770" s="1530"/>
      <c r="CS770" s="1530"/>
      <c r="CT770" s="1530"/>
      <c r="CU770" s="1530"/>
      <c r="CV770" s="1530"/>
      <c r="CW770" s="1530"/>
      <c r="CX770" s="1530"/>
      <c r="CY770" s="1530"/>
      <c r="CZ770" s="1530"/>
      <c r="DA770" s="1530"/>
      <c r="DB770" s="1530"/>
      <c r="DC770" s="1530"/>
      <c r="DD770" s="1530"/>
      <c r="DE770" s="1530"/>
      <c r="DF770" s="1530"/>
      <c r="DG770" s="1530"/>
      <c r="DH770" s="1530"/>
      <c r="DI770" s="1530"/>
      <c r="DJ770" s="1530"/>
      <c r="DK770" s="1530"/>
      <c r="DL770" s="1530"/>
      <c r="DM770" s="1530"/>
      <c r="DN770" s="1571"/>
      <c r="DO770" s="1530"/>
      <c r="DP770" s="1530"/>
    </row>
    <row r="771" spans="1:120">
      <c r="A771" s="1451"/>
      <c r="C771" s="1451"/>
      <c r="K771" s="1451"/>
      <c r="L771" s="1451"/>
      <c r="U771" s="1530"/>
      <c r="V771" s="1530"/>
      <c r="W771" s="1530"/>
      <c r="X771" s="1530"/>
      <c r="Y771" s="1530"/>
      <c r="Z771" s="1530"/>
      <c r="AA771" s="1530"/>
      <c r="AB771" s="1530"/>
      <c r="AC771" s="1530"/>
      <c r="AD771" s="1530"/>
      <c r="AE771" s="1530"/>
      <c r="AF771" s="1530"/>
      <c r="AG771" s="1530"/>
      <c r="AH771" s="1530"/>
      <c r="AI771" s="1530"/>
      <c r="AJ771" s="1530"/>
      <c r="AK771" s="1530"/>
      <c r="AL771" s="1530"/>
      <c r="AM771" s="1530"/>
      <c r="AN771" s="1530"/>
      <c r="AO771" s="1530"/>
      <c r="AP771" s="1530"/>
      <c r="AQ771" s="1530"/>
      <c r="AR771" s="1530"/>
      <c r="AS771" s="1530"/>
      <c r="AT771" s="1530"/>
      <c r="AU771" s="1530"/>
      <c r="AV771" s="1530"/>
      <c r="AW771" s="1530"/>
      <c r="AX771" s="1530"/>
      <c r="AY771" s="1530"/>
      <c r="AZ771" s="1530"/>
      <c r="BA771" s="1530"/>
      <c r="BB771" s="1530"/>
      <c r="BC771" s="1530"/>
      <c r="BD771" s="1530"/>
      <c r="BE771" s="1530"/>
      <c r="BF771" s="1530"/>
      <c r="BG771" s="1530"/>
      <c r="BH771" s="1530"/>
      <c r="BI771" s="1530"/>
      <c r="BJ771" s="1530"/>
      <c r="BK771" s="1530"/>
      <c r="BL771" s="1530"/>
      <c r="BM771" s="1530"/>
      <c r="BN771" s="1530"/>
      <c r="BW771" s="1569"/>
      <c r="CO771" s="1530"/>
      <c r="CP771" s="1530"/>
      <c r="CQ771" s="1530"/>
      <c r="CR771" s="1530"/>
      <c r="CS771" s="1530"/>
      <c r="CT771" s="1530"/>
      <c r="CU771" s="1530"/>
      <c r="CV771" s="1530"/>
      <c r="CW771" s="1530"/>
      <c r="CX771" s="1530"/>
      <c r="CY771" s="1530"/>
      <c r="CZ771" s="1530"/>
      <c r="DA771" s="1530"/>
      <c r="DB771" s="1530"/>
      <c r="DC771" s="1530"/>
      <c r="DD771" s="1530"/>
      <c r="DE771" s="1530"/>
      <c r="DF771" s="1530"/>
      <c r="DG771" s="1530"/>
      <c r="DH771" s="1530"/>
      <c r="DI771" s="1530"/>
      <c r="DJ771" s="1530"/>
      <c r="DK771" s="1530"/>
      <c r="DL771" s="1530"/>
      <c r="DM771" s="1530"/>
      <c r="DN771" s="1571"/>
      <c r="DO771" s="1530"/>
      <c r="DP771" s="1530"/>
    </row>
    <row r="772" spans="1:120">
      <c r="A772" s="1451"/>
      <c r="C772" s="1451"/>
      <c r="K772" s="1451"/>
      <c r="L772" s="1451"/>
      <c r="U772" s="1530"/>
      <c r="V772" s="1530"/>
      <c r="W772" s="1530"/>
      <c r="X772" s="1530"/>
      <c r="Y772" s="1530"/>
      <c r="Z772" s="1530"/>
      <c r="AA772" s="1530"/>
      <c r="AB772" s="1530"/>
      <c r="AC772" s="1530"/>
      <c r="AD772" s="1530"/>
      <c r="AE772" s="1530"/>
      <c r="AF772" s="1530"/>
      <c r="AG772" s="1530"/>
      <c r="AH772" s="1530"/>
      <c r="AI772" s="1530"/>
      <c r="AJ772" s="1530"/>
      <c r="AK772" s="1530"/>
      <c r="AL772" s="1530"/>
      <c r="AM772" s="1530"/>
      <c r="AN772" s="1530"/>
      <c r="AO772" s="1530"/>
      <c r="AP772" s="1530"/>
      <c r="AQ772" s="1530"/>
      <c r="AR772" s="1530"/>
      <c r="AS772" s="1530"/>
      <c r="AT772" s="1530"/>
      <c r="AU772" s="1530"/>
      <c r="AV772" s="1530"/>
      <c r="AW772" s="1530"/>
      <c r="AX772" s="1530"/>
      <c r="AY772" s="1530"/>
      <c r="AZ772" s="1530"/>
      <c r="BA772" s="1530"/>
      <c r="BB772" s="1530"/>
      <c r="BC772" s="1530"/>
      <c r="BD772" s="1530"/>
      <c r="BE772" s="1530"/>
      <c r="BF772" s="1530"/>
      <c r="BG772" s="1530"/>
      <c r="BH772" s="1530"/>
      <c r="BI772" s="1530"/>
      <c r="BJ772" s="1530"/>
      <c r="BK772" s="1530"/>
      <c r="BL772" s="1530"/>
      <c r="BM772" s="1530"/>
      <c r="BN772" s="1530"/>
      <c r="BW772" s="1569"/>
      <c r="CO772" s="1530"/>
      <c r="CP772" s="1530"/>
      <c r="CQ772" s="1530"/>
      <c r="CR772" s="1530"/>
      <c r="CS772" s="1530"/>
      <c r="CT772" s="1530"/>
      <c r="CU772" s="1530"/>
      <c r="CV772" s="1530"/>
      <c r="CW772" s="1530"/>
      <c r="CX772" s="1530"/>
      <c r="CY772" s="1530"/>
      <c r="CZ772" s="1530"/>
      <c r="DA772" s="1530"/>
      <c r="DB772" s="1530"/>
      <c r="DC772" s="1530"/>
      <c r="DD772" s="1530"/>
      <c r="DE772" s="1530"/>
      <c r="DF772" s="1530"/>
      <c r="DG772" s="1530"/>
      <c r="DH772" s="1530"/>
      <c r="DI772" s="1530"/>
      <c r="DJ772" s="1530"/>
      <c r="DK772" s="1530"/>
      <c r="DL772" s="1530"/>
      <c r="DM772" s="1530"/>
      <c r="DN772" s="1571"/>
      <c r="DO772" s="1530"/>
      <c r="DP772" s="1530"/>
    </row>
    <row r="773" spans="1:120">
      <c r="A773" s="1451"/>
      <c r="C773" s="1451"/>
      <c r="K773" s="1451"/>
      <c r="L773" s="1451"/>
      <c r="U773" s="1530"/>
      <c r="V773" s="1530"/>
      <c r="W773" s="1530"/>
      <c r="X773" s="1530"/>
      <c r="Y773" s="1530"/>
      <c r="Z773" s="1530"/>
      <c r="AA773" s="1530"/>
      <c r="AB773" s="1530"/>
      <c r="AC773" s="1530"/>
      <c r="AD773" s="1530"/>
      <c r="AE773" s="1530"/>
      <c r="AF773" s="1530"/>
      <c r="AG773" s="1530"/>
      <c r="AH773" s="1530"/>
      <c r="AI773" s="1530"/>
      <c r="AJ773" s="1530"/>
      <c r="AK773" s="1530"/>
      <c r="AL773" s="1530"/>
      <c r="AM773" s="1530"/>
      <c r="AN773" s="1530"/>
      <c r="AO773" s="1530"/>
      <c r="AP773" s="1530"/>
      <c r="AQ773" s="1530"/>
      <c r="AR773" s="1530"/>
      <c r="AS773" s="1530"/>
      <c r="AT773" s="1530"/>
      <c r="AU773" s="1530"/>
      <c r="AV773" s="1530"/>
      <c r="AW773" s="1530"/>
      <c r="AX773" s="1530"/>
      <c r="AY773" s="1530"/>
      <c r="AZ773" s="1530"/>
      <c r="BA773" s="1530"/>
      <c r="BB773" s="1530"/>
      <c r="BC773" s="1530"/>
      <c r="BD773" s="1530"/>
      <c r="BE773" s="1530"/>
      <c r="BF773" s="1530"/>
      <c r="BG773" s="1530"/>
      <c r="BH773" s="1530"/>
      <c r="BI773" s="1530"/>
      <c r="BJ773" s="1530"/>
      <c r="BK773" s="1530"/>
      <c r="BL773" s="1530"/>
      <c r="BM773" s="1530"/>
      <c r="BN773" s="1530"/>
      <c r="BW773" s="1569"/>
      <c r="CO773" s="1530"/>
      <c r="CP773" s="1530"/>
      <c r="CQ773" s="1530"/>
      <c r="CR773" s="1530"/>
      <c r="CS773" s="1530"/>
      <c r="CT773" s="1530"/>
      <c r="CU773" s="1530"/>
      <c r="CV773" s="1530"/>
      <c r="CW773" s="1530"/>
      <c r="CX773" s="1530"/>
      <c r="CY773" s="1530"/>
      <c r="CZ773" s="1530"/>
      <c r="DA773" s="1530"/>
      <c r="DB773" s="1530"/>
      <c r="DC773" s="1530"/>
      <c r="DD773" s="1530"/>
      <c r="DE773" s="1530"/>
      <c r="DF773" s="1530"/>
      <c r="DG773" s="1530"/>
      <c r="DH773" s="1530"/>
      <c r="DI773" s="1530"/>
      <c r="DJ773" s="1530"/>
      <c r="DK773" s="1530"/>
      <c r="DL773" s="1530"/>
      <c r="DM773" s="1530"/>
      <c r="DN773" s="1571"/>
      <c r="DO773" s="1530"/>
      <c r="DP773" s="1530"/>
    </row>
    <row r="774" spans="1:120">
      <c r="A774" s="1451"/>
      <c r="C774" s="1451"/>
      <c r="K774" s="1451"/>
      <c r="L774" s="1451"/>
      <c r="U774" s="1530"/>
      <c r="V774" s="1530"/>
      <c r="W774" s="1530"/>
      <c r="X774" s="1530"/>
      <c r="Y774" s="1530"/>
      <c r="Z774" s="1530"/>
      <c r="AA774" s="1530"/>
      <c r="AB774" s="1530"/>
      <c r="AC774" s="1530"/>
      <c r="AD774" s="1530"/>
      <c r="AE774" s="1530"/>
      <c r="AF774" s="1530"/>
      <c r="AG774" s="1530"/>
      <c r="AH774" s="1530"/>
      <c r="AI774" s="1530"/>
      <c r="AJ774" s="1530"/>
      <c r="AK774" s="1530"/>
      <c r="AL774" s="1530"/>
      <c r="AM774" s="1530"/>
      <c r="AN774" s="1530"/>
      <c r="AO774" s="1530"/>
      <c r="AP774" s="1530"/>
      <c r="AQ774" s="1530"/>
      <c r="AR774" s="1530"/>
      <c r="AS774" s="1530"/>
      <c r="AT774" s="1530"/>
      <c r="AU774" s="1530"/>
      <c r="AV774" s="1530"/>
      <c r="AW774" s="1530"/>
      <c r="AX774" s="1530"/>
      <c r="AY774" s="1530"/>
      <c r="AZ774" s="1530"/>
      <c r="BA774" s="1530"/>
      <c r="BB774" s="1530"/>
      <c r="BC774" s="1530"/>
      <c r="BD774" s="1530"/>
      <c r="BE774" s="1530"/>
      <c r="BF774" s="1530"/>
      <c r="BG774" s="1530"/>
      <c r="BH774" s="1530"/>
      <c r="BI774" s="1530"/>
      <c r="BJ774" s="1530"/>
      <c r="BK774" s="1530"/>
      <c r="BL774" s="1530"/>
      <c r="BM774" s="1530"/>
      <c r="BN774" s="1530"/>
      <c r="BW774" s="1569"/>
      <c r="CO774" s="1530"/>
      <c r="CP774" s="1530"/>
      <c r="CQ774" s="1530"/>
      <c r="CR774" s="1530"/>
      <c r="CS774" s="1530"/>
      <c r="CT774" s="1530"/>
      <c r="CU774" s="1530"/>
      <c r="CV774" s="1530"/>
      <c r="CW774" s="1530"/>
      <c r="CX774" s="1530"/>
      <c r="CY774" s="1530"/>
      <c r="CZ774" s="1530"/>
      <c r="DA774" s="1530"/>
      <c r="DB774" s="1530"/>
      <c r="DC774" s="1530"/>
      <c r="DD774" s="1530"/>
      <c r="DE774" s="1530"/>
      <c r="DF774" s="1530"/>
      <c r="DG774" s="1530"/>
      <c r="DH774" s="1530"/>
      <c r="DI774" s="1530"/>
      <c r="DJ774" s="1530"/>
      <c r="DK774" s="1530"/>
      <c r="DL774" s="1530"/>
      <c r="DM774" s="1530"/>
      <c r="DN774" s="1571"/>
      <c r="DO774" s="1530"/>
      <c r="DP774" s="1530"/>
    </row>
    <row r="775" spans="1:120">
      <c r="A775" s="1451"/>
      <c r="C775" s="1451"/>
      <c r="K775" s="1451"/>
      <c r="L775" s="1451"/>
      <c r="U775" s="1530"/>
      <c r="V775" s="1530"/>
      <c r="W775" s="1530"/>
      <c r="X775" s="1530"/>
      <c r="Y775" s="1530"/>
      <c r="Z775" s="1530"/>
      <c r="AA775" s="1530"/>
      <c r="AB775" s="1530"/>
      <c r="AC775" s="1530"/>
      <c r="AD775" s="1530"/>
      <c r="AE775" s="1530"/>
      <c r="AF775" s="1530"/>
      <c r="AG775" s="1530"/>
      <c r="AH775" s="1530"/>
      <c r="AI775" s="1530"/>
      <c r="AJ775" s="1530"/>
      <c r="AK775" s="1530"/>
      <c r="AL775" s="1530"/>
      <c r="AM775" s="1530"/>
      <c r="AN775" s="1530"/>
      <c r="AO775" s="1530"/>
      <c r="AP775" s="1530"/>
      <c r="AQ775" s="1530"/>
      <c r="AR775" s="1530"/>
      <c r="AS775" s="1530"/>
      <c r="AT775" s="1530"/>
      <c r="AU775" s="1530"/>
      <c r="AV775" s="1530"/>
      <c r="AW775" s="1530"/>
      <c r="AX775" s="1530"/>
      <c r="AY775" s="1530"/>
      <c r="AZ775" s="1530"/>
      <c r="BA775" s="1530"/>
      <c r="BB775" s="1530"/>
      <c r="BC775" s="1530"/>
      <c r="BD775" s="1530"/>
      <c r="BE775" s="1530"/>
      <c r="BF775" s="1530"/>
      <c r="BG775" s="1530"/>
      <c r="BH775" s="1530"/>
      <c r="BI775" s="1530"/>
      <c r="BJ775" s="1530"/>
      <c r="BK775" s="1530"/>
      <c r="BL775" s="1530"/>
      <c r="BM775" s="1530"/>
      <c r="BN775" s="1530"/>
      <c r="BW775" s="1569"/>
      <c r="CO775" s="1530"/>
      <c r="CP775" s="1530"/>
      <c r="CQ775" s="1530"/>
      <c r="CR775" s="1530"/>
      <c r="CS775" s="1530"/>
      <c r="CT775" s="1530"/>
      <c r="CU775" s="1530"/>
      <c r="CV775" s="1530"/>
      <c r="CW775" s="1530"/>
      <c r="CX775" s="1530"/>
      <c r="CY775" s="1530"/>
      <c r="CZ775" s="1530"/>
      <c r="DA775" s="1530"/>
      <c r="DB775" s="1530"/>
      <c r="DC775" s="1530"/>
      <c r="DD775" s="1530"/>
      <c r="DE775" s="1530"/>
      <c r="DF775" s="1530"/>
      <c r="DG775" s="1530"/>
      <c r="DH775" s="1530"/>
      <c r="DI775" s="1530"/>
      <c r="DJ775" s="1530"/>
      <c r="DK775" s="1530"/>
      <c r="DL775" s="1530"/>
      <c r="DM775" s="1530"/>
      <c r="DN775" s="1571"/>
      <c r="DO775" s="1530"/>
      <c r="DP775" s="1530"/>
    </row>
    <row r="776" spans="1:120">
      <c r="A776" s="1451"/>
      <c r="C776" s="1451"/>
      <c r="K776" s="1451"/>
      <c r="L776" s="1451"/>
      <c r="U776" s="1530"/>
      <c r="V776" s="1530"/>
      <c r="W776" s="1530"/>
      <c r="X776" s="1530"/>
      <c r="Y776" s="1530"/>
      <c r="Z776" s="1530"/>
      <c r="AA776" s="1530"/>
      <c r="AB776" s="1530"/>
      <c r="AC776" s="1530"/>
      <c r="AD776" s="1530"/>
      <c r="AE776" s="1530"/>
      <c r="AF776" s="1530"/>
      <c r="AG776" s="1530"/>
      <c r="AH776" s="1530"/>
      <c r="AI776" s="1530"/>
      <c r="AJ776" s="1530"/>
      <c r="AK776" s="1530"/>
      <c r="AL776" s="1530"/>
      <c r="AM776" s="1530"/>
      <c r="AN776" s="1530"/>
      <c r="AO776" s="1530"/>
      <c r="AP776" s="1530"/>
      <c r="AQ776" s="1530"/>
      <c r="AR776" s="1530"/>
      <c r="AS776" s="1530"/>
      <c r="AT776" s="1530"/>
      <c r="AU776" s="1530"/>
      <c r="AV776" s="1530"/>
      <c r="AW776" s="1530"/>
      <c r="AX776" s="1530"/>
      <c r="AY776" s="1530"/>
      <c r="AZ776" s="1530"/>
      <c r="BA776" s="1530"/>
      <c r="BB776" s="1530"/>
      <c r="BC776" s="1530"/>
      <c r="BD776" s="1530"/>
      <c r="BE776" s="1530"/>
      <c r="BF776" s="1530"/>
      <c r="BG776" s="1530"/>
      <c r="BH776" s="1530"/>
      <c r="BI776" s="1530"/>
      <c r="BJ776" s="1530"/>
      <c r="BK776" s="1530"/>
      <c r="BL776" s="1530"/>
      <c r="BM776" s="1530"/>
      <c r="BN776" s="1530"/>
      <c r="BW776" s="1569"/>
      <c r="CO776" s="1530"/>
      <c r="CP776" s="1530"/>
      <c r="CQ776" s="1530"/>
      <c r="CR776" s="1530"/>
      <c r="CS776" s="1530"/>
      <c r="CT776" s="1530"/>
      <c r="CU776" s="1530"/>
      <c r="CV776" s="1530"/>
      <c r="CW776" s="1530"/>
      <c r="CX776" s="1530"/>
      <c r="CY776" s="1530"/>
      <c r="CZ776" s="1530"/>
      <c r="DA776" s="1530"/>
      <c r="DB776" s="1530"/>
      <c r="DC776" s="1530"/>
      <c r="DD776" s="1530"/>
      <c r="DE776" s="1530"/>
      <c r="DF776" s="1530"/>
      <c r="DG776" s="1530"/>
      <c r="DH776" s="1530"/>
      <c r="DI776" s="1530"/>
      <c r="DJ776" s="1530"/>
      <c r="DK776" s="1530"/>
      <c r="DL776" s="1530"/>
      <c r="DM776" s="1530"/>
      <c r="DN776" s="1571"/>
      <c r="DO776" s="1530"/>
      <c r="DP776" s="1530"/>
    </row>
    <row r="777" spans="1:120">
      <c r="A777" s="1451"/>
      <c r="C777" s="1451"/>
      <c r="K777" s="1451"/>
      <c r="L777" s="1451"/>
      <c r="U777" s="1530"/>
      <c r="V777" s="1530"/>
      <c r="W777" s="1530"/>
      <c r="X777" s="1530"/>
      <c r="Y777" s="1530"/>
      <c r="Z777" s="1530"/>
      <c r="AA777" s="1530"/>
      <c r="AB777" s="1530"/>
      <c r="AC777" s="1530"/>
      <c r="AD777" s="1530"/>
      <c r="AE777" s="1530"/>
      <c r="AF777" s="1530"/>
      <c r="AG777" s="1530"/>
      <c r="AH777" s="1530"/>
      <c r="AI777" s="1530"/>
      <c r="AJ777" s="1530"/>
      <c r="AK777" s="1530"/>
      <c r="AL777" s="1530"/>
      <c r="AM777" s="1530"/>
      <c r="AN777" s="1530"/>
      <c r="AO777" s="1530"/>
      <c r="AP777" s="1530"/>
      <c r="AQ777" s="1530"/>
      <c r="AR777" s="1530"/>
      <c r="AS777" s="1530"/>
      <c r="AT777" s="1530"/>
      <c r="AU777" s="1530"/>
      <c r="AV777" s="1530"/>
      <c r="AW777" s="1530"/>
      <c r="AX777" s="1530"/>
      <c r="AY777" s="1530"/>
      <c r="AZ777" s="1530"/>
      <c r="BA777" s="1530"/>
      <c r="BB777" s="1530"/>
      <c r="BC777" s="1530"/>
      <c r="BD777" s="1530"/>
      <c r="BE777" s="1530"/>
      <c r="BF777" s="1530"/>
      <c r="BG777" s="1530"/>
      <c r="BH777" s="1530"/>
      <c r="BI777" s="1530"/>
      <c r="BJ777" s="1530"/>
      <c r="BK777" s="1530"/>
      <c r="BL777" s="1530"/>
      <c r="BM777" s="1530"/>
      <c r="BN777" s="1530"/>
      <c r="BW777" s="1569"/>
      <c r="CO777" s="1530"/>
      <c r="CP777" s="1530"/>
      <c r="CQ777" s="1530"/>
      <c r="CR777" s="1530"/>
      <c r="CS777" s="1530"/>
      <c r="CT777" s="1530"/>
      <c r="CU777" s="1530"/>
      <c r="CV777" s="1530"/>
      <c r="CW777" s="1530"/>
      <c r="CX777" s="1530"/>
      <c r="CY777" s="1530"/>
      <c r="CZ777" s="1530"/>
      <c r="DA777" s="1530"/>
      <c r="DB777" s="1530"/>
      <c r="DC777" s="1530"/>
      <c r="DD777" s="1530"/>
      <c r="DE777" s="1530"/>
      <c r="DF777" s="1530"/>
      <c r="DG777" s="1530"/>
      <c r="DH777" s="1530"/>
      <c r="DI777" s="1530"/>
      <c r="DJ777" s="1530"/>
      <c r="DK777" s="1530"/>
      <c r="DL777" s="1530"/>
      <c r="DM777" s="1530"/>
      <c r="DN777" s="1571"/>
      <c r="DO777" s="1530"/>
      <c r="DP777" s="1530"/>
    </row>
    <row r="778" spans="1:120">
      <c r="A778" s="1451"/>
      <c r="C778" s="1451"/>
      <c r="K778" s="1451"/>
      <c r="L778" s="1451"/>
      <c r="U778" s="1530"/>
      <c r="V778" s="1530"/>
      <c r="W778" s="1530"/>
      <c r="X778" s="1530"/>
      <c r="Y778" s="1530"/>
      <c r="Z778" s="1530"/>
      <c r="AA778" s="1530"/>
      <c r="AB778" s="1530"/>
      <c r="AC778" s="1530"/>
      <c r="AD778" s="1530"/>
      <c r="AE778" s="1530"/>
      <c r="AF778" s="1530"/>
      <c r="AG778" s="1530"/>
      <c r="AH778" s="1530"/>
      <c r="AI778" s="1530"/>
      <c r="AJ778" s="1530"/>
      <c r="AK778" s="1530"/>
      <c r="AL778" s="1530"/>
      <c r="AM778" s="1530"/>
      <c r="AN778" s="1530"/>
      <c r="AO778" s="1530"/>
      <c r="AP778" s="1530"/>
      <c r="AQ778" s="1530"/>
      <c r="AR778" s="1530"/>
      <c r="AS778" s="1530"/>
      <c r="AT778" s="1530"/>
      <c r="AU778" s="1530"/>
      <c r="AV778" s="1530"/>
      <c r="AW778" s="1530"/>
      <c r="AX778" s="1530"/>
      <c r="AY778" s="1530"/>
      <c r="AZ778" s="1530"/>
      <c r="BA778" s="1530"/>
      <c r="BB778" s="1530"/>
      <c r="BC778" s="1530"/>
      <c r="BD778" s="1530"/>
      <c r="BE778" s="1530"/>
      <c r="BF778" s="1530"/>
      <c r="BG778" s="1530"/>
      <c r="BH778" s="1530"/>
      <c r="BI778" s="1530"/>
      <c r="BJ778" s="1530"/>
      <c r="BK778" s="1530"/>
      <c r="BL778" s="1530"/>
      <c r="BM778" s="1530"/>
      <c r="BN778" s="1530"/>
      <c r="BW778" s="1569"/>
      <c r="CO778" s="1530"/>
      <c r="CP778" s="1530"/>
      <c r="CQ778" s="1530"/>
      <c r="CR778" s="1530"/>
      <c r="CS778" s="1530"/>
      <c r="CT778" s="1530"/>
      <c r="CU778" s="1530"/>
      <c r="CV778" s="1530"/>
      <c r="CW778" s="1530"/>
      <c r="CX778" s="1530"/>
      <c r="CY778" s="1530"/>
      <c r="CZ778" s="1530"/>
      <c r="DA778" s="1530"/>
      <c r="DB778" s="1530"/>
      <c r="DC778" s="1530"/>
      <c r="DD778" s="1530"/>
      <c r="DE778" s="1530"/>
      <c r="DF778" s="1530"/>
      <c r="DG778" s="1530"/>
      <c r="DH778" s="1530"/>
      <c r="DI778" s="1530"/>
      <c r="DJ778" s="1530"/>
      <c r="DK778" s="1530"/>
      <c r="DL778" s="1530"/>
      <c r="DM778" s="1530"/>
      <c r="DN778" s="1571"/>
      <c r="DO778" s="1530"/>
      <c r="DP778" s="1530"/>
    </row>
    <row r="779" spans="1:120">
      <c r="A779" s="1451"/>
      <c r="C779" s="1451"/>
      <c r="K779" s="1451"/>
      <c r="L779" s="1451"/>
      <c r="U779" s="1530"/>
      <c r="V779" s="1530"/>
      <c r="W779" s="1530"/>
      <c r="X779" s="1530"/>
      <c r="Y779" s="1530"/>
      <c r="Z779" s="1530"/>
      <c r="AA779" s="1530"/>
      <c r="AB779" s="1530"/>
      <c r="AC779" s="1530"/>
      <c r="AD779" s="1530"/>
      <c r="AE779" s="1530"/>
      <c r="AF779" s="1530"/>
      <c r="AG779" s="1530"/>
      <c r="AH779" s="1530"/>
      <c r="AI779" s="1530"/>
      <c r="AJ779" s="1530"/>
      <c r="AK779" s="1530"/>
      <c r="AL779" s="1530"/>
      <c r="AM779" s="1530"/>
      <c r="AN779" s="1530"/>
      <c r="AO779" s="1530"/>
      <c r="AP779" s="1530"/>
      <c r="AQ779" s="1530"/>
      <c r="AR779" s="1530"/>
      <c r="AS779" s="1530"/>
      <c r="AT779" s="1530"/>
      <c r="AU779" s="1530"/>
      <c r="AV779" s="1530"/>
      <c r="AW779" s="1530"/>
      <c r="AX779" s="1530"/>
      <c r="AY779" s="1530"/>
      <c r="AZ779" s="1530"/>
      <c r="BA779" s="1530"/>
      <c r="BB779" s="1530"/>
      <c r="BC779" s="1530"/>
      <c r="BD779" s="1530"/>
      <c r="BE779" s="1530"/>
      <c r="BF779" s="1530"/>
      <c r="BG779" s="1530"/>
      <c r="BH779" s="1530"/>
      <c r="BI779" s="1530"/>
      <c r="BJ779" s="1530"/>
      <c r="BK779" s="1530"/>
      <c r="BL779" s="1530"/>
      <c r="BM779" s="1530"/>
      <c r="BN779" s="1530"/>
      <c r="BW779" s="1569"/>
      <c r="CO779" s="1530"/>
      <c r="CP779" s="1530"/>
      <c r="CQ779" s="1530"/>
      <c r="CR779" s="1530"/>
      <c r="CS779" s="1530"/>
      <c r="CT779" s="1530"/>
      <c r="CU779" s="1530"/>
      <c r="CV779" s="1530"/>
      <c r="CW779" s="1530"/>
      <c r="CX779" s="1530"/>
      <c r="CY779" s="1530"/>
      <c r="CZ779" s="1530"/>
      <c r="DA779" s="1530"/>
      <c r="DB779" s="1530"/>
      <c r="DC779" s="1530"/>
      <c r="DD779" s="1530"/>
      <c r="DE779" s="1530"/>
      <c r="DF779" s="1530"/>
      <c r="DG779" s="1530"/>
      <c r="DH779" s="1530"/>
      <c r="DI779" s="1530"/>
      <c r="DJ779" s="1530"/>
      <c r="DK779" s="1530"/>
      <c r="DL779" s="1530"/>
      <c r="DM779" s="1530"/>
      <c r="DN779" s="1571"/>
      <c r="DO779" s="1530"/>
      <c r="DP779" s="1530"/>
    </row>
    <row r="780" spans="1:120">
      <c r="A780" s="1451"/>
      <c r="C780" s="1451"/>
      <c r="K780" s="1451"/>
      <c r="L780" s="1451"/>
      <c r="U780" s="1530"/>
      <c r="V780" s="1530"/>
      <c r="W780" s="1530"/>
      <c r="X780" s="1530"/>
      <c r="Y780" s="1530"/>
      <c r="Z780" s="1530"/>
      <c r="AA780" s="1530"/>
      <c r="AB780" s="1530"/>
      <c r="AC780" s="1530"/>
      <c r="AD780" s="1530"/>
      <c r="AE780" s="1530"/>
      <c r="AF780" s="1530"/>
      <c r="AG780" s="1530"/>
      <c r="AH780" s="1530"/>
      <c r="AI780" s="1530"/>
      <c r="AJ780" s="1530"/>
      <c r="AK780" s="1530"/>
      <c r="AL780" s="1530"/>
      <c r="AM780" s="1530"/>
      <c r="AN780" s="1530"/>
      <c r="AO780" s="1530"/>
      <c r="AP780" s="1530"/>
      <c r="AQ780" s="1530"/>
      <c r="AR780" s="1530"/>
      <c r="AS780" s="1530"/>
      <c r="AT780" s="1530"/>
      <c r="AU780" s="1530"/>
      <c r="AV780" s="1530"/>
      <c r="AW780" s="1530"/>
      <c r="AX780" s="1530"/>
      <c r="AY780" s="1530"/>
      <c r="AZ780" s="1530"/>
      <c r="BA780" s="1530"/>
      <c r="BB780" s="1530"/>
      <c r="BC780" s="1530"/>
      <c r="BD780" s="1530"/>
      <c r="BE780" s="1530"/>
      <c r="BF780" s="1530"/>
      <c r="BG780" s="1530"/>
      <c r="BH780" s="1530"/>
      <c r="BI780" s="1530"/>
      <c r="BJ780" s="1530"/>
      <c r="BK780" s="1530"/>
      <c r="BL780" s="1530"/>
      <c r="BM780" s="1530"/>
      <c r="BN780" s="1530"/>
      <c r="BW780" s="1569"/>
      <c r="CO780" s="1530"/>
      <c r="CP780" s="1530"/>
      <c r="CQ780" s="1530"/>
      <c r="CR780" s="1530"/>
      <c r="CS780" s="1530"/>
      <c r="CT780" s="1530"/>
      <c r="CU780" s="1530"/>
      <c r="CV780" s="1530"/>
      <c r="CW780" s="1530"/>
      <c r="CX780" s="1530"/>
      <c r="CY780" s="1530"/>
      <c r="CZ780" s="1530"/>
      <c r="DA780" s="1530"/>
      <c r="DB780" s="1530"/>
      <c r="DC780" s="1530"/>
      <c r="DD780" s="1530"/>
      <c r="DE780" s="1530"/>
      <c r="DF780" s="1530"/>
      <c r="DG780" s="1530"/>
      <c r="DH780" s="1530"/>
      <c r="DI780" s="1530"/>
      <c r="DJ780" s="1530"/>
      <c r="DK780" s="1530"/>
      <c r="DL780" s="1530"/>
      <c r="DM780" s="1530"/>
      <c r="DN780" s="1571"/>
      <c r="DO780" s="1530"/>
      <c r="DP780" s="1530"/>
    </row>
    <row r="781" spans="1:120">
      <c r="A781" s="1451"/>
      <c r="C781" s="1451"/>
      <c r="K781" s="1451"/>
      <c r="L781" s="1451"/>
      <c r="U781" s="1530"/>
      <c r="V781" s="1530"/>
      <c r="W781" s="1530"/>
      <c r="X781" s="1530"/>
      <c r="Y781" s="1530"/>
      <c r="Z781" s="1530"/>
      <c r="AA781" s="1530"/>
      <c r="AB781" s="1530"/>
      <c r="AC781" s="1530"/>
      <c r="AD781" s="1530"/>
      <c r="AE781" s="1530"/>
      <c r="AF781" s="1530"/>
      <c r="AG781" s="1530"/>
      <c r="AH781" s="1530"/>
      <c r="AI781" s="1530"/>
      <c r="AJ781" s="1530"/>
      <c r="AK781" s="1530"/>
      <c r="AL781" s="1530"/>
      <c r="AM781" s="1530"/>
      <c r="AN781" s="1530"/>
      <c r="AO781" s="1530"/>
      <c r="AP781" s="1530"/>
      <c r="AQ781" s="1530"/>
      <c r="AR781" s="1530"/>
      <c r="AS781" s="1530"/>
      <c r="AT781" s="1530"/>
      <c r="AU781" s="1530"/>
      <c r="AV781" s="1530"/>
      <c r="AW781" s="1530"/>
      <c r="AX781" s="1530"/>
      <c r="AY781" s="1530"/>
      <c r="AZ781" s="1530"/>
      <c r="BA781" s="1530"/>
      <c r="BB781" s="1530"/>
      <c r="BC781" s="1530"/>
      <c r="BD781" s="1530"/>
      <c r="BE781" s="1530"/>
      <c r="BF781" s="1530"/>
      <c r="BG781" s="1530"/>
      <c r="BH781" s="1530"/>
      <c r="BI781" s="1530"/>
      <c r="BJ781" s="1530"/>
      <c r="BK781" s="1530"/>
      <c r="BL781" s="1530"/>
      <c r="BM781" s="1530"/>
      <c r="BN781" s="1530"/>
      <c r="BW781" s="1569"/>
      <c r="CO781" s="1530"/>
      <c r="CP781" s="1530"/>
      <c r="CQ781" s="1530"/>
      <c r="CR781" s="1530"/>
      <c r="CS781" s="1530"/>
      <c r="CT781" s="1530"/>
      <c r="CU781" s="1530"/>
      <c r="CV781" s="1530"/>
      <c r="CW781" s="1530"/>
      <c r="CX781" s="1530"/>
      <c r="CY781" s="1530"/>
      <c r="CZ781" s="1530"/>
      <c r="DA781" s="1530"/>
      <c r="DB781" s="1530"/>
      <c r="DC781" s="1530"/>
      <c r="DD781" s="1530"/>
      <c r="DE781" s="1530"/>
      <c r="DF781" s="1530"/>
      <c r="DG781" s="1530"/>
      <c r="DH781" s="1530"/>
      <c r="DI781" s="1530"/>
      <c r="DJ781" s="1530"/>
      <c r="DK781" s="1530"/>
      <c r="DL781" s="1530"/>
      <c r="DM781" s="1530"/>
      <c r="DN781" s="1571"/>
      <c r="DO781" s="1530"/>
      <c r="DP781" s="1530"/>
    </row>
    <row r="782" spans="1:120">
      <c r="A782" s="1451"/>
      <c r="C782" s="1451"/>
      <c r="K782" s="1451"/>
      <c r="L782" s="1451"/>
      <c r="U782" s="1530"/>
      <c r="V782" s="1530"/>
      <c r="W782" s="1530"/>
      <c r="X782" s="1530"/>
      <c r="Y782" s="1530"/>
      <c r="Z782" s="1530"/>
      <c r="AA782" s="1530"/>
      <c r="AB782" s="1530"/>
      <c r="AC782" s="1530"/>
      <c r="AD782" s="1530"/>
      <c r="AE782" s="1530"/>
      <c r="AF782" s="1530"/>
      <c r="AG782" s="1530"/>
      <c r="AH782" s="1530"/>
      <c r="AI782" s="1530"/>
      <c r="AJ782" s="1530"/>
      <c r="AK782" s="1530"/>
      <c r="AL782" s="1530"/>
      <c r="AM782" s="1530"/>
      <c r="AN782" s="1530"/>
      <c r="AO782" s="1530"/>
      <c r="AP782" s="1530"/>
      <c r="AQ782" s="1530"/>
      <c r="AR782" s="1530"/>
      <c r="AS782" s="1530"/>
      <c r="AT782" s="1530"/>
      <c r="AU782" s="1530"/>
      <c r="AV782" s="1530"/>
      <c r="AW782" s="1530"/>
      <c r="AX782" s="1530"/>
      <c r="AY782" s="1530"/>
      <c r="AZ782" s="1530"/>
      <c r="BA782" s="1530"/>
      <c r="BB782" s="1530"/>
      <c r="BC782" s="1530"/>
      <c r="BD782" s="1530"/>
      <c r="BE782" s="1530"/>
      <c r="BF782" s="1530"/>
      <c r="BG782" s="1530"/>
      <c r="BH782" s="1530"/>
      <c r="BI782" s="1530"/>
      <c r="BJ782" s="1530"/>
      <c r="BK782" s="1530"/>
      <c r="BL782" s="1530"/>
      <c r="BM782" s="1530"/>
      <c r="BN782" s="1530"/>
      <c r="BW782" s="1569"/>
      <c r="CO782" s="1530"/>
      <c r="CP782" s="1530"/>
      <c r="CQ782" s="1530"/>
      <c r="CR782" s="1530"/>
      <c r="CS782" s="1530"/>
      <c r="CT782" s="1530"/>
      <c r="CU782" s="1530"/>
      <c r="CV782" s="1530"/>
      <c r="CW782" s="1530"/>
      <c r="CX782" s="1530"/>
      <c r="CY782" s="1530"/>
      <c r="CZ782" s="1530"/>
      <c r="DA782" s="1530"/>
      <c r="DB782" s="1530"/>
      <c r="DC782" s="1530"/>
      <c r="DD782" s="1530"/>
      <c r="DE782" s="1530"/>
      <c r="DF782" s="1530"/>
      <c r="DG782" s="1530"/>
      <c r="DH782" s="1530"/>
      <c r="DI782" s="1530"/>
      <c r="DJ782" s="1530"/>
      <c r="DK782" s="1530"/>
      <c r="DL782" s="1530"/>
      <c r="DM782" s="1530"/>
      <c r="DN782" s="1571"/>
      <c r="DO782" s="1530"/>
      <c r="DP782" s="1530"/>
    </row>
    <row r="783" spans="1:120">
      <c r="A783" s="1451"/>
      <c r="C783" s="1451"/>
      <c r="K783" s="1451"/>
      <c r="L783" s="1451"/>
      <c r="U783" s="1530"/>
      <c r="V783" s="1530"/>
      <c r="W783" s="1530"/>
      <c r="X783" s="1530"/>
      <c r="Y783" s="1530"/>
      <c r="Z783" s="1530"/>
      <c r="AA783" s="1530"/>
      <c r="AB783" s="1530"/>
      <c r="AC783" s="1530"/>
      <c r="AD783" s="1530"/>
      <c r="AE783" s="1530"/>
      <c r="AF783" s="1530"/>
      <c r="AG783" s="1530"/>
      <c r="AH783" s="1530"/>
      <c r="AI783" s="1530"/>
      <c r="AJ783" s="1530"/>
      <c r="AK783" s="1530"/>
      <c r="AL783" s="1530"/>
      <c r="AM783" s="1530"/>
      <c r="AN783" s="1530"/>
      <c r="AO783" s="1530"/>
      <c r="AP783" s="1530"/>
      <c r="AQ783" s="1530"/>
      <c r="AR783" s="1530"/>
      <c r="AS783" s="1530"/>
      <c r="AT783" s="1530"/>
      <c r="AU783" s="1530"/>
      <c r="AV783" s="1530"/>
      <c r="AW783" s="1530"/>
      <c r="AX783" s="1530"/>
      <c r="AY783" s="1530"/>
      <c r="AZ783" s="1530"/>
      <c r="BA783" s="1530"/>
      <c r="BB783" s="1530"/>
      <c r="BC783" s="1530"/>
      <c r="BD783" s="1530"/>
      <c r="BE783" s="1530"/>
      <c r="BF783" s="1530"/>
      <c r="BG783" s="1530"/>
      <c r="BH783" s="1530"/>
      <c r="BI783" s="1530"/>
      <c r="BJ783" s="1530"/>
      <c r="BK783" s="1530"/>
      <c r="BL783" s="1530"/>
      <c r="BM783" s="1530"/>
      <c r="BN783" s="1530"/>
      <c r="BW783" s="1569"/>
      <c r="CO783" s="1530"/>
      <c r="CP783" s="1530"/>
      <c r="CQ783" s="1530"/>
      <c r="CR783" s="1530"/>
      <c r="CS783" s="1530"/>
      <c r="CT783" s="1530"/>
      <c r="CU783" s="1530"/>
      <c r="CV783" s="1530"/>
      <c r="CW783" s="1530"/>
      <c r="CX783" s="1530"/>
      <c r="CY783" s="1530"/>
      <c r="CZ783" s="1530"/>
      <c r="DA783" s="1530"/>
      <c r="DB783" s="1530"/>
      <c r="DC783" s="1530"/>
      <c r="DD783" s="1530"/>
      <c r="DE783" s="1530"/>
      <c r="DF783" s="1530"/>
      <c r="DG783" s="1530"/>
      <c r="DH783" s="1530"/>
      <c r="DI783" s="1530"/>
      <c r="DJ783" s="1530"/>
      <c r="DK783" s="1530"/>
      <c r="DL783" s="1530"/>
      <c r="DM783" s="1530"/>
      <c r="DN783" s="1571"/>
      <c r="DO783" s="1530"/>
      <c r="DP783" s="1530"/>
    </row>
    <row r="784" spans="1:120">
      <c r="A784" s="1451"/>
      <c r="C784" s="1451"/>
      <c r="K784" s="1451"/>
      <c r="L784" s="1451"/>
      <c r="U784" s="1530"/>
      <c r="V784" s="1530"/>
      <c r="W784" s="1530"/>
      <c r="X784" s="1530"/>
      <c r="Y784" s="1530"/>
      <c r="Z784" s="1530"/>
      <c r="AA784" s="1530"/>
      <c r="AB784" s="1530"/>
      <c r="AC784" s="1530"/>
      <c r="AD784" s="1530"/>
      <c r="AE784" s="1530"/>
      <c r="AF784" s="1530"/>
      <c r="AG784" s="1530"/>
      <c r="AH784" s="1530"/>
      <c r="AI784" s="1530"/>
      <c r="AJ784" s="1530"/>
      <c r="AK784" s="1530"/>
      <c r="AL784" s="1530"/>
      <c r="AM784" s="1530"/>
      <c r="AN784" s="1530"/>
      <c r="AO784" s="1530"/>
      <c r="AP784" s="1530"/>
      <c r="AQ784" s="1530"/>
      <c r="AR784" s="1530"/>
      <c r="AS784" s="1530"/>
      <c r="AT784" s="1530"/>
      <c r="AU784" s="1530"/>
      <c r="AV784" s="1530"/>
      <c r="AW784" s="1530"/>
      <c r="AX784" s="1530"/>
      <c r="AY784" s="1530"/>
      <c r="AZ784" s="1530"/>
      <c r="BA784" s="1530"/>
      <c r="BB784" s="1530"/>
      <c r="BC784" s="1530"/>
      <c r="BD784" s="1530"/>
      <c r="BE784" s="1530"/>
      <c r="BF784" s="1530"/>
      <c r="BG784" s="1530"/>
      <c r="BH784" s="1530"/>
      <c r="BI784" s="1530"/>
      <c r="BJ784" s="1530"/>
      <c r="BK784" s="1530"/>
      <c r="BL784" s="1530"/>
      <c r="BM784" s="1530"/>
      <c r="BN784" s="1530"/>
      <c r="BW784" s="1569"/>
      <c r="CO784" s="1530"/>
      <c r="CP784" s="1530"/>
      <c r="CQ784" s="1530"/>
      <c r="CR784" s="1530"/>
      <c r="CS784" s="1530"/>
      <c r="CT784" s="1530"/>
      <c r="CU784" s="1530"/>
      <c r="CV784" s="1530"/>
      <c r="CW784" s="1530"/>
      <c r="CX784" s="1530"/>
      <c r="CY784" s="1530"/>
      <c r="CZ784" s="1530"/>
      <c r="DA784" s="1530"/>
      <c r="DB784" s="1530"/>
      <c r="DC784" s="1530"/>
      <c r="DD784" s="1530"/>
      <c r="DE784" s="1530"/>
      <c r="DF784" s="1530"/>
      <c r="DG784" s="1530"/>
      <c r="DH784" s="1530"/>
      <c r="DI784" s="1530"/>
      <c r="DJ784" s="1530"/>
      <c r="DK784" s="1530"/>
      <c r="DL784" s="1530"/>
      <c r="DM784" s="1530"/>
      <c r="DN784" s="1571"/>
      <c r="DO784" s="1530"/>
      <c r="DP784" s="1530"/>
    </row>
    <row r="785" spans="1:120">
      <c r="A785" s="1451"/>
      <c r="C785" s="1451"/>
      <c r="K785" s="1451"/>
      <c r="L785" s="1451"/>
      <c r="U785" s="1530"/>
      <c r="V785" s="1530"/>
      <c r="W785" s="1530"/>
      <c r="X785" s="1530"/>
      <c r="Y785" s="1530"/>
      <c r="Z785" s="1530"/>
      <c r="AA785" s="1530"/>
      <c r="AB785" s="1530"/>
      <c r="AC785" s="1530"/>
      <c r="AD785" s="1530"/>
      <c r="AE785" s="1530"/>
      <c r="AF785" s="1530"/>
      <c r="AG785" s="1530"/>
      <c r="AH785" s="1530"/>
      <c r="AI785" s="1530"/>
      <c r="AJ785" s="1530"/>
      <c r="AK785" s="1530"/>
      <c r="AL785" s="1530"/>
      <c r="AM785" s="1530"/>
      <c r="AN785" s="1530"/>
      <c r="AO785" s="1530"/>
      <c r="AP785" s="1530"/>
      <c r="AQ785" s="1530"/>
      <c r="AR785" s="1530"/>
      <c r="AS785" s="1530"/>
      <c r="AT785" s="1530"/>
      <c r="AU785" s="1530"/>
      <c r="AV785" s="1530"/>
      <c r="AW785" s="1530"/>
      <c r="AX785" s="1530"/>
      <c r="AY785" s="1530"/>
      <c r="AZ785" s="1530"/>
      <c r="BA785" s="1530"/>
      <c r="BB785" s="1530"/>
      <c r="BC785" s="1530"/>
      <c r="BD785" s="1530"/>
      <c r="BE785" s="1530"/>
      <c r="BF785" s="1530"/>
      <c r="BG785" s="1530"/>
      <c r="BH785" s="1530"/>
      <c r="BI785" s="1530"/>
      <c r="BJ785" s="1530"/>
      <c r="BK785" s="1530"/>
      <c r="BL785" s="1530"/>
      <c r="BM785" s="1530"/>
      <c r="BN785" s="1530"/>
      <c r="BW785" s="1569"/>
      <c r="CO785" s="1530"/>
      <c r="CP785" s="1530"/>
      <c r="CQ785" s="1530"/>
      <c r="CR785" s="1530"/>
      <c r="CS785" s="1530"/>
      <c r="CT785" s="1530"/>
      <c r="CU785" s="1530"/>
      <c r="CV785" s="1530"/>
      <c r="CW785" s="1530"/>
      <c r="CX785" s="1530"/>
      <c r="CY785" s="1530"/>
      <c r="CZ785" s="1530"/>
      <c r="DA785" s="1530"/>
      <c r="DB785" s="1530"/>
      <c r="DC785" s="1530"/>
      <c r="DD785" s="1530"/>
      <c r="DE785" s="1530"/>
      <c r="DF785" s="1530"/>
      <c r="DG785" s="1530"/>
      <c r="DH785" s="1530"/>
      <c r="DI785" s="1530"/>
      <c r="DJ785" s="1530"/>
      <c r="DK785" s="1530"/>
      <c r="DL785" s="1530"/>
      <c r="DM785" s="1530"/>
      <c r="DN785" s="1571"/>
      <c r="DO785" s="1530"/>
      <c r="DP785" s="1530"/>
    </row>
    <row r="786" spans="1:120">
      <c r="A786" s="1451"/>
      <c r="C786" s="1451"/>
      <c r="K786" s="1451"/>
      <c r="L786" s="1451"/>
      <c r="U786" s="1530"/>
      <c r="V786" s="1530"/>
      <c r="W786" s="1530"/>
      <c r="X786" s="1530"/>
      <c r="Y786" s="1530"/>
      <c r="Z786" s="1530"/>
      <c r="AA786" s="1530"/>
      <c r="AB786" s="1530"/>
      <c r="AC786" s="1530"/>
      <c r="AD786" s="1530"/>
      <c r="AE786" s="1530"/>
      <c r="AF786" s="1530"/>
      <c r="AG786" s="1530"/>
      <c r="AH786" s="1530"/>
      <c r="AI786" s="1530"/>
      <c r="AJ786" s="1530"/>
      <c r="AK786" s="1530"/>
      <c r="AL786" s="1530"/>
      <c r="AM786" s="1530"/>
      <c r="AN786" s="1530"/>
      <c r="AO786" s="1530"/>
      <c r="AP786" s="1530"/>
      <c r="AQ786" s="1530"/>
      <c r="AR786" s="1530"/>
      <c r="AS786" s="1530"/>
      <c r="AT786" s="1530"/>
      <c r="AU786" s="1530"/>
      <c r="AV786" s="1530"/>
      <c r="AW786" s="1530"/>
      <c r="AX786" s="1530"/>
      <c r="AY786" s="1530"/>
      <c r="AZ786" s="1530"/>
      <c r="BA786" s="1530"/>
      <c r="BB786" s="1530"/>
      <c r="BC786" s="1530"/>
      <c r="BD786" s="1530"/>
      <c r="BE786" s="1530"/>
      <c r="BF786" s="1530"/>
      <c r="BG786" s="1530"/>
      <c r="BH786" s="1530"/>
      <c r="BI786" s="1530"/>
      <c r="BJ786" s="1530"/>
      <c r="BK786" s="1530"/>
      <c r="BL786" s="1530"/>
      <c r="BM786" s="1530"/>
      <c r="BN786" s="1530"/>
      <c r="BW786" s="1569"/>
      <c r="CO786" s="1530"/>
      <c r="CP786" s="1530"/>
      <c r="CQ786" s="1530"/>
      <c r="CR786" s="1530"/>
      <c r="CS786" s="1530"/>
      <c r="CT786" s="1530"/>
      <c r="CU786" s="1530"/>
      <c r="CV786" s="1530"/>
      <c r="CW786" s="1530"/>
      <c r="CX786" s="1530"/>
      <c r="CY786" s="1530"/>
      <c r="CZ786" s="1530"/>
      <c r="DA786" s="1530"/>
      <c r="DB786" s="1530"/>
      <c r="DC786" s="1530"/>
      <c r="DD786" s="1530"/>
      <c r="DE786" s="1530"/>
      <c r="DF786" s="1530"/>
      <c r="DG786" s="1530"/>
      <c r="DH786" s="1530"/>
      <c r="DI786" s="1530"/>
      <c r="DJ786" s="1530"/>
      <c r="DK786" s="1530"/>
      <c r="DL786" s="1530"/>
      <c r="DM786" s="1530"/>
      <c r="DN786" s="1571"/>
      <c r="DO786" s="1530"/>
      <c r="DP786" s="1530"/>
    </row>
    <row r="787" spans="1:120">
      <c r="A787" s="1451"/>
      <c r="C787" s="1451"/>
      <c r="K787" s="1451"/>
      <c r="L787" s="1451"/>
      <c r="U787" s="1530"/>
      <c r="V787" s="1530"/>
      <c r="W787" s="1530"/>
      <c r="X787" s="1530"/>
      <c r="Y787" s="1530"/>
      <c r="Z787" s="1530"/>
      <c r="AA787" s="1530"/>
      <c r="AB787" s="1530"/>
      <c r="AC787" s="1530"/>
      <c r="AD787" s="1530"/>
      <c r="AE787" s="1530"/>
      <c r="AF787" s="1530"/>
      <c r="AG787" s="1530"/>
      <c r="AH787" s="1530"/>
      <c r="AI787" s="1530"/>
      <c r="AJ787" s="1530"/>
      <c r="AK787" s="1530"/>
      <c r="AL787" s="1530"/>
      <c r="AM787" s="1530"/>
      <c r="AN787" s="1530"/>
      <c r="AO787" s="1530"/>
      <c r="AP787" s="1530"/>
      <c r="AQ787" s="1530"/>
      <c r="AR787" s="1530"/>
      <c r="AS787" s="1530"/>
      <c r="AT787" s="1530"/>
      <c r="AU787" s="1530"/>
      <c r="AV787" s="1530"/>
      <c r="AW787" s="1530"/>
      <c r="AX787" s="1530"/>
      <c r="AY787" s="1530"/>
      <c r="AZ787" s="1530"/>
      <c r="BA787" s="1530"/>
      <c r="BB787" s="1530"/>
      <c r="BC787" s="1530"/>
      <c r="BD787" s="1530"/>
      <c r="BE787" s="1530"/>
      <c r="BF787" s="1530"/>
      <c r="BG787" s="1530"/>
      <c r="BH787" s="1530"/>
      <c r="BI787" s="1530"/>
      <c r="BJ787" s="1530"/>
      <c r="BK787" s="1530"/>
      <c r="BL787" s="1530"/>
      <c r="BM787" s="1530"/>
      <c r="BN787" s="1530"/>
      <c r="BW787" s="1569"/>
      <c r="CO787" s="1530"/>
      <c r="CP787" s="1530"/>
      <c r="CQ787" s="1530"/>
      <c r="CR787" s="1530"/>
      <c r="CS787" s="1530"/>
      <c r="CT787" s="1530"/>
      <c r="CU787" s="1530"/>
      <c r="CV787" s="1530"/>
      <c r="CW787" s="1530"/>
      <c r="CX787" s="1530"/>
      <c r="CY787" s="1530"/>
      <c r="CZ787" s="1530"/>
      <c r="DA787" s="1530"/>
      <c r="DB787" s="1530"/>
      <c r="DC787" s="1530"/>
      <c r="DD787" s="1530"/>
      <c r="DE787" s="1530"/>
      <c r="DF787" s="1530"/>
      <c r="DG787" s="1530"/>
      <c r="DH787" s="1530"/>
      <c r="DI787" s="1530"/>
      <c r="DJ787" s="1530"/>
      <c r="DK787" s="1530"/>
      <c r="DL787" s="1530"/>
      <c r="DM787" s="1530"/>
      <c r="DN787" s="1571"/>
      <c r="DO787" s="1530"/>
      <c r="DP787" s="1530"/>
    </row>
    <row r="788" spans="1:120">
      <c r="A788" s="1451"/>
      <c r="C788" s="1451"/>
      <c r="K788" s="1451"/>
      <c r="L788" s="1451"/>
      <c r="U788" s="1530"/>
      <c r="V788" s="1530"/>
      <c r="W788" s="1530"/>
      <c r="X788" s="1530"/>
      <c r="Y788" s="1530"/>
      <c r="Z788" s="1530"/>
      <c r="AA788" s="1530"/>
      <c r="AB788" s="1530"/>
      <c r="AC788" s="1530"/>
      <c r="AD788" s="1530"/>
      <c r="AE788" s="1530"/>
      <c r="AF788" s="1530"/>
      <c r="AG788" s="1530"/>
      <c r="AH788" s="1530"/>
      <c r="AI788" s="1530"/>
      <c r="AJ788" s="1530"/>
      <c r="AK788" s="1530"/>
      <c r="AL788" s="1530"/>
      <c r="AM788" s="1530"/>
      <c r="AN788" s="1530"/>
      <c r="AO788" s="1530"/>
      <c r="AP788" s="1530"/>
      <c r="AQ788" s="1530"/>
      <c r="AR788" s="1530"/>
      <c r="AS788" s="1530"/>
      <c r="AT788" s="1530"/>
      <c r="AU788" s="1530"/>
      <c r="AV788" s="1530"/>
      <c r="AW788" s="1530"/>
      <c r="AX788" s="1530"/>
      <c r="AY788" s="1530"/>
      <c r="AZ788" s="1530"/>
      <c r="BA788" s="1530"/>
      <c r="BB788" s="1530"/>
      <c r="BC788" s="1530"/>
      <c r="BD788" s="1530"/>
      <c r="BE788" s="1530"/>
      <c r="BF788" s="1530"/>
      <c r="BG788" s="1530"/>
      <c r="BH788" s="1530"/>
      <c r="BI788" s="1530"/>
      <c r="BJ788" s="1530"/>
      <c r="BK788" s="1530"/>
      <c r="BL788" s="1530"/>
      <c r="BM788" s="1530"/>
      <c r="BN788" s="1530"/>
      <c r="BW788" s="1569"/>
      <c r="CO788" s="1530"/>
      <c r="CP788" s="1530"/>
      <c r="CQ788" s="1530"/>
      <c r="CR788" s="1530"/>
      <c r="CS788" s="1530"/>
      <c r="CT788" s="1530"/>
      <c r="CU788" s="1530"/>
      <c r="CV788" s="1530"/>
      <c r="CW788" s="1530"/>
      <c r="CX788" s="1530"/>
      <c r="CY788" s="1530"/>
      <c r="CZ788" s="1530"/>
      <c r="DA788" s="1530"/>
      <c r="DB788" s="1530"/>
      <c r="DC788" s="1530"/>
      <c r="DD788" s="1530"/>
      <c r="DE788" s="1530"/>
      <c r="DF788" s="1530"/>
      <c r="DG788" s="1530"/>
      <c r="DH788" s="1530"/>
      <c r="DI788" s="1530"/>
      <c r="DJ788" s="1530"/>
      <c r="DK788" s="1530"/>
      <c r="DL788" s="1530"/>
      <c r="DM788" s="1530"/>
      <c r="DN788" s="1571"/>
      <c r="DO788" s="1530"/>
      <c r="DP788" s="1530"/>
    </row>
    <row r="789" spans="1:120">
      <c r="A789" s="1451"/>
      <c r="C789" s="1451"/>
      <c r="K789" s="1451"/>
      <c r="L789" s="1451"/>
      <c r="U789" s="1530"/>
      <c r="V789" s="1530"/>
      <c r="W789" s="1530"/>
      <c r="X789" s="1530"/>
      <c r="Y789" s="1530"/>
      <c r="Z789" s="1530"/>
      <c r="AA789" s="1530"/>
      <c r="AB789" s="1530"/>
      <c r="AC789" s="1530"/>
      <c r="AD789" s="1530"/>
      <c r="AE789" s="1530"/>
      <c r="AF789" s="1530"/>
      <c r="AG789" s="1530"/>
      <c r="AH789" s="1530"/>
      <c r="AI789" s="1530"/>
      <c r="AJ789" s="1530"/>
      <c r="AK789" s="1530"/>
      <c r="AL789" s="1530"/>
      <c r="AM789" s="1530"/>
      <c r="AN789" s="1530"/>
      <c r="AO789" s="1530"/>
      <c r="AP789" s="1530"/>
      <c r="AQ789" s="1530"/>
      <c r="AR789" s="1530"/>
      <c r="AS789" s="1530"/>
      <c r="AT789" s="1530"/>
      <c r="AU789" s="1530"/>
      <c r="AV789" s="1530"/>
      <c r="AW789" s="1530"/>
      <c r="AX789" s="1530"/>
      <c r="AY789" s="1530"/>
      <c r="AZ789" s="1530"/>
      <c r="BA789" s="1530"/>
      <c r="BB789" s="1530"/>
      <c r="BC789" s="1530"/>
      <c r="BD789" s="1530"/>
      <c r="BE789" s="1530"/>
      <c r="BF789" s="1530"/>
      <c r="BG789" s="1530"/>
      <c r="BH789" s="1530"/>
      <c r="BI789" s="1530"/>
      <c r="BJ789" s="1530"/>
      <c r="BK789" s="1530"/>
      <c r="BL789" s="1530"/>
      <c r="BM789" s="1530"/>
      <c r="BN789" s="1530"/>
      <c r="BW789" s="1569"/>
      <c r="CO789" s="1530"/>
      <c r="CP789" s="1530"/>
      <c r="CQ789" s="1530"/>
      <c r="CR789" s="1530"/>
      <c r="CS789" s="1530"/>
      <c r="CT789" s="1530"/>
      <c r="CU789" s="1530"/>
      <c r="CV789" s="1530"/>
      <c r="CW789" s="1530"/>
      <c r="CX789" s="1530"/>
      <c r="CY789" s="1530"/>
      <c r="CZ789" s="1530"/>
      <c r="DA789" s="1530"/>
      <c r="DB789" s="1530"/>
      <c r="DC789" s="1530"/>
      <c r="DD789" s="1530"/>
      <c r="DE789" s="1530"/>
      <c r="DF789" s="1530"/>
      <c r="DG789" s="1530"/>
      <c r="DH789" s="1530"/>
      <c r="DI789" s="1530"/>
      <c r="DJ789" s="1530"/>
      <c r="DK789" s="1530"/>
      <c r="DL789" s="1530"/>
      <c r="DM789" s="1530"/>
      <c r="DN789" s="1571"/>
      <c r="DO789" s="1530"/>
      <c r="DP789" s="1530"/>
    </row>
    <row r="790" spans="1:120">
      <c r="A790" s="1451"/>
      <c r="C790" s="1451"/>
      <c r="K790" s="1451"/>
      <c r="L790" s="1451"/>
      <c r="U790" s="1530"/>
      <c r="V790" s="1530"/>
      <c r="W790" s="1530"/>
      <c r="X790" s="1530"/>
      <c r="Y790" s="1530"/>
      <c r="Z790" s="1530"/>
      <c r="AA790" s="1530"/>
      <c r="AB790" s="1530"/>
      <c r="AC790" s="1530"/>
      <c r="AD790" s="1530"/>
      <c r="AE790" s="1530"/>
      <c r="AF790" s="1530"/>
      <c r="AG790" s="1530"/>
      <c r="AH790" s="1530"/>
      <c r="AI790" s="1530"/>
      <c r="AJ790" s="1530"/>
      <c r="AK790" s="1530"/>
      <c r="AL790" s="1530"/>
      <c r="AM790" s="1530"/>
      <c r="AN790" s="1530"/>
      <c r="AO790" s="1530"/>
      <c r="AP790" s="1530"/>
      <c r="AQ790" s="1530"/>
      <c r="AR790" s="1530"/>
      <c r="AS790" s="1530"/>
      <c r="AT790" s="1530"/>
      <c r="AU790" s="1530"/>
      <c r="AV790" s="1530"/>
      <c r="AW790" s="1530"/>
      <c r="AX790" s="1530"/>
      <c r="AY790" s="1530"/>
      <c r="AZ790" s="1530"/>
      <c r="BA790" s="1530"/>
      <c r="BB790" s="1530"/>
      <c r="BC790" s="1530"/>
      <c r="BD790" s="1530"/>
      <c r="BE790" s="1530"/>
      <c r="BF790" s="1530"/>
      <c r="BG790" s="1530"/>
      <c r="BH790" s="1530"/>
      <c r="BI790" s="1530"/>
      <c r="BJ790" s="1530"/>
      <c r="BK790" s="1530"/>
      <c r="BL790" s="1530"/>
      <c r="BM790" s="1530"/>
      <c r="BN790" s="1530"/>
      <c r="BW790" s="1569"/>
      <c r="CO790" s="1530"/>
      <c r="CP790" s="1530"/>
      <c r="CQ790" s="1530"/>
      <c r="CR790" s="1530"/>
      <c r="CS790" s="1530"/>
      <c r="CT790" s="1530"/>
      <c r="CU790" s="1530"/>
      <c r="CV790" s="1530"/>
      <c r="CW790" s="1530"/>
      <c r="CX790" s="1530"/>
      <c r="CY790" s="1530"/>
      <c r="CZ790" s="1530"/>
      <c r="DA790" s="1530"/>
      <c r="DB790" s="1530"/>
      <c r="DC790" s="1530"/>
      <c r="DD790" s="1530"/>
      <c r="DE790" s="1530"/>
      <c r="DF790" s="1530"/>
      <c r="DG790" s="1530"/>
      <c r="DH790" s="1530"/>
      <c r="DI790" s="1530"/>
      <c r="DJ790" s="1530"/>
      <c r="DK790" s="1530"/>
      <c r="DL790" s="1530"/>
      <c r="DM790" s="1530"/>
      <c r="DN790" s="1571"/>
      <c r="DO790" s="1530"/>
      <c r="DP790" s="1530"/>
    </row>
    <row r="791" spans="1:120">
      <c r="A791" s="1451"/>
      <c r="C791" s="1451"/>
      <c r="K791" s="1451"/>
      <c r="L791" s="1451"/>
      <c r="U791" s="1530"/>
      <c r="V791" s="1530"/>
      <c r="W791" s="1530"/>
      <c r="X791" s="1530"/>
      <c r="Y791" s="1530"/>
      <c r="Z791" s="1530"/>
      <c r="AA791" s="1530"/>
      <c r="AB791" s="1530"/>
      <c r="AC791" s="1530"/>
      <c r="AD791" s="1530"/>
      <c r="AE791" s="1530"/>
      <c r="AF791" s="1530"/>
      <c r="AG791" s="1530"/>
      <c r="AH791" s="1530"/>
      <c r="AI791" s="1530"/>
      <c r="AJ791" s="1530"/>
      <c r="AK791" s="1530"/>
      <c r="AL791" s="1530"/>
      <c r="AM791" s="1530"/>
      <c r="AN791" s="1530"/>
      <c r="AO791" s="1530"/>
      <c r="AP791" s="1530"/>
      <c r="AQ791" s="1530"/>
      <c r="AR791" s="1530"/>
      <c r="AS791" s="1530"/>
      <c r="AT791" s="1530"/>
      <c r="AU791" s="1530"/>
      <c r="AV791" s="1530"/>
      <c r="AW791" s="1530"/>
      <c r="AX791" s="1530"/>
      <c r="AY791" s="1530"/>
      <c r="AZ791" s="1530"/>
      <c r="BA791" s="1530"/>
      <c r="BB791" s="1530"/>
      <c r="BC791" s="1530"/>
      <c r="BD791" s="1530"/>
      <c r="BE791" s="1530"/>
      <c r="BF791" s="1530"/>
      <c r="BG791" s="1530"/>
      <c r="BH791" s="1530"/>
      <c r="BI791" s="1530"/>
      <c r="BJ791" s="1530"/>
      <c r="BK791" s="1530"/>
      <c r="BL791" s="1530"/>
      <c r="BM791" s="1530"/>
      <c r="BN791" s="1530"/>
      <c r="BW791" s="1569"/>
      <c r="CO791" s="1530"/>
      <c r="CP791" s="1530"/>
      <c r="CQ791" s="1530"/>
      <c r="CR791" s="1530"/>
      <c r="CS791" s="1530"/>
      <c r="CT791" s="1530"/>
      <c r="CU791" s="1530"/>
      <c r="CV791" s="1530"/>
      <c r="CW791" s="1530"/>
      <c r="CX791" s="1530"/>
      <c r="CY791" s="1530"/>
      <c r="CZ791" s="1530"/>
      <c r="DA791" s="1530"/>
      <c r="DB791" s="1530"/>
      <c r="DC791" s="1530"/>
      <c r="DD791" s="1530"/>
      <c r="DE791" s="1530"/>
      <c r="DF791" s="1530"/>
      <c r="DG791" s="1530"/>
      <c r="DH791" s="1530"/>
      <c r="DI791" s="1530"/>
      <c r="DJ791" s="1530"/>
      <c r="DK791" s="1530"/>
      <c r="DL791" s="1530"/>
      <c r="DM791" s="1530"/>
      <c r="DN791" s="1571"/>
      <c r="DO791" s="1530"/>
      <c r="DP791" s="1530"/>
    </row>
    <row r="792" spans="1:120">
      <c r="A792" s="1451"/>
      <c r="C792" s="1451"/>
      <c r="K792" s="1451"/>
      <c r="L792" s="1451"/>
      <c r="U792" s="1530"/>
      <c r="V792" s="1530"/>
      <c r="W792" s="1530"/>
      <c r="X792" s="1530"/>
      <c r="Y792" s="1530"/>
      <c r="Z792" s="1530"/>
      <c r="AA792" s="1530"/>
      <c r="AB792" s="1530"/>
      <c r="AC792" s="1530"/>
      <c r="AD792" s="1530"/>
      <c r="AE792" s="1530"/>
      <c r="AF792" s="1530"/>
      <c r="AG792" s="1530"/>
      <c r="AH792" s="1530"/>
      <c r="AI792" s="1530"/>
      <c r="AJ792" s="1530"/>
      <c r="AK792" s="1530"/>
      <c r="AL792" s="1530"/>
      <c r="AM792" s="1530"/>
      <c r="AN792" s="1530"/>
      <c r="AO792" s="1530"/>
      <c r="AP792" s="1530"/>
      <c r="AQ792" s="1530"/>
      <c r="AR792" s="1530"/>
      <c r="AS792" s="1530"/>
      <c r="AT792" s="1530"/>
      <c r="AU792" s="1530"/>
      <c r="AV792" s="1530"/>
      <c r="AW792" s="1530"/>
      <c r="AX792" s="1530"/>
      <c r="AY792" s="1530"/>
      <c r="AZ792" s="1530"/>
      <c r="BA792" s="1530"/>
      <c r="BB792" s="1530"/>
      <c r="BC792" s="1530"/>
      <c r="BD792" s="1530"/>
      <c r="BE792" s="1530"/>
      <c r="BF792" s="1530"/>
      <c r="BG792" s="1530"/>
      <c r="BH792" s="1530"/>
      <c r="BI792" s="1530"/>
      <c r="BJ792" s="1530"/>
      <c r="BK792" s="1530"/>
      <c r="BL792" s="1530"/>
      <c r="BM792" s="1530"/>
      <c r="BN792" s="1530"/>
      <c r="BW792" s="1569"/>
      <c r="CO792" s="1530"/>
      <c r="CP792" s="1530"/>
      <c r="CQ792" s="1530"/>
      <c r="CR792" s="1530"/>
      <c r="CS792" s="1530"/>
      <c r="CT792" s="1530"/>
      <c r="CU792" s="1530"/>
      <c r="CV792" s="1530"/>
      <c r="CW792" s="1530"/>
      <c r="CX792" s="1530"/>
      <c r="CY792" s="1530"/>
      <c r="CZ792" s="1530"/>
      <c r="DA792" s="1530"/>
      <c r="DB792" s="1530"/>
      <c r="DC792" s="1530"/>
      <c r="DD792" s="1530"/>
      <c r="DE792" s="1530"/>
      <c r="DF792" s="1530"/>
      <c r="DG792" s="1530"/>
      <c r="DH792" s="1530"/>
      <c r="DI792" s="1530"/>
      <c r="DJ792" s="1530"/>
      <c r="DK792" s="1530"/>
      <c r="DL792" s="1530"/>
      <c r="DM792" s="1530"/>
      <c r="DN792" s="1571"/>
      <c r="DO792" s="1530"/>
      <c r="DP792" s="1530"/>
    </row>
    <row r="793" spans="1:120">
      <c r="A793" s="1451"/>
      <c r="C793" s="1451"/>
      <c r="K793" s="1451"/>
      <c r="L793" s="1451"/>
      <c r="U793" s="1530"/>
      <c r="V793" s="1530"/>
      <c r="W793" s="1530"/>
      <c r="X793" s="1530"/>
      <c r="Y793" s="1530"/>
      <c r="Z793" s="1530"/>
      <c r="AA793" s="1530"/>
      <c r="AB793" s="1530"/>
      <c r="AC793" s="1530"/>
      <c r="AD793" s="1530"/>
      <c r="AE793" s="1530"/>
      <c r="AF793" s="1530"/>
      <c r="AG793" s="1530"/>
      <c r="AH793" s="1530"/>
      <c r="AI793" s="1530"/>
      <c r="AJ793" s="1530"/>
      <c r="AK793" s="1530"/>
      <c r="AL793" s="1530"/>
      <c r="AM793" s="1530"/>
      <c r="AN793" s="1530"/>
      <c r="AO793" s="1530"/>
      <c r="AP793" s="1530"/>
      <c r="AQ793" s="1530"/>
      <c r="AR793" s="1530"/>
      <c r="AS793" s="1530"/>
      <c r="AT793" s="1530"/>
      <c r="AU793" s="1530"/>
      <c r="AV793" s="1530"/>
      <c r="AW793" s="1530"/>
      <c r="AX793" s="1530"/>
      <c r="AY793" s="1530"/>
      <c r="AZ793" s="1530"/>
      <c r="BA793" s="1530"/>
      <c r="BB793" s="1530"/>
      <c r="BC793" s="1530"/>
      <c r="BD793" s="1530"/>
      <c r="BE793" s="1530"/>
      <c r="BF793" s="1530"/>
      <c r="BG793" s="1530"/>
      <c r="BH793" s="1530"/>
      <c r="BI793" s="1530"/>
      <c r="BJ793" s="1530"/>
      <c r="BK793" s="1530"/>
      <c r="BL793" s="1530"/>
      <c r="BM793" s="1530"/>
      <c r="BN793" s="1530"/>
      <c r="BW793" s="1569"/>
      <c r="CO793" s="1530"/>
      <c r="CP793" s="1530"/>
      <c r="CQ793" s="1530"/>
      <c r="CR793" s="1530"/>
      <c r="CS793" s="1530"/>
      <c r="CT793" s="1530"/>
      <c r="CU793" s="1530"/>
      <c r="CV793" s="1530"/>
      <c r="CW793" s="1530"/>
      <c r="CX793" s="1530"/>
      <c r="CY793" s="1530"/>
      <c r="CZ793" s="1530"/>
      <c r="DA793" s="1530"/>
      <c r="DB793" s="1530"/>
      <c r="DC793" s="1530"/>
      <c r="DD793" s="1530"/>
      <c r="DE793" s="1530"/>
      <c r="DF793" s="1530"/>
      <c r="DG793" s="1530"/>
      <c r="DH793" s="1530"/>
      <c r="DI793" s="1530"/>
      <c r="DJ793" s="1530"/>
      <c r="DK793" s="1530"/>
      <c r="DL793" s="1530"/>
      <c r="DM793" s="1530"/>
      <c r="DN793" s="1571"/>
      <c r="DO793" s="1530"/>
      <c r="DP793" s="1530"/>
    </row>
    <row r="794" spans="1:120">
      <c r="A794" s="1451"/>
      <c r="C794" s="1451"/>
      <c r="K794" s="1451"/>
      <c r="L794" s="1451"/>
      <c r="U794" s="1530"/>
      <c r="V794" s="1530"/>
      <c r="W794" s="1530"/>
      <c r="X794" s="1530"/>
      <c r="Y794" s="1530"/>
      <c r="Z794" s="1530"/>
      <c r="AA794" s="1530"/>
      <c r="AB794" s="1530"/>
      <c r="AC794" s="1530"/>
      <c r="AD794" s="1530"/>
      <c r="AE794" s="1530"/>
      <c r="AF794" s="1530"/>
      <c r="AG794" s="1530"/>
      <c r="AH794" s="1530"/>
      <c r="AI794" s="1530"/>
      <c r="AJ794" s="1530"/>
      <c r="AK794" s="1530"/>
      <c r="AL794" s="1530"/>
      <c r="AM794" s="1530"/>
      <c r="AN794" s="1530"/>
      <c r="AO794" s="1530"/>
      <c r="AP794" s="1530"/>
      <c r="AQ794" s="1530"/>
      <c r="AR794" s="1530"/>
      <c r="AS794" s="1530"/>
      <c r="AT794" s="1530"/>
      <c r="AU794" s="1530"/>
      <c r="AV794" s="1530"/>
      <c r="AW794" s="1530"/>
      <c r="AX794" s="1530"/>
      <c r="AY794" s="1530"/>
      <c r="AZ794" s="1530"/>
      <c r="BA794" s="1530"/>
      <c r="BB794" s="1530"/>
      <c r="BC794" s="1530"/>
      <c r="BD794" s="1530"/>
      <c r="BE794" s="1530"/>
      <c r="BF794" s="1530"/>
      <c r="BG794" s="1530"/>
      <c r="BH794" s="1530"/>
      <c r="BI794" s="1530"/>
      <c r="BJ794" s="1530"/>
      <c r="BK794" s="1530"/>
      <c r="BL794" s="1530"/>
      <c r="BM794" s="1530"/>
      <c r="BN794" s="1530"/>
      <c r="BW794" s="1569"/>
      <c r="CO794" s="1530"/>
      <c r="CP794" s="1530"/>
      <c r="CQ794" s="1530"/>
      <c r="CR794" s="1530"/>
      <c r="CS794" s="1530"/>
      <c r="CT794" s="1530"/>
      <c r="CU794" s="1530"/>
      <c r="CV794" s="1530"/>
      <c r="CW794" s="1530"/>
      <c r="CX794" s="1530"/>
      <c r="CY794" s="1530"/>
      <c r="CZ794" s="1530"/>
      <c r="DA794" s="1530"/>
      <c r="DB794" s="1530"/>
      <c r="DC794" s="1530"/>
      <c r="DD794" s="1530"/>
      <c r="DE794" s="1530"/>
      <c r="DF794" s="1530"/>
      <c r="DG794" s="1530"/>
      <c r="DH794" s="1530"/>
      <c r="DI794" s="1530"/>
      <c r="DJ794" s="1530"/>
      <c r="DK794" s="1530"/>
      <c r="DL794" s="1530"/>
      <c r="DM794" s="1530"/>
      <c r="DN794" s="1571"/>
      <c r="DO794" s="1530"/>
      <c r="DP794" s="1530"/>
    </row>
    <row r="795" spans="1:120">
      <c r="A795" s="1451"/>
      <c r="C795" s="1451"/>
      <c r="K795" s="1451"/>
      <c r="L795" s="1451"/>
      <c r="U795" s="1530"/>
      <c r="V795" s="1530"/>
      <c r="W795" s="1530"/>
      <c r="X795" s="1530"/>
      <c r="Y795" s="1530"/>
      <c r="Z795" s="1530"/>
      <c r="AA795" s="1530"/>
      <c r="AB795" s="1530"/>
      <c r="AC795" s="1530"/>
      <c r="AD795" s="1530"/>
      <c r="AE795" s="1530"/>
      <c r="AF795" s="1530"/>
      <c r="AG795" s="1530"/>
      <c r="AH795" s="1530"/>
      <c r="AI795" s="1530"/>
      <c r="AJ795" s="1530"/>
      <c r="AK795" s="1530"/>
      <c r="AL795" s="1530"/>
      <c r="AM795" s="1530"/>
      <c r="AN795" s="1530"/>
      <c r="AO795" s="1530"/>
      <c r="AP795" s="1530"/>
      <c r="AQ795" s="1530"/>
      <c r="AR795" s="1530"/>
      <c r="AS795" s="1530"/>
      <c r="AT795" s="1530"/>
      <c r="AU795" s="1530"/>
      <c r="AV795" s="1530"/>
      <c r="AW795" s="1530"/>
      <c r="AX795" s="1530"/>
      <c r="AY795" s="1530"/>
      <c r="AZ795" s="1530"/>
      <c r="BA795" s="1530"/>
      <c r="BB795" s="1530"/>
      <c r="BC795" s="1530"/>
      <c r="BD795" s="1530"/>
      <c r="BE795" s="1530"/>
      <c r="BF795" s="1530"/>
      <c r="BG795" s="1530"/>
      <c r="BH795" s="1530"/>
      <c r="BI795" s="1530"/>
      <c r="BJ795" s="1530"/>
      <c r="BK795" s="1530"/>
      <c r="BL795" s="1530"/>
      <c r="BM795" s="1530"/>
      <c r="BN795" s="1530"/>
      <c r="BW795" s="1569"/>
      <c r="CO795" s="1530"/>
      <c r="CP795" s="1530"/>
      <c r="CQ795" s="1530"/>
      <c r="CR795" s="1530"/>
      <c r="CS795" s="1530"/>
      <c r="CT795" s="1530"/>
      <c r="CU795" s="1530"/>
      <c r="CV795" s="1530"/>
      <c r="CW795" s="1530"/>
      <c r="CX795" s="1530"/>
      <c r="CY795" s="1530"/>
      <c r="CZ795" s="1530"/>
      <c r="DA795" s="1530"/>
      <c r="DB795" s="1530"/>
      <c r="DC795" s="1530"/>
      <c r="DD795" s="1530"/>
      <c r="DE795" s="1530"/>
      <c r="DF795" s="1530"/>
      <c r="DG795" s="1530"/>
      <c r="DH795" s="1530"/>
      <c r="DI795" s="1530"/>
      <c r="DJ795" s="1530"/>
      <c r="DK795" s="1530"/>
      <c r="DL795" s="1530"/>
      <c r="DM795" s="1530"/>
      <c r="DN795" s="1571"/>
      <c r="DO795" s="1530"/>
      <c r="DP795" s="1530"/>
    </row>
    <row r="796" spans="1:120">
      <c r="A796" s="1451"/>
      <c r="C796" s="1451"/>
      <c r="K796" s="1451"/>
      <c r="L796" s="1451"/>
      <c r="U796" s="1530"/>
      <c r="V796" s="1530"/>
      <c r="W796" s="1530"/>
      <c r="X796" s="1530"/>
      <c r="Y796" s="1530"/>
      <c r="Z796" s="1530"/>
      <c r="AA796" s="1530"/>
      <c r="AB796" s="1530"/>
      <c r="AC796" s="1530"/>
      <c r="AD796" s="1530"/>
      <c r="AE796" s="1530"/>
      <c r="AF796" s="1530"/>
      <c r="AG796" s="1530"/>
      <c r="AH796" s="1530"/>
      <c r="AI796" s="1530"/>
      <c r="AJ796" s="1530"/>
      <c r="AK796" s="1530"/>
      <c r="AL796" s="1530"/>
      <c r="AM796" s="1530"/>
      <c r="AN796" s="1530"/>
      <c r="AO796" s="1530"/>
      <c r="AP796" s="1530"/>
      <c r="AQ796" s="1530"/>
      <c r="AR796" s="1530"/>
      <c r="AS796" s="1530"/>
      <c r="AT796" s="1530"/>
      <c r="AU796" s="1530"/>
      <c r="AV796" s="1530"/>
      <c r="AW796" s="1530"/>
      <c r="AX796" s="1530"/>
      <c r="AY796" s="1530"/>
      <c r="AZ796" s="1530"/>
      <c r="BA796" s="1530"/>
      <c r="BB796" s="1530"/>
      <c r="BC796" s="1530"/>
      <c r="BD796" s="1530"/>
      <c r="BE796" s="1530"/>
      <c r="BF796" s="1530"/>
      <c r="BG796" s="1530"/>
      <c r="BH796" s="1530"/>
      <c r="BI796" s="1530"/>
      <c r="BJ796" s="1530"/>
      <c r="BK796" s="1530"/>
      <c r="BL796" s="1530"/>
      <c r="BM796" s="1530"/>
      <c r="BN796" s="1530"/>
      <c r="BW796" s="1569"/>
      <c r="CO796" s="1530"/>
      <c r="CP796" s="1530"/>
      <c r="CQ796" s="1530"/>
      <c r="CR796" s="1530"/>
      <c r="CS796" s="1530"/>
      <c r="CT796" s="1530"/>
      <c r="CU796" s="1530"/>
      <c r="CV796" s="1530"/>
      <c r="CW796" s="1530"/>
      <c r="CX796" s="1530"/>
      <c r="CY796" s="1530"/>
      <c r="CZ796" s="1530"/>
      <c r="DA796" s="1530"/>
      <c r="DB796" s="1530"/>
      <c r="DC796" s="1530"/>
      <c r="DD796" s="1530"/>
      <c r="DE796" s="1530"/>
      <c r="DF796" s="1530"/>
      <c r="DG796" s="1530"/>
      <c r="DH796" s="1530"/>
      <c r="DI796" s="1530"/>
      <c r="DJ796" s="1530"/>
      <c r="DK796" s="1530"/>
      <c r="DL796" s="1530"/>
      <c r="DM796" s="1530"/>
      <c r="DN796" s="1571"/>
      <c r="DO796" s="1530"/>
      <c r="DP796" s="1530"/>
    </row>
    <row r="797" spans="1:120">
      <c r="A797" s="1451"/>
      <c r="C797" s="1451"/>
      <c r="K797" s="1451"/>
      <c r="L797" s="1451"/>
      <c r="U797" s="1530"/>
      <c r="V797" s="1530"/>
      <c r="W797" s="1530"/>
      <c r="X797" s="1530"/>
      <c r="Y797" s="1530"/>
      <c r="Z797" s="1530"/>
      <c r="AA797" s="1530"/>
      <c r="AB797" s="1530"/>
      <c r="AC797" s="1530"/>
      <c r="AD797" s="1530"/>
      <c r="AE797" s="1530"/>
      <c r="AF797" s="1530"/>
      <c r="AG797" s="1530"/>
      <c r="AH797" s="1530"/>
      <c r="AI797" s="1530"/>
      <c r="AJ797" s="1530"/>
      <c r="AK797" s="1530"/>
      <c r="AL797" s="1530"/>
      <c r="AM797" s="1530"/>
      <c r="AN797" s="1530"/>
      <c r="AO797" s="1530"/>
      <c r="AP797" s="1530"/>
      <c r="AQ797" s="1530"/>
      <c r="AR797" s="1530"/>
      <c r="AS797" s="1530"/>
      <c r="AT797" s="1530"/>
      <c r="AU797" s="1530"/>
      <c r="AV797" s="1530"/>
      <c r="AW797" s="1530"/>
      <c r="AX797" s="1530"/>
      <c r="AY797" s="1530"/>
      <c r="AZ797" s="1530"/>
      <c r="BA797" s="1530"/>
      <c r="BB797" s="1530"/>
      <c r="BC797" s="1530"/>
      <c r="BD797" s="1530"/>
      <c r="BE797" s="1530"/>
      <c r="BF797" s="1530"/>
      <c r="BG797" s="1530"/>
      <c r="BH797" s="1530"/>
      <c r="BI797" s="1530"/>
      <c r="BJ797" s="1530"/>
      <c r="BK797" s="1530"/>
      <c r="BL797" s="1530"/>
      <c r="BM797" s="1530"/>
      <c r="BN797" s="1530"/>
      <c r="BW797" s="1569"/>
      <c r="CO797" s="1530"/>
      <c r="CP797" s="1530"/>
      <c r="CQ797" s="1530"/>
      <c r="CR797" s="1530"/>
      <c r="CS797" s="1530"/>
      <c r="CT797" s="1530"/>
      <c r="CU797" s="1530"/>
      <c r="CV797" s="1530"/>
      <c r="CW797" s="1530"/>
      <c r="CX797" s="1530"/>
      <c r="CY797" s="1530"/>
      <c r="CZ797" s="1530"/>
      <c r="DA797" s="1530"/>
      <c r="DB797" s="1530"/>
      <c r="DC797" s="1530"/>
      <c r="DD797" s="1530"/>
      <c r="DE797" s="1530"/>
      <c r="DF797" s="1530"/>
      <c r="DG797" s="1530"/>
      <c r="DH797" s="1530"/>
      <c r="DI797" s="1530"/>
      <c r="DJ797" s="1530"/>
      <c r="DK797" s="1530"/>
      <c r="DL797" s="1530"/>
      <c r="DM797" s="1530"/>
      <c r="DN797" s="1571"/>
      <c r="DO797" s="1530"/>
      <c r="DP797" s="1530"/>
    </row>
    <row r="798" spans="1:120">
      <c r="A798" s="1451"/>
      <c r="C798" s="1451"/>
      <c r="K798" s="1451"/>
      <c r="L798" s="1451"/>
      <c r="U798" s="1530"/>
      <c r="V798" s="1530"/>
      <c r="W798" s="1530"/>
      <c r="X798" s="1530"/>
      <c r="Y798" s="1530"/>
      <c r="Z798" s="1530"/>
      <c r="AA798" s="1530"/>
      <c r="AB798" s="1530"/>
      <c r="AC798" s="1530"/>
      <c r="AD798" s="1530"/>
      <c r="AE798" s="1530"/>
      <c r="AF798" s="1530"/>
      <c r="AG798" s="1530"/>
      <c r="AH798" s="1530"/>
      <c r="AI798" s="1530"/>
      <c r="AJ798" s="1530"/>
      <c r="AK798" s="1530"/>
      <c r="AL798" s="1530"/>
      <c r="AM798" s="1530"/>
      <c r="AN798" s="1530"/>
      <c r="AO798" s="1530"/>
      <c r="AP798" s="1530"/>
      <c r="AQ798" s="1530"/>
      <c r="AR798" s="1530"/>
      <c r="AS798" s="1530"/>
      <c r="AT798" s="1530"/>
      <c r="AU798" s="1530"/>
      <c r="AV798" s="1530"/>
      <c r="AW798" s="1530"/>
      <c r="AX798" s="1530"/>
      <c r="AY798" s="1530"/>
      <c r="AZ798" s="1530"/>
      <c r="BA798" s="1530"/>
      <c r="BB798" s="1530"/>
      <c r="BC798" s="1530"/>
      <c r="BD798" s="1530"/>
      <c r="BE798" s="1530"/>
      <c r="BF798" s="1530"/>
      <c r="BG798" s="1530"/>
      <c r="BH798" s="1530"/>
      <c r="BI798" s="1530"/>
      <c r="BJ798" s="1530"/>
      <c r="BK798" s="1530"/>
      <c r="BL798" s="1530"/>
      <c r="BM798" s="1530"/>
      <c r="BN798" s="1530"/>
      <c r="BW798" s="1569"/>
      <c r="CO798" s="1530"/>
      <c r="CP798" s="1530"/>
      <c r="CQ798" s="1530"/>
      <c r="CR798" s="1530"/>
      <c r="CS798" s="1530"/>
      <c r="CT798" s="1530"/>
      <c r="CU798" s="1530"/>
      <c r="CV798" s="1530"/>
      <c r="CW798" s="1530"/>
      <c r="CX798" s="1530"/>
      <c r="CY798" s="1530"/>
      <c r="CZ798" s="1530"/>
      <c r="DA798" s="1530"/>
      <c r="DB798" s="1530"/>
      <c r="DC798" s="1530"/>
      <c r="DD798" s="1530"/>
      <c r="DE798" s="1530"/>
      <c r="DF798" s="1530"/>
      <c r="DG798" s="1530"/>
      <c r="DH798" s="1530"/>
      <c r="DI798" s="1530"/>
      <c r="DJ798" s="1530"/>
      <c r="DK798" s="1530"/>
      <c r="DL798" s="1530"/>
      <c r="DM798" s="1530"/>
      <c r="DN798" s="1571"/>
      <c r="DO798" s="1530"/>
      <c r="DP798" s="1530"/>
    </row>
    <row r="799" spans="1:120">
      <c r="A799" s="1451"/>
      <c r="C799" s="1451"/>
      <c r="K799" s="1451"/>
      <c r="L799" s="1451"/>
      <c r="U799" s="1530"/>
      <c r="V799" s="1530"/>
      <c r="W799" s="1530"/>
      <c r="X799" s="1530"/>
      <c r="Y799" s="1530"/>
      <c r="Z799" s="1530"/>
      <c r="AA799" s="1530"/>
      <c r="AB799" s="1530"/>
      <c r="AC799" s="1530"/>
      <c r="AD799" s="1530"/>
      <c r="AE799" s="1530"/>
      <c r="AF799" s="1530"/>
      <c r="AG799" s="1530"/>
      <c r="AH799" s="1530"/>
      <c r="AI799" s="1530"/>
      <c r="AJ799" s="1530"/>
      <c r="AK799" s="1530"/>
      <c r="AL799" s="1530"/>
      <c r="AM799" s="1530"/>
      <c r="AN799" s="1530"/>
      <c r="AO799" s="1530"/>
      <c r="AP799" s="1530"/>
      <c r="AQ799" s="1530"/>
      <c r="AR799" s="1530"/>
      <c r="AS799" s="1530"/>
      <c r="AT799" s="1530"/>
      <c r="AU799" s="1530"/>
      <c r="AV799" s="1530"/>
      <c r="AW799" s="1530"/>
      <c r="AX799" s="1530"/>
      <c r="AY799" s="1530"/>
      <c r="AZ799" s="1530"/>
      <c r="BA799" s="1530"/>
      <c r="BB799" s="1530"/>
      <c r="BC799" s="1530"/>
      <c r="BD799" s="1530"/>
      <c r="BE799" s="1530"/>
      <c r="BF799" s="1530"/>
      <c r="BG799" s="1530"/>
      <c r="BH799" s="1530"/>
      <c r="BI799" s="1530"/>
      <c r="BJ799" s="1530"/>
      <c r="BK799" s="1530"/>
      <c r="BL799" s="1530"/>
      <c r="BM799" s="1530"/>
      <c r="BN799" s="1530"/>
      <c r="BW799" s="1569"/>
      <c r="CO799" s="1530"/>
      <c r="CP799" s="1530"/>
      <c r="CQ799" s="1530"/>
      <c r="CR799" s="1530"/>
      <c r="CS799" s="1530"/>
      <c r="CT799" s="1530"/>
      <c r="CU799" s="1530"/>
      <c r="CV799" s="1530"/>
      <c r="CW799" s="1530"/>
      <c r="CX799" s="1530"/>
      <c r="CY799" s="1530"/>
      <c r="CZ799" s="1530"/>
      <c r="DA799" s="1530"/>
      <c r="DB799" s="1530"/>
      <c r="DC799" s="1530"/>
      <c r="DD799" s="1530"/>
      <c r="DE799" s="1530"/>
      <c r="DF799" s="1530"/>
      <c r="DG799" s="1530"/>
      <c r="DH799" s="1530"/>
      <c r="DI799" s="1530"/>
      <c r="DJ799" s="1530"/>
      <c r="DK799" s="1530"/>
      <c r="DL799" s="1530"/>
      <c r="DM799" s="1530"/>
      <c r="DN799" s="1571"/>
      <c r="DO799" s="1530"/>
      <c r="DP799" s="1530"/>
    </row>
    <row r="800" spans="1:120">
      <c r="A800" s="1451"/>
      <c r="C800" s="1451"/>
      <c r="K800" s="1451"/>
      <c r="L800" s="1451"/>
      <c r="U800" s="1530"/>
      <c r="V800" s="1530"/>
      <c r="W800" s="1530"/>
      <c r="X800" s="1530"/>
      <c r="Y800" s="1530"/>
      <c r="Z800" s="1530"/>
      <c r="AA800" s="1530"/>
      <c r="AB800" s="1530"/>
      <c r="AC800" s="1530"/>
      <c r="AD800" s="1530"/>
      <c r="AE800" s="1530"/>
      <c r="AF800" s="1530"/>
      <c r="AG800" s="1530"/>
      <c r="AH800" s="1530"/>
      <c r="AI800" s="1530"/>
      <c r="AJ800" s="1530"/>
      <c r="AK800" s="1530"/>
      <c r="AL800" s="1530"/>
      <c r="AM800" s="1530"/>
      <c r="AN800" s="1530"/>
      <c r="AO800" s="1530"/>
      <c r="AP800" s="1530"/>
      <c r="AQ800" s="1530"/>
      <c r="AR800" s="1530"/>
      <c r="AS800" s="1530"/>
      <c r="AT800" s="1530"/>
      <c r="AU800" s="1530"/>
      <c r="AV800" s="1530"/>
      <c r="AW800" s="1530"/>
      <c r="AX800" s="1530"/>
      <c r="AY800" s="1530"/>
      <c r="AZ800" s="1530"/>
      <c r="BA800" s="1530"/>
      <c r="BB800" s="1530"/>
      <c r="BC800" s="1530"/>
      <c r="BD800" s="1530"/>
      <c r="BE800" s="1530"/>
      <c r="BF800" s="1530"/>
      <c r="BG800" s="1530"/>
      <c r="BH800" s="1530"/>
      <c r="BI800" s="1530"/>
      <c r="BJ800" s="1530"/>
      <c r="BK800" s="1530"/>
      <c r="BL800" s="1530"/>
      <c r="BM800" s="1530"/>
      <c r="BN800" s="1530"/>
      <c r="BW800" s="1569"/>
      <c r="CO800" s="1530"/>
      <c r="CP800" s="1530"/>
      <c r="CQ800" s="1530"/>
      <c r="CR800" s="1530"/>
      <c r="CS800" s="1530"/>
      <c r="CT800" s="1530"/>
      <c r="CU800" s="1530"/>
      <c r="CV800" s="1530"/>
      <c r="CW800" s="1530"/>
      <c r="CX800" s="1530"/>
      <c r="CY800" s="1530"/>
      <c r="CZ800" s="1530"/>
      <c r="DA800" s="1530"/>
      <c r="DB800" s="1530"/>
      <c r="DC800" s="1530"/>
      <c r="DD800" s="1530"/>
      <c r="DE800" s="1530"/>
      <c r="DF800" s="1530"/>
      <c r="DG800" s="1530"/>
      <c r="DH800" s="1530"/>
      <c r="DI800" s="1530"/>
      <c r="DJ800" s="1530"/>
      <c r="DK800" s="1530"/>
      <c r="DL800" s="1530"/>
      <c r="DM800" s="1530"/>
      <c r="DN800" s="1571"/>
      <c r="DO800" s="1530"/>
      <c r="DP800" s="1530"/>
    </row>
    <row r="801" spans="1:120">
      <c r="A801" s="1451"/>
      <c r="C801" s="1451"/>
      <c r="K801" s="1451"/>
      <c r="L801" s="1451"/>
      <c r="U801" s="1530"/>
      <c r="V801" s="1530"/>
      <c r="W801" s="1530"/>
      <c r="X801" s="1530"/>
      <c r="Y801" s="1530"/>
      <c r="Z801" s="1530"/>
      <c r="AA801" s="1530"/>
      <c r="AB801" s="1530"/>
      <c r="AC801" s="1530"/>
      <c r="AD801" s="1530"/>
      <c r="AE801" s="1530"/>
      <c r="AF801" s="1530"/>
      <c r="AG801" s="1530"/>
      <c r="AH801" s="1530"/>
      <c r="AI801" s="1530"/>
      <c r="AJ801" s="1530"/>
      <c r="AK801" s="1530"/>
      <c r="AL801" s="1530"/>
      <c r="AM801" s="1530"/>
      <c r="AN801" s="1530"/>
      <c r="AO801" s="1530"/>
      <c r="AP801" s="1530"/>
      <c r="AQ801" s="1530"/>
      <c r="AR801" s="1530"/>
      <c r="AS801" s="1530"/>
      <c r="AT801" s="1530"/>
      <c r="AU801" s="1530"/>
      <c r="AV801" s="1530"/>
      <c r="AW801" s="1530"/>
      <c r="AX801" s="1530"/>
      <c r="AY801" s="1530"/>
      <c r="AZ801" s="1530"/>
      <c r="BA801" s="1530"/>
      <c r="BB801" s="1530"/>
      <c r="BC801" s="1530"/>
      <c r="BD801" s="1530"/>
      <c r="BE801" s="1530"/>
      <c r="BF801" s="1530"/>
      <c r="BG801" s="1530"/>
      <c r="BH801" s="1530"/>
      <c r="BI801" s="1530"/>
      <c r="BJ801" s="1530"/>
      <c r="BK801" s="1530"/>
      <c r="BL801" s="1530"/>
      <c r="BM801" s="1530"/>
      <c r="BN801" s="1530"/>
      <c r="BW801" s="1569"/>
      <c r="CO801" s="1530"/>
      <c r="CP801" s="1530"/>
      <c r="CQ801" s="1530"/>
      <c r="CR801" s="1530"/>
      <c r="CS801" s="1530"/>
      <c r="CT801" s="1530"/>
      <c r="CU801" s="1530"/>
      <c r="CV801" s="1530"/>
      <c r="CW801" s="1530"/>
      <c r="CX801" s="1530"/>
      <c r="CY801" s="1530"/>
      <c r="CZ801" s="1530"/>
      <c r="DA801" s="1530"/>
      <c r="DB801" s="1530"/>
      <c r="DC801" s="1530"/>
      <c r="DD801" s="1530"/>
      <c r="DE801" s="1530"/>
      <c r="DF801" s="1530"/>
      <c r="DG801" s="1530"/>
      <c r="DH801" s="1530"/>
      <c r="DI801" s="1530"/>
      <c r="DJ801" s="1530"/>
      <c r="DK801" s="1530"/>
      <c r="DL801" s="1530"/>
      <c r="DM801" s="1530"/>
      <c r="DN801" s="1571"/>
      <c r="DO801" s="1530"/>
      <c r="DP801" s="1530"/>
    </row>
    <row r="802" spans="1:120">
      <c r="A802" s="1451"/>
      <c r="C802" s="1451"/>
      <c r="K802" s="1451"/>
      <c r="L802" s="1451"/>
      <c r="U802" s="1530"/>
      <c r="V802" s="1530"/>
      <c r="W802" s="1530"/>
      <c r="X802" s="1530"/>
      <c r="Y802" s="1530"/>
      <c r="Z802" s="1530"/>
      <c r="AA802" s="1530"/>
      <c r="AB802" s="1530"/>
      <c r="AC802" s="1530"/>
      <c r="AD802" s="1530"/>
      <c r="AE802" s="1530"/>
      <c r="AF802" s="1530"/>
      <c r="AG802" s="1530"/>
      <c r="AH802" s="1530"/>
      <c r="AI802" s="1530"/>
      <c r="AJ802" s="1530"/>
      <c r="AK802" s="1530"/>
      <c r="AL802" s="1530"/>
      <c r="AM802" s="1530"/>
      <c r="AN802" s="1530"/>
      <c r="AO802" s="1530"/>
      <c r="AP802" s="1530"/>
      <c r="AQ802" s="1530"/>
      <c r="AR802" s="1530"/>
      <c r="AS802" s="1530"/>
      <c r="AT802" s="1530"/>
      <c r="AU802" s="1530"/>
      <c r="AV802" s="1530"/>
      <c r="AW802" s="1530"/>
      <c r="AX802" s="1530"/>
      <c r="AY802" s="1530"/>
      <c r="AZ802" s="1530"/>
      <c r="BA802" s="1530"/>
      <c r="BB802" s="1530"/>
      <c r="BC802" s="1530"/>
      <c r="BD802" s="1530"/>
      <c r="BE802" s="1530"/>
      <c r="BF802" s="1530"/>
      <c r="BG802" s="1530"/>
      <c r="BH802" s="1530"/>
      <c r="BI802" s="1530"/>
      <c r="BJ802" s="1530"/>
      <c r="BK802" s="1530"/>
      <c r="BL802" s="1530"/>
      <c r="BM802" s="1530"/>
      <c r="BN802" s="1530"/>
      <c r="BW802" s="1569"/>
      <c r="CO802" s="1530"/>
      <c r="CP802" s="1530"/>
      <c r="CQ802" s="1530"/>
      <c r="CR802" s="1530"/>
      <c r="CS802" s="1530"/>
      <c r="CT802" s="1530"/>
      <c r="CU802" s="1530"/>
      <c r="CV802" s="1530"/>
      <c r="CW802" s="1530"/>
      <c r="CX802" s="1530"/>
      <c r="CY802" s="1530"/>
      <c r="CZ802" s="1530"/>
      <c r="DA802" s="1530"/>
      <c r="DB802" s="1530"/>
      <c r="DC802" s="1530"/>
      <c r="DD802" s="1530"/>
      <c r="DE802" s="1530"/>
      <c r="DF802" s="1530"/>
      <c r="DG802" s="1530"/>
      <c r="DH802" s="1530"/>
      <c r="DI802" s="1530"/>
      <c r="DJ802" s="1530"/>
      <c r="DK802" s="1530"/>
      <c r="DL802" s="1530"/>
      <c r="DM802" s="1530"/>
      <c r="DN802" s="1571"/>
      <c r="DO802" s="1530"/>
      <c r="DP802" s="1530"/>
    </row>
    <row r="803" spans="1:120">
      <c r="A803" s="1451"/>
      <c r="C803" s="1451"/>
      <c r="K803" s="1451"/>
      <c r="L803" s="1451"/>
      <c r="U803" s="1530"/>
      <c r="V803" s="1530"/>
      <c r="W803" s="1530"/>
      <c r="X803" s="1530"/>
      <c r="Y803" s="1530"/>
      <c r="Z803" s="1530"/>
      <c r="AA803" s="1530"/>
      <c r="AB803" s="1530"/>
      <c r="AC803" s="1530"/>
      <c r="AD803" s="1530"/>
      <c r="AE803" s="1530"/>
      <c r="AF803" s="1530"/>
      <c r="AG803" s="1530"/>
      <c r="AH803" s="1530"/>
      <c r="AI803" s="1530"/>
      <c r="AJ803" s="1530"/>
      <c r="AK803" s="1530"/>
      <c r="AL803" s="1530"/>
      <c r="AM803" s="1530"/>
      <c r="AN803" s="1530"/>
      <c r="AO803" s="1530"/>
      <c r="AP803" s="1530"/>
      <c r="AQ803" s="1530"/>
      <c r="AR803" s="1530"/>
      <c r="AS803" s="1530"/>
      <c r="AT803" s="1530"/>
      <c r="AU803" s="1530"/>
      <c r="AV803" s="1530"/>
      <c r="AW803" s="1530"/>
      <c r="AX803" s="1530"/>
      <c r="AY803" s="1530"/>
      <c r="AZ803" s="1530"/>
      <c r="BA803" s="1530"/>
      <c r="BB803" s="1530"/>
      <c r="BC803" s="1530"/>
      <c r="BD803" s="1530"/>
      <c r="BE803" s="1530"/>
      <c r="BF803" s="1530"/>
      <c r="BG803" s="1530"/>
      <c r="BH803" s="1530"/>
      <c r="BI803" s="1530"/>
      <c r="BJ803" s="1530"/>
      <c r="BK803" s="1530"/>
      <c r="BL803" s="1530"/>
      <c r="BM803" s="1530"/>
      <c r="BN803" s="1530"/>
      <c r="BW803" s="1569"/>
      <c r="CO803" s="1530"/>
      <c r="CP803" s="1530"/>
      <c r="CQ803" s="1530"/>
      <c r="CR803" s="1530"/>
      <c r="CS803" s="1530"/>
      <c r="CT803" s="1530"/>
      <c r="CU803" s="1530"/>
      <c r="CV803" s="1530"/>
      <c r="CW803" s="1530"/>
      <c r="CX803" s="1530"/>
      <c r="CY803" s="1530"/>
      <c r="CZ803" s="1530"/>
      <c r="DA803" s="1530"/>
      <c r="DB803" s="1530"/>
      <c r="DC803" s="1530"/>
      <c r="DD803" s="1530"/>
      <c r="DE803" s="1530"/>
      <c r="DF803" s="1530"/>
      <c r="DG803" s="1530"/>
      <c r="DH803" s="1530"/>
      <c r="DI803" s="1530"/>
      <c r="DJ803" s="1530"/>
      <c r="DK803" s="1530"/>
      <c r="DL803" s="1530"/>
      <c r="DM803" s="1530"/>
      <c r="DN803" s="1571"/>
      <c r="DO803" s="1530"/>
      <c r="DP803" s="1530"/>
    </row>
    <row r="804" spans="1:120">
      <c r="A804" s="1451"/>
      <c r="C804" s="1451"/>
      <c r="K804" s="1451"/>
      <c r="L804" s="1451"/>
      <c r="U804" s="1530"/>
      <c r="V804" s="1530"/>
      <c r="W804" s="1530"/>
      <c r="X804" s="1530"/>
      <c r="Y804" s="1530"/>
      <c r="Z804" s="1530"/>
      <c r="AA804" s="1530"/>
      <c r="AB804" s="1530"/>
      <c r="AC804" s="1530"/>
      <c r="AD804" s="1530"/>
      <c r="AE804" s="1530"/>
      <c r="AF804" s="1530"/>
      <c r="AG804" s="1530"/>
      <c r="AH804" s="1530"/>
      <c r="AI804" s="1530"/>
      <c r="AJ804" s="1530"/>
      <c r="AK804" s="1530"/>
      <c r="AL804" s="1530"/>
      <c r="AM804" s="1530"/>
      <c r="AN804" s="1530"/>
      <c r="AO804" s="1530"/>
      <c r="AP804" s="1530"/>
      <c r="AQ804" s="1530"/>
      <c r="AR804" s="1530"/>
      <c r="AS804" s="1530"/>
      <c r="AT804" s="1530"/>
      <c r="AU804" s="1530"/>
      <c r="AV804" s="1530"/>
      <c r="AW804" s="1530"/>
      <c r="AX804" s="1530"/>
      <c r="AY804" s="1530"/>
      <c r="AZ804" s="1530"/>
      <c r="BA804" s="1530"/>
      <c r="BB804" s="1530"/>
      <c r="BC804" s="1530"/>
      <c r="BD804" s="1530"/>
      <c r="BE804" s="1530"/>
      <c r="BF804" s="1530"/>
      <c r="BG804" s="1530"/>
      <c r="BH804" s="1530"/>
      <c r="BI804" s="1530"/>
      <c r="BJ804" s="1530"/>
      <c r="BK804" s="1530"/>
      <c r="BL804" s="1530"/>
      <c r="BM804" s="1530"/>
      <c r="BN804" s="1530"/>
      <c r="BW804" s="1569"/>
      <c r="CO804" s="1530"/>
      <c r="CP804" s="1530"/>
      <c r="CQ804" s="1530"/>
      <c r="CR804" s="1530"/>
      <c r="CS804" s="1530"/>
      <c r="CT804" s="1530"/>
      <c r="CU804" s="1530"/>
      <c r="CV804" s="1530"/>
      <c r="CW804" s="1530"/>
      <c r="CX804" s="1530"/>
      <c r="CY804" s="1530"/>
      <c r="CZ804" s="1530"/>
      <c r="DA804" s="1530"/>
      <c r="DB804" s="1530"/>
      <c r="DC804" s="1530"/>
      <c r="DD804" s="1530"/>
      <c r="DE804" s="1530"/>
      <c r="DF804" s="1530"/>
      <c r="DG804" s="1530"/>
      <c r="DH804" s="1530"/>
      <c r="DI804" s="1530"/>
      <c r="DJ804" s="1530"/>
      <c r="DK804" s="1530"/>
      <c r="DL804" s="1530"/>
      <c r="DM804" s="1530"/>
      <c r="DN804" s="1571"/>
      <c r="DO804" s="1530"/>
      <c r="DP804" s="1530"/>
    </row>
    <row r="805" spans="1:120">
      <c r="A805" s="1451"/>
      <c r="C805" s="1451"/>
      <c r="K805" s="1451"/>
      <c r="L805" s="1451"/>
      <c r="U805" s="1530"/>
      <c r="V805" s="1530"/>
      <c r="W805" s="1530"/>
      <c r="X805" s="1530"/>
      <c r="Y805" s="1530"/>
      <c r="Z805" s="1530"/>
      <c r="AA805" s="1530"/>
      <c r="AB805" s="1530"/>
      <c r="AC805" s="1530"/>
      <c r="AD805" s="1530"/>
      <c r="AE805" s="1530"/>
      <c r="AF805" s="1530"/>
      <c r="AG805" s="1530"/>
      <c r="AH805" s="1530"/>
      <c r="AI805" s="1530"/>
      <c r="AJ805" s="1530"/>
      <c r="AK805" s="1530"/>
      <c r="AL805" s="1530"/>
      <c r="AM805" s="1530"/>
      <c r="AN805" s="1530"/>
      <c r="AO805" s="1530"/>
      <c r="AP805" s="1530"/>
      <c r="AQ805" s="1530"/>
      <c r="AR805" s="1530"/>
      <c r="AS805" s="1530"/>
      <c r="AT805" s="1530"/>
      <c r="AU805" s="1530"/>
      <c r="AV805" s="1530"/>
      <c r="AW805" s="1530"/>
      <c r="AX805" s="1530"/>
      <c r="AY805" s="1530"/>
      <c r="AZ805" s="1530"/>
      <c r="BA805" s="1530"/>
      <c r="BB805" s="1530"/>
      <c r="BC805" s="1530"/>
      <c r="BD805" s="1530"/>
      <c r="BE805" s="1530"/>
      <c r="BF805" s="1530"/>
      <c r="BG805" s="1530"/>
      <c r="BH805" s="1530"/>
      <c r="BI805" s="1530"/>
      <c r="BJ805" s="1530"/>
      <c r="BK805" s="1530"/>
      <c r="BL805" s="1530"/>
      <c r="BM805" s="1530"/>
      <c r="BN805" s="1530"/>
      <c r="BW805" s="1569"/>
      <c r="CO805" s="1530"/>
      <c r="CP805" s="1530"/>
      <c r="CQ805" s="1530"/>
      <c r="CR805" s="1530"/>
      <c r="CS805" s="1530"/>
      <c r="CT805" s="1530"/>
      <c r="CU805" s="1530"/>
      <c r="CV805" s="1530"/>
      <c r="CW805" s="1530"/>
      <c r="CX805" s="1530"/>
      <c r="CY805" s="1530"/>
      <c r="CZ805" s="1530"/>
      <c r="DA805" s="1530"/>
      <c r="DB805" s="1530"/>
      <c r="DC805" s="1530"/>
      <c r="DD805" s="1530"/>
      <c r="DE805" s="1530"/>
      <c r="DF805" s="1530"/>
      <c r="DG805" s="1530"/>
      <c r="DH805" s="1530"/>
      <c r="DI805" s="1530"/>
      <c r="DJ805" s="1530"/>
      <c r="DK805" s="1530"/>
      <c r="DL805" s="1530"/>
      <c r="DM805" s="1530"/>
      <c r="DN805" s="1571"/>
      <c r="DO805" s="1530"/>
      <c r="DP805" s="1530"/>
    </row>
    <row r="806" spans="1:120">
      <c r="A806" s="1451"/>
      <c r="C806" s="1451"/>
      <c r="K806" s="1451"/>
      <c r="L806" s="1451"/>
      <c r="U806" s="1530"/>
      <c r="V806" s="1530"/>
      <c r="W806" s="1530"/>
      <c r="X806" s="1530"/>
      <c r="Y806" s="1530"/>
      <c r="Z806" s="1530"/>
      <c r="AA806" s="1530"/>
      <c r="AB806" s="1530"/>
      <c r="AC806" s="1530"/>
      <c r="AD806" s="1530"/>
      <c r="AE806" s="1530"/>
      <c r="AF806" s="1530"/>
      <c r="AG806" s="1530"/>
      <c r="AH806" s="1530"/>
      <c r="AI806" s="1530"/>
      <c r="AJ806" s="1530"/>
      <c r="AK806" s="1530"/>
      <c r="AL806" s="1530"/>
      <c r="AM806" s="1530"/>
      <c r="AN806" s="1530"/>
      <c r="AO806" s="1530"/>
      <c r="AP806" s="1530"/>
      <c r="AQ806" s="1530"/>
      <c r="AR806" s="1530"/>
      <c r="AS806" s="1530"/>
      <c r="AT806" s="1530"/>
      <c r="AU806" s="1530"/>
      <c r="AV806" s="1530"/>
      <c r="AW806" s="1530"/>
      <c r="AX806" s="1530"/>
      <c r="AY806" s="1530"/>
      <c r="AZ806" s="1530"/>
      <c r="BA806" s="1530"/>
      <c r="BB806" s="1530"/>
      <c r="BC806" s="1530"/>
      <c r="BD806" s="1530"/>
      <c r="BE806" s="1530"/>
      <c r="BF806" s="1530"/>
      <c r="BG806" s="1530"/>
      <c r="BH806" s="1530"/>
      <c r="BI806" s="1530"/>
      <c r="BJ806" s="1530"/>
      <c r="BK806" s="1530"/>
      <c r="BL806" s="1530"/>
      <c r="BM806" s="1530"/>
      <c r="BN806" s="1530"/>
      <c r="BW806" s="1569"/>
      <c r="CO806" s="1530"/>
      <c r="CP806" s="1530"/>
      <c r="CQ806" s="1530"/>
      <c r="CR806" s="1530"/>
      <c r="CS806" s="1530"/>
      <c r="CT806" s="1530"/>
      <c r="CU806" s="1530"/>
      <c r="CV806" s="1530"/>
      <c r="CW806" s="1530"/>
      <c r="CX806" s="1530"/>
      <c r="CY806" s="1530"/>
      <c r="CZ806" s="1530"/>
      <c r="DA806" s="1530"/>
      <c r="DB806" s="1530"/>
      <c r="DC806" s="1530"/>
      <c r="DD806" s="1530"/>
      <c r="DE806" s="1530"/>
      <c r="DF806" s="1530"/>
      <c r="DG806" s="1530"/>
      <c r="DH806" s="1530"/>
      <c r="DI806" s="1530"/>
      <c r="DJ806" s="1530"/>
      <c r="DK806" s="1530"/>
      <c r="DL806" s="1530"/>
      <c r="DM806" s="1530"/>
      <c r="DN806" s="1571"/>
      <c r="DO806" s="1530"/>
      <c r="DP806" s="1530"/>
    </row>
    <row r="807" spans="1:120">
      <c r="A807" s="1451"/>
      <c r="C807" s="1451"/>
      <c r="K807" s="1451"/>
      <c r="L807" s="1451"/>
      <c r="U807" s="1530"/>
      <c r="V807" s="1530"/>
      <c r="W807" s="1530"/>
      <c r="X807" s="1530"/>
      <c r="Y807" s="1530"/>
      <c r="Z807" s="1530"/>
      <c r="AA807" s="1530"/>
      <c r="AB807" s="1530"/>
      <c r="AC807" s="1530"/>
      <c r="AD807" s="1530"/>
      <c r="AE807" s="1530"/>
      <c r="AF807" s="1530"/>
      <c r="AG807" s="1530"/>
      <c r="AH807" s="1530"/>
      <c r="AI807" s="1530"/>
      <c r="AJ807" s="1530"/>
      <c r="AK807" s="1530"/>
      <c r="AL807" s="1530"/>
      <c r="AM807" s="1530"/>
      <c r="AN807" s="1530"/>
      <c r="AO807" s="1530"/>
      <c r="AP807" s="1530"/>
      <c r="AQ807" s="1530"/>
      <c r="AR807" s="1530"/>
      <c r="AS807" s="1530"/>
      <c r="AT807" s="1530"/>
      <c r="AU807" s="1530"/>
      <c r="AV807" s="1530"/>
      <c r="AW807" s="1530"/>
      <c r="AX807" s="1530"/>
      <c r="AY807" s="1530"/>
      <c r="AZ807" s="1530"/>
      <c r="BA807" s="1530"/>
      <c r="BB807" s="1530"/>
      <c r="BC807" s="1530"/>
      <c r="BD807" s="1530"/>
      <c r="BE807" s="1530"/>
      <c r="BF807" s="1530"/>
      <c r="BG807" s="1530"/>
      <c r="BH807" s="1530"/>
      <c r="BI807" s="1530"/>
      <c r="BJ807" s="1530"/>
      <c r="BK807" s="1530"/>
      <c r="BL807" s="1530"/>
      <c r="BM807" s="1530"/>
      <c r="BN807" s="1530"/>
      <c r="BW807" s="1569"/>
      <c r="CO807" s="1530"/>
      <c r="CP807" s="1530"/>
      <c r="CQ807" s="1530"/>
      <c r="CR807" s="1530"/>
      <c r="CS807" s="1530"/>
      <c r="CT807" s="1530"/>
      <c r="CU807" s="1530"/>
      <c r="CV807" s="1530"/>
      <c r="CW807" s="1530"/>
      <c r="CX807" s="1530"/>
      <c r="CY807" s="1530"/>
      <c r="CZ807" s="1530"/>
      <c r="DA807" s="1530"/>
      <c r="DB807" s="1530"/>
      <c r="DC807" s="1530"/>
      <c r="DD807" s="1530"/>
      <c r="DE807" s="1530"/>
      <c r="DF807" s="1530"/>
      <c r="DG807" s="1530"/>
      <c r="DH807" s="1530"/>
      <c r="DI807" s="1530"/>
      <c r="DJ807" s="1530"/>
      <c r="DK807" s="1530"/>
      <c r="DL807" s="1530"/>
      <c r="DM807" s="1530"/>
      <c r="DN807" s="1571"/>
      <c r="DO807" s="1530"/>
      <c r="DP807" s="1530"/>
    </row>
    <row r="808" spans="1:120">
      <c r="A808" s="1451"/>
      <c r="C808" s="1451"/>
      <c r="K808" s="1451"/>
      <c r="L808" s="1451"/>
      <c r="U808" s="1530"/>
      <c r="V808" s="1530"/>
      <c r="W808" s="1530"/>
      <c r="X808" s="1530"/>
      <c r="Y808" s="1530"/>
      <c r="Z808" s="1530"/>
      <c r="AA808" s="1530"/>
      <c r="AB808" s="1530"/>
      <c r="AC808" s="1530"/>
      <c r="AD808" s="1530"/>
      <c r="AE808" s="1530"/>
      <c r="AF808" s="1530"/>
      <c r="AG808" s="1530"/>
      <c r="AH808" s="1530"/>
      <c r="AI808" s="1530"/>
      <c r="AJ808" s="1530"/>
      <c r="AK808" s="1530"/>
      <c r="AL808" s="1530"/>
      <c r="AM808" s="1530"/>
      <c r="AN808" s="1530"/>
      <c r="AO808" s="1530"/>
      <c r="AP808" s="1530"/>
      <c r="AQ808" s="1530"/>
      <c r="AR808" s="1530"/>
      <c r="AS808" s="1530"/>
      <c r="AT808" s="1530"/>
      <c r="AU808" s="1530"/>
      <c r="AV808" s="1530"/>
      <c r="AW808" s="1530"/>
      <c r="AX808" s="1530"/>
      <c r="AY808" s="1530"/>
      <c r="AZ808" s="1530"/>
      <c r="BA808" s="1530"/>
      <c r="BB808" s="1530"/>
      <c r="BC808" s="1530"/>
      <c r="BD808" s="1530"/>
      <c r="BE808" s="1530"/>
      <c r="BF808" s="1530"/>
      <c r="BG808" s="1530"/>
      <c r="BH808" s="1530"/>
      <c r="BI808" s="1530"/>
      <c r="BJ808" s="1530"/>
      <c r="BK808" s="1530"/>
      <c r="BL808" s="1530"/>
      <c r="BM808" s="1530"/>
      <c r="BN808" s="1530"/>
      <c r="BW808" s="1569"/>
      <c r="CO808" s="1530"/>
      <c r="CP808" s="1530"/>
      <c r="CQ808" s="1530"/>
      <c r="CR808" s="1530"/>
      <c r="CS808" s="1530"/>
      <c r="CT808" s="1530"/>
      <c r="CU808" s="1530"/>
      <c r="CV808" s="1530"/>
      <c r="CW808" s="1530"/>
      <c r="CX808" s="1530"/>
      <c r="CY808" s="1530"/>
      <c r="CZ808" s="1530"/>
      <c r="DA808" s="1530"/>
      <c r="DB808" s="1530"/>
      <c r="DC808" s="1530"/>
      <c r="DD808" s="1530"/>
      <c r="DE808" s="1530"/>
      <c r="DF808" s="1530"/>
      <c r="DG808" s="1530"/>
      <c r="DH808" s="1530"/>
      <c r="DI808" s="1530"/>
      <c r="DJ808" s="1530"/>
      <c r="DK808" s="1530"/>
      <c r="DL808" s="1530"/>
      <c r="DM808" s="1530"/>
      <c r="DN808" s="1571"/>
      <c r="DO808" s="1530"/>
      <c r="DP808" s="1530"/>
    </row>
    <row r="809" spans="1:120">
      <c r="A809" s="1451"/>
      <c r="C809" s="1451"/>
      <c r="K809" s="1451"/>
      <c r="L809" s="1451"/>
      <c r="U809" s="1530"/>
      <c r="V809" s="1530"/>
      <c r="W809" s="1530"/>
      <c r="X809" s="1530"/>
      <c r="Y809" s="1530"/>
      <c r="Z809" s="1530"/>
      <c r="AA809" s="1530"/>
      <c r="AB809" s="1530"/>
      <c r="AC809" s="1530"/>
      <c r="AD809" s="1530"/>
      <c r="AE809" s="1530"/>
      <c r="AF809" s="1530"/>
      <c r="AG809" s="1530"/>
      <c r="AH809" s="1530"/>
      <c r="AI809" s="1530"/>
      <c r="AJ809" s="1530"/>
      <c r="AK809" s="1530"/>
      <c r="AL809" s="1530"/>
      <c r="AM809" s="1530"/>
      <c r="AN809" s="1530"/>
      <c r="AO809" s="1530"/>
      <c r="AP809" s="1530"/>
      <c r="AQ809" s="1530"/>
      <c r="AR809" s="1530"/>
      <c r="AS809" s="1530"/>
      <c r="AT809" s="1530"/>
      <c r="AU809" s="1530"/>
      <c r="AV809" s="1530"/>
      <c r="AW809" s="1530"/>
      <c r="AX809" s="1530"/>
      <c r="AY809" s="1530"/>
      <c r="AZ809" s="1530"/>
      <c r="BA809" s="1530"/>
      <c r="BB809" s="1530"/>
      <c r="BC809" s="1530"/>
      <c r="BD809" s="1530"/>
      <c r="BE809" s="1530"/>
      <c r="BF809" s="1530"/>
      <c r="BG809" s="1530"/>
      <c r="BH809" s="1530"/>
      <c r="BI809" s="1530"/>
      <c r="BJ809" s="1530"/>
      <c r="BK809" s="1530"/>
      <c r="BL809" s="1530"/>
      <c r="BM809" s="1530"/>
      <c r="BN809" s="1530"/>
      <c r="BW809" s="1569"/>
      <c r="CO809" s="1530"/>
      <c r="CP809" s="1530"/>
      <c r="CQ809" s="1530"/>
      <c r="CR809" s="1530"/>
      <c r="CS809" s="1530"/>
      <c r="CT809" s="1530"/>
      <c r="CU809" s="1530"/>
      <c r="CV809" s="1530"/>
      <c r="CW809" s="1530"/>
      <c r="CX809" s="1530"/>
      <c r="CY809" s="1530"/>
      <c r="CZ809" s="1530"/>
      <c r="DA809" s="1530"/>
      <c r="DB809" s="1530"/>
      <c r="DC809" s="1530"/>
      <c r="DD809" s="1530"/>
      <c r="DE809" s="1530"/>
      <c r="DF809" s="1530"/>
      <c r="DG809" s="1530"/>
      <c r="DH809" s="1530"/>
      <c r="DI809" s="1530"/>
      <c r="DJ809" s="1530"/>
      <c r="DK809" s="1530"/>
      <c r="DL809" s="1530"/>
      <c r="DM809" s="1530"/>
      <c r="DN809" s="1571"/>
      <c r="DO809" s="1530"/>
      <c r="DP809" s="1530"/>
    </row>
    <row r="810" spans="1:120">
      <c r="A810" s="1451"/>
      <c r="C810" s="1451"/>
      <c r="K810" s="1451"/>
      <c r="L810" s="1451"/>
      <c r="U810" s="1530"/>
      <c r="V810" s="1530"/>
      <c r="W810" s="1530"/>
      <c r="X810" s="1530"/>
      <c r="Y810" s="1530"/>
      <c r="Z810" s="1530"/>
      <c r="AA810" s="1530"/>
      <c r="AB810" s="1530"/>
      <c r="AC810" s="1530"/>
      <c r="AD810" s="1530"/>
      <c r="AE810" s="1530"/>
      <c r="AF810" s="1530"/>
      <c r="AG810" s="1530"/>
      <c r="AH810" s="1530"/>
      <c r="AI810" s="1530"/>
      <c r="AJ810" s="1530"/>
      <c r="AK810" s="1530"/>
      <c r="AL810" s="1530"/>
      <c r="AM810" s="1530"/>
      <c r="AN810" s="1530"/>
      <c r="AO810" s="1530"/>
      <c r="AP810" s="1530"/>
      <c r="AQ810" s="1530"/>
      <c r="AR810" s="1530"/>
      <c r="AS810" s="1530"/>
      <c r="AT810" s="1530"/>
      <c r="AU810" s="1530"/>
      <c r="AV810" s="1530"/>
      <c r="AW810" s="1530"/>
      <c r="AX810" s="1530"/>
      <c r="AY810" s="1530"/>
      <c r="AZ810" s="1530"/>
      <c r="BA810" s="1530"/>
      <c r="BB810" s="1530"/>
      <c r="BC810" s="1530"/>
      <c r="BD810" s="1530"/>
      <c r="BE810" s="1530"/>
      <c r="BF810" s="1530"/>
      <c r="BG810" s="1530"/>
      <c r="BH810" s="1530"/>
      <c r="BI810" s="1530"/>
      <c r="BJ810" s="1530"/>
      <c r="BK810" s="1530"/>
      <c r="BL810" s="1530"/>
      <c r="BM810" s="1530"/>
      <c r="BN810" s="1530"/>
      <c r="BW810" s="1569"/>
      <c r="CO810" s="1530"/>
      <c r="CP810" s="1530"/>
      <c r="CQ810" s="1530"/>
      <c r="CR810" s="1530"/>
      <c r="CS810" s="1530"/>
      <c r="CT810" s="1530"/>
      <c r="CU810" s="1530"/>
      <c r="CV810" s="1530"/>
      <c r="CW810" s="1530"/>
      <c r="CX810" s="1530"/>
      <c r="CY810" s="1530"/>
      <c r="CZ810" s="1530"/>
      <c r="DA810" s="1530"/>
      <c r="DB810" s="1530"/>
      <c r="DC810" s="1530"/>
      <c r="DD810" s="1530"/>
      <c r="DE810" s="1530"/>
      <c r="DF810" s="1530"/>
      <c r="DG810" s="1530"/>
      <c r="DH810" s="1530"/>
      <c r="DI810" s="1530"/>
      <c r="DJ810" s="1530"/>
      <c r="DK810" s="1530"/>
      <c r="DL810" s="1530"/>
      <c r="DM810" s="1530"/>
      <c r="DN810" s="1571"/>
      <c r="DO810" s="1530"/>
      <c r="DP810" s="1530"/>
    </row>
    <row r="811" spans="1:120">
      <c r="A811" s="1451"/>
      <c r="C811" s="1451"/>
      <c r="K811" s="1451"/>
      <c r="L811" s="1451"/>
      <c r="U811" s="1530"/>
      <c r="V811" s="1530"/>
      <c r="W811" s="1530"/>
      <c r="X811" s="1530"/>
      <c r="Y811" s="1530"/>
      <c r="Z811" s="1530"/>
      <c r="AA811" s="1530"/>
      <c r="AB811" s="1530"/>
      <c r="AC811" s="1530"/>
      <c r="AD811" s="1530"/>
      <c r="AE811" s="1530"/>
      <c r="AF811" s="1530"/>
      <c r="AG811" s="1530"/>
      <c r="AH811" s="1530"/>
      <c r="AI811" s="1530"/>
      <c r="AJ811" s="1530"/>
      <c r="AK811" s="1530"/>
      <c r="AL811" s="1530"/>
      <c r="AM811" s="1530"/>
      <c r="AN811" s="1530"/>
      <c r="AO811" s="1530"/>
      <c r="AP811" s="1530"/>
      <c r="AQ811" s="1530"/>
      <c r="AR811" s="1530"/>
      <c r="AS811" s="1530"/>
      <c r="AT811" s="1530"/>
      <c r="AU811" s="1530"/>
      <c r="AV811" s="1530"/>
      <c r="AW811" s="1530"/>
      <c r="AX811" s="1530"/>
      <c r="AY811" s="1530"/>
      <c r="AZ811" s="1530"/>
      <c r="BA811" s="1530"/>
      <c r="BB811" s="1530"/>
      <c r="BC811" s="1530"/>
      <c r="BD811" s="1530"/>
      <c r="BE811" s="1530"/>
      <c r="BF811" s="1530"/>
      <c r="BG811" s="1530"/>
      <c r="BH811" s="1530"/>
      <c r="BI811" s="1530"/>
      <c r="BJ811" s="1530"/>
      <c r="BK811" s="1530"/>
      <c r="BL811" s="1530"/>
      <c r="BM811" s="1530"/>
      <c r="BN811" s="1530"/>
      <c r="BW811" s="1569"/>
      <c r="CO811" s="1530"/>
      <c r="CP811" s="1530"/>
      <c r="CQ811" s="1530"/>
      <c r="CR811" s="1530"/>
      <c r="CS811" s="1530"/>
      <c r="CT811" s="1530"/>
      <c r="CU811" s="1530"/>
      <c r="CV811" s="1530"/>
      <c r="CW811" s="1530"/>
      <c r="CX811" s="1530"/>
      <c r="CY811" s="1530"/>
      <c r="CZ811" s="1530"/>
      <c r="DA811" s="1530"/>
      <c r="DB811" s="1530"/>
      <c r="DC811" s="1530"/>
      <c r="DD811" s="1530"/>
      <c r="DE811" s="1530"/>
      <c r="DF811" s="1530"/>
      <c r="DG811" s="1530"/>
      <c r="DH811" s="1530"/>
      <c r="DI811" s="1530"/>
      <c r="DJ811" s="1530"/>
      <c r="DK811" s="1530"/>
      <c r="DL811" s="1530"/>
      <c r="DM811" s="1530"/>
      <c r="DN811" s="1571"/>
      <c r="DO811" s="1530"/>
      <c r="DP811" s="1530"/>
    </row>
    <row r="812" spans="1:120">
      <c r="A812" s="1451"/>
      <c r="C812" s="1451"/>
      <c r="K812" s="1451"/>
      <c r="L812" s="1451"/>
      <c r="U812" s="1530"/>
      <c r="V812" s="1530"/>
      <c r="W812" s="1530"/>
      <c r="X812" s="1530"/>
      <c r="Y812" s="1530"/>
      <c r="Z812" s="1530"/>
      <c r="AA812" s="1530"/>
      <c r="AB812" s="1530"/>
      <c r="AC812" s="1530"/>
      <c r="AD812" s="1530"/>
      <c r="AE812" s="1530"/>
      <c r="AF812" s="1530"/>
      <c r="AG812" s="1530"/>
      <c r="AH812" s="1530"/>
      <c r="AI812" s="1530"/>
      <c r="AJ812" s="1530"/>
      <c r="AK812" s="1530"/>
      <c r="AL812" s="1530"/>
      <c r="AM812" s="1530"/>
      <c r="AN812" s="1530"/>
      <c r="AO812" s="1530"/>
      <c r="AP812" s="1530"/>
      <c r="AQ812" s="1530"/>
      <c r="AR812" s="1530"/>
      <c r="AS812" s="1530"/>
      <c r="AT812" s="1530"/>
      <c r="AU812" s="1530"/>
      <c r="AV812" s="1530"/>
      <c r="AW812" s="1530"/>
      <c r="AX812" s="1530"/>
      <c r="AY812" s="1530"/>
      <c r="AZ812" s="1530"/>
      <c r="BA812" s="1530"/>
      <c r="BB812" s="1530"/>
      <c r="BC812" s="1530"/>
      <c r="BD812" s="1530"/>
      <c r="BE812" s="1530"/>
      <c r="BF812" s="1530"/>
      <c r="BG812" s="1530"/>
      <c r="BH812" s="1530"/>
      <c r="BI812" s="1530"/>
      <c r="BJ812" s="1530"/>
      <c r="BK812" s="1530"/>
      <c r="BL812" s="1530"/>
      <c r="BM812" s="1530"/>
      <c r="BN812" s="1530"/>
      <c r="BW812" s="1569"/>
      <c r="CO812" s="1530"/>
      <c r="CP812" s="1530"/>
      <c r="CQ812" s="1530"/>
      <c r="CR812" s="1530"/>
      <c r="CS812" s="1530"/>
      <c r="CT812" s="1530"/>
      <c r="CU812" s="1530"/>
      <c r="CV812" s="1530"/>
      <c r="CW812" s="1530"/>
      <c r="CX812" s="1530"/>
      <c r="CY812" s="1530"/>
      <c r="CZ812" s="1530"/>
      <c r="DA812" s="1530"/>
      <c r="DB812" s="1530"/>
      <c r="DC812" s="1530"/>
      <c r="DD812" s="1530"/>
      <c r="DE812" s="1530"/>
      <c r="DF812" s="1530"/>
      <c r="DG812" s="1530"/>
      <c r="DH812" s="1530"/>
      <c r="DI812" s="1530"/>
      <c r="DJ812" s="1530"/>
      <c r="DK812" s="1530"/>
      <c r="DL812" s="1530"/>
      <c r="DM812" s="1530"/>
      <c r="DN812" s="1571"/>
      <c r="DO812" s="1530"/>
      <c r="DP812" s="1530"/>
    </row>
    <row r="813" spans="1:120">
      <c r="A813" s="1451"/>
      <c r="C813" s="1451"/>
      <c r="K813" s="1451"/>
      <c r="L813" s="1451"/>
      <c r="U813" s="1530"/>
      <c r="V813" s="1530"/>
      <c r="W813" s="1530"/>
      <c r="X813" s="1530"/>
      <c r="Y813" s="1530"/>
      <c r="Z813" s="1530"/>
      <c r="AA813" s="1530"/>
      <c r="AB813" s="1530"/>
      <c r="AC813" s="1530"/>
      <c r="AD813" s="1530"/>
      <c r="AE813" s="1530"/>
      <c r="AF813" s="1530"/>
      <c r="AG813" s="1530"/>
      <c r="AH813" s="1530"/>
      <c r="AI813" s="1530"/>
      <c r="AJ813" s="1530"/>
      <c r="AK813" s="1530"/>
      <c r="AL813" s="1530"/>
      <c r="AM813" s="1530"/>
      <c r="AN813" s="1530"/>
      <c r="AO813" s="1530"/>
      <c r="AP813" s="1530"/>
      <c r="AQ813" s="1530"/>
      <c r="AR813" s="1530"/>
      <c r="AS813" s="1530"/>
      <c r="AT813" s="1530"/>
      <c r="AU813" s="1530"/>
      <c r="AV813" s="1530"/>
      <c r="AW813" s="1530"/>
      <c r="AX813" s="1530"/>
      <c r="AY813" s="1530"/>
      <c r="AZ813" s="1530"/>
      <c r="BA813" s="1530"/>
      <c r="BB813" s="1530"/>
      <c r="BC813" s="1530"/>
      <c r="BD813" s="1530"/>
      <c r="BE813" s="1530"/>
      <c r="BF813" s="1530"/>
      <c r="BG813" s="1530"/>
      <c r="BH813" s="1530"/>
      <c r="BI813" s="1530"/>
      <c r="BJ813" s="1530"/>
      <c r="BK813" s="1530"/>
      <c r="BL813" s="1530"/>
      <c r="BM813" s="1530"/>
      <c r="BN813" s="1530"/>
      <c r="BW813" s="1569"/>
      <c r="CO813" s="1530"/>
      <c r="CP813" s="1530"/>
      <c r="CQ813" s="1530"/>
      <c r="CR813" s="1530"/>
      <c r="CS813" s="1530"/>
      <c r="CT813" s="1530"/>
      <c r="CU813" s="1530"/>
      <c r="CV813" s="1530"/>
      <c r="CW813" s="1530"/>
      <c r="CX813" s="1530"/>
      <c r="CY813" s="1530"/>
      <c r="CZ813" s="1530"/>
      <c r="DA813" s="1530"/>
      <c r="DB813" s="1530"/>
      <c r="DC813" s="1530"/>
      <c r="DD813" s="1530"/>
      <c r="DE813" s="1530"/>
      <c r="DF813" s="1530"/>
      <c r="DG813" s="1530"/>
      <c r="DH813" s="1530"/>
      <c r="DI813" s="1530"/>
      <c r="DJ813" s="1530"/>
      <c r="DK813" s="1530"/>
      <c r="DL813" s="1530"/>
      <c r="DM813" s="1530"/>
      <c r="DN813" s="1571"/>
      <c r="DO813" s="1530"/>
      <c r="DP813" s="1530"/>
    </row>
    <row r="814" spans="1:120">
      <c r="A814" s="1451"/>
      <c r="C814" s="1451"/>
      <c r="K814" s="1451"/>
      <c r="L814" s="1451"/>
      <c r="U814" s="1530"/>
      <c r="V814" s="1530"/>
      <c r="W814" s="1530"/>
      <c r="X814" s="1530"/>
      <c r="Y814" s="1530"/>
      <c r="Z814" s="1530"/>
      <c r="AA814" s="1530"/>
      <c r="AB814" s="1530"/>
      <c r="AC814" s="1530"/>
      <c r="AD814" s="1530"/>
      <c r="AE814" s="1530"/>
      <c r="AF814" s="1530"/>
      <c r="AG814" s="1530"/>
      <c r="AH814" s="1530"/>
      <c r="AI814" s="1530"/>
      <c r="AJ814" s="1530"/>
      <c r="AK814" s="1530"/>
      <c r="AL814" s="1530"/>
      <c r="AM814" s="1530"/>
      <c r="AN814" s="1530"/>
      <c r="AO814" s="1530"/>
      <c r="AP814" s="1530"/>
      <c r="AQ814" s="1530"/>
      <c r="AR814" s="1530"/>
      <c r="AS814" s="1530"/>
      <c r="AT814" s="1530"/>
      <c r="AU814" s="1530"/>
      <c r="AV814" s="1530"/>
      <c r="AW814" s="1530"/>
      <c r="AX814" s="1530"/>
      <c r="AY814" s="1530"/>
      <c r="AZ814" s="1530"/>
      <c r="BA814" s="1530"/>
      <c r="BB814" s="1530"/>
      <c r="BC814" s="1530"/>
      <c r="BD814" s="1530"/>
      <c r="BE814" s="1530"/>
      <c r="BF814" s="1530"/>
      <c r="BG814" s="1530"/>
      <c r="BH814" s="1530"/>
      <c r="BI814" s="1530"/>
      <c r="BJ814" s="1530"/>
      <c r="BK814" s="1530"/>
      <c r="BL814" s="1530"/>
      <c r="BM814" s="1530"/>
      <c r="BN814" s="1530"/>
      <c r="BW814" s="1569"/>
      <c r="CO814" s="1530"/>
      <c r="CP814" s="1530"/>
      <c r="CQ814" s="1530"/>
      <c r="CR814" s="1530"/>
      <c r="CS814" s="1530"/>
      <c r="CT814" s="1530"/>
      <c r="CU814" s="1530"/>
      <c r="CV814" s="1530"/>
      <c r="CW814" s="1530"/>
      <c r="CX814" s="1530"/>
      <c r="CY814" s="1530"/>
      <c r="CZ814" s="1530"/>
      <c r="DA814" s="1530"/>
      <c r="DB814" s="1530"/>
      <c r="DC814" s="1530"/>
      <c r="DD814" s="1530"/>
      <c r="DE814" s="1530"/>
      <c r="DF814" s="1530"/>
      <c r="DG814" s="1530"/>
      <c r="DH814" s="1530"/>
      <c r="DI814" s="1530"/>
      <c r="DJ814" s="1530"/>
      <c r="DK814" s="1530"/>
      <c r="DL814" s="1530"/>
      <c r="DM814" s="1530"/>
      <c r="DN814" s="1571"/>
      <c r="DO814" s="1530"/>
      <c r="DP814" s="1530"/>
    </row>
    <row r="815" spans="1:120">
      <c r="A815" s="1451"/>
      <c r="C815" s="1451"/>
      <c r="K815" s="1451"/>
      <c r="L815" s="1451"/>
      <c r="U815" s="1530"/>
      <c r="V815" s="1530"/>
      <c r="W815" s="1530"/>
      <c r="X815" s="1530"/>
      <c r="Y815" s="1530"/>
      <c r="Z815" s="1530"/>
      <c r="AA815" s="1530"/>
      <c r="AB815" s="1530"/>
      <c r="AC815" s="1530"/>
      <c r="AD815" s="1530"/>
      <c r="AE815" s="1530"/>
      <c r="AF815" s="1530"/>
      <c r="AG815" s="1530"/>
      <c r="AH815" s="1530"/>
      <c r="AI815" s="1530"/>
      <c r="AJ815" s="1530"/>
      <c r="AK815" s="1530"/>
      <c r="AL815" s="1530"/>
      <c r="AM815" s="1530"/>
      <c r="AN815" s="1530"/>
      <c r="AO815" s="1530"/>
      <c r="AP815" s="1530"/>
      <c r="AQ815" s="1530"/>
      <c r="AR815" s="1530"/>
      <c r="AS815" s="1530"/>
      <c r="AT815" s="1530"/>
      <c r="AU815" s="1530"/>
      <c r="AV815" s="1530"/>
      <c r="AW815" s="1530"/>
      <c r="AX815" s="1530"/>
      <c r="AY815" s="1530"/>
      <c r="AZ815" s="1530"/>
      <c r="BA815" s="1530"/>
      <c r="BB815" s="1530"/>
      <c r="BC815" s="1530"/>
      <c r="BD815" s="1530"/>
      <c r="BE815" s="1530"/>
      <c r="BF815" s="1530"/>
      <c r="BG815" s="1530"/>
      <c r="BH815" s="1530"/>
      <c r="BI815" s="1530"/>
      <c r="BJ815" s="1530"/>
      <c r="BK815" s="1530"/>
      <c r="BL815" s="1530"/>
      <c r="BM815" s="1530"/>
      <c r="BN815" s="1530"/>
      <c r="BW815" s="1569"/>
      <c r="CO815" s="1530"/>
      <c r="CP815" s="1530"/>
      <c r="CQ815" s="1530"/>
      <c r="CR815" s="1530"/>
      <c r="CS815" s="1530"/>
      <c r="CT815" s="1530"/>
      <c r="CU815" s="1530"/>
      <c r="CV815" s="1530"/>
      <c r="CW815" s="1530"/>
      <c r="CX815" s="1530"/>
      <c r="CY815" s="1530"/>
      <c r="CZ815" s="1530"/>
      <c r="DA815" s="1530"/>
      <c r="DB815" s="1530"/>
      <c r="DC815" s="1530"/>
      <c r="DD815" s="1530"/>
      <c r="DE815" s="1530"/>
      <c r="DF815" s="1530"/>
      <c r="DG815" s="1530"/>
      <c r="DH815" s="1530"/>
      <c r="DI815" s="1530"/>
      <c r="DJ815" s="1530"/>
      <c r="DK815" s="1530"/>
      <c r="DL815" s="1530"/>
      <c r="DM815" s="1530"/>
      <c r="DN815" s="1571"/>
      <c r="DO815" s="1530"/>
      <c r="DP815" s="1530"/>
    </row>
    <row r="816" spans="1:120">
      <c r="A816" s="1451"/>
      <c r="C816" s="1451"/>
      <c r="K816" s="1451"/>
      <c r="L816" s="1451"/>
      <c r="U816" s="1530"/>
      <c r="V816" s="1530"/>
      <c r="W816" s="1530"/>
      <c r="X816" s="1530"/>
      <c r="Y816" s="1530"/>
      <c r="Z816" s="1530"/>
      <c r="AA816" s="1530"/>
      <c r="AB816" s="1530"/>
      <c r="AC816" s="1530"/>
      <c r="AD816" s="1530"/>
      <c r="AE816" s="1530"/>
      <c r="AF816" s="1530"/>
      <c r="AG816" s="1530"/>
      <c r="AH816" s="1530"/>
      <c r="AI816" s="1530"/>
      <c r="AJ816" s="1530"/>
      <c r="AK816" s="1530"/>
      <c r="AL816" s="1530"/>
      <c r="AM816" s="1530"/>
      <c r="AN816" s="1530"/>
      <c r="AO816" s="1530"/>
      <c r="AP816" s="1530"/>
      <c r="AQ816" s="1530"/>
      <c r="AR816" s="1530"/>
      <c r="AS816" s="1530"/>
      <c r="AT816" s="1530"/>
      <c r="AU816" s="1530"/>
      <c r="AV816" s="1530"/>
      <c r="AW816" s="1530"/>
      <c r="AX816" s="1530"/>
      <c r="AY816" s="1530"/>
      <c r="AZ816" s="1530"/>
      <c r="BA816" s="1530"/>
      <c r="BB816" s="1530"/>
      <c r="BC816" s="1530"/>
      <c r="BD816" s="1530"/>
      <c r="BE816" s="1530"/>
      <c r="BF816" s="1530"/>
      <c r="BG816" s="1530"/>
      <c r="BH816" s="1530"/>
      <c r="BI816" s="1530"/>
      <c r="BJ816" s="1530"/>
      <c r="BK816" s="1530"/>
      <c r="BL816" s="1530"/>
      <c r="BM816" s="1530"/>
      <c r="BN816" s="1530"/>
      <c r="BW816" s="1569"/>
      <c r="CO816" s="1530"/>
      <c r="CP816" s="1530"/>
      <c r="CQ816" s="1530"/>
      <c r="CR816" s="1530"/>
      <c r="CS816" s="1530"/>
      <c r="CT816" s="1530"/>
      <c r="CU816" s="1530"/>
      <c r="CV816" s="1530"/>
      <c r="CW816" s="1530"/>
      <c r="CX816" s="1530"/>
      <c r="CY816" s="1530"/>
      <c r="CZ816" s="1530"/>
      <c r="DA816" s="1530"/>
      <c r="DB816" s="1530"/>
      <c r="DC816" s="1530"/>
      <c r="DD816" s="1530"/>
      <c r="DE816" s="1530"/>
      <c r="DF816" s="1530"/>
      <c r="DG816" s="1530"/>
      <c r="DH816" s="1530"/>
      <c r="DI816" s="1530"/>
      <c r="DJ816" s="1530"/>
      <c r="DK816" s="1530"/>
      <c r="DL816" s="1530"/>
      <c r="DM816" s="1530"/>
      <c r="DN816" s="1571"/>
      <c r="DO816" s="1530"/>
      <c r="DP816" s="1530"/>
    </row>
    <row r="817" spans="1:120">
      <c r="A817" s="1451"/>
      <c r="C817" s="1451"/>
      <c r="K817" s="1451"/>
      <c r="L817" s="1451"/>
      <c r="U817" s="1530"/>
      <c r="V817" s="1530"/>
      <c r="W817" s="1530"/>
      <c r="X817" s="1530"/>
      <c r="Y817" s="1530"/>
      <c r="Z817" s="1530"/>
      <c r="AA817" s="1530"/>
      <c r="AB817" s="1530"/>
      <c r="AC817" s="1530"/>
      <c r="AD817" s="1530"/>
      <c r="AE817" s="1530"/>
      <c r="AF817" s="1530"/>
      <c r="AG817" s="1530"/>
      <c r="AH817" s="1530"/>
      <c r="AI817" s="1530"/>
      <c r="AJ817" s="1530"/>
      <c r="AK817" s="1530"/>
      <c r="AL817" s="1530"/>
      <c r="AM817" s="1530"/>
      <c r="AN817" s="1530"/>
      <c r="AO817" s="1530"/>
      <c r="AP817" s="1530"/>
      <c r="AQ817" s="1530"/>
      <c r="AR817" s="1530"/>
      <c r="AS817" s="1530"/>
      <c r="AT817" s="1530"/>
      <c r="AU817" s="1530"/>
      <c r="AV817" s="1530"/>
      <c r="AW817" s="1530"/>
      <c r="AX817" s="1530"/>
      <c r="AY817" s="1530"/>
      <c r="AZ817" s="1530"/>
      <c r="BA817" s="1530"/>
      <c r="BB817" s="1530"/>
      <c r="BC817" s="1530"/>
      <c r="BD817" s="1530"/>
      <c r="BE817" s="1530"/>
      <c r="BF817" s="1530"/>
      <c r="BG817" s="1530"/>
      <c r="BH817" s="1530"/>
      <c r="BI817" s="1530"/>
      <c r="BJ817" s="1530"/>
      <c r="BK817" s="1530"/>
      <c r="BL817" s="1530"/>
      <c r="BM817" s="1530"/>
      <c r="BN817" s="1530"/>
      <c r="BW817" s="1569"/>
      <c r="CO817" s="1530"/>
      <c r="CP817" s="1530"/>
      <c r="CQ817" s="1530"/>
      <c r="CR817" s="1530"/>
      <c r="CS817" s="1530"/>
      <c r="CT817" s="1530"/>
      <c r="CU817" s="1530"/>
      <c r="CV817" s="1530"/>
      <c r="CW817" s="1530"/>
      <c r="CX817" s="1530"/>
      <c r="CY817" s="1530"/>
      <c r="CZ817" s="1530"/>
      <c r="DA817" s="1530"/>
      <c r="DB817" s="1530"/>
      <c r="DC817" s="1530"/>
      <c r="DD817" s="1530"/>
      <c r="DE817" s="1530"/>
      <c r="DF817" s="1530"/>
      <c r="DG817" s="1530"/>
      <c r="DH817" s="1530"/>
      <c r="DI817" s="1530"/>
      <c r="DJ817" s="1530"/>
      <c r="DK817" s="1530"/>
      <c r="DL817" s="1530"/>
      <c r="DM817" s="1530"/>
      <c r="DN817" s="1571"/>
      <c r="DO817" s="1530"/>
      <c r="DP817" s="1530"/>
    </row>
    <row r="818" spans="1:120">
      <c r="A818" s="1451"/>
      <c r="C818" s="1451"/>
      <c r="K818" s="1451"/>
      <c r="L818" s="1451"/>
      <c r="U818" s="1530"/>
      <c r="V818" s="1530"/>
      <c r="W818" s="1530"/>
      <c r="X818" s="1530"/>
      <c r="Y818" s="1530"/>
      <c r="Z818" s="1530"/>
      <c r="AA818" s="1530"/>
      <c r="AB818" s="1530"/>
      <c r="AC818" s="1530"/>
      <c r="AD818" s="1530"/>
      <c r="AE818" s="1530"/>
      <c r="AF818" s="1530"/>
      <c r="AG818" s="1530"/>
      <c r="AH818" s="1530"/>
      <c r="AI818" s="1530"/>
      <c r="AJ818" s="1530"/>
      <c r="AK818" s="1530"/>
      <c r="AL818" s="1530"/>
      <c r="AM818" s="1530"/>
      <c r="AN818" s="1530"/>
      <c r="AO818" s="1530"/>
      <c r="AP818" s="1530"/>
      <c r="AQ818" s="1530"/>
      <c r="AR818" s="1530"/>
      <c r="AS818" s="1530"/>
      <c r="AT818" s="1530"/>
      <c r="AU818" s="1530"/>
      <c r="AV818" s="1530"/>
      <c r="AW818" s="1530"/>
      <c r="AX818" s="1530"/>
      <c r="AY818" s="1530"/>
      <c r="AZ818" s="1530"/>
      <c r="BA818" s="1530"/>
      <c r="BB818" s="1530"/>
      <c r="BC818" s="1530"/>
      <c r="BD818" s="1530"/>
      <c r="BE818" s="1530"/>
      <c r="BF818" s="1530"/>
      <c r="BG818" s="1530"/>
      <c r="BH818" s="1530"/>
      <c r="BI818" s="1530"/>
      <c r="BJ818" s="1530"/>
      <c r="BK818" s="1530"/>
      <c r="BL818" s="1530"/>
      <c r="BM818" s="1530"/>
      <c r="BN818" s="1530"/>
      <c r="BW818" s="1569"/>
      <c r="CO818" s="1530"/>
      <c r="CP818" s="1530"/>
      <c r="CQ818" s="1530"/>
      <c r="CR818" s="1530"/>
      <c r="CS818" s="1530"/>
      <c r="CT818" s="1530"/>
      <c r="CU818" s="1530"/>
      <c r="CV818" s="1530"/>
      <c r="CW818" s="1530"/>
      <c r="CX818" s="1530"/>
      <c r="CY818" s="1530"/>
      <c r="CZ818" s="1530"/>
      <c r="DA818" s="1530"/>
      <c r="DB818" s="1530"/>
      <c r="DC818" s="1530"/>
      <c r="DD818" s="1530"/>
      <c r="DE818" s="1530"/>
      <c r="DF818" s="1530"/>
      <c r="DG818" s="1530"/>
      <c r="DH818" s="1530"/>
      <c r="DI818" s="1530"/>
      <c r="DJ818" s="1530"/>
      <c r="DK818" s="1530"/>
      <c r="DL818" s="1530"/>
      <c r="DM818" s="1530"/>
      <c r="DN818" s="1571"/>
      <c r="DO818" s="1530"/>
      <c r="DP818" s="1530"/>
    </row>
    <row r="819" spans="1:120">
      <c r="A819" s="1451"/>
      <c r="C819" s="1451"/>
      <c r="K819" s="1451"/>
      <c r="L819" s="1451"/>
      <c r="U819" s="1530"/>
      <c r="V819" s="1530"/>
      <c r="W819" s="1530"/>
      <c r="X819" s="1530"/>
      <c r="Y819" s="1530"/>
      <c r="Z819" s="1530"/>
      <c r="AA819" s="1530"/>
      <c r="AB819" s="1530"/>
      <c r="AC819" s="1530"/>
      <c r="AD819" s="1530"/>
      <c r="AE819" s="1530"/>
      <c r="AF819" s="1530"/>
      <c r="AG819" s="1530"/>
      <c r="AH819" s="1530"/>
      <c r="AI819" s="1530"/>
      <c r="AJ819" s="1530"/>
      <c r="AK819" s="1530"/>
      <c r="AL819" s="1530"/>
      <c r="AM819" s="1530"/>
      <c r="AN819" s="1530"/>
      <c r="AO819" s="1530"/>
      <c r="AP819" s="1530"/>
      <c r="AQ819" s="1530"/>
      <c r="AR819" s="1530"/>
      <c r="AS819" s="1530"/>
      <c r="AT819" s="1530"/>
      <c r="AU819" s="1530"/>
      <c r="AV819" s="1530"/>
      <c r="AW819" s="1530"/>
      <c r="AX819" s="1530"/>
      <c r="AY819" s="1530"/>
      <c r="AZ819" s="1530"/>
      <c r="BA819" s="1530"/>
      <c r="BB819" s="1530"/>
      <c r="BC819" s="1530"/>
      <c r="BD819" s="1530"/>
      <c r="BE819" s="1530"/>
      <c r="BF819" s="1530"/>
      <c r="BG819" s="1530"/>
      <c r="BH819" s="1530"/>
      <c r="BI819" s="1530"/>
      <c r="BJ819" s="1530"/>
      <c r="BK819" s="1530"/>
      <c r="BL819" s="1530"/>
      <c r="BM819" s="1530"/>
      <c r="BN819" s="1530"/>
      <c r="BW819" s="1569"/>
      <c r="CO819" s="1530"/>
      <c r="CP819" s="1530"/>
      <c r="CQ819" s="1530"/>
      <c r="CR819" s="1530"/>
      <c r="CS819" s="1530"/>
      <c r="CT819" s="1530"/>
      <c r="CU819" s="1530"/>
      <c r="CV819" s="1530"/>
      <c r="CW819" s="1530"/>
      <c r="CX819" s="1530"/>
      <c r="CY819" s="1530"/>
      <c r="CZ819" s="1530"/>
      <c r="DA819" s="1530"/>
      <c r="DB819" s="1530"/>
      <c r="DC819" s="1530"/>
      <c r="DD819" s="1530"/>
      <c r="DE819" s="1530"/>
      <c r="DF819" s="1530"/>
      <c r="DG819" s="1530"/>
      <c r="DH819" s="1530"/>
      <c r="DI819" s="1530"/>
      <c r="DJ819" s="1530"/>
      <c r="DK819" s="1530"/>
      <c r="DL819" s="1530"/>
      <c r="DM819" s="1530"/>
      <c r="DN819" s="1571"/>
      <c r="DO819" s="1530"/>
      <c r="DP819" s="1530"/>
    </row>
    <row r="820" spans="1:120">
      <c r="A820" s="1451"/>
      <c r="C820" s="1451"/>
      <c r="K820" s="1451"/>
      <c r="L820" s="1451"/>
      <c r="U820" s="1530"/>
      <c r="V820" s="1530"/>
      <c r="W820" s="1530"/>
      <c r="X820" s="1530"/>
      <c r="Y820" s="1530"/>
      <c r="Z820" s="1530"/>
      <c r="AA820" s="1530"/>
      <c r="AB820" s="1530"/>
      <c r="AC820" s="1530"/>
      <c r="AD820" s="1530"/>
      <c r="AE820" s="1530"/>
      <c r="AF820" s="1530"/>
      <c r="AG820" s="1530"/>
      <c r="AH820" s="1530"/>
      <c r="AI820" s="1530"/>
      <c r="AJ820" s="1530"/>
      <c r="AK820" s="1530"/>
      <c r="AL820" s="1530"/>
      <c r="AM820" s="1530"/>
      <c r="AN820" s="1530"/>
      <c r="AO820" s="1530"/>
      <c r="AP820" s="1530"/>
      <c r="AQ820" s="1530"/>
      <c r="AR820" s="1530"/>
      <c r="AS820" s="1530"/>
      <c r="AT820" s="1530"/>
      <c r="AU820" s="1530"/>
      <c r="AV820" s="1530"/>
      <c r="AW820" s="1530"/>
      <c r="AX820" s="1530"/>
      <c r="AY820" s="1530"/>
      <c r="AZ820" s="1530"/>
      <c r="BA820" s="1530"/>
      <c r="BB820" s="1530"/>
      <c r="BC820" s="1530"/>
      <c r="BD820" s="1530"/>
      <c r="BE820" s="1530"/>
      <c r="BF820" s="1530"/>
      <c r="BG820" s="1530"/>
      <c r="BH820" s="1530"/>
      <c r="BI820" s="1530"/>
      <c r="BJ820" s="1530"/>
      <c r="BK820" s="1530"/>
      <c r="BL820" s="1530"/>
      <c r="BM820" s="1530"/>
      <c r="BN820" s="1530"/>
      <c r="BW820" s="1569"/>
      <c r="CO820" s="1530"/>
      <c r="CP820" s="1530"/>
      <c r="CQ820" s="1530"/>
      <c r="CR820" s="1530"/>
      <c r="CS820" s="1530"/>
      <c r="CT820" s="1530"/>
      <c r="CU820" s="1530"/>
      <c r="CV820" s="1530"/>
      <c r="CW820" s="1530"/>
      <c r="CX820" s="1530"/>
      <c r="CY820" s="1530"/>
      <c r="CZ820" s="1530"/>
      <c r="DA820" s="1530"/>
      <c r="DB820" s="1530"/>
      <c r="DC820" s="1530"/>
      <c r="DD820" s="1530"/>
      <c r="DE820" s="1530"/>
      <c r="DF820" s="1530"/>
      <c r="DG820" s="1530"/>
      <c r="DH820" s="1530"/>
      <c r="DI820" s="1530"/>
      <c r="DJ820" s="1530"/>
      <c r="DK820" s="1530"/>
      <c r="DL820" s="1530"/>
      <c r="DM820" s="1530"/>
      <c r="DN820" s="1571"/>
      <c r="DO820" s="1530"/>
      <c r="DP820" s="1530"/>
    </row>
    <row r="821" spans="1:120">
      <c r="A821" s="1451"/>
      <c r="C821" s="1451"/>
      <c r="K821" s="1451"/>
      <c r="L821" s="1451"/>
      <c r="U821" s="1530"/>
      <c r="V821" s="1530"/>
      <c r="W821" s="1530"/>
      <c r="X821" s="1530"/>
      <c r="Y821" s="1530"/>
      <c r="Z821" s="1530"/>
      <c r="AA821" s="1530"/>
      <c r="AB821" s="1530"/>
      <c r="AC821" s="1530"/>
      <c r="AD821" s="1530"/>
      <c r="AE821" s="1530"/>
      <c r="AF821" s="1530"/>
      <c r="AG821" s="1530"/>
      <c r="AH821" s="1530"/>
      <c r="AI821" s="1530"/>
      <c r="AJ821" s="1530"/>
      <c r="AK821" s="1530"/>
      <c r="AL821" s="1530"/>
      <c r="AM821" s="1530"/>
      <c r="AN821" s="1530"/>
      <c r="AO821" s="1530"/>
      <c r="AP821" s="1530"/>
      <c r="AQ821" s="1530"/>
      <c r="AR821" s="1530"/>
      <c r="AS821" s="1530"/>
      <c r="AT821" s="1530"/>
      <c r="AU821" s="1530"/>
      <c r="AV821" s="1530"/>
      <c r="AW821" s="1530"/>
      <c r="AX821" s="1530"/>
      <c r="AY821" s="1530"/>
      <c r="AZ821" s="1530"/>
      <c r="BA821" s="1530"/>
      <c r="BB821" s="1530"/>
      <c r="BC821" s="1530"/>
      <c r="BD821" s="1530"/>
      <c r="BE821" s="1530"/>
      <c r="BF821" s="1530"/>
      <c r="BG821" s="1530"/>
      <c r="BH821" s="1530"/>
      <c r="BI821" s="1530"/>
      <c r="BJ821" s="1530"/>
      <c r="BK821" s="1530"/>
      <c r="BL821" s="1530"/>
      <c r="BM821" s="1530"/>
      <c r="BN821" s="1530"/>
      <c r="BW821" s="1569"/>
      <c r="CO821" s="1530"/>
      <c r="CP821" s="1530"/>
      <c r="CQ821" s="1530"/>
      <c r="CR821" s="1530"/>
      <c r="CS821" s="1530"/>
      <c r="CT821" s="1530"/>
      <c r="CU821" s="1530"/>
      <c r="CV821" s="1530"/>
      <c r="CW821" s="1530"/>
      <c r="CX821" s="1530"/>
      <c r="CY821" s="1530"/>
      <c r="CZ821" s="1530"/>
      <c r="DA821" s="1530"/>
      <c r="DB821" s="1530"/>
      <c r="DC821" s="1530"/>
      <c r="DD821" s="1530"/>
      <c r="DE821" s="1530"/>
      <c r="DF821" s="1530"/>
      <c r="DG821" s="1530"/>
      <c r="DH821" s="1530"/>
      <c r="DI821" s="1530"/>
      <c r="DJ821" s="1530"/>
      <c r="DK821" s="1530"/>
      <c r="DL821" s="1530"/>
      <c r="DM821" s="1530"/>
      <c r="DN821" s="1571"/>
      <c r="DO821" s="1530"/>
      <c r="DP821" s="1530"/>
    </row>
    <row r="822" spans="1:120">
      <c r="A822" s="1451"/>
      <c r="C822" s="1451"/>
      <c r="K822" s="1451"/>
      <c r="L822" s="1451"/>
      <c r="U822" s="1530"/>
      <c r="V822" s="1530"/>
      <c r="W822" s="1530"/>
      <c r="X822" s="1530"/>
      <c r="Y822" s="1530"/>
      <c r="Z822" s="1530"/>
      <c r="AA822" s="1530"/>
      <c r="AB822" s="1530"/>
      <c r="AC822" s="1530"/>
      <c r="AD822" s="1530"/>
      <c r="AE822" s="1530"/>
      <c r="AF822" s="1530"/>
      <c r="AG822" s="1530"/>
      <c r="AH822" s="1530"/>
      <c r="AI822" s="1530"/>
      <c r="AJ822" s="1530"/>
      <c r="AK822" s="1530"/>
      <c r="AL822" s="1530"/>
      <c r="AM822" s="1530"/>
      <c r="AN822" s="1530"/>
      <c r="AO822" s="1530"/>
      <c r="AP822" s="1530"/>
      <c r="AQ822" s="1530"/>
      <c r="AR822" s="1530"/>
      <c r="AS822" s="1530"/>
      <c r="AT822" s="1530"/>
      <c r="AU822" s="1530"/>
      <c r="AV822" s="1530"/>
      <c r="AW822" s="1530"/>
      <c r="AX822" s="1530"/>
      <c r="AY822" s="1530"/>
      <c r="AZ822" s="1530"/>
      <c r="BA822" s="1530"/>
      <c r="BB822" s="1530"/>
      <c r="BC822" s="1530"/>
      <c r="BD822" s="1530"/>
      <c r="BE822" s="1530"/>
      <c r="BF822" s="1530"/>
      <c r="BG822" s="1530"/>
      <c r="BH822" s="1530"/>
      <c r="BI822" s="1530"/>
      <c r="BJ822" s="1530"/>
      <c r="BK822" s="1530"/>
      <c r="BL822" s="1530"/>
      <c r="BM822" s="1530"/>
      <c r="BN822" s="1530"/>
      <c r="BW822" s="1569"/>
      <c r="CO822" s="1530"/>
      <c r="CP822" s="1530"/>
      <c r="CQ822" s="1530"/>
      <c r="CR822" s="1530"/>
      <c r="CS822" s="1530"/>
      <c r="CT822" s="1530"/>
      <c r="CU822" s="1530"/>
      <c r="CV822" s="1530"/>
      <c r="CW822" s="1530"/>
      <c r="CX822" s="1530"/>
      <c r="CY822" s="1530"/>
      <c r="CZ822" s="1530"/>
      <c r="DA822" s="1530"/>
      <c r="DB822" s="1530"/>
      <c r="DC822" s="1530"/>
      <c r="DD822" s="1530"/>
      <c r="DE822" s="1530"/>
      <c r="DF822" s="1530"/>
      <c r="DG822" s="1530"/>
      <c r="DH822" s="1530"/>
      <c r="DI822" s="1530"/>
      <c r="DJ822" s="1530"/>
      <c r="DK822" s="1530"/>
      <c r="DL822" s="1530"/>
      <c r="DM822" s="1530"/>
      <c r="DN822" s="1571"/>
      <c r="DO822" s="1530"/>
      <c r="DP822" s="1530"/>
    </row>
    <row r="823" spans="1:120">
      <c r="A823" s="1451"/>
      <c r="C823" s="1451"/>
      <c r="K823" s="1451"/>
      <c r="L823" s="1451"/>
      <c r="U823" s="1530"/>
      <c r="V823" s="1530"/>
      <c r="W823" s="1530"/>
      <c r="X823" s="1530"/>
      <c r="Y823" s="1530"/>
      <c r="Z823" s="1530"/>
      <c r="AA823" s="1530"/>
      <c r="AB823" s="1530"/>
      <c r="AC823" s="1530"/>
      <c r="AD823" s="1530"/>
      <c r="AE823" s="1530"/>
      <c r="AF823" s="1530"/>
      <c r="AG823" s="1530"/>
      <c r="AH823" s="1530"/>
      <c r="AI823" s="1530"/>
      <c r="AJ823" s="1530"/>
      <c r="AK823" s="1530"/>
      <c r="AL823" s="1530"/>
      <c r="AM823" s="1530"/>
      <c r="AN823" s="1530"/>
      <c r="AO823" s="1530"/>
      <c r="AP823" s="1530"/>
      <c r="AQ823" s="1530"/>
      <c r="AR823" s="1530"/>
      <c r="AS823" s="1530"/>
      <c r="AT823" s="1530"/>
      <c r="AU823" s="1530"/>
      <c r="AV823" s="1530"/>
      <c r="AW823" s="1530"/>
      <c r="AX823" s="1530"/>
      <c r="AY823" s="1530"/>
      <c r="AZ823" s="1530"/>
      <c r="BA823" s="1530"/>
      <c r="BB823" s="1530"/>
      <c r="BC823" s="1530"/>
      <c r="BD823" s="1530"/>
      <c r="BE823" s="1530"/>
      <c r="BF823" s="1530"/>
      <c r="BG823" s="1530"/>
      <c r="BH823" s="1530"/>
      <c r="BI823" s="1530"/>
      <c r="BJ823" s="1530"/>
      <c r="BK823" s="1530"/>
      <c r="BL823" s="1530"/>
      <c r="BM823" s="1530"/>
      <c r="BN823" s="1530"/>
      <c r="BW823" s="1569"/>
      <c r="CO823" s="1530"/>
      <c r="CP823" s="1530"/>
      <c r="CQ823" s="1530"/>
      <c r="CR823" s="1530"/>
      <c r="CS823" s="1530"/>
      <c r="CT823" s="1530"/>
      <c r="CU823" s="1530"/>
      <c r="CV823" s="1530"/>
      <c r="CW823" s="1530"/>
      <c r="CX823" s="1530"/>
      <c r="CY823" s="1530"/>
      <c r="CZ823" s="1530"/>
      <c r="DA823" s="1530"/>
      <c r="DB823" s="1530"/>
      <c r="DC823" s="1530"/>
      <c r="DD823" s="1530"/>
      <c r="DE823" s="1530"/>
      <c r="DF823" s="1530"/>
      <c r="DG823" s="1530"/>
      <c r="DH823" s="1530"/>
      <c r="DI823" s="1530"/>
      <c r="DJ823" s="1530"/>
      <c r="DK823" s="1530"/>
      <c r="DL823" s="1530"/>
      <c r="DM823" s="1530"/>
      <c r="DN823" s="1571"/>
      <c r="DO823" s="1530"/>
      <c r="DP823" s="1530"/>
    </row>
    <row r="824" spans="1:120">
      <c r="A824" s="1451"/>
      <c r="C824" s="1451"/>
      <c r="K824" s="1451"/>
      <c r="L824" s="1451"/>
      <c r="U824" s="1530"/>
      <c r="V824" s="1530"/>
      <c r="W824" s="1530"/>
      <c r="X824" s="1530"/>
      <c r="Y824" s="1530"/>
      <c r="Z824" s="1530"/>
      <c r="AA824" s="1530"/>
      <c r="AB824" s="1530"/>
      <c r="AC824" s="1530"/>
      <c r="AD824" s="1530"/>
      <c r="AE824" s="1530"/>
      <c r="AF824" s="1530"/>
      <c r="AG824" s="1530"/>
      <c r="AH824" s="1530"/>
      <c r="AI824" s="1530"/>
      <c r="AJ824" s="1530"/>
      <c r="AK824" s="1530"/>
      <c r="AL824" s="1530"/>
      <c r="AM824" s="1530"/>
      <c r="AN824" s="1530"/>
      <c r="AO824" s="1530"/>
      <c r="AP824" s="1530"/>
      <c r="AQ824" s="1530"/>
      <c r="AR824" s="1530"/>
      <c r="AS824" s="1530"/>
      <c r="AT824" s="1530"/>
      <c r="AU824" s="1530"/>
      <c r="AV824" s="1530"/>
      <c r="AW824" s="1530"/>
      <c r="AX824" s="1530"/>
      <c r="AY824" s="1530"/>
      <c r="AZ824" s="1530"/>
      <c r="BA824" s="1530"/>
      <c r="BB824" s="1530"/>
      <c r="BC824" s="1530"/>
      <c r="BD824" s="1530"/>
      <c r="BE824" s="1530"/>
      <c r="BF824" s="1530"/>
      <c r="BG824" s="1530"/>
      <c r="BH824" s="1530"/>
      <c r="BI824" s="1530"/>
      <c r="BJ824" s="1530"/>
      <c r="BK824" s="1530"/>
      <c r="BL824" s="1530"/>
      <c r="BM824" s="1530"/>
      <c r="BN824" s="1530"/>
      <c r="BW824" s="1569"/>
      <c r="CO824" s="1530"/>
      <c r="CP824" s="1530"/>
      <c r="CQ824" s="1530"/>
      <c r="CR824" s="1530"/>
      <c r="CS824" s="1530"/>
      <c r="CT824" s="1530"/>
      <c r="CU824" s="1530"/>
      <c r="CV824" s="1530"/>
      <c r="CW824" s="1530"/>
      <c r="CX824" s="1530"/>
      <c r="CY824" s="1530"/>
      <c r="CZ824" s="1530"/>
      <c r="DA824" s="1530"/>
      <c r="DB824" s="1530"/>
      <c r="DC824" s="1530"/>
      <c r="DD824" s="1530"/>
      <c r="DE824" s="1530"/>
      <c r="DF824" s="1530"/>
      <c r="DG824" s="1530"/>
      <c r="DH824" s="1530"/>
      <c r="DI824" s="1530"/>
      <c r="DJ824" s="1530"/>
      <c r="DK824" s="1530"/>
      <c r="DL824" s="1530"/>
      <c r="DM824" s="1530"/>
      <c r="DN824" s="1571"/>
      <c r="DO824" s="1530"/>
      <c r="DP824" s="1530"/>
    </row>
    <row r="825" spans="1:120">
      <c r="A825" s="1451"/>
      <c r="C825" s="1451"/>
      <c r="K825" s="1451"/>
      <c r="L825" s="1451"/>
      <c r="U825" s="1530"/>
      <c r="V825" s="1530"/>
      <c r="W825" s="1530"/>
      <c r="X825" s="1530"/>
      <c r="Y825" s="1530"/>
      <c r="Z825" s="1530"/>
      <c r="AA825" s="1530"/>
      <c r="AB825" s="1530"/>
      <c r="AC825" s="1530"/>
      <c r="AD825" s="1530"/>
      <c r="AE825" s="1530"/>
      <c r="AF825" s="1530"/>
      <c r="AG825" s="1530"/>
      <c r="AH825" s="1530"/>
      <c r="AI825" s="1530"/>
      <c r="AJ825" s="1530"/>
      <c r="AK825" s="1530"/>
      <c r="AL825" s="1530"/>
      <c r="AM825" s="1530"/>
      <c r="AN825" s="1530"/>
      <c r="AO825" s="1530"/>
      <c r="AP825" s="1530"/>
      <c r="AQ825" s="1530"/>
      <c r="AR825" s="1530"/>
      <c r="AS825" s="1530"/>
      <c r="AT825" s="1530"/>
      <c r="AU825" s="1530"/>
      <c r="AV825" s="1530"/>
      <c r="AW825" s="1530"/>
      <c r="AX825" s="1530"/>
      <c r="AY825" s="1530"/>
      <c r="AZ825" s="1530"/>
      <c r="BA825" s="1530"/>
      <c r="BB825" s="1530"/>
      <c r="BC825" s="1530"/>
      <c r="BD825" s="1530"/>
      <c r="BE825" s="1530"/>
      <c r="BF825" s="1530"/>
      <c r="BG825" s="1530"/>
      <c r="BH825" s="1530"/>
      <c r="BI825" s="1530"/>
      <c r="BJ825" s="1530"/>
      <c r="BK825" s="1530"/>
      <c r="BL825" s="1530"/>
      <c r="BM825" s="1530"/>
      <c r="BN825" s="1530"/>
      <c r="BW825" s="1569"/>
      <c r="CO825" s="1530"/>
      <c r="CP825" s="1530"/>
      <c r="CQ825" s="1530"/>
      <c r="CR825" s="1530"/>
      <c r="CS825" s="1530"/>
      <c r="CT825" s="1530"/>
      <c r="CU825" s="1530"/>
      <c r="CV825" s="1530"/>
      <c r="CW825" s="1530"/>
      <c r="CX825" s="1530"/>
      <c r="CY825" s="1530"/>
      <c r="CZ825" s="1530"/>
      <c r="DA825" s="1530"/>
      <c r="DB825" s="1530"/>
      <c r="DC825" s="1530"/>
      <c r="DD825" s="1530"/>
      <c r="DE825" s="1530"/>
      <c r="DF825" s="1530"/>
      <c r="DG825" s="1530"/>
      <c r="DH825" s="1530"/>
      <c r="DI825" s="1530"/>
      <c r="DJ825" s="1530"/>
      <c r="DK825" s="1530"/>
      <c r="DL825" s="1530"/>
      <c r="DM825" s="1530"/>
      <c r="DN825" s="1571"/>
      <c r="DO825" s="1530"/>
      <c r="DP825" s="1530"/>
    </row>
    <row r="826" spans="1:120">
      <c r="A826" s="1451"/>
      <c r="C826" s="1451"/>
      <c r="K826" s="1451"/>
      <c r="L826" s="1451"/>
      <c r="U826" s="1530"/>
      <c r="V826" s="1530"/>
      <c r="W826" s="1530"/>
      <c r="X826" s="1530"/>
      <c r="Y826" s="1530"/>
      <c r="Z826" s="1530"/>
      <c r="AA826" s="1530"/>
      <c r="AB826" s="1530"/>
      <c r="AC826" s="1530"/>
      <c r="AD826" s="1530"/>
      <c r="AE826" s="1530"/>
      <c r="AF826" s="1530"/>
      <c r="AG826" s="1530"/>
      <c r="AH826" s="1530"/>
      <c r="AI826" s="1530"/>
      <c r="AJ826" s="1530"/>
      <c r="AK826" s="1530"/>
      <c r="AL826" s="1530"/>
      <c r="AM826" s="1530"/>
      <c r="AN826" s="1530"/>
      <c r="AO826" s="1530"/>
      <c r="AP826" s="1530"/>
      <c r="AQ826" s="1530"/>
      <c r="AR826" s="1530"/>
      <c r="AS826" s="1530"/>
      <c r="AT826" s="1530"/>
      <c r="AU826" s="1530"/>
      <c r="AV826" s="1530"/>
      <c r="AW826" s="1530"/>
      <c r="AX826" s="1530"/>
      <c r="AY826" s="1530"/>
      <c r="AZ826" s="1530"/>
      <c r="BA826" s="1530"/>
      <c r="BB826" s="1530"/>
      <c r="BC826" s="1530"/>
      <c r="BD826" s="1530"/>
      <c r="BE826" s="1530"/>
      <c r="BF826" s="1530"/>
      <c r="BG826" s="1530"/>
      <c r="BH826" s="1530"/>
      <c r="BI826" s="1530"/>
      <c r="BJ826" s="1530"/>
      <c r="BK826" s="1530"/>
      <c r="BL826" s="1530"/>
      <c r="BM826" s="1530"/>
      <c r="BN826" s="1530"/>
      <c r="BW826" s="1569"/>
      <c r="CO826" s="1530"/>
      <c r="CP826" s="1530"/>
      <c r="CQ826" s="1530"/>
      <c r="CR826" s="1530"/>
      <c r="CS826" s="1530"/>
      <c r="CT826" s="1530"/>
      <c r="CU826" s="1530"/>
      <c r="CV826" s="1530"/>
      <c r="CW826" s="1530"/>
      <c r="CX826" s="1530"/>
      <c r="CY826" s="1530"/>
      <c r="CZ826" s="1530"/>
      <c r="DA826" s="1530"/>
      <c r="DB826" s="1530"/>
      <c r="DC826" s="1530"/>
      <c r="DD826" s="1530"/>
      <c r="DE826" s="1530"/>
      <c r="DF826" s="1530"/>
      <c r="DG826" s="1530"/>
      <c r="DH826" s="1530"/>
      <c r="DI826" s="1530"/>
      <c r="DJ826" s="1530"/>
      <c r="DK826" s="1530"/>
      <c r="DL826" s="1530"/>
      <c r="DM826" s="1530"/>
      <c r="DN826" s="1571"/>
      <c r="DO826" s="1530"/>
      <c r="DP826" s="1530"/>
    </row>
    <row r="827" spans="1:120">
      <c r="A827" s="1451"/>
      <c r="C827" s="1451"/>
      <c r="K827" s="1451"/>
      <c r="L827" s="1451"/>
      <c r="U827" s="1530"/>
      <c r="V827" s="1530"/>
      <c r="W827" s="1530"/>
      <c r="X827" s="1530"/>
      <c r="Y827" s="1530"/>
      <c r="Z827" s="1530"/>
      <c r="AA827" s="1530"/>
      <c r="AB827" s="1530"/>
      <c r="AC827" s="1530"/>
      <c r="AD827" s="1530"/>
      <c r="AE827" s="1530"/>
      <c r="AF827" s="1530"/>
      <c r="AG827" s="1530"/>
      <c r="AH827" s="1530"/>
      <c r="AI827" s="1530"/>
      <c r="AJ827" s="1530"/>
      <c r="AK827" s="1530"/>
      <c r="AL827" s="1530"/>
      <c r="AM827" s="1530"/>
      <c r="AN827" s="1530"/>
      <c r="AO827" s="1530"/>
      <c r="AP827" s="1530"/>
      <c r="AQ827" s="1530"/>
      <c r="AR827" s="1530"/>
      <c r="AS827" s="1530"/>
      <c r="AT827" s="1530"/>
      <c r="AU827" s="1530"/>
      <c r="AV827" s="1530"/>
      <c r="AW827" s="1530"/>
      <c r="AX827" s="1530"/>
      <c r="AY827" s="1530"/>
      <c r="AZ827" s="1530"/>
      <c r="BA827" s="1530"/>
      <c r="BB827" s="1530"/>
      <c r="BC827" s="1530"/>
      <c r="BD827" s="1530"/>
      <c r="BE827" s="1530"/>
      <c r="BF827" s="1530"/>
      <c r="BG827" s="1530"/>
      <c r="BH827" s="1530"/>
      <c r="BI827" s="1530"/>
      <c r="BJ827" s="1530"/>
      <c r="BK827" s="1530"/>
      <c r="BL827" s="1530"/>
      <c r="BM827" s="1530"/>
      <c r="BN827" s="1530"/>
      <c r="BW827" s="1569"/>
      <c r="CO827" s="1530"/>
      <c r="CP827" s="1530"/>
      <c r="CQ827" s="1530"/>
      <c r="CR827" s="1530"/>
      <c r="CS827" s="1530"/>
      <c r="CT827" s="1530"/>
      <c r="CU827" s="1530"/>
      <c r="CV827" s="1530"/>
      <c r="CW827" s="1530"/>
      <c r="CX827" s="1530"/>
      <c r="CY827" s="1530"/>
      <c r="CZ827" s="1530"/>
      <c r="DA827" s="1530"/>
      <c r="DB827" s="1530"/>
      <c r="DC827" s="1530"/>
      <c r="DD827" s="1530"/>
      <c r="DE827" s="1530"/>
      <c r="DF827" s="1530"/>
      <c r="DG827" s="1530"/>
      <c r="DH827" s="1530"/>
      <c r="DI827" s="1530"/>
      <c r="DJ827" s="1530"/>
      <c r="DK827" s="1530"/>
      <c r="DL827" s="1530"/>
      <c r="DM827" s="1530"/>
      <c r="DN827" s="1571"/>
      <c r="DO827" s="1530"/>
      <c r="DP827" s="1530"/>
    </row>
    <row r="828" spans="1:120">
      <c r="A828" s="1451"/>
      <c r="C828" s="1451"/>
      <c r="K828" s="1451"/>
      <c r="L828" s="1451"/>
      <c r="U828" s="1530"/>
      <c r="V828" s="1530"/>
      <c r="W828" s="1530"/>
      <c r="X828" s="1530"/>
      <c r="Y828" s="1530"/>
      <c r="Z828" s="1530"/>
      <c r="AA828" s="1530"/>
      <c r="AB828" s="1530"/>
      <c r="AC828" s="1530"/>
      <c r="AD828" s="1530"/>
      <c r="AE828" s="1530"/>
      <c r="AF828" s="1530"/>
      <c r="AG828" s="1530"/>
      <c r="AH828" s="1530"/>
      <c r="AI828" s="1530"/>
      <c r="AJ828" s="1530"/>
      <c r="AK828" s="1530"/>
      <c r="AL828" s="1530"/>
      <c r="AM828" s="1530"/>
      <c r="AN828" s="1530"/>
      <c r="AO828" s="1530"/>
      <c r="AP828" s="1530"/>
      <c r="AQ828" s="1530"/>
      <c r="AR828" s="1530"/>
      <c r="AS828" s="1530"/>
      <c r="AT828" s="1530"/>
      <c r="AU828" s="1530"/>
      <c r="AV828" s="1530"/>
      <c r="AW828" s="1530"/>
      <c r="AX828" s="1530"/>
      <c r="AY828" s="1530"/>
      <c r="AZ828" s="1530"/>
      <c r="BA828" s="1530"/>
      <c r="BB828" s="1530"/>
      <c r="BC828" s="1530"/>
      <c r="BD828" s="1530"/>
      <c r="BE828" s="1530"/>
      <c r="BF828" s="1530"/>
      <c r="BG828" s="1530"/>
      <c r="BH828" s="1530"/>
      <c r="BI828" s="1530"/>
      <c r="BJ828" s="1530"/>
      <c r="BK828" s="1530"/>
      <c r="BL828" s="1530"/>
      <c r="BM828" s="1530"/>
      <c r="BN828" s="1530"/>
      <c r="BW828" s="1569"/>
      <c r="CO828" s="1530"/>
      <c r="CP828" s="1530"/>
      <c r="CQ828" s="1530"/>
      <c r="CR828" s="1530"/>
      <c r="CS828" s="1530"/>
      <c r="CT828" s="1530"/>
      <c r="CU828" s="1530"/>
      <c r="CV828" s="1530"/>
      <c r="CW828" s="1530"/>
      <c r="CX828" s="1530"/>
      <c r="CY828" s="1530"/>
      <c r="CZ828" s="1530"/>
      <c r="DA828" s="1530"/>
      <c r="DB828" s="1530"/>
      <c r="DC828" s="1530"/>
      <c r="DD828" s="1530"/>
      <c r="DE828" s="1530"/>
      <c r="DF828" s="1530"/>
      <c r="DG828" s="1530"/>
      <c r="DH828" s="1530"/>
      <c r="DI828" s="1530"/>
      <c r="DJ828" s="1530"/>
      <c r="DK828" s="1530"/>
      <c r="DL828" s="1530"/>
      <c r="DM828" s="1530"/>
      <c r="DN828" s="1571"/>
      <c r="DO828" s="1530"/>
      <c r="DP828" s="1530"/>
    </row>
    <row r="829" spans="1:120">
      <c r="A829" s="1451"/>
      <c r="C829" s="1451"/>
      <c r="K829" s="1451"/>
      <c r="L829" s="1451"/>
      <c r="U829" s="1530"/>
      <c r="V829" s="1530"/>
      <c r="W829" s="1530"/>
      <c r="X829" s="1530"/>
      <c r="Y829" s="1530"/>
      <c r="Z829" s="1530"/>
      <c r="AA829" s="1530"/>
      <c r="AB829" s="1530"/>
      <c r="AC829" s="1530"/>
      <c r="AD829" s="1530"/>
      <c r="AE829" s="1530"/>
      <c r="AF829" s="1530"/>
      <c r="AG829" s="1530"/>
      <c r="AH829" s="1530"/>
      <c r="AI829" s="1530"/>
      <c r="AJ829" s="1530"/>
      <c r="AK829" s="1530"/>
      <c r="AL829" s="1530"/>
      <c r="AM829" s="1530"/>
      <c r="AN829" s="1530"/>
      <c r="AO829" s="1530"/>
      <c r="AP829" s="1530"/>
      <c r="AQ829" s="1530"/>
      <c r="AR829" s="1530"/>
      <c r="AS829" s="1530"/>
      <c r="AT829" s="1530"/>
      <c r="AU829" s="1530"/>
      <c r="AV829" s="1530"/>
      <c r="AW829" s="1530"/>
      <c r="AX829" s="1530"/>
      <c r="AY829" s="1530"/>
      <c r="AZ829" s="1530"/>
      <c r="BA829" s="1530"/>
      <c r="BB829" s="1530"/>
      <c r="BC829" s="1530"/>
      <c r="BD829" s="1530"/>
      <c r="BE829" s="1530"/>
      <c r="BF829" s="1530"/>
      <c r="BG829" s="1530"/>
      <c r="BH829" s="1530"/>
      <c r="BI829" s="1530"/>
      <c r="BJ829" s="1530"/>
      <c r="BK829" s="1530"/>
      <c r="BL829" s="1530"/>
      <c r="BM829" s="1530"/>
      <c r="BN829" s="1530"/>
      <c r="BW829" s="1569"/>
      <c r="CO829" s="1530"/>
      <c r="CP829" s="1530"/>
      <c r="CQ829" s="1530"/>
      <c r="CR829" s="1530"/>
      <c r="CS829" s="1530"/>
      <c r="CT829" s="1530"/>
      <c r="CU829" s="1530"/>
      <c r="CV829" s="1530"/>
      <c r="CW829" s="1530"/>
      <c r="CX829" s="1530"/>
      <c r="CY829" s="1530"/>
      <c r="CZ829" s="1530"/>
      <c r="DA829" s="1530"/>
      <c r="DB829" s="1530"/>
      <c r="DC829" s="1530"/>
      <c r="DD829" s="1530"/>
      <c r="DE829" s="1530"/>
      <c r="DF829" s="1530"/>
      <c r="DG829" s="1530"/>
      <c r="DH829" s="1530"/>
      <c r="DI829" s="1530"/>
      <c r="DJ829" s="1530"/>
      <c r="DK829" s="1530"/>
      <c r="DL829" s="1530"/>
      <c r="DM829" s="1530"/>
      <c r="DN829" s="1571"/>
      <c r="DO829" s="1530"/>
      <c r="DP829" s="1530"/>
    </row>
    <row r="830" spans="1:120">
      <c r="A830" s="1451"/>
      <c r="C830" s="1451"/>
      <c r="K830" s="1451"/>
      <c r="L830" s="1451"/>
      <c r="U830" s="1530"/>
      <c r="V830" s="1530"/>
      <c r="W830" s="1530"/>
      <c r="X830" s="1530"/>
      <c r="Y830" s="1530"/>
      <c r="Z830" s="1530"/>
      <c r="AA830" s="1530"/>
      <c r="AB830" s="1530"/>
      <c r="AC830" s="1530"/>
      <c r="AD830" s="1530"/>
      <c r="AE830" s="1530"/>
      <c r="AF830" s="1530"/>
      <c r="AG830" s="1530"/>
      <c r="AH830" s="1530"/>
      <c r="AI830" s="1530"/>
      <c r="AJ830" s="1530"/>
      <c r="AK830" s="1530"/>
      <c r="AL830" s="1530"/>
      <c r="AM830" s="1530"/>
      <c r="AN830" s="1530"/>
      <c r="AO830" s="1530"/>
      <c r="AP830" s="1530"/>
      <c r="AQ830" s="1530"/>
      <c r="AR830" s="1530"/>
      <c r="AS830" s="1530"/>
      <c r="AT830" s="1530"/>
      <c r="AU830" s="1530"/>
      <c r="AV830" s="1530"/>
      <c r="AW830" s="1530"/>
      <c r="AX830" s="1530"/>
      <c r="AY830" s="1530"/>
      <c r="AZ830" s="1530"/>
      <c r="BA830" s="1530"/>
      <c r="BB830" s="1530"/>
      <c r="BC830" s="1530"/>
      <c r="BD830" s="1530"/>
      <c r="BE830" s="1530"/>
      <c r="BF830" s="1530"/>
      <c r="BG830" s="1530"/>
      <c r="BH830" s="1530"/>
      <c r="BI830" s="1530"/>
      <c r="BJ830" s="1530"/>
      <c r="BK830" s="1530"/>
      <c r="BL830" s="1530"/>
      <c r="BM830" s="1530"/>
      <c r="BN830" s="1530"/>
      <c r="BW830" s="1569"/>
      <c r="CO830" s="1530"/>
      <c r="CP830" s="1530"/>
      <c r="CQ830" s="1530"/>
      <c r="CR830" s="1530"/>
      <c r="CS830" s="1530"/>
      <c r="CT830" s="1530"/>
      <c r="CU830" s="1530"/>
      <c r="CV830" s="1530"/>
      <c r="CW830" s="1530"/>
      <c r="CX830" s="1530"/>
      <c r="CY830" s="1530"/>
      <c r="CZ830" s="1530"/>
      <c r="DA830" s="1530"/>
      <c r="DB830" s="1530"/>
      <c r="DC830" s="1530"/>
      <c r="DD830" s="1530"/>
      <c r="DE830" s="1530"/>
      <c r="DF830" s="1530"/>
      <c r="DG830" s="1530"/>
      <c r="DH830" s="1530"/>
      <c r="DI830" s="1530"/>
      <c r="DJ830" s="1530"/>
      <c r="DK830" s="1530"/>
      <c r="DL830" s="1530"/>
      <c r="DM830" s="1530"/>
      <c r="DN830" s="1571"/>
      <c r="DO830" s="1530"/>
      <c r="DP830" s="1530"/>
    </row>
    <row r="831" spans="1:120">
      <c r="A831" s="1451"/>
      <c r="C831" s="1451"/>
      <c r="K831" s="1451"/>
      <c r="L831" s="1451"/>
      <c r="U831" s="1530"/>
      <c r="V831" s="1530"/>
      <c r="W831" s="1530"/>
      <c r="X831" s="1530"/>
      <c r="Y831" s="1530"/>
      <c r="Z831" s="1530"/>
      <c r="AA831" s="1530"/>
      <c r="AB831" s="1530"/>
      <c r="AC831" s="1530"/>
      <c r="AD831" s="1530"/>
      <c r="AE831" s="1530"/>
      <c r="AF831" s="1530"/>
      <c r="AG831" s="1530"/>
      <c r="AH831" s="1530"/>
      <c r="AI831" s="1530"/>
      <c r="AJ831" s="1530"/>
      <c r="AK831" s="1530"/>
      <c r="AL831" s="1530"/>
      <c r="AM831" s="1530"/>
      <c r="AN831" s="1530"/>
      <c r="AO831" s="1530"/>
      <c r="AP831" s="1530"/>
      <c r="AQ831" s="1530"/>
      <c r="AR831" s="1530"/>
      <c r="AS831" s="1530"/>
      <c r="AT831" s="1530"/>
      <c r="AU831" s="1530"/>
      <c r="AV831" s="1530"/>
      <c r="AW831" s="1530"/>
      <c r="AX831" s="1530"/>
      <c r="AY831" s="1530"/>
      <c r="AZ831" s="1530"/>
      <c r="BA831" s="1530"/>
      <c r="BB831" s="1530"/>
      <c r="BC831" s="1530"/>
      <c r="BD831" s="1530"/>
      <c r="BE831" s="1530"/>
      <c r="BF831" s="1530"/>
      <c r="BG831" s="1530"/>
      <c r="BH831" s="1530"/>
      <c r="BI831" s="1530"/>
      <c r="BJ831" s="1530"/>
      <c r="BK831" s="1530"/>
      <c r="BL831" s="1530"/>
      <c r="BM831" s="1530"/>
      <c r="BN831" s="1530"/>
      <c r="BW831" s="1569"/>
      <c r="CO831" s="1530"/>
      <c r="CP831" s="1530"/>
      <c r="CQ831" s="1530"/>
      <c r="CR831" s="1530"/>
      <c r="CS831" s="1530"/>
      <c r="CT831" s="1530"/>
      <c r="CU831" s="1530"/>
      <c r="CV831" s="1530"/>
      <c r="CW831" s="1530"/>
      <c r="CX831" s="1530"/>
      <c r="CY831" s="1530"/>
      <c r="CZ831" s="1530"/>
      <c r="DA831" s="1530"/>
      <c r="DB831" s="1530"/>
      <c r="DC831" s="1530"/>
      <c r="DD831" s="1530"/>
      <c r="DE831" s="1530"/>
      <c r="DF831" s="1530"/>
      <c r="DG831" s="1530"/>
      <c r="DH831" s="1530"/>
      <c r="DI831" s="1530"/>
      <c r="DJ831" s="1530"/>
      <c r="DK831" s="1530"/>
      <c r="DL831" s="1530"/>
      <c r="DM831" s="1530"/>
      <c r="DN831" s="1571"/>
      <c r="DO831" s="1530"/>
      <c r="DP831" s="1530"/>
    </row>
    <row r="832" spans="1:120">
      <c r="A832" s="1451"/>
      <c r="C832" s="1451"/>
      <c r="K832" s="1451"/>
      <c r="L832" s="1451"/>
      <c r="U832" s="1530"/>
      <c r="V832" s="1530"/>
      <c r="W832" s="1530"/>
      <c r="X832" s="1530"/>
      <c r="Y832" s="1530"/>
      <c r="Z832" s="1530"/>
      <c r="AA832" s="1530"/>
      <c r="AB832" s="1530"/>
      <c r="AC832" s="1530"/>
      <c r="AD832" s="1530"/>
      <c r="AE832" s="1530"/>
      <c r="AF832" s="1530"/>
      <c r="AG832" s="1530"/>
      <c r="AH832" s="1530"/>
      <c r="AI832" s="1530"/>
      <c r="AJ832" s="1530"/>
      <c r="AK832" s="1530"/>
      <c r="AL832" s="1530"/>
      <c r="AM832" s="1530"/>
      <c r="AN832" s="1530"/>
      <c r="AO832" s="1530"/>
      <c r="AP832" s="1530"/>
      <c r="AQ832" s="1530"/>
      <c r="AR832" s="1530"/>
      <c r="AS832" s="1530"/>
      <c r="AT832" s="1530"/>
      <c r="AU832" s="1530"/>
      <c r="AV832" s="1530"/>
      <c r="AW832" s="1530"/>
      <c r="AX832" s="1530"/>
      <c r="AY832" s="1530"/>
      <c r="AZ832" s="1530"/>
      <c r="BA832" s="1530"/>
      <c r="BB832" s="1530"/>
      <c r="BC832" s="1530"/>
      <c r="BD832" s="1530"/>
      <c r="BE832" s="1530"/>
      <c r="BF832" s="1530"/>
      <c r="BG832" s="1530"/>
      <c r="BH832" s="1530"/>
      <c r="BI832" s="1530"/>
      <c r="BJ832" s="1530"/>
      <c r="BK832" s="1530"/>
      <c r="BL832" s="1530"/>
      <c r="BM832" s="1530"/>
      <c r="BN832" s="1530"/>
      <c r="BW832" s="1569"/>
      <c r="CO832" s="1530"/>
      <c r="CP832" s="1530"/>
      <c r="CQ832" s="1530"/>
      <c r="CR832" s="1530"/>
      <c r="CS832" s="1530"/>
      <c r="CT832" s="1530"/>
      <c r="CU832" s="1530"/>
      <c r="CV832" s="1530"/>
      <c r="CW832" s="1530"/>
      <c r="CX832" s="1530"/>
      <c r="CY832" s="1530"/>
      <c r="CZ832" s="1530"/>
      <c r="DA832" s="1530"/>
      <c r="DB832" s="1530"/>
      <c r="DC832" s="1530"/>
      <c r="DD832" s="1530"/>
      <c r="DE832" s="1530"/>
      <c r="DF832" s="1530"/>
      <c r="DG832" s="1530"/>
      <c r="DH832" s="1530"/>
      <c r="DI832" s="1530"/>
      <c r="DJ832" s="1530"/>
      <c r="DK832" s="1530"/>
      <c r="DL832" s="1530"/>
      <c r="DM832" s="1530"/>
      <c r="DN832" s="1571"/>
      <c r="DO832" s="1530"/>
      <c r="DP832" s="1530"/>
    </row>
    <row r="833" spans="1:120">
      <c r="A833" s="1451"/>
      <c r="C833" s="1451"/>
      <c r="K833" s="1451"/>
      <c r="L833" s="1451"/>
      <c r="U833" s="1530"/>
      <c r="V833" s="1530"/>
      <c r="W833" s="1530"/>
      <c r="X833" s="1530"/>
      <c r="Y833" s="1530"/>
      <c r="Z833" s="1530"/>
      <c r="AA833" s="1530"/>
      <c r="AB833" s="1530"/>
      <c r="AC833" s="1530"/>
      <c r="AD833" s="1530"/>
      <c r="AE833" s="1530"/>
      <c r="AF833" s="1530"/>
      <c r="AG833" s="1530"/>
      <c r="AH833" s="1530"/>
      <c r="AI833" s="1530"/>
      <c r="AJ833" s="1530"/>
      <c r="AK833" s="1530"/>
      <c r="AL833" s="1530"/>
      <c r="AM833" s="1530"/>
      <c r="AN833" s="1530"/>
      <c r="AO833" s="1530"/>
      <c r="AP833" s="1530"/>
      <c r="AQ833" s="1530"/>
      <c r="AR833" s="1530"/>
      <c r="AS833" s="1530"/>
      <c r="AT833" s="1530"/>
      <c r="AU833" s="1530"/>
      <c r="AV833" s="1530"/>
      <c r="AW833" s="1530"/>
      <c r="AX833" s="1530"/>
      <c r="AY833" s="1530"/>
      <c r="AZ833" s="1530"/>
      <c r="BA833" s="1530"/>
      <c r="BB833" s="1530"/>
      <c r="BC833" s="1530"/>
      <c r="BD833" s="1530"/>
      <c r="BE833" s="1530"/>
      <c r="BF833" s="1530"/>
      <c r="BG833" s="1530"/>
      <c r="BH833" s="1530"/>
      <c r="BI833" s="1530"/>
      <c r="BJ833" s="1530"/>
      <c r="BK833" s="1530"/>
      <c r="BL833" s="1530"/>
      <c r="BM833" s="1530"/>
      <c r="BN833" s="1530"/>
      <c r="BW833" s="1569"/>
      <c r="CO833" s="1530"/>
      <c r="CP833" s="1530"/>
      <c r="CQ833" s="1530"/>
      <c r="CR833" s="1530"/>
      <c r="CS833" s="1530"/>
      <c r="CT833" s="1530"/>
      <c r="CU833" s="1530"/>
      <c r="CV833" s="1530"/>
      <c r="CW833" s="1530"/>
      <c r="CX833" s="1530"/>
      <c r="CY833" s="1530"/>
      <c r="CZ833" s="1530"/>
      <c r="DA833" s="1530"/>
      <c r="DB833" s="1530"/>
      <c r="DC833" s="1530"/>
      <c r="DD833" s="1530"/>
      <c r="DE833" s="1530"/>
      <c r="DF833" s="1530"/>
      <c r="DG833" s="1530"/>
      <c r="DH833" s="1530"/>
      <c r="DI833" s="1530"/>
      <c r="DJ833" s="1530"/>
      <c r="DK833" s="1530"/>
      <c r="DL833" s="1530"/>
      <c r="DM833" s="1530"/>
      <c r="DN833" s="1571"/>
      <c r="DO833" s="1530"/>
      <c r="DP833" s="1530"/>
    </row>
    <row r="834" spans="1:120">
      <c r="A834" s="1451"/>
      <c r="C834" s="1451"/>
      <c r="K834" s="1451"/>
      <c r="L834" s="1451"/>
      <c r="U834" s="1530"/>
      <c r="V834" s="1530"/>
      <c r="W834" s="1530"/>
      <c r="X834" s="1530"/>
      <c r="Y834" s="1530"/>
      <c r="Z834" s="1530"/>
      <c r="AA834" s="1530"/>
      <c r="AB834" s="1530"/>
      <c r="AC834" s="1530"/>
      <c r="AD834" s="1530"/>
      <c r="AE834" s="1530"/>
      <c r="AF834" s="1530"/>
      <c r="AG834" s="1530"/>
      <c r="AH834" s="1530"/>
      <c r="AI834" s="1530"/>
      <c r="AJ834" s="1530"/>
      <c r="AK834" s="1530"/>
      <c r="AL834" s="1530"/>
      <c r="AM834" s="1530"/>
      <c r="AN834" s="1530"/>
      <c r="AO834" s="1530"/>
      <c r="AP834" s="1530"/>
      <c r="AQ834" s="1530"/>
      <c r="AR834" s="1530"/>
      <c r="AS834" s="1530"/>
      <c r="AT834" s="1530"/>
      <c r="AU834" s="1530"/>
      <c r="AV834" s="1530"/>
      <c r="AW834" s="1530"/>
      <c r="AX834" s="1530"/>
      <c r="AY834" s="1530"/>
      <c r="AZ834" s="1530"/>
      <c r="BA834" s="1530"/>
      <c r="BB834" s="1530"/>
      <c r="BC834" s="1530"/>
      <c r="BD834" s="1530"/>
      <c r="BE834" s="1530"/>
      <c r="BF834" s="1530"/>
      <c r="BG834" s="1530"/>
      <c r="BH834" s="1530"/>
      <c r="BI834" s="1530"/>
      <c r="BJ834" s="1530"/>
      <c r="BK834" s="1530"/>
      <c r="BL834" s="1530"/>
      <c r="BM834" s="1530"/>
      <c r="BN834" s="1530"/>
      <c r="BW834" s="1569"/>
      <c r="CO834" s="1530"/>
      <c r="CP834" s="1530"/>
      <c r="CQ834" s="1530"/>
      <c r="CR834" s="1530"/>
      <c r="CS834" s="1530"/>
      <c r="CT834" s="1530"/>
      <c r="CU834" s="1530"/>
      <c r="CV834" s="1530"/>
      <c r="CW834" s="1530"/>
      <c r="CX834" s="1530"/>
      <c r="CY834" s="1530"/>
      <c r="CZ834" s="1530"/>
      <c r="DA834" s="1530"/>
      <c r="DB834" s="1530"/>
      <c r="DC834" s="1530"/>
      <c r="DD834" s="1530"/>
      <c r="DE834" s="1530"/>
      <c r="DF834" s="1530"/>
      <c r="DG834" s="1530"/>
      <c r="DH834" s="1530"/>
      <c r="DI834" s="1530"/>
      <c r="DJ834" s="1530"/>
      <c r="DK834" s="1530"/>
      <c r="DL834" s="1530"/>
      <c r="DM834" s="1530"/>
      <c r="DN834" s="1571"/>
      <c r="DO834" s="1530"/>
      <c r="DP834" s="1530"/>
    </row>
    <row r="835" spans="1:120">
      <c r="A835" s="1451"/>
      <c r="C835" s="1451"/>
      <c r="K835" s="1451"/>
      <c r="L835" s="1451"/>
      <c r="U835" s="1530"/>
      <c r="V835" s="1530"/>
      <c r="W835" s="1530"/>
      <c r="X835" s="1530"/>
      <c r="Y835" s="1530"/>
      <c r="Z835" s="1530"/>
      <c r="AA835" s="1530"/>
      <c r="AB835" s="1530"/>
      <c r="AC835" s="1530"/>
      <c r="AD835" s="1530"/>
      <c r="AE835" s="1530"/>
      <c r="AF835" s="1530"/>
      <c r="AG835" s="1530"/>
      <c r="AH835" s="1530"/>
      <c r="AI835" s="1530"/>
      <c r="AJ835" s="1530"/>
      <c r="AK835" s="1530"/>
      <c r="AL835" s="1530"/>
      <c r="AM835" s="1530"/>
      <c r="AN835" s="1530"/>
      <c r="AO835" s="1530"/>
      <c r="AP835" s="1530"/>
      <c r="AQ835" s="1530"/>
      <c r="AR835" s="1530"/>
      <c r="AS835" s="1530"/>
      <c r="AT835" s="1530"/>
      <c r="AU835" s="1530"/>
      <c r="AV835" s="1530"/>
      <c r="AW835" s="1530"/>
      <c r="AX835" s="1530"/>
      <c r="AY835" s="1530"/>
      <c r="AZ835" s="1530"/>
      <c r="BA835" s="1530"/>
      <c r="BB835" s="1530"/>
      <c r="BC835" s="1530"/>
      <c r="BD835" s="1530"/>
      <c r="BE835" s="1530"/>
      <c r="BF835" s="1530"/>
      <c r="BG835" s="1530"/>
      <c r="BH835" s="1530"/>
      <c r="BI835" s="1530"/>
      <c r="BJ835" s="1530"/>
      <c r="BK835" s="1530"/>
      <c r="BL835" s="1530"/>
      <c r="BM835" s="1530"/>
      <c r="BN835" s="1530"/>
      <c r="BW835" s="1569"/>
      <c r="CO835" s="1530"/>
      <c r="CP835" s="1530"/>
      <c r="CQ835" s="1530"/>
      <c r="CR835" s="1530"/>
      <c r="CS835" s="1530"/>
      <c r="CT835" s="1530"/>
      <c r="CU835" s="1530"/>
      <c r="CV835" s="1530"/>
      <c r="CW835" s="1530"/>
      <c r="CX835" s="1530"/>
      <c r="CY835" s="1530"/>
      <c r="CZ835" s="1530"/>
      <c r="DA835" s="1530"/>
      <c r="DB835" s="1530"/>
      <c r="DC835" s="1530"/>
      <c r="DD835" s="1530"/>
      <c r="DE835" s="1530"/>
      <c r="DF835" s="1530"/>
      <c r="DG835" s="1530"/>
      <c r="DH835" s="1530"/>
      <c r="DI835" s="1530"/>
      <c r="DJ835" s="1530"/>
      <c r="DK835" s="1530"/>
      <c r="DL835" s="1530"/>
      <c r="DM835" s="1530"/>
      <c r="DN835" s="1571"/>
      <c r="DO835" s="1530"/>
      <c r="DP835" s="1530"/>
    </row>
    <row r="836" spans="1:120">
      <c r="A836" s="1451"/>
      <c r="C836" s="1451"/>
      <c r="K836" s="1451"/>
      <c r="L836" s="1451"/>
      <c r="U836" s="1530"/>
      <c r="V836" s="1530"/>
      <c r="W836" s="1530"/>
      <c r="X836" s="1530"/>
      <c r="Y836" s="1530"/>
      <c r="Z836" s="1530"/>
      <c r="AA836" s="1530"/>
      <c r="AB836" s="1530"/>
      <c r="AC836" s="1530"/>
      <c r="AD836" s="1530"/>
      <c r="AE836" s="1530"/>
      <c r="AF836" s="1530"/>
      <c r="AG836" s="1530"/>
      <c r="AH836" s="1530"/>
      <c r="AI836" s="1530"/>
      <c r="AJ836" s="1530"/>
      <c r="AK836" s="1530"/>
      <c r="AL836" s="1530"/>
      <c r="AM836" s="1530"/>
      <c r="AN836" s="1530"/>
      <c r="AO836" s="1530"/>
      <c r="AP836" s="1530"/>
      <c r="AQ836" s="1530"/>
      <c r="AR836" s="1530"/>
      <c r="AS836" s="1530"/>
      <c r="AT836" s="1530"/>
      <c r="AU836" s="1530"/>
      <c r="AV836" s="1530"/>
      <c r="AW836" s="1530"/>
      <c r="AX836" s="1530"/>
      <c r="AY836" s="1530"/>
      <c r="AZ836" s="1530"/>
      <c r="BA836" s="1530"/>
      <c r="BB836" s="1530"/>
      <c r="BC836" s="1530"/>
      <c r="BD836" s="1530"/>
      <c r="BE836" s="1530"/>
      <c r="BF836" s="1530"/>
      <c r="BG836" s="1530"/>
      <c r="BH836" s="1530"/>
      <c r="BI836" s="1530"/>
      <c r="BJ836" s="1530"/>
      <c r="BK836" s="1530"/>
      <c r="BL836" s="1530"/>
      <c r="BM836" s="1530"/>
      <c r="BN836" s="1530"/>
      <c r="BW836" s="1569"/>
      <c r="CO836" s="1530"/>
      <c r="CP836" s="1530"/>
      <c r="CQ836" s="1530"/>
      <c r="CR836" s="1530"/>
      <c r="CS836" s="1530"/>
      <c r="CT836" s="1530"/>
      <c r="CU836" s="1530"/>
      <c r="CV836" s="1530"/>
      <c r="CW836" s="1530"/>
      <c r="CX836" s="1530"/>
      <c r="CY836" s="1530"/>
      <c r="CZ836" s="1530"/>
      <c r="DA836" s="1530"/>
      <c r="DB836" s="1530"/>
      <c r="DC836" s="1530"/>
      <c r="DD836" s="1530"/>
      <c r="DE836" s="1530"/>
      <c r="DF836" s="1530"/>
      <c r="DG836" s="1530"/>
      <c r="DH836" s="1530"/>
      <c r="DI836" s="1530"/>
      <c r="DJ836" s="1530"/>
      <c r="DK836" s="1530"/>
      <c r="DL836" s="1530"/>
      <c r="DM836" s="1530"/>
      <c r="DN836" s="1571"/>
      <c r="DO836" s="1530"/>
      <c r="DP836" s="1530"/>
    </row>
    <row r="837" spans="1:120">
      <c r="A837" s="1451"/>
      <c r="C837" s="1451"/>
      <c r="K837" s="1451"/>
      <c r="L837" s="1451"/>
      <c r="U837" s="1530"/>
      <c r="V837" s="1530"/>
      <c r="W837" s="1530"/>
      <c r="X837" s="1530"/>
      <c r="Y837" s="1530"/>
      <c r="Z837" s="1530"/>
      <c r="AA837" s="1530"/>
      <c r="AB837" s="1530"/>
      <c r="AC837" s="1530"/>
      <c r="AD837" s="1530"/>
      <c r="AE837" s="1530"/>
      <c r="AF837" s="1530"/>
      <c r="AG837" s="1530"/>
      <c r="AH837" s="1530"/>
      <c r="AI837" s="1530"/>
      <c r="AJ837" s="1530"/>
      <c r="AK837" s="1530"/>
      <c r="AL837" s="1530"/>
      <c r="AM837" s="1530"/>
      <c r="AN837" s="1530"/>
      <c r="AO837" s="1530"/>
      <c r="AP837" s="1530"/>
      <c r="AQ837" s="1530"/>
      <c r="AR837" s="1530"/>
      <c r="AS837" s="1530"/>
      <c r="AT837" s="1530"/>
      <c r="AU837" s="1530"/>
      <c r="AV837" s="1530"/>
      <c r="AW837" s="1530"/>
      <c r="AX837" s="1530"/>
      <c r="AY837" s="1530"/>
      <c r="AZ837" s="1530"/>
      <c r="BA837" s="1530"/>
      <c r="BB837" s="1530"/>
      <c r="BC837" s="1530"/>
      <c r="BD837" s="1530"/>
      <c r="BE837" s="1530"/>
      <c r="BF837" s="1530"/>
      <c r="BG837" s="1530"/>
      <c r="BH837" s="1530"/>
      <c r="BI837" s="1530"/>
      <c r="BJ837" s="1530"/>
      <c r="BK837" s="1530"/>
      <c r="BL837" s="1530"/>
      <c r="BM837" s="1530"/>
      <c r="BN837" s="1530"/>
      <c r="BW837" s="1569"/>
      <c r="CO837" s="1530"/>
      <c r="CP837" s="1530"/>
      <c r="CQ837" s="1530"/>
      <c r="CR837" s="1530"/>
      <c r="CS837" s="1530"/>
      <c r="CT837" s="1530"/>
      <c r="CU837" s="1530"/>
      <c r="CV837" s="1530"/>
      <c r="CW837" s="1530"/>
      <c r="CX837" s="1530"/>
      <c r="CY837" s="1530"/>
      <c r="CZ837" s="1530"/>
      <c r="DA837" s="1530"/>
      <c r="DB837" s="1530"/>
      <c r="DC837" s="1530"/>
      <c r="DD837" s="1530"/>
      <c r="DE837" s="1530"/>
      <c r="DF837" s="1530"/>
      <c r="DG837" s="1530"/>
      <c r="DH837" s="1530"/>
      <c r="DI837" s="1530"/>
      <c r="DJ837" s="1530"/>
      <c r="DK837" s="1530"/>
      <c r="DL837" s="1530"/>
      <c r="DM837" s="1530"/>
      <c r="DN837" s="1571"/>
      <c r="DO837" s="1530"/>
      <c r="DP837" s="1530"/>
    </row>
    <row r="838" spans="1:120">
      <c r="A838" s="1451"/>
      <c r="C838" s="1451"/>
      <c r="K838" s="1451"/>
      <c r="L838" s="1451"/>
      <c r="U838" s="1530"/>
      <c r="V838" s="1530"/>
      <c r="W838" s="1530"/>
      <c r="X838" s="1530"/>
      <c r="Y838" s="1530"/>
      <c r="Z838" s="1530"/>
      <c r="AA838" s="1530"/>
      <c r="AB838" s="1530"/>
      <c r="AC838" s="1530"/>
      <c r="AD838" s="1530"/>
      <c r="AE838" s="1530"/>
      <c r="AF838" s="1530"/>
      <c r="AG838" s="1530"/>
      <c r="AH838" s="1530"/>
      <c r="AI838" s="1530"/>
      <c r="AJ838" s="1530"/>
      <c r="AK838" s="1530"/>
      <c r="AL838" s="1530"/>
      <c r="AM838" s="1530"/>
      <c r="AN838" s="1530"/>
      <c r="AO838" s="1530"/>
      <c r="AP838" s="1530"/>
      <c r="AQ838" s="1530"/>
      <c r="AR838" s="1530"/>
      <c r="AS838" s="1530"/>
      <c r="AT838" s="1530"/>
      <c r="AU838" s="1530"/>
      <c r="AV838" s="1530"/>
      <c r="AW838" s="1530"/>
      <c r="AX838" s="1530"/>
      <c r="AY838" s="1530"/>
      <c r="AZ838" s="1530"/>
      <c r="BA838" s="1530"/>
      <c r="BB838" s="1530"/>
      <c r="BC838" s="1530"/>
      <c r="BD838" s="1530"/>
      <c r="BE838" s="1530"/>
      <c r="BF838" s="1530"/>
      <c r="BG838" s="1530"/>
      <c r="BH838" s="1530"/>
      <c r="BI838" s="1530"/>
      <c r="BJ838" s="1530"/>
      <c r="BK838" s="1530"/>
      <c r="BL838" s="1530"/>
      <c r="BM838" s="1530"/>
      <c r="BN838" s="1530"/>
      <c r="BW838" s="1569"/>
      <c r="CO838" s="1530"/>
      <c r="CP838" s="1530"/>
      <c r="CQ838" s="1530"/>
      <c r="CR838" s="1530"/>
      <c r="CS838" s="1530"/>
      <c r="CT838" s="1530"/>
      <c r="CU838" s="1530"/>
      <c r="CV838" s="1530"/>
      <c r="CW838" s="1530"/>
      <c r="CX838" s="1530"/>
      <c r="CY838" s="1530"/>
      <c r="CZ838" s="1530"/>
      <c r="DA838" s="1530"/>
      <c r="DB838" s="1530"/>
      <c r="DC838" s="1530"/>
      <c r="DD838" s="1530"/>
      <c r="DE838" s="1530"/>
      <c r="DF838" s="1530"/>
      <c r="DG838" s="1530"/>
      <c r="DH838" s="1530"/>
      <c r="DI838" s="1530"/>
      <c r="DJ838" s="1530"/>
      <c r="DK838" s="1530"/>
      <c r="DL838" s="1530"/>
      <c r="DM838" s="1530"/>
      <c r="DN838" s="1571"/>
      <c r="DO838" s="1530"/>
      <c r="DP838" s="1530"/>
    </row>
    <row r="839" spans="1:120">
      <c r="A839" s="1451"/>
      <c r="C839" s="1451"/>
      <c r="K839" s="1451"/>
      <c r="L839" s="1451"/>
      <c r="U839" s="1530"/>
      <c r="V839" s="1530"/>
      <c r="W839" s="1530"/>
      <c r="X839" s="1530"/>
      <c r="Y839" s="1530"/>
      <c r="Z839" s="1530"/>
      <c r="AA839" s="1530"/>
      <c r="AB839" s="1530"/>
      <c r="AC839" s="1530"/>
      <c r="AD839" s="1530"/>
      <c r="AE839" s="1530"/>
      <c r="AF839" s="1530"/>
      <c r="AG839" s="1530"/>
      <c r="AH839" s="1530"/>
      <c r="AI839" s="1530"/>
      <c r="AJ839" s="1530"/>
      <c r="AK839" s="1530"/>
      <c r="AL839" s="1530"/>
      <c r="AM839" s="1530"/>
      <c r="AN839" s="1530"/>
      <c r="AO839" s="1530"/>
      <c r="AP839" s="1530"/>
      <c r="AQ839" s="1530"/>
      <c r="AR839" s="1530"/>
      <c r="AS839" s="1530"/>
      <c r="AT839" s="1530"/>
      <c r="AU839" s="1530"/>
      <c r="AV839" s="1530"/>
      <c r="AW839" s="1530"/>
      <c r="AX839" s="1530"/>
      <c r="AY839" s="1530"/>
      <c r="AZ839" s="1530"/>
      <c r="BA839" s="1530"/>
      <c r="BB839" s="1530"/>
      <c r="BC839" s="1530"/>
      <c r="BD839" s="1530"/>
      <c r="BE839" s="1530"/>
      <c r="BF839" s="1530"/>
      <c r="BG839" s="1530"/>
      <c r="BH839" s="1530"/>
      <c r="BI839" s="1530"/>
      <c r="BJ839" s="1530"/>
      <c r="BK839" s="1530"/>
      <c r="BL839" s="1530"/>
      <c r="BM839" s="1530"/>
      <c r="BN839" s="1530"/>
      <c r="BW839" s="1569"/>
      <c r="CO839" s="1530"/>
      <c r="CP839" s="1530"/>
      <c r="CQ839" s="1530"/>
      <c r="CR839" s="1530"/>
      <c r="CS839" s="1530"/>
      <c r="CT839" s="1530"/>
      <c r="CU839" s="1530"/>
      <c r="CV839" s="1530"/>
      <c r="CW839" s="1530"/>
      <c r="CX839" s="1530"/>
      <c r="CY839" s="1530"/>
      <c r="CZ839" s="1530"/>
      <c r="DA839" s="1530"/>
      <c r="DB839" s="1530"/>
      <c r="DC839" s="1530"/>
      <c r="DD839" s="1530"/>
      <c r="DE839" s="1530"/>
      <c r="DF839" s="1530"/>
      <c r="DG839" s="1530"/>
      <c r="DH839" s="1530"/>
      <c r="DI839" s="1530"/>
      <c r="DJ839" s="1530"/>
      <c r="DK839" s="1530"/>
      <c r="DL839" s="1530"/>
      <c r="DM839" s="1530"/>
      <c r="DN839" s="1571"/>
      <c r="DO839" s="1530"/>
      <c r="DP839" s="1530"/>
    </row>
    <row r="840" spans="1:120">
      <c r="A840" s="1451"/>
      <c r="C840" s="1451"/>
      <c r="K840" s="1451"/>
      <c r="L840" s="1451"/>
      <c r="U840" s="1530"/>
      <c r="V840" s="1530"/>
      <c r="W840" s="1530"/>
      <c r="X840" s="1530"/>
      <c r="Y840" s="1530"/>
      <c r="Z840" s="1530"/>
      <c r="AA840" s="1530"/>
      <c r="AB840" s="1530"/>
      <c r="AC840" s="1530"/>
      <c r="AD840" s="1530"/>
      <c r="AE840" s="1530"/>
      <c r="AF840" s="1530"/>
      <c r="AG840" s="1530"/>
      <c r="AH840" s="1530"/>
      <c r="AI840" s="1530"/>
      <c r="AJ840" s="1530"/>
      <c r="AK840" s="1530"/>
      <c r="AL840" s="1530"/>
      <c r="AM840" s="1530"/>
      <c r="AN840" s="1530"/>
      <c r="AO840" s="1530"/>
      <c r="AP840" s="1530"/>
      <c r="AQ840" s="1530"/>
      <c r="AR840" s="1530"/>
      <c r="AS840" s="1530"/>
      <c r="AT840" s="1530"/>
      <c r="AU840" s="1530"/>
      <c r="AV840" s="1530"/>
      <c r="AW840" s="1530"/>
      <c r="AX840" s="1530"/>
      <c r="AY840" s="1530"/>
      <c r="AZ840" s="1530"/>
      <c r="BA840" s="1530"/>
      <c r="BB840" s="1530"/>
      <c r="BC840" s="1530"/>
      <c r="BD840" s="1530"/>
      <c r="BE840" s="1530"/>
      <c r="BF840" s="1530"/>
      <c r="BG840" s="1530"/>
      <c r="BH840" s="1530"/>
      <c r="BI840" s="1530"/>
      <c r="BJ840" s="1530"/>
      <c r="BK840" s="1530"/>
      <c r="BL840" s="1530"/>
      <c r="BM840" s="1530"/>
      <c r="BN840" s="1530"/>
      <c r="BW840" s="1569"/>
      <c r="CO840" s="1530"/>
      <c r="CP840" s="1530"/>
      <c r="CQ840" s="1530"/>
      <c r="CR840" s="1530"/>
      <c r="CS840" s="1530"/>
      <c r="CT840" s="1530"/>
      <c r="CU840" s="1530"/>
      <c r="CV840" s="1530"/>
      <c r="CW840" s="1530"/>
      <c r="CX840" s="1530"/>
      <c r="CY840" s="1530"/>
      <c r="CZ840" s="1530"/>
      <c r="DA840" s="1530"/>
      <c r="DB840" s="1530"/>
      <c r="DC840" s="1530"/>
      <c r="DD840" s="1530"/>
      <c r="DE840" s="1530"/>
      <c r="DF840" s="1530"/>
      <c r="DG840" s="1530"/>
      <c r="DH840" s="1530"/>
      <c r="DI840" s="1530"/>
      <c r="DJ840" s="1530"/>
      <c r="DK840" s="1530"/>
      <c r="DL840" s="1530"/>
      <c r="DM840" s="1530"/>
      <c r="DN840" s="1571"/>
      <c r="DO840" s="1530"/>
      <c r="DP840" s="1530"/>
    </row>
    <row r="841" spans="1:120">
      <c r="A841" s="1451"/>
      <c r="C841" s="1451"/>
      <c r="K841" s="1451"/>
      <c r="L841" s="1451"/>
      <c r="U841" s="1530"/>
      <c r="V841" s="1530"/>
      <c r="W841" s="1530"/>
      <c r="X841" s="1530"/>
      <c r="Y841" s="1530"/>
      <c r="Z841" s="1530"/>
      <c r="AA841" s="1530"/>
      <c r="AB841" s="1530"/>
      <c r="AC841" s="1530"/>
      <c r="AD841" s="1530"/>
      <c r="AE841" s="1530"/>
      <c r="AF841" s="1530"/>
      <c r="AG841" s="1530"/>
      <c r="AH841" s="1530"/>
      <c r="AI841" s="1530"/>
      <c r="AJ841" s="1530"/>
      <c r="AK841" s="1530"/>
      <c r="AL841" s="1530"/>
      <c r="AM841" s="1530"/>
      <c r="AN841" s="1530"/>
      <c r="AO841" s="1530"/>
      <c r="AP841" s="1530"/>
      <c r="AQ841" s="1530"/>
      <c r="AR841" s="1530"/>
      <c r="AS841" s="1530"/>
      <c r="AT841" s="1530"/>
      <c r="AU841" s="1530"/>
      <c r="AV841" s="1530"/>
      <c r="AW841" s="1530"/>
      <c r="AX841" s="1530"/>
      <c r="AY841" s="1530"/>
      <c r="AZ841" s="1530"/>
      <c r="BA841" s="1530"/>
      <c r="BB841" s="1530"/>
      <c r="BC841" s="1530"/>
      <c r="BD841" s="1530"/>
      <c r="BE841" s="1530"/>
      <c r="BF841" s="1530"/>
      <c r="BG841" s="1530"/>
      <c r="BH841" s="1530"/>
      <c r="BI841" s="1530"/>
      <c r="BJ841" s="1530"/>
      <c r="BK841" s="1530"/>
      <c r="BL841" s="1530"/>
      <c r="BM841" s="1530"/>
      <c r="BN841" s="1530"/>
      <c r="BW841" s="1569"/>
      <c r="CO841" s="1530"/>
      <c r="CP841" s="1530"/>
      <c r="CQ841" s="1530"/>
      <c r="CR841" s="1530"/>
      <c r="CS841" s="1530"/>
      <c r="CT841" s="1530"/>
      <c r="CU841" s="1530"/>
      <c r="CV841" s="1530"/>
      <c r="CW841" s="1530"/>
      <c r="CX841" s="1530"/>
      <c r="CY841" s="1530"/>
      <c r="CZ841" s="1530"/>
      <c r="DA841" s="1530"/>
      <c r="DB841" s="1530"/>
      <c r="DC841" s="1530"/>
      <c r="DD841" s="1530"/>
      <c r="DE841" s="1530"/>
      <c r="DF841" s="1530"/>
      <c r="DG841" s="1530"/>
      <c r="DH841" s="1530"/>
      <c r="DI841" s="1530"/>
      <c r="DJ841" s="1530"/>
      <c r="DK841" s="1530"/>
      <c r="DL841" s="1530"/>
      <c r="DM841" s="1530"/>
      <c r="DN841" s="1571"/>
      <c r="DO841" s="1530"/>
      <c r="DP841" s="1530"/>
    </row>
    <row r="842" spans="1:120">
      <c r="A842" s="1451"/>
      <c r="C842" s="1451"/>
      <c r="K842" s="1451"/>
      <c r="L842" s="1451"/>
      <c r="U842" s="1530"/>
      <c r="V842" s="1530"/>
      <c r="W842" s="1530"/>
      <c r="X842" s="1530"/>
      <c r="Y842" s="1530"/>
      <c r="Z842" s="1530"/>
      <c r="AA842" s="1530"/>
      <c r="AB842" s="1530"/>
      <c r="AC842" s="1530"/>
      <c r="AD842" s="1530"/>
      <c r="AE842" s="1530"/>
      <c r="AF842" s="1530"/>
      <c r="AG842" s="1530"/>
      <c r="AH842" s="1530"/>
      <c r="AI842" s="1530"/>
      <c r="AJ842" s="1530"/>
      <c r="AK842" s="1530"/>
      <c r="AL842" s="1530"/>
      <c r="AM842" s="1530"/>
      <c r="AN842" s="1530"/>
      <c r="AO842" s="1530"/>
      <c r="AP842" s="1530"/>
      <c r="AQ842" s="1530"/>
      <c r="AR842" s="1530"/>
      <c r="AS842" s="1530"/>
      <c r="AT842" s="1530"/>
      <c r="AU842" s="1530"/>
      <c r="AV842" s="1530"/>
      <c r="AW842" s="1530"/>
      <c r="AX842" s="1530"/>
      <c r="AY842" s="1530"/>
      <c r="AZ842" s="1530"/>
      <c r="BA842" s="1530"/>
      <c r="BB842" s="1530"/>
      <c r="BC842" s="1530"/>
      <c r="BD842" s="1530"/>
      <c r="BE842" s="1530"/>
      <c r="BF842" s="1530"/>
      <c r="BG842" s="1530"/>
      <c r="BH842" s="1530"/>
      <c r="BI842" s="1530"/>
      <c r="BJ842" s="1530"/>
      <c r="BK842" s="1530"/>
      <c r="BL842" s="1530"/>
      <c r="BM842" s="1530"/>
      <c r="BN842" s="1530"/>
      <c r="BW842" s="1569"/>
      <c r="CO842" s="1530"/>
      <c r="CP842" s="1530"/>
      <c r="CQ842" s="1530"/>
      <c r="CR842" s="1530"/>
      <c r="CS842" s="1530"/>
      <c r="CT842" s="1530"/>
      <c r="CU842" s="1530"/>
      <c r="CV842" s="1530"/>
      <c r="CW842" s="1530"/>
      <c r="CX842" s="1530"/>
      <c r="CY842" s="1530"/>
      <c r="CZ842" s="1530"/>
      <c r="DA842" s="1530"/>
      <c r="DB842" s="1530"/>
      <c r="DC842" s="1530"/>
      <c r="DD842" s="1530"/>
      <c r="DE842" s="1530"/>
      <c r="DF842" s="1530"/>
      <c r="DG842" s="1530"/>
      <c r="DH842" s="1530"/>
      <c r="DI842" s="1530"/>
      <c r="DJ842" s="1530"/>
      <c r="DK842" s="1530"/>
      <c r="DL842" s="1530"/>
      <c r="DM842" s="1530"/>
      <c r="DN842" s="1571"/>
      <c r="DO842" s="1530"/>
      <c r="DP842" s="1530"/>
    </row>
    <row r="843" spans="1:120">
      <c r="A843" s="1451"/>
      <c r="C843" s="1451"/>
      <c r="K843" s="1451"/>
      <c r="L843" s="1451"/>
      <c r="U843" s="1530"/>
      <c r="V843" s="1530"/>
      <c r="W843" s="1530"/>
      <c r="X843" s="1530"/>
      <c r="Y843" s="1530"/>
      <c r="Z843" s="1530"/>
      <c r="AA843" s="1530"/>
      <c r="AB843" s="1530"/>
      <c r="AC843" s="1530"/>
      <c r="AD843" s="1530"/>
      <c r="AE843" s="1530"/>
      <c r="AF843" s="1530"/>
      <c r="AG843" s="1530"/>
      <c r="AH843" s="1530"/>
      <c r="AI843" s="1530"/>
      <c r="AJ843" s="1530"/>
      <c r="AK843" s="1530"/>
      <c r="AL843" s="1530"/>
      <c r="AM843" s="1530"/>
      <c r="AN843" s="1530"/>
      <c r="AO843" s="1530"/>
      <c r="AP843" s="1530"/>
      <c r="AQ843" s="1530"/>
      <c r="AR843" s="1530"/>
      <c r="AS843" s="1530"/>
      <c r="AT843" s="1530"/>
      <c r="AU843" s="1530"/>
      <c r="AV843" s="1530"/>
      <c r="AW843" s="1530"/>
      <c r="AX843" s="1530"/>
      <c r="AY843" s="1530"/>
      <c r="AZ843" s="1530"/>
      <c r="BA843" s="1530"/>
      <c r="BB843" s="1530"/>
      <c r="BC843" s="1530"/>
      <c r="BD843" s="1530"/>
      <c r="BE843" s="1530"/>
      <c r="BF843" s="1530"/>
      <c r="BG843" s="1530"/>
      <c r="BH843" s="1530"/>
      <c r="BI843" s="1530"/>
      <c r="BJ843" s="1530"/>
      <c r="BK843" s="1530"/>
      <c r="BL843" s="1530"/>
      <c r="BM843" s="1530"/>
      <c r="BN843" s="1530"/>
      <c r="BW843" s="1569"/>
      <c r="CO843" s="1530"/>
      <c r="CP843" s="1530"/>
      <c r="CQ843" s="1530"/>
      <c r="CR843" s="1530"/>
      <c r="CS843" s="1530"/>
      <c r="CT843" s="1530"/>
      <c r="CU843" s="1530"/>
      <c r="CV843" s="1530"/>
      <c r="CW843" s="1530"/>
      <c r="CX843" s="1530"/>
      <c r="CY843" s="1530"/>
      <c r="CZ843" s="1530"/>
      <c r="DA843" s="1530"/>
      <c r="DB843" s="1530"/>
      <c r="DC843" s="1530"/>
      <c r="DD843" s="1530"/>
      <c r="DE843" s="1530"/>
      <c r="DF843" s="1530"/>
      <c r="DG843" s="1530"/>
      <c r="DH843" s="1530"/>
      <c r="DI843" s="1530"/>
      <c r="DJ843" s="1530"/>
      <c r="DK843" s="1530"/>
      <c r="DL843" s="1530"/>
      <c r="DM843" s="1530"/>
      <c r="DN843" s="1571"/>
      <c r="DO843" s="1530"/>
      <c r="DP843" s="1530"/>
    </row>
    <row r="844" spans="1:120">
      <c r="A844" s="1451"/>
      <c r="C844" s="1451"/>
      <c r="K844" s="1451"/>
      <c r="L844" s="1451"/>
      <c r="U844" s="1530"/>
      <c r="V844" s="1530"/>
      <c r="W844" s="1530"/>
      <c r="X844" s="1530"/>
      <c r="Y844" s="1530"/>
      <c r="Z844" s="1530"/>
      <c r="AA844" s="1530"/>
      <c r="AB844" s="1530"/>
      <c r="AC844" s="1530"/>
      <c r="AD844" s="1530"/>
      <c r="AE844" s="1530"/>
      <c r="AF844" s="1530"/>
      <c r="AG844" s="1530"/>
      <c r="AH844" s="1530"/>
      <c r="AI844" s="1530"/>
      <c r="AJ844" s="1530"/>
      <c r="AK844" s="1530"/>
      <c r="AL844" s="1530"/>
      <c r="AM844" s="1530"/>
      <c r="AN844" s="1530"/>
      <c r="AO844" s="1530"/>
      <c r="AP844" s="1530"/>
      <c r="AQ844" s="1530"/>
      <c r="AR844" s="1530"/>
      <c r="AS844" s="1530"/>
      <c r="AT844" s="1530"/>
      <c r="AU844" s="1530"/>
      <c r="AV844" s="1530"/>
      <c r="AW844" s="1530"/>
      <c r="AX844" s="1530"/>
      <c r="AY844" s="1530"/>
      <c r="AZ844" s="1530"/>
      <c r="BA844" s="1530"/>
      <c r="BB844" s="1530"/>
      <c r="BC844" s="1530"/>
      <c r="BD844" s="1530"/>
      <c r="BE844" s="1530"/>
      <c r="BF844" s="1530"/>
      <c r="BG844" s="1530"/>
      <c r="BH844" s="1530"/>
      <c r="BI844" s="1530"/>
      <c r="BJ844" s="1530"/>
      <c r="BK844" s="1530"/>
      <c r="BL844" s="1530"/>
      <c r="BM844" s="1530"/>
      <c r="BN844" s="1530"/>
      <c r="BW844" s="1569"/>
      <c r="CO844" s="1530"/>
      <c r="CP844" s="1530"/>
      <c r="CQ844" s="1530"/>
      <c r="CR844" s="1530"/>
      <c r="CS844" s="1530"/>
      <c r="CT844" s="1530"/>
      <c r="CU844" s="1530"/>
      <c r="CV844" s="1530"/>
      <c r="CW844" s="1530"/>
      <c r="CX844" s="1530"/>
      <c r="CY844" s="1530"/>
      <c r="CZ844" s="1530"/>
      <c r="DA844" s="1530"/>
      <c r="DB844" s="1530"/>
      <c r="DC844" s="1530"/>
      <c r="DD844" s="1530"/>
      <c r="DE844" s="1530"/>
      <c r="DF844" s="1530"/>
      <c r="DG844" s="1530"/>
      <c r="DH844" s="1530"/>
      <c r="DI844" s="1530"/>
      <c r="DJ844" s="1530"/>
      <c r="DK844" s="1530"/>
      <c r="DL844" s="1530"/>
      <c r="DM844" s="1530"/>
      <c r="DN844" s="1571"/>
      <c r="DO844" s="1530"/>
      <c r="DP844" s="1530"/>
    </row>
    <row r="845" spans="1:120">
      <c r="A845" s="1451"/>
      <c r="C845" s="1451"/>
      <c r="K845" s="1451"/>
      <c r="L845" s="1451"/>
      <c r="U845" s="1530"/>
      <c r="V845" s="1530"/>
      <c r="W845" s="1530"/>
      <c r="X845" s="1530"/>
      <c r="Y845" s="1530"/>
      <c r="Z845" s="1530"/>
      <c r="AA845" s="1530"/>
      <c r="AB845" s="1530"/>
      <c r="AC845" s="1530"/>
      <c r="AD845" s="1530"/>
      <c r="AE845" s="1530"/>
      <c r="AF845" s="1530"/>
      <c r="AG845" s="1530"/>
      <c r="AH845" s="1530"/>
      <c r="AI845" s="1530"/>
      <c r="AJ845" s="1530"/>
      <c r="AK845" s="1530"/>
      <c r="AL845" s="1530"/>
      <c r="AM845" s="1530"/>
      <c r="AN845" s="1530"/>
      <c r="AO845" s="1530"/>
      <c r="AP845" s="1530"/>
      <c r="AQ845" s="1530"/>
      <c r="AR845" s="1530"/>
      <c r="AS845" s="1530"/>
      <c r="AT845" s="1530"/>
      <c r="AU845" s="1530"/>
      <c r="AV845" s="1530"/>
      <c r="AW845" s="1530"/>
      <c r="AX845" s="1530"/>
      <c r="AY845" s="1530"/>
      <c r="AZ845" s="1530"/>
      <c r="BA845" s="1530"/>
      <c r="BB845" s="1530"/>
      <c r="BC845" s="1530"/>
      <c r="BD845" s="1530"/>
      <c r="BE845" s="1530"/>
      <c r="BF845" s="1530"/>
      <c r="BG845" s="1530"/>
      <c r="BH845" s="1530"/>
      <c r="BI845" s="1530"/>
      <c r="BJ845" s="1530"/>
      <c r="BK845" s="1530"/>
      <c r="BL845" s="1530"/>
      <c r="BM845" s="1530"/>
      <c r="BN845" s="1530"/>
      <c r="BW845" s="1569"/>
      <c r="CO845" s="1530"/>
      <c r="CP845" s="1530"/>
      <c r="CQ845" s="1530"/>
      <c r="CR845" s="1530"/>
      <c r="CS845" s="1530"/>
      <c r="CT845" s="1530"/>
      <c r="CU845" s="1530"/>
      <c r="CV845" s="1530"/>
      <c r="CW845" s="1530"/>
      <c r="CX845" s="1530"/>
      <c r="CY845" s="1530"/>
      <c r="CZ845" s="1530"/>
      <c r="DA845" s="1530"/>
      <c r="DB845" s="1530"/>
      <c r="DC845" s="1530"/>
      <c r="DD845" s="1530"/>
      <c r="DE845" s="1530"/>
      <c r="DF845" s="1530"/>
      <c r="DG845" s="1530"/>
      <c r="DH845" s="1530"/>
      <c r="DI845" s="1530"/>
      <c r="DJ845" s="1530"/>
      <c r="DK845" s="1530"/>
      <c r="DL845" s="1530"/>
      <c r="DM845" s="1530"/>
      <c r="DN845" s="1571"/>
      <c r="DO845" s="1530"/>
      <c r="DP845" s="1530"/>
    </row>
    <row r="846" spans="1:120">
      <c r="A846" s="1451"/>
      <c r="C846" s="1451"/>
      <c r="K846" s="1451"/>
      <c r="L846" s="1451"/>
      <c r="U846" s="1530"/>
      <c r="V846" s="1530"/>
      <c r="W846" s="1530"/>
      <c r="X846" s="1530"/>
      <c r="Y846" s="1530"/>
      <c r="Z846" s="1530"/>
      <c r="AA846" s="1530"/>
      <c r="AB846" s="1530"/>
      <c r="AC846" s="1530"/>
      <c r="AD846" s="1530"/>
      <c r="AE846" s="1530"/>
      <c r="AF846" s="1530"/>
      <c r="AG846" s="1530"/>
      <c r="AH846" s="1530"/>
      <c r="AI846" s="1530"/>
      <c r="AJ846" s="1530"/>
      <c r="AK846" s="1530"/>
      <c r="AL846" s="1530"/>
      <c r="AM846" s="1530"/>
      <c r="AN846" s="1530"/>
      <c r="AO846" s="1530"/>
      <c r="AP846" s="1530"/>
      <c r="AQ846" s="1530"/>
      <c r="AR846" s="1530"/>
      <c r="AS846" s="1530"/>
      <c r="AT846" s="1530"/>
      <c r="AU846" s="1530"/>
      <c r="AV846" s="1530"/>
      <c r="AW846" s="1530"/>
      <c r="AX846" s="1530"/>
      <c r="AY846" s="1530"/>
      <c r="AZ846" s="1530"/>
      <c r="BA846" s="1530"/>
      <c r="BB846" s="1530"/>
      <c r="BC846" s="1530"/>
      <c r="BD846" s="1530"/>
      <c r="BE846" s="1530"/>
      <c r="BF846" s="1530"/>
      <c r="BG846" s="1530"/>
      <c r="BH846" s="1530"/>
      <c r="BI846" s="1530"/>
      <c r="BJ846" s="1530"/>
      <c r="BK846" s="1530"/>
      <c r="BL846" s="1530"/>
      <c r="BM846" s="1530"/>
      <c r="BN846" s="1530"/>
      <c r="BW846" s="1569"/>
      <c r="CO846" s="1530"/>
      <c r="CP846" s="1530"/>
      <c r="CQ846" s="1530"/>
      <c r="CR846" s="1530"/>
      <c r="CS846" s="1530"/>
      <c r="CT846" s="1530"/>
      <c r="CU846" s="1530"/>
      <c r="CV846" s="1530"/>
      <c r="CW846" s="1530"/>
      <c r="CX846" s="1530"/>
      <c r="CY846" s="1530"/>
      <c r="CZ846" s="1530"/>
      <c r="DA846" s="1530"/>
      <c r="DB846" s="1530"/>
      <c r="DC846" s="1530"/>
      <c r="DD846" s="1530"/>
      <c r="DE846" s="1530"/>
      <c r="DF846" s="1530"/>
      <c r="DG846" s="1530"/>
      <c r="DH846" s="1530"/>
      <c r="DI846" s="1530"/>
      <c r="DJ846" s="1530"/>
      <c r="DK846" s="1530"/>
      <c r="DL846" s="1530"/>
      <c r="DM846" s="1530"/>
      <c r="DN846" s="1571"/>
      <c r="DO846" s="1530"/>
      <c r="DP846" s="1530"/>
    </row>
    <row r="847" spans="1:120">
      <c r="A847" s="1451"/>
      <c r="C847" s="1451"/>
      <c r="K847" s="1451"/>
      <c r="L847" s="1451"/>
      <c r="U847" s="1530"/>
      <c r="V847" s="1530"/>
      <c r="W847" s="1530"/>
      <c r="X847" s="1530"/>
      <c r="Y847" s="1530"/>
      <c r="Z847" s="1530"/>
      <c r="AA847" s="1530"/>
      <c r="AB847" s="1530"/>
      <c r="AC847" s="1530"/>
      <c r="AD847" s="1530"/>
      <c r="AE847" s="1530"/>
      <c r="AF847" s="1530"/>
      <c r="AG847" s="1530"/>
      <c r="AH847" s="1530"/>
      <c r="AI847" s="1530"/>
      <c r="AJ847" s="1530"/>
      <c r="AK847" s="1530"/>
      <c r="AL847" s="1530"/>
      <c r="AM847" s="1530"/>
      <c r="AN847" s="1530"/>
      <c r="AO847" s="1530"/>
      <c r="AP847" s="1530"/>
      <c r="AQ847" s="1530"/>
      <c r="AR847" s="1530"/>
      <c r="AS847" s="1530"/>
      <c r="AT847" s="1530"/>
      <c r="AU847" s="1530"/>
      <c r="AV847" s="1530"/>
      <c r="AW847" s="1530"/>
      <c r="AX847" s="1530"/>
      <c r="AY847" s="1530"/>
      <c r="AZ847" s="1530"/>
      <c r="BA847" s="1530"/>
      <c r="BB847" s="1530"/>
      <c r="BC847" s="1530"/>
      <c r="BD847" s="1530"/>
      <c r="BE847" s="1530"/>
      <c r="BF847" s="1530"/>
      <c r="BG847" s="1530"/>
      <c r="BH847" s="1530"/>
      <c r="BI847" s="1530"/>
      <c r="BJ847" s="1530"/>
      <c r="BK847" s="1530"/>
      <c r="BL847" s="1530"/>
      <c r="BM847" s="1530"/>
      <c r="BN847" s="1530"/>
      <c r="BW847" s="1569"/>
      <c r="CO847" s="1530"/>
      <c r="CP847" s="1530"/>
      <c r="CQ847" s="1530"/>
      <c r="CR847" s="1530"/>
      <c r="CS847" s="1530"/>
      <c r="CT847" s="1530"/>
      <c r="CU847" s="1530"/>
      <c r="CV847" s="1530"/>
      <c r="CW847" s="1530"/>
      <c r="CX847" s="1530"/>
      <c r="CY847" s="1530"/>
      <c r="CZ847" s="1530"/>
      <c r="DA847" s="1530"/>
      <c r="DB847" s="1530"/>
      <c r="DC847" s="1530"/>
      <c r="DD847" s="1530"/>
      <c r="DE847" s="1530"/>
      <c r="DF847" s="1530"/>
      <c r="DG847" s="1530"/>
      <c r="DH847" s="1530"/>
      <c r="DI847" s="1530"/>
      <c r="DJ847" s="1530"/>
      <c r="DK847" s="1530"/>
      <c r="DL847" s="1530"/>
      <c r="DM847" s="1530"/>
      <c r="DN847" s="1571"/>
      <c r="DO847" s="1530"/>
      <c r="DP847" s="1530"/>
    </row>
    <row r="848" spans="1:120">
      <c r="A848" s="1451"/>
      <c r="C848" s="1451"/>
      <c r="K848" s="1451"/>
      <c r="L848" s="1451"/>
      <c r="U848" s="1530"/>
      <c r="V848" s="1530"/>
      <c r="W848" s="1530"/>
      <c r="X848" s="1530"/>
      <c r="Y848" s="1530"/>
      <c r="Z848" s="1530"/>
      <c r="AA848" s="1530"/>
      <c r="AB848" s="1530"/>
      <c r="AC848" s="1530"/>
      <c r="AD848" s="1530"/>
      <c r="AE848" s="1530"/>
      <c r="AF848" s="1530"/>
      <c r="AG848" s="1530"/>
      <c r="AH848" s="1530"/>
      <c r="AI848" s="1530"/>
      <c r="AJ848" s="1530"/>
      <c r="AK848" s="1530"/>
      <c r="AL848" s="1530"/>
      <c r="AM848" s="1530"/>
      <c r="AN848" s="1530"/>
      <c r="AO848" s="1530"/>
      <c r="AP848" s="1530"/>
      <c r="AQ848" s="1530"/>
      <c r="AR848" s="1530"/>
      <c r="AS848" s="1530"/>
      <c r="AT848" s="1530"/>
      <c r="AU848" s="1530"/>
      <c r="AV848" s="1530"/>
      <c r="AW848" s="1530"/>
      <c r="AX848" s="1530"/>
      <c r="AY848" s="1530"/>
      <c r="AZ848" s="1530"/>
      <c r="BA848" s="1530"/>
      <c r="BB848" s="1530"/>
      <c r="BC848" s="1530"/>
      <c r="BD848" s="1530"/>
      <c r="BE848" s="1530"/>
      <c r="BF848" s="1530"/>
      <c r="BG848" s="1530"/>
      <c r="BH848" s="1530"/>
      <c r="BI848" s="1530"/>
      <c r="BJ848" s="1530"/>
      <c r="BK848" s="1530"/>
      <c r="BL848" s="1530"/>
      <c r="BM848" s="1530"/>
      <c r="BN848" s="1530"/>
      <c r="BW848" s="1569"/>
      <c r="CO848" s="1530"/>
      <c r="CP848" s="1530"/>
      <c r="CQ848" s="1530"/>
      <c r="CR848" s="1530"/>
      <c r="CS848" s="1530"/>
      <c r="CT848" s="1530"/>
      <c r="CU848" s="1530"/>
      <c r="CV848" s="1530"/>
      <c r="CW848" s="1530"/>
      <c r="CX848" s="1530"/>
      <c r="CY848" s="1530"/>
      <c r="CZ848" s="1530"/>
      <c r="DA848" s="1530"/>
      <c r="DB848" s="1530"/>
      <c r="DC848" s="1530"/>
      <c r="DD848" s="1530"/>
      <c r="DE848" s="1530"/>
      <c r="DF848" s="1530"/>
      <c r="DG848" s="1530"/>
      <c r="DH848" s="1530"/>
      <c r="DI848" s="1530"/>
      <c r="DJ848" s="1530"/>
      <c r="DK848" s="1530"/>
      <c r="DL848" s="1530"/>
      <c r="DM848" s="1530"/>
      <c r="DN848" s="1571"/>
      <c r="DO848" s="1530"/>
      <c r="DP848" s="1530"/>
    </row>
    <row r="849" spans="1:120">
      <c r="A849" s="1451"/>
      <c r="C849" s="1451"/>
      <c r="K849" s="1451"/>
      <c r="L849" s="1451"/>
      <c r="U849" s="1530"/>
      <c r="V849" s="1530"/>
      <c r="W849" s="1530"/>
      <c r="X849" s="1530"/>
      <c r="Y849" s="1530"/>
      <c r="Z849" s="1530"/>
      <c r="AA849" s="1530"/>
      <c r="AB849" s="1530"/>
      <c r="AC849" s="1530"/>
      <c r="AD849" s="1530"/>
      <c r="AE849" s="1530"/>
      <c r="AF849" s="1530"/>
      <c r="AG849" s="1530"/>
      <c r="AH849" s="1530"/>
      <c r="AI849" s="1530"/>
      <c r="AJ849" s="1530"/>
      <c r="AK849" s="1530"/>
      <c r="AL849" s="1530"/>
      <c r="AM849" s="1530"/>
      <c r="AN849" s="1530"/>
      <c r="AO849" s="1530"/>
      <c r="AP849" s="1530"/>
      <c r="AQ849" s="1530"/>
      <c r="AR849" s="1530"/>
      <c r="AS849" s="1530"/>
      <c r="AT849" s="1530"/>
      <c r="AU849" s="1530"/>
      <c r="AV849" s="1530"/>
      <c r="AW849" s="1530"/>
      <c r="AX849" s="1530"/>
      <c r="AY849" s="1530"/>
      <c r="AZ849" s="1530"/>
      <c r="BA849" s="1530"/>
      <c r="BB849" s="1530"/>
      <c r="BC849" s="1530"/>
      <c r="BD849" s="1530"/>
      <c r="BE849" s="1530"/>
      <c r="BF849" s="1530"/>
      <c r="BG849" s="1530"/>
      <c r="BH849" s="1530"/>
      <c r="BI849" s="1530"/>
      <c r="BJ849" s="1530"/>
      <c r="BK849" s="1530"/>
      <c r="BL849" s="1530"/>
      <c r="BM849" s="1530"/>
      <c r="BN849" s="1530"/>
      <c r="BW849" s="1569"/>
      <c r="CO849" s="1530"/>
      <c r="CP849" s="1530"/>
      <c r="CQ849" s="1530"/>
      <c r="CR849" s="1530"/>
      <c r="CS849" s="1530"/>
      <c r="CT849" s="1530"/>
      <c r="CU849" s="1530"/>
      <c r="CV849" s="1530"/>
      <c r="CW849" s="1530"/>
      <c r="CX849" s="1530"/>
      <c r="CY849" s="1530"/>
      <c r="CZ849" s="1530"/>
      <c r="DA849" s="1530"/>
      <c r="DB849" s="1530"/>
      <c r="DC849" s="1530"/>
      <c r="DD849" s="1530"/>
      <c r="DE849" s="1530"/>
      <c r="DF849" s="1530"/>
      <c r="DG849" s="1530"/>
      <c r="DH849" s="1530"/>
      <c r="DI849" s="1530"/>
      <c r="DJ849" s="1530"/>
      <c r="DK849" s="1530"/>
      <c r="DL849" s="1530"/>
      <c r="DM849" s="1530"/>
      <c r="DN849" s="1571"/>
      <c r="DO849" s="1530"/>
      <c r="DP849" s="1530"/>
    </row>
    <row r="850" spans="1:120">
      <c r="A850" s="1451"/>
      <c r="C850" s="1451"/>
      <c r="K850" s="1451"/>
      <c r="L850" s="1451"/>
      <c r="U850" s="1530"/>
      <c r="V850" s="1530"/>
      <c r="W850" s="1530"/>
      <c r="X850" s="1530"/>
      <c r="Y850" s="1530"/>
      <c r="Z850" s="1530"/>
      <c r="AA850" s="1530"/>
      <c r="AB850" s="1530"/>
      <c r="AC850" s="1530"/>
      <c r="AD850" s="1530"/>
      <c r="AE850" s="1530"/>
      <c r="AF850" s="1530"/>
      <c r="AG850" s="1530"/>
      <c r="AH850" s="1530"/>
      <c r="AI850" s="1530"/>
      <c r="AJ850" s="1530"/>
      <c r="AK850" s="1530"/>
      <c r="AL850" s="1530"/>
      <c r="AM850" s="1530"/>
      <c r="AN850" s="1530"/>
      <c r="AO850" s="1530"/>
      <c r="AP850" s="1530"/>
      <c r="AQ850" s="1530"/>
      <c r="AR850" s="1530"/>
      <c r="AS850" s="1530"/>
      <c r="AT850" s="1530"/>
      <c r="AU850" s="1530"/>
      <c r="AV850" s="1530"/>
      <c r="AW850" s="1530"/>
      <c r="AX850" s="1530"/>
      <c r="AY850" s="1530"/>
      <c r="AZ850" s="1530"/>
      <c r="BA850" s="1530"/>
      <c r="BB850" s="1530"/>
      <c r="BC850" s="1530"/>
      <c r="BD850" s="1530"/>
      <c r="BE850" s="1530"/>
      <c r="BF850" s="1530"/>
      <c r="BG850" s="1530"/>
      <c r="BH850" s="1530"/>
      <c r="BI850" s="1530"/>
      <c r="BJ850" s="1530"/>
      <c r="BK850" s="1530"/>
      <c r="BL850" s="1530"/>
      <c r="BM850" s="1530"/>
      <c r="BN850" s="1530"/>
      <c r="BW850" s="1569"/>
      <c r="CO850" s="1530"/>
      <c r="CP850" s="1530"/>
      <c r="CQ850" s="1530"/>
      <c r="CR850" s="1530"/>
      <c r="CS850" s="1530"/>
      <c r="CT850" s="1530"/>
      <c r="CU850" s="1530"/>
      <c r="CV850" s="1530"/>
      <c r="CW850" s="1530"/>
      <c r="CX850" s="1530"/>
      <c r="CY850" s="1530"/>
      <c r="CZ850" s="1530"/>
      <c r="DA850" s="1530"/>
      <c r="DB850" s="1530"/>
      <c r="DC850" s="1530"/>
      <c r="DD850" s="1530"/>
      <c r="DE850" s="1530"/>
      <c r="DF850" s="1530"/>
      <c r="DG850" s="1530"/>
      <c r="DH850" s="1530"/>
      <c r="DI850" s="1530"/>
      <c r="DJ850" s="1530"/>
      <c r="DK850" s="1530"/>
      <c r="DL850" s="1530"/>
      <c r="DM850" s="1530"/>
      <c r="DN850" s="1571"/>
      <c r="DO850" s="1530"/>
      <c r="DP850" s="1530"/>
    </row>
    <row r="851" spans="1:120">
      <c r="A851" s="1451"/>
      <c r="C851" s="1451"/>
      <c r="K851" s="1451"/>
      <c r="L851" s="1451"/>
      <c r="U851" s="1530"/>
      <c r="V851" s="1530"/>
      <c r="W851" s="1530"/>
      <c r="X851" s="1530"/>
      <c r="Y851" s="1530"/>
      <c r="Z851" s="1530"/>
      <c r="AA851" s="1530"/>
      <c r="AB851" s="1530"/>
      <c r="AC851" s="1530"/>
      <c r="AD851" s="1530"/>
      <c r="AE851" s="1530"/>
      <c r="AF851" s="1530"/>
      <c r="AG851" s="1530"/>
      <c r="AH851" s="1530"/>
      <c r="AI851" s="1530"/>
      <c r="AJ851" s="1530"/>
      <c r="AK851" s="1530"/>
      <c r="AL851" s="1530"/>
      <c r="AM851" s="1530"/>
      <c r="AN851" s="1530"/>
      <c r="AO851" s="1530"/>
      <c r="AP851" s="1530"/>
      <c r="AQ851" s="1530"/>
      <c r="AR851" s="1530"/>
      <c r="AS851" s="1530"/>
      <c r="AT851" s="1530"/>
      <c r="AU851" s="1530"/>
      <c r="AV851" s="1530"/>
      <c r="AW851" s="1530"/>
      <c r="AX851" s="1530"/>
      <c r="AY851" s="1530"/>
      <c r="AZ851" s="1530"/>
      <c r="BA851" s="1530"/>
      <c r="BB851" s="1530"/>
      <c r="BC851" s="1530"/>
      <c r="BD851" s="1530"/>
      <c r="BE851" s="1530"/>
      <c r="BF851" s="1530"/>
      <c r="BG851" s="1530"/>
      <c r="BH851" s="1530"/>
      <c r="BI851" s="1530"/>
      <c r="BJ851" s="1530"/>
      <c r="BK851" s="1530"/>
      <c r="BL851" s="1530"/>
      <c r="BM851" s="1530"/>
      <c r="BN851" s="1530"/>
      <c r="BW851" s="1569"/>
      <c r="CO851" s="1530"/>
      <c r="CP851" s="1530"/>
      <c r="CQ851" s="1530"/>
      <c r="CR851" s="1530"/>
      <c r="CS851" s="1530"/>
      <c r="CT851" s="1530"/>
      <c r="CU851" s="1530"/>
      <c r="CV851" s="1530"/>
      <c r="CW851" s="1530"/>
      <c r="CX851" s="1530"/>
      <c r="CY851" s="1530"/>
      <c r="CZ851" s="1530"/>
      <c r="DA851" s="1530"/>
      <c r="DB851" s="1530"/>
      <c r="DC851" s="1530"/>
      <c r="DD851" s="1530"/>
      <c r="DE851" s="1530"/>
      <c r="DF851" s="1530"/>
      <c r="DG851" s="1530"/>
      <c r="DH851" s="1530"/>
      <c r="DI851" s="1530"/>
      <c r="DJ851" s="1530"/>
      <c r="DK851" s="1530"/>
      <c r="DL851" s="1530"/>
      <c r="DM851" s="1530"/>
      <c r="DN851" s="1571"/>
      <c r="DO851" s="1530"/>
      <c r="DP851" s="1530"/>
    </row>
    <row r="852" spans="1:120">
      <c r="A852" s="1451"/>
      <c r="C852" s="1451"/>
      <c r="K852" s="1451"/>
      <c r="L852" s="1451"/>
      <c r="U852" s="1530"/>
      <c r="V852" s="1530"/>
      <c r="W852" s="1530"/>
      <c r="X852" s="1530"/>
      <c r="Y852" s="1530"/>
      <c r="Z852" s="1530"/>
      <c r="AA852" s="1530"/>
      <c r="AB852" s="1530"/>
      <c r="AC852" s="1530"/>
      <c r="AD852" s="1530"/>
      <c r="AE852" s="1530"/>
      <c r="AF852" s="1530"/>
      <c r="AG852" s="1530"/>
      <c r="AH852" s="1530"/>
      <c r="AI852" s="1530"/>
      <c r="AJ852" s="1530"/>
      <c r="AK852" s="1530"/>
      <c r="AL852" s="1530"/>
      <c r="AM852" s="1530"/>
      <c r="AN852" s="1530"/>
      <c r="AO852" s="1530"/>
      <c r="AP852" s="1530"/>
      <c r="AQ852" s="1530"/>
      <c r="AR852" s="1530"/>
      <c r="AS852" s="1530"/>
      <c r="AT852" s="1530"/>
      <c r="AU852" s="1530"/>
      <c r="AV852" s="1530"/>
      <c r="AW852" s="1530"/>
      <c r="AX852" s="1530"/>
      <c r="AY852" s="1530"/>
      <c r="AZ852" s="1530"/>
      <c r="BA852" s="1530"/>
      <c r="BB852" s="1530"/>
      <c r="BC852" s="1530"/>
      <c r="BD852" s="1530"/>
      <c r="BE852" s="1530"/>
      <c r="BF852" s="1530"/>
      <c r="BG852" s="1530"/>
      <c r="BH852" s="1530"/>
      <c r="BI852" s="1530"/>
      <c r="BJ852" s="1530"/>
      <c r="BK852" s="1530"/>
      <c r="BL852" s="1530"/>
      <c r="BM852" s="1530"/>
      <c r="BN852" s="1530"/>
      <c r="BW852" s="1569"/>
      <c r="CO852" s="1530"/>
      <c r="CP852" s="1530"/>
      <c r="CQ852" s="1530"/>
      <c r="CR852" s="1530"/>
      <c r="CS852" s="1530"/>
      <c r="CT852" s="1530"/>
      <c r="CU852" s="1530"/>
      <c r="CV852" s="1530"/>
      <c r="CW852" s="1530"/>
      <c r="CX852" s="1530"/>
      <c r="CY852" s="1530"/>
      <c r="CZ852" s="1530"/>
      <c r="DA852" s="1530"/>
      <c r="DB852" s="1530"/>
      <c r="DC852" s="1530"/>
      <c r="DD852" s="1530"/>
      <c r="DE852" s="1530"/>
      <c r="DF852" s="1530"/>
      <c r="DG852" s="1530"/>
      <c r="DH852" s="1530"/>
      <c r="DI852" s="1530"/>
      <c r="DJ852" s="1530"/>
      <c r="DK852" s="1530"/>
      <c r="DL852" s="1530"/>
      <c r="DM852" s="1530"/>
      <c r="DN852" s="1571"/>
      <c r="DO852" s="1530"/>
      <c r="DP852" s="1530"/>
    </row>
    <row r="853" spans="1:120">
      <c r="A853" s="1451"/>
      <c r="C853" s="1451"/>
      <c r="K853" s="1451"/>
      <c r="L853" s="1451"/>
      <c r="U853" s="1530"/>
      <c r="V853" s="1530"/>
      <c r="W853" s="1530"/>
      <c r="X853" s="1530"/>
      <c r="Y853" s="1530"/>
      <c r="Z853" s="1530"/>
      <c r="AA853" s="1530"/>
      <c r="AB853" s="1530"/>
      <c r="AC853" s="1530"/>
      <c r="AD853" s="1530"/>
      <c r="AE853" s="1530"/>
      <c r="AF853" s="1530"/>
      <c r="AG853" s="1530"/>
      <c r="AH853" s="1530"/>
      <c r="AI853" s="1530"/>
      <c r="AJ853" s="1530"/>
      <c r="AK853" s="1530"/>
      <c r="AL853" s="1530"/>
      <c r="AM853" s="1530"/>
      <c r="AN853" s="1530"/>
      <c r="AO853" s="1530"/>
      <c r="AP853" s="1530"/>
      <c r="AQ853" s="1530"/>
      <c r="AR853" s="1530"/>
      <c r="AS853" s="1530"/>
      <c r="AT853" s="1530"/>
      <c r="AU853" s="1530"/>
      <c r="AV853" s="1530"/>
      <c r="AW853" s="1530"/>
      <c r="AX853" s="1530"/>
      <c r="AY853" s="1530"/>
      <c r="AZ853" s="1530"/>
      <c r="BA853" s="1530"/>
      <c r="BB853" s="1530"/>
      <c r="BC853" s="1530"/>
      <c r="BD853" s="1530"/>
      <c r="BE853" s="1530"/>
      <c r="BF853" s="1530"/>
      <c r="BG853" s="1530"/>
      <c r="BH853" s="1530"/>
      <c r="BI853" s="1530"/>
      <c r="BJ853" s="1530"/>
      <c r="BK853" s="1530"/>
      <c r="BL853" s="1530"/>
      <c r="BM853" s="1530"/>
      <c r="BN853" s="1530"/>
      <c r="BW853" s="1569"/>
      <c r="CO853" s="1530"/>
      <c r="CP853" s="1530"/>
      <c r="CQ853" s="1530"/>
      <c r="CR853" s="1530"/>
      <c r="CS853" s="1530"/>
      <c r="CT853" s="1530"/>
      <c r="CU853" s="1530"/>
      <c r="CV853" s="1530"/>
      <c r="CW853" s="1530"/>
      <c r="CX853" s="1530"/>
      <c r="CY853" s="1530"/>
      <c r="CZ853" s="1530"/>
      <c r="DA853" s="1530"/>
      <c r="DB853" s="1530"/>
      <c r="DC853" s="1530"/>
      <c r="DD853" s="1530"/>
      <c r="DE853" s="1530"/>
      <c r="DF853" s="1530"/>
      <c r="DG853" s="1530"/>
      <c r="DH853" s="1530"/>
      <c r="DI853" s="1530"/>
      <c r="DJ853" s="1530"/>
      <c r="DK853" s="1530"/>
      <c r="DL853" s="1530"/>
      <c r="DM853" s="1530"/>
      <c r="DN853" s="1571"/>
      <c r="DO853" s="1530"/>
      <c r="DP853" s="1530"/>
    </row>
    <row r="854" spans="1:120">
      <c r="A854" s="1451"/>
      <c r="C854" s="1451"/>
      <c r="K854" s="1451"/>
      <c r="L854" s="1451"/>
      <c r="U854" s="1530"/>
      <c r="V854" s="1530"/>
      <c r="W854" s="1530"/>
      <c r="X854" s="1530"/>
      <c r="Y854" s="1530"/>
      <c r="Z854" s="1530"/>
      <c r="AA854" s="1530"/>
      <c r="AB854" s="1530"/>
      <c r="AC854" s="1530"/>
      <c r="AD854" s="1530"/>
      <c r="AE854" s="1530"/>
      <c r="AF854" s="1530"/>
      <c r="AG854" s="1530"/>
      <c r="AH854" s="1530"/>
      <c r="AI854" s="1530"/>
      <c r="AJ854" s="1530"/>
      <c r="AK854" s="1530"/>
      <c r="AL854" s="1530"/>
      <c r="AM854" s="1530"/>
      <c r="AN854" s="1530"/>
      <c r="AO854" s="1530"/>
      <c r="AP854" s="1530"/>
      <c r="AQ854" s="1530"/>
      <c r="AR854" s="1530"/>
      <c r="AS854" s="1530"/>
      <c r="AT854" s="1530"/>
      <c r="AU854" s="1530"/>
      <c r="AV854" s="1530"/>
      <c r="AW854" s="1530"/>
      <c r="AX854" s="1530"/>
      <c r="AY854" s="1530"/>
      <c r="AZ854" s="1530"/>
      <c r="BA854" s="1530"/>
      <c r="BB854" s="1530"/>
      <c r="BC854" s="1530"/>
      <c r="BD854" s="1530"/>
      <c r="BE854" s="1530"/>
      <c r="BF854" s="1530"/>
      <c r="BG854" s="1530"/>
      <c r="BH854" s="1530"/>
      <c r="BI854" s="1530"/>
      <c r="BJ854" s="1530"/>
      <c r="BK854" s="1530"/>
      <c r="BL854" s="1530"/>
      <c r="BM854" s="1530"/>
      <c r="BN854" s="1530"/>
      <c r="BW854" s="1569"/>
      <c r="CO854" s="1530"/>
      <c r="CP854" s="1530"/>
      <c r="CQ854" s="1530"/>
      <c r="CR854" s="1530"/>
      <c r="CS854" s="1530"/>
      <c r="CT854" s="1530"/>
      <c r="CU854" s="1530"/>
      <c r="CV854" s="1530"/>
      <c r="CW854" s="1530"/>
      <c r="CX854" s="1530"/>
      <c r="CY854" s="1530"/>
      <c r="CZ854" s="1530"/>
      <c r="DA854" s="1530"/>
      <c r="DB854" s="1530"/>
      <c r="DC854" s="1530"/>
      <c r="DD854" s="1530"/>
      <c r="DE854" s="1530"/>
      <c r="DF854" s="1530"/>
      <c r="DG854" s="1530"/>
      <c r="DH854" s="1530"/>
      <c r="DI854" s="1530"/>
      <c r="DJ854" s="1530"/>
      <c r="DK854" s="1530"/>
      <c r="DL854" s="1530"/>
      <c r="DM854" s="1530"/>
      <c r="DN854" s="1571"/>
      <c r="DO854" s="1530"/>
      <c r="DP854" s="1530"/>
    </row>
    <row r="855" spans="1:120">
      <c r="A855" s="1451"/>
      <c r="C855" s="1451"/>
      <c r="K855" s="1451"/>
      <c r="L855" s="1451"/>
      <c r="U855" s="1530"/>
      <c r="V855" s="1530"/>
      <c r="W855" s="1530"/>
      <c r="X855" s="1530"/>
      <c r="Y855" s="1530"/>
      <c r="Z855" s="1530"/>
      <c r="AA855" s="1530"/>
      <c r="AB855" s="1530"/>
      <c r="AC855" s="1530"/>
      <c r="AD855" s="1530"/>
      <c r="AE855" s="1530"/>
      <c r="AF855" s="1530"/>
      <c r="AG855" s="1530"/>
      <c r="AH855" s="1530"/>
      <c r="AI855" s="1530"/>
      <c r="AJ855" s="1530"/>
      <c r="AK855" s="1530"/>
      <c r="AL855" s="1530"/>
      <c r="AM855" s="1530"/>
      <c r="AN855" s="1530"/>
      <c r="AO855" s="1530"/>
      <c r="AP855" s="1530"/>
      <c r="AQ855" s="1530"/>
      <c r="AR855" s="1530"/>
      <c r="AS855" s="1530"/>
      <c r="AT855" s="1530"/>
      <c r="AU855" s="1530"/>
      <c r="AV855" s="1530"/>
      <c r="AW855" s="1530"/>
      <c r="AX855" s="1530"/>
      <c r="AY855" s="1530"/>
      <c r="AZ855" s="1530"/>
      <c r="BA855" s="1530"/>
      <c r="BB855" s="1530"/>
      <c r="BC855" s="1530"/>
      <c r="BD855" s="1530"/>
      <c r="BE855" s="1530"/>
      <c r="BF855" s="1530"/>
      <c r="BG855" s="1530"/>
      <c r="BH855" s="1530"/>
      <c r="BI855" s="1530"/>
      <c r="BJ855" s="1530"/>
      <c r="BK855" s="1530"/>
      <c r="BL855" s="1530"/>
      <c r="BM855" s="1530"/>
      <c r="BN855" s="1530"/>
      <c r="BW855" s="1569"/>
      <c r="CO855" s="1530"/>
      <c r="CP855" s="1530"/>
      <c r="CQ855" s="1530"/>
      <c r="CR855" s="1530"/>
      <c r="CS855" s="1530"/>
      <c r="CT855" s="1530"/>
      <c r="CU855" s="1530"/>
      <c r="CV855" s="1530"/>
      <c r="CW855" s="1530"/>
      <c r="CX855" s="1530"/>
      <c r="CY855" s="1530"/>
      <c r="CZ855" s="1530"/>
      <c r="DA855" s="1530"/>
      <c r="DB855" s="1530"/>
      <c r="DC855" s="1530"/>
      <c r="DD855" s="1530"/>
      <c r="DE855" s="1530"/>
      <c r="DF855" s="1530"/>
      <c r="DG855" s="1530"/>
      <c r="DH855" s="1530"/>
      <c r="DI855" s="1530"/>
      <c r="DJ855" s="1530"/>
      <c r="DK855" s="1530"/>
      <c r="DL855" s="1530"/>
      <c r="DM855" s="1530"/>
      <c r="DN855" s="1571"/>
      <c r="DO855" s="1530"/>
      <c r="DP855" s="1530"/>
    </row>
    <row r="856" spans="1:120">
      <c r="A856" s="1451"/>
      <c r="C856" s="1451"/>
      <c r="K856" s="1451"/>
      <c r="L856" s="1451"/>
      <c r="U856" s="1530"/>
      <c r="V856" s="1530"/>
      <c r="W856" s="1530"/>
      <c r="X856" s="1530"/>
      <c r="Y856" s="1530"/>
      <c r="Z856" s="1530"/>
      <c r="AA856" s="1530"/>
      <c r="AB856" s="1530"/>
      <c r="AC856" s="1530"/>
      <c r="AD856" s="1530"/>
      <c r="AE856" s="1530"/>
      <c r="AF856" s="1530"/>
      <c r="AG856" s="1530"/>
      <c r="AH856" s="1530"/>
      <c r="AI856" s="1530"/>
      <c r="AJ856" s="1530"/>
      <c r="AK856" s="1530"/>
      <c r="AL856" s="1530"/>
      <c r="AM856" s="1530"/>
      <c r="AN856" s="1530"/>
      <c r="AO856" s="1530"/>
      <c r="AP856" s="1530"/>
      <c r="AQ856" s="1530"/>
      <c r="AR856" s="1530"/>
      <c r="AS856" s="1530"/>
      <c r="AT856" s="1530"/>
      <c r="AU856" s="1530"/>
      <c r="AV856" s="1530"/>
      <c r="AW856" s="1530"/>
      <c r="AX856" s="1530"/>
      <c r="AY856" s="1530"/>
      <c r="AZ856" s="1530"/>
      <c r="BA856" s="1530"/>
      <c r="BB856" s="1530"/>
      <c r="BC856" s="1530"/>
      <c r="BD856" s="1530"/>
      <c r="BE856" s="1530"/>
      <c r="BF856" s="1530"/>
      <c r="BG856" s="1530"/>
      <c r="BH856" s="1530"/>
      <c r="BI856" s="1530"/>
      <c r="BJ856" s="1530"/>
      <c r="BK856" s="1530"/>
      <c r="BL856" s="1530"/>
      <c r="BM856" s="1530"/>
      <c r="BN856" s="1530"/>
      <c r="BW856" s="1569"/>
      <c r="CO856" s="1530"/>
      <c r="CP856" s="1530"/>
      <c r="CQ856" s="1530"/>
      <c r="CR856" s="1530"/>
      <c r="CS856" s="1530"/>
      <c r="CT856" s="1530"/>
      <c r="CU856" s="1530"/>
      <c r="CV856" s="1530"/>
      <c r="CW856" s="1530"/>
      <c r="CX856" s="1530"/>
      <c r="CY856" s="1530"/>
      <c r="CZ856" s="1530"/>
      <c r="DA856" s="1530"/>
      <c r="DB856" s="1530"/>
      <c r="DC856" s="1530"/>
      <c r="DD856" s="1530"/>
      <c r="DE856" s="1530"/>
      <c r="DF856" s="1530"/>
      <c r="DG856" s="1530"/>
      <c r="DH856" s="1530"/>
      <c r="DI856" s="1530"/>
      <c r="DJ856" s="1530"/>
      <c r="DK856" s="1530"/>
      <c r="DL856" s="1530"/>
      <c r="DM856" s="1530"/>
      <c r="DN856" s="1571"/>
      <c r="DO856" s="1530"/>
      <c r="DP856" s="1530"/>
    </row>
    <row r="857" spans="1:120">
      <c r="A857" s="1451"/>
      <c r="C857" s="1451"/>
      <c r="K857" s="1451"/>
      <c r="L857" s="1451"/>
      <c r="U857" s="1530"/>
      <c r="V857" s="1530"/>
      <c r="W857" s="1530"/>
      <c r="X857" s="1530"/>
      <c r="Y857" s="1530"/>
      <c r="Z857" s="1530"/>
      <c r="AA857" s="1530"/>
      <c r="AB857" s="1530"/>
      <c r="AC857" s="1530"/>
      <c r="AD857" s="1530"/>
      <c r="AE857" s="1530"/>
      <c r="AF857" s="1530"/>
      <c r="AG857" s="1530"/>
      <c r="AH857" s="1530"/>
      <c r="AI857" s="1530"/>
      <c r="AJ857" s="1530"/>
      <c r="AK857" s="1530"/>
      <c r="AL857" s="1530"/>
      <c r="AM857" s="1530"/>
      <c r="AN857" s="1530"/>
      <c r="AO857" s="1530"/>
      <c r="AP857" s="1530"/>
      <c r="AQ857" s="1530"/>
      <c r="AR857" s="1530"/>
      <c r="AS857" s="1530"/>
      <c r="AT857" s="1530"/>
      <c r="AU857" s="1530"/>
      <c r="AV857" s="1530"/>
      <c r="AW857" s="1530"/>
      <c r="AX857" s="1530"/>
      <c r="AY857" s="1530"/>
      <c r="AZ857" s="1530"/>
      <c r="BA857" s="1530"/>
      <c r="BB857" s="1530"/>
      <c r="BC857" s="1530"/>
      <c r="BD857" s="1530"/>
      <c r="BE857" s="1530"/>
      <c r="BF857" s="1530"/>
      <c r="BG857" s="1530"/>
      <c r="BH857" s="1530"/>
      <c r="BI857" s="1530"/>
      <c r="BJ857" s="1530"/>
      <c r="BK857" s="1530"/>
      <c r="BL857" s="1530"/>
      <c r="BM857" s="1530"/>
      <c r="BN857" s="1530"/>
      <c r="BW857" s="1569"/>
      <c r="CO857" s="1530"/>
      <c r="CP857" s="1530"/>
      <c r="CQ857" s="1530"/>
      <c r="CR857" s="1530"/>
      <c r="CS857" s="1530"/>
      <c r="CT857" s="1530"/>
      <c r="CU857" s="1530"/>
      <c r="CV857" s="1530"/>
      <c r="CW857" s="1530"/>
      <c r="CX857" s="1530"/>
      <c r="CY857" s="1530"/>
      <c r="CZ857" s="1530"/>
      <c r="DA857" s="1530"/>
      <c r="DB857" s="1530"/>
      <c r="DC857" s="1530"/>
      <c r="DD857" s="1530"/>
      <c r="DE857" s="1530"/>
      <c r="DF857" s="1530"/>
      <c r="DG857" s="1530"/>
      <c r="DH857" s="1530"/>
      <c r="DI857" s="1530"/>
      <c r="DJ857" s="1530"/>
      <c r="DK857" s="1530"/>
      <c r="DL857" s="1530"/>
      <c r="DM857" s="1530"/>
      <c r="DN857" s="1571"/>
      <c r="DO857" s="1530"/>
      <c r="DP857" s="1530"/>
    </row>
    <row r="858" spans="1:120">
      <c r="A858" s="1451"/>
      <c r="C858" s="1451"/>
      <c r="K858" s="1451"/>
      <c r="L858" s="1451"/>
      <c r="U858" s="1530"/>
      <c r="V858" s="1530"/>
      <c r="W858" s="1530"/>
      <c r="X858" s="1530"/>
      <c r="Y858" s="1530"/>
      <c r="Z858" s="1530"/>
      <c r="AA858" s="1530"/>
      <c r="AB858" s="1530"/>
      <c r="AC858" s="1530"/>
      <c r="AD858" s="1530"/>
      <c r="AE858" s="1530"/>
      <c r="AF858" s="1530"/>
      <c r="AG858" s="1530"/>
      <c r="AH858" s="1530"/>
      <c r="AI858" s="1530"/>
      <c r="AJ858" s="1530"/>
      <c r="AK858" s="1530"/>
      <c r="AL858" s="1530"/>
      <c r="AM858" s="1530"/>
      <c r="AN858" s="1530"/>
      <c r="AO858" s="1530"/>
      <c r="AP858" s="1530"/>
      <c r="AQ858" s="1530"/>
      <c r="AR858" s="1530"/>
      <c r="AS858" s="1530"/>
      <c r="AT858" s="1530"/>
      <c r="AU858" s="1530"/>
      <c r="AV858" s="1530"/>
      <c r="AW858" s="1530"/>
      <c r="AX858" s="1530"/>
      <c r="AY858" s="1530"/>
      <c r="AZ858" s="1530"/>
      <c r="BA858" s="1530"/>
      <c r="BB858" s="1530"/>
      <c r="BC858" s="1530"/>
      <c r="BD858" s="1530"/>
      <c r="BE858" s="1530"/>
      <c r="BF858" s="1530"/>
      <c r="BG858" s="1530"/>
      <c r="BH858" s="1530"/>
      <c r="BI858" s="1530"/>
      <c r="BJ858" s="1530"/>
      <c r="BK858" s="1530"/>
      <c r="BL858" s="1530"/>
      <c r="BM858" s="1530"/>
      <c r="BN858" s="1530"/>
      <c r="BW858" s="1569"/>
      <c r="CO858" s="1530"/>
      <c r="CP858" s="1530"/>
      <c r="CQ858" s="1530"/>
      <c r="CR858" s="1530"/>
      <c r="CS858" s="1530"/>
      <c r="CT858" s="1530"/>
      <c r="CU858" s="1530"/>
      <c r="CV858" s="1530"/>
      <c r="CW858" s="1530"/>
      <c r="CX858" s="1530"/>
      <c r="CY858" s="1530"/>
      <c r="CZ858" s="1530"/>
      <c r="DA858" s="1530"/>
      <c r="DB858" s="1530"/>
      <c r="DC858" s="1530"/>
      <c r="DD858" s="1530"/>
      <c r="DE858" s="1530"/>
      <c r="DF858" s="1530"/>
      <c r="DG858" s="1530"/>
      <c r="DH858" s="1530"/>
      <c r="DI858" s="1530"/>
      <c r="DJ858" s="1530"/>
      <c r="DK858" s="1530"/>
      <c r="DL858" s="1530"/>
      <c r="DM858" s="1530"/>
      <c r="DN858" s="1571"/>
      <c r="DO858" s="1530"/>
      <c r="DP858" s="1530"/>
    </row>
    <row r="859" spans="1:120">
      <c r="A859" s="1451"/>
      <c r="C859" s="1451"/>
      <c r="K859" s="1451"/>
      <c r="L859" s="1451"/>
      <c r="U859" s="1530"/>
      <c r="V859" s="1530"/>
      <c r="W859" s="1530"/>
      <c r="X859" s="1530"/>
      <c r="Y859" s="1530"/>
      <c r="Z859" s="1530"/>
      <c r="AA859" s="1530"/>
      <c r="AB859" s="1530"/>
      <c r="AC859" s="1530"/>
      <c r="AD859" s="1530"/>
      <c r="AE859" s="1530"/>
      <c r="AF859" s="1530"/>
      <c r="AG859" s="1530"/>
      <c r="AH859" s="1530"/>
      <c r="AI859" s="1530"/>
      <c r="AJ859" s="1530"/>
      <c r="AK859" s="1530"/>
      <c r="AL859" s="1530"/>
      <c r="AM859" s="1530"/>
      <c r="AN859" s="1530"/>
      <c r="AO859" s="1530"/>
      <c r="AP859" s="1530"/>
      <c r="AQ859" s="1530"/>
      <c r="AR859" s="1530"/>
      <c r="AS859" s="1530"/>
      <c r="AT859" s="1530"/>
      <c r="AU859" s="1530"/>
      <c r="AV859" s="1530"/>
      <c r="AW859" s="1530"/>
      <c r="AX859" s="1530"/>
      <c r="AY859" s="1530"/>
      <c r="AZ859" s="1530"/>
      <c r="BA859" s="1530"/>
      <c r="BB859" s="1530"/>
      <c r="BC859" s="1530"/>
      <c r="BD859" s="1530"/>
      <c r="BE859" s="1530"/>
      <c r="BF859" s="1530"/>
      <c r="BG859" s="1530"/>
      <c r="BH859" s="1530"/>
      <c r="BI859" s="1530"/>
      <c r="BJ859" s="1530"/>
      <c r="BK859" s="1530"/>
      <c r="BL859" s="1530"/>
      <c r="BM859" s="1530"/>
      <c r="BN859" s="1530"/>
      <c r="BW859" s="1569"/>
      <c r="CO859" s="1530"/>
      <c r="CP859" s="1530"/>
      <c r="CQ859" s="1530"/>
      <c r="CR859" s="1530"/>
      <c r="CS859" s="1530"/>
      <c r="CT859" s="1530"/>
      <c r="CU859" s="1530"/>
      <c r="CV859" s="1530"/>
      <c r="CW859" s="1530"/>
      <c r="CX859" s="1530"/>
      <c r="CY859" s="1530"/>
      <c r="CZ859" s="1530"/>
      <c r="DA859" s="1530"/>
      <c r="DB859" s="1530"/>
      <c r="DC859" s="1530"/>
      <c r="DD859" s="1530"/>
      <c r="DE859" s="1530"/>
      <c r="DF859" s="1530"/>
      <c r="DG859" s="1530"/>
      <c r="DH859" s="1530"/>
      <c r="DI859" s="1530"/>
      <c r="DJ859" s="1530"/>
      <c r="DK859" s="1530"/>
      <c r="DL859" s="1530"/>
      <c r="DM859" s="1530"/>
      <c r="DN859" s="1571"/>
      <c r="DO859" s="1530"/>
      <c r="DP859" s="1530"/>
    </row>
    <row r="860" spans="1:120">
      <c r="A860" s="1451"/>
      <c r="C860" s="1451"/>
      <c r="K860" s="1451"/>
      <c r="L860" s="1451"/>
      <c r="U860" s="1530"/>
      <c r="V860" s="1530"/>
      <c r="W860" s="1530"/>
      <c r="X860" s="1530"/>
      <c r="Y860" s="1530"/>
      <c r="Z860" s="1530"/>
      <c r="AA860" s="1530"/>
      <c r="AB860" s="1530"/>
      <c r="AC860" s="1530"/>
      <c r="AD860" s="1530"/>
      <c r="AE860" s="1530"/>
      <c r="AF860" s="1530"/>
      <c r="AG860" s="1530"/>
      <c r="AH860" s="1530"/>
      <c r="AI860" s="1530"/>
      <c r="AJ860" s="1530"/>
      <c r="AK860" s="1530"/>
      <c r="AL860" s="1530"/>
      <c r="AM860" s="1530"/>
      <c r="AN860" s="1530"/>
      <c r="AO860" s="1530"/>
      <c r="AP860" s="1530"/>
      <c r="AQ860" s="1530"/>
      <c r="AR860" s="1530"/>
      <c r="AS860" s="1530"/>
      <c r="AT860" s="1530"/>
      <c r="AU860" s="1530"/>
      <c r="AV860" s="1530"/>
      <c r="AW860" s="1530"/>
      <c r="AX860" s="1530"/>
      <c r="AY860" s="1530"/>
      <c r="AZ860" s="1530"/>
      <c r="BA860" s="1530"/>
      <c r="BB860" s="1530"/>
      <c r="BC860" s="1530"/>
      <c r="BD860" s="1530"/>
      <c r="BE860" s="1530"/>
      <c r="BF860" s="1530"/>
      <c r="BG860" s="1530"/>
      <c r="BH860" s="1530"/>
      <c r="BI860" s="1530"/>
      <c r="BJ860" s="1530"/>
      <c r="BK860" s="1530"/>
      <c r="BL860" s="1530"/>
      <c r="BM860" s="1530"/>
      <c r="BN860" s="1530"/>
      <c r="BW860" s="1569"/>
      <c r="CO860" s="1530"/>
      <c r="CP860" s="1530"/>
      <c r="CQ860" s="1530"/>
      <c r="CR860" s="1530"/>
      <c r="CS860" s="1530"/>
      <c r="CT860" s="1530"/>
      <c r="CU860" s="1530"/>
      <c r="CV860" s="1530"/>
      <c r="CW860" s="1530"/>
      <c r="CX860" s="1530"/>
      <c r="CY860" s="1530"/>
      <c r="CZ860" s="1530"/>
      <c r="DA860" s="1530"/>
      <c r="DB860" s="1530"/>
      <c r="DC860" s="1530"/>
      <c r="DD860" s="1530"/>
      <c r="DE860" s="1530"/>
      <c r="DF860" s="1530"/>
      <c r="DG860" s="1530"/>
      <c r="DH860" s="1530"/>
      <c r="DI860" s="1530"/>
      <c r="DJ860" s="1530"/>
      <c r="DK860" s="1530"/>
      <c r="DL860" s="1530"/>
      <c r="DM860" s="1530"/>
      <c r="DN860" s="1571"/>
      <c r="DO860" s="1530"/>
      <c r="DP860" s="1530"/>
    </row>
    <row r="861" spans="1:120">
      <c r="A861" s="1451"/>
      <c r="C861" s="1451"/>
      <c r="K861" s="1451"/>
      <c r="L861" s="1451"/>
      <c r="U861" s="1530"/>
      <c r="V861" s="1530"/>
      <c r="W861" s="1530"/>
      <c r="X861" s="1530"/>
      <c r="Y861" s="1530"/>
      <c r="Z861" s="1530"/>
      <c r="AA861" s="1530"/>
      <c r="AB861" s="1530"/>
      <c r="AC861" s="1530"/>
      <c r="AD861" s="1530"/>
      <c r="AE861" s="1530"/>
      <c r="AF861" s="1530"/>
      <c r="AG861" s="1530"/>
      <c r="AH861" s="1530"/>
      <c r="AI861" s="1530"/>
      <c r="AJ861" s="1530"/>
      <c r="AK861" s="1530"/>
      <c r="AL861" s="1530"/>
      <c r="AM861" s="1530"/>
      <c r="AN861" s="1530"/>
      <c r="AO861" s="1530"/>
      <c r="AP861" s="1530"/>
      <c r="AQ861" s="1530"/>
      <c r="AR861" s="1530"/>
      <c r="AS861" s="1530"/>
      <c r="AT861" s="1530"/>
      <c r="AU861" s="1530"/>
      <c r="AV861" s="1530"/>
      <c r="AW861" s="1530"/>
      <c r="AX861" s="1530"/>
      <c r="AY861" s="1530"/>
      <c r="AZ861" s="1530"/>
      <c r="BA861" s="1530"/>
      <c r="BB861" s="1530"/>
      <c r="BC861" s="1530"/>
      <c r="BD861" s="1530"/>
      <c r="BE861" s="1530"/>
      <c r="BF861" s="1530"/>
      <c r="BG861" s="1530"/>
      <c r="BH861" s="1530"/>
      <c r="BI861" s="1530"/>
      <c r="BJ861" s="1530"/>
      <c r="BK861" s="1530"/>
      <c r="BL861" s="1530"/>
      <c r="BM861" s="1530"/>
      <c r="BN861" s="1530"/>
      <c r="BW861" s="1569"/>
      <c r="CO861" s="1530"/>
      <c r="CP861" s="1530"/>
      <c r="CQ861" s="1530"/>
      <c r="CR861" s="1530"/>
      <c r="CS861" s="1530"/>
      <c r="CT861" s="1530"/>
      <c r="CU861" s="1530"/>
      <c r="CV861" s="1530"/>
      <c r="CW861" s="1530"/>
      <c r="CX861" s="1530"/>
      <c r="CY861" s="1530"/>
      <c r="CZ861" s="1530"/>
      <c r="DA861" s="1530"/>
      <c r="DB861" s="1530"/>
      <c r="DC861" s="1530"/>
      <c r="DD861" s="1530"/>
      <c r="DE861" s="1530"/>
      <c r="DF861" s="1530"/>
      <c r="DG861" s="1530"/>
      <c r="DH861" s="1530"/>
      <c r="DI861" s="1530"/>
      <c r="DJ861" s="1530"/>
      <c r="DK861" s="1530"/>
      <c r="DL861" s="1530"/>
      <c r="DM861" s="1530"/>
      <c r="DN861" s="1571"/>
      <c r="DO861" s="1530"/>
      <c r="DP861" s="1530"/>
    </row>
    <row r="862" spans="1:120">
      <c r="A862" s="1451"/>
      <c r="C862" s="1451"/>
      <c r="K862" s="1451"/>
      <c r="L862" s="1451"/>
      <c r="U862" s="1530"/>
      <c r="V862" s="1530"/>
      <c r="W862" s="1530"/>
      <c r="X862" s="1530"/>
      <c r="Y862" s="1530"/>
      <c r="Z862" s="1530"/>
      <c r="AA862" s="1530"/>
      <c r="AB862" s="1530"/>
      <c r="AC862" s="1530"/>
      <c r="AD862" s="1530"/>
      <c r="AE862" s="1530"/>
      <c r="AF862" s="1530"/>
      <c r="AG862" s="1530"/>
      <c r="AH862" s="1530"/>
      <c r="AI862" s="1530"/>
      <c r="AJ862" s="1530"/>
      <c r="AK862" s="1530"/>
      <c r="AL862" s="1530"/>
      <c r="AM862" s="1530"/>
      <c r="AN862" s="1530"/>
      <c r="AO862" s="1530"/>
      <c r="AP862" s="1530"/>
      <c r="AQ862" s="1530"/>
      <c r="AR862" s="1530"/>
      <c r="AS862" s="1530"/>
      <c r="AT862" s="1530"/>
      <c r="AU862" s="1530"/>
      <c r="AV862" s="1530"/>
      <c r="AW862" s="1530"/>
      <c r="AX862" s="1530"/>
      <c r="AY862" s="1530"/>
      <c r="AZ862" s="1530"/>
      <c r="BA862" s="1530"/>
      <c r="BB862" s="1530"/>
      <c r="BC862" s="1530"/>
      <c r="BD862" s="1530"/>
      <c r="BE862" s="1530"/>
      <c r="BF862" s="1530"/>
      <c r="BG862" s="1530"/>
      <c r="BH862" s="1530"/>
      <c r="BI862" s="1530"/>
      <c r="BJ862" s="1530"/>
      <c r="BK862" s="1530"/>
      <c r="BL862" s="1530"/>
      <c r="BM862" s="1530"/>
      <c r="BN862" s="1530"/>
      <c r="BW862" s="1569"/>
      <c r="CO862" s="1530"/>
      <c r="CP862" s="1530"/>
      <c r="CQ862" s="1530"/>
      <c r="CR862" s="1530"/>
      <c r="CS862" s="1530"/>
      <c r="CT862" s="1530"/>
      <c r="CU862" s="1530"/>
      <c r="CV862" s="1530"/>
      <c r="CW862" s="1530"/>
      <c r="CX862" s="1530"/>
      <c r="CY862" s="1530"/>
      <c r="CZ862" s="1530"/>
      <c r="DA862" s="1530"/>
      <c r="DB862" s="1530"/>
      <c r="DC862" s="1530"/>
      <c r="DD862" s="1530"/>
      <c r="DE862" s="1530"/>
      <c r="DF862" s="1530"/>
      <c r="DG862" s="1530"/>
      <c r="DH862" s="1530"/>
      <c r="DI862" s="1530"/>
      <c r="DJ862" s="1530"/>
      <c r="DK862" s="1530"/>
      <c r="DL862" s="1530"/>
      <c r="DM862" s="1530"/>
      <c r="DN862" s="1571"/>
      <c r="DO862" s="1530"/>
      <c r="DP862" s="1530"/>
    </row>
    <row r="863" spans="1:120">
      <c r="A863" s="1451"/>
      <c r="C863" s="1451"/>
      <c r="K863" s="1451"/>
      <c r="L863" s="1451"/>
      <c r="U863" s="1530"/>
      <c r="V863" s="1530"/>
      <c r="W863" s="1530"/>
      <c r="X863" s="1530"/>
      <c r="Y863" s="1530"/>
      <c r="Z863" s="1530"/>
      <c r="AA863" s="1530"/>
      <c r="AB863" s="1530"/>
      <c r="AC863" s="1530"/>
      <c r="AD863" s="1530"/>
      <c r="AE863" s="1530"/>
      <c r="AF863" s="1530"/>
      <c r="AG863" s="1530"/>
      <c r="AH863" s="1530"/>
      <c r="AI863" s="1530"/>
      <c r="AJ863" s="1530"/>
      <c r="AK863" s="1530"/>
      <c r="AL863" s="1530"/>
      <c r="AM863" s="1530"/>
      <c r="AN863" s="1530"/>
      <c r="AO863" s="1530"/>
      <c r="AP863" s="1530"/>
      <c r="AQ863" s="1530"/>
      <c r="AR863" s="1530"/>
      <c r="AS863" s="1530"/>
      <c r="AT863" s="1530"/>
      <c r="AU863" s="1530"/>
      <c r="AV863" s="1530"/>
      <c r="AW863" s="1530"/>
      <c r="AX863" s="1530"/>
      <c r="AY863" s="1530"/>
      <c r="AZ863" s="1530"/>
      <c r="BA863" s="1530"/>
      <c r="BB863" s="1530"/>
      <c r="BC863" s="1530"/>
      <c r="BD863" s="1530"/>
      <c r="BE863" s="1530"/>
      <c r="BF863" s="1530"/>
      <c r="BG863" s="1530"/>
      <c r="BH863" s="1530"/>
      <c r="BI863" s="1530"/>
      <c r="BJ863" s="1530"/>
      <c r="BK863" s="1530"/>
      <c r="BL863" s="1530"/>
      <c r="BM863" s="1530"/>
      <c r="BN863" s="1530"/>
      <c r="BW863" s="1569"/>
      <c r="CO863" s="1530"/>
      <c r="CP863" s="1530"/>
      <c r="CQ863" s="1530"/>
      <c r="CR863" s="1530"/>
      <c r="CS863" s="1530"/>
      <c r="CT863" s="1530"/>
      <c r="CU863" s="1530"/>
      <c r="CV863" s="1530"/>
      <c r="CW863" s="1530"/>
      <c r="CX863" s="1530"/>
      <c r="CY863" s="1530"/>
      <c r="CZ863" s="1530"/>
      <c r="DA863" s="1530"/>
      <c r="DB863" s="1530"/>
      <c r="DC863" s="1530"/>
      <c r="DD863" s="1530"/>
      <c r="DE863" s="1530"/>
      <c r="DF863" s="1530"/>
      <c r="DG863" s="1530"/>
      <c r="DH863" s="1530"/>
      <c r="DI863" s="1530"/>
      <c r="DJ863" s="1530"/>
      <c r="DK863" s="1530"/>
      <c r="DL863" s="1530"/>
      <c r="DM863" s="1530"/>
      <c r="DN863" s="1571"/>
      <c r="DO863" s="1530"/>
      <c r="DP863" s="1530"/>
    </row>
    <row r="864" spans="1:120">
      <c r="A864" s="1451"/>
      <c r="C864" s="1451"/>
      <c r="K864" s="1451"/>
      <c r="L864" s="1451"/>
      <c r="U864" s="1530"/>
      <c r="V864" s="1530"/>
      <c r="W864" s="1530"/>
      <c r="X864" s="1530"/>
      <c r="Y864" s="1530"/>
      <c r="Z864" s="1530"/>
      <c r="AA864" s="1530"/>
      <c r="AB864" s="1530"/>
      <c r="AC864" s="1530"/>
      <c r="AD864" s="1530"/>
      <c r="AE864" s="1530"/>
      <c r="AF864" s="1530"/>
      <c r="AG864" s="1530"/>
      <c r="AH864" s="1530"/>
      <c r="AI864" s="1530"/>
      <c r="AJ864" s="1530"/>
      <c r="AK864" s="1530"/>
      <c r="AL864" s="1530"/>
      <c r="AM864" s="1530"/>
      <c r="AN864" s="1530"/>
      <c r="AO864" s="1530"/>
      <c r="AP864" s="1530"/>
      <c r="AQ864" s="1530"/>
      <c r="AR864" s="1530"/>
      <c r="AS864" s="1530"/>
      <c r="AT864" s="1530"/>
      <c r="AU864" s="1530"/>
      <c r="AV864" s="1530"/>
      <c r="AW864" s="1530"/>
      <c r="AX864" s="1530"/>
      <c r="AY864" s="1530"/>
      <c r="AZ864" s="1530"/>
      <c r="BA864" s="1530"/>
      <c r="BB864" s="1530"/>
      <c r="BC864" s="1530"/>
      <c r="BD864" s="1530"/>
      <c r="BE864" s="1530"/>
      <c r="BF864" s="1530"/>
      <c r="BG864" s="1530"/>
      <c r="BH864" s="1530"/>
      <c r="BI864" s="1530"/>
      <c r="BJ864" s="1530"/>
      <c r="BK864" s="1530"/>
      <c r="BL864" s="1530"/>
      <c r="BM864" s="1530"/>
      <c r="BN864" s="1530"/>
      <c r="BW864" s="1569"/>
      <c r="CO864" s="1530"/>
      <c r="CP864" s="1530"/>
      <c r="CQ864" s="1530"/>
      <c r="CR864" s="1530"/>
      <c r="CS864" s="1530"/>
      <c r="CT864" s="1530"/>
      <c r="CU864" s="1530"/>
      <c r="CV864" s="1530"/>
      <c r="CW864" s="1530"/>
      <c r="CX864" s="1530"/>
      <c r="CY864" s="1530"/>
      <c r="CZ864" s="1530"/>
      <c r="DA864" s="1530"/>
      <c r="DB864" s="1530"/>
      <c r="DC864" s="1530"/>
      <c r="DD864" s="1530"/>
      <c r="DE864" s="1530"/>
      <c r="DF864" s="1530"/>
      <c r="DG864" s="1530"/>
      <c r="DH864" s="1530"/>
      <c r="DI864" s="1530"/>
      <c r="DJ864" s="1530"/>
      <c r="DK864" s="1530"/>
      <c r="DL864" s="1530"/>
      <c r="DM864" s="1530"/>
      <c r="DN864" s="1571"/>
      <c r="DO864" s="1530"/>
      <c r="DP864" s="1530"/>
    </row>
    <row r="865" spans="1:120">
      <c r="A865" s="1451"/>
      <c r="C865" s="1451"/>
      <c r="K865" s="1451"/>
      <c r="L865" s="1451"/>
      <c r="U865" s="1530"/>
      <c r="V865" s="1530"/>
      <c r="W865" s="1530"/>
      <c r="X865" s="1530"/>
      <c r="Y865" s="1530"/>
      <c r="Z865" s="1530"/>
      <c r="AA865" s="1530"/>
      <c r="AB865" s="1530"/>
      <c r="AC865" s="1530"/>
      <c r="AD865" s="1530"/>
      <c r="AE865" s="1530"/>
      <c r="AF865" s="1530"/>
      <c r="AG865" s="1530"/>
      <c r="AH865" s="1530"/>
      <c r="AI865" s="1530"/>
      <c r="AJ865" s="1530"/>
      <c r="AK865" s="1530"/>
      <c r="AL865" s="1530"/>
      <c r="AM865" s="1530"/>
      <c r="AN865" s="1530"/>
      <c r="AO865" s="1530"/>
      <c r="AP865" s="1530"/>
      <c r="AQ865" s="1530"/>
      <c r="AR865" s="1530"/>
      <c r="AS865" s="1530"/>
      <c r="AT865" s="1530"/>
      <c r="AU865" s="1530"/>
      <c r="AV865" s="1530"/>
      <c r="AW865" s="1530"/>
      <c r="AX865" s="1530"/>
      <c r="AY865" s="1530"/>
      <c r="AZ865" s="1530"/>
      <c r="BA865" s="1530"/>
      <c r="BB865" s="1530"/>
      <c r="BC865" s="1530"/>
      <c r="BD865" s="1530"/>
      <c r="BE865" s="1530"/>
      <c r="BF865" s="1530"/>
      <c r="BG865" s="1530"/>
      <c r="BH865" s="1530"/>
      <c r="BI865" s="1530"/>
      <c r="BJ865" s="1530"/>
      <c r="BK865" s="1530"/>
      <c r="BL865" s="1530"/>
      <c r="BM865" s="1530"/>
      <c r="BN865" s="1530"/>
      <c r="BW865" s="1569"/>
      <c r="CO865" s="1530"/>
      <c r="CP865" s="1530"/>
      <c r="CQ865" s="1530"/>
      <c r="CR865" s="1530"/>
      <c r="CS865" s="1530"/>
      <c r="CT865" s="1530"/>
      <c r="CU865" s="1530"/>
      <c r="CV865" s="1530"/>
      <c r="CW865" s="1530"/>
      <c r="CX865" s="1530"/>
      <c r="CY865" s="1530"/>
      <c r="CZ865" s="1530"/>
      <c r="DA865" s="1530"/>
      <c r="DB865" s="1530"/>
      <c r="DC865" s="1530"/>
      <c r="DD865" s="1530"/>
      <c r="DE865" s="1530"/>
      <c r="DF865" s="1530"/>
      <c r="DG865" s="1530"/>
      <c r="DH865" s="1530"/>
      <c r="DI865" s="1530"/>
      <c r="DJ865" s="1530"/>
      <c r="DK865" s="1530"/>
      <c r="DL865" s="1530"/>
      <c r="DM865" s="1530"/>
      <c r="DN865" s="1571"/>
      <c r="DO865" s="1530"/>
      <c r="DP865" s="1530"/>
    </row>
    <row r="866" spans="1:120">
      <c r="A866" s="1451"/>
      <c r="C866" s="1451"/>
      <c r="K866" s="1451"/>
      <c r="L866" s="1451"/>
      <c r="U866" s="1530"/>
      <c r="V866" s="1530"/>
      <c r="W866" s="1530"/>
      <c r="X866" s="1530"/>
      <c r="Y866" s="1530"/>
      <c r="Z866" s="1530"/>
      <c r="AA866" s="1530"/>
      <c r="AB866" s="1530"/>
      <c r="AC866" s="1530"/>
      <c r="AD866" s="1530"/>
      <c r="AE866" s="1530"/>
      <c r="AF866" s="1530"/>
      <c r="AG866" s="1530"/>
      <c r="AH866" s="1530"/>
      <c r="AI866" s="1530"/>
      <c r="AJ866" s="1530"/>
      <c r="AK866" s="1530"/>
      <c r="AL866" s="1530"/>
      <c r="AM866" s="1530"/>
      <c r="AN866" s="1530"/>
      <c r="AO866" s="1530"/>
      <c r="AP866" s="1530"/>
      <c r="AQ866" s="1530"/>
      <c r="AR866" s="1530"/>
      <c r="AS866" s="1530"/>
      <c r="AT866" s="1530"/>
      <c r="AU866" s="1530"/>
      <c r="AV866" s="1530"/>
      <c r="AW866" s="1530"/>
      <c r="AX866" s="1530"/>
      <c r="AY866" s="1530"/>
      <c r="AZ866" s="1530"/>
      <c r="BA866" s="1530"/>
      <c r="BB866" s="1530"/>
      <c r="BC866" s="1530"/>
      <c r="BD866" s="1530"/>
      <c r="BE866" s="1530"/>
      <c r="BF866" s="1530"/>
      <c r="BG866" s="1530"/>
      <c r="BH866" s="1530"/>
      <c r="BI866" s="1530"/>
      <c r="BJ866" s="1530"/>
      <c r="BK866" s="1530"/>
      <c r="BL866" s="1530"/>
      <c r="BM866" s="1530"/>
      <c r="BN866" s="1530"/>
      <c r="BW866" s="1569"/>
      <c r="CO866" s="1530"/>
      <c r="CP866" s="1530"/>
      <c r="CQ866" s="1530"/>
      <c r="CR866" s="1530"/>
      <c r="CS866" s="1530"/>
      <c r="CT866" s="1530"/>
      <c r="CU866" s="1530"/>
      <c r="CV866" s="1530"/>
      <c r="CW866" s="1530"/>
      <c r="CX866" s="1530"/>
      <c r="CY866" s="1530"/>
      <c r="CZ866" s="1530"/>
      <c r="DA866" s="1530"/>
      <c r="DB866" s="1530"/>
      <c r="DC866" s="1530"/>
      <c r="DD866" s="1530"/>
      <c r="DE866" s="1530"/>
      <c r="DF866" s="1530"/>
      <c r="DG866" s="1530"/>
      <c r="DH866" s="1530"/>
      <c r="DI866" s="1530"/>
      <c r="DJ866" s="1530"/>
      <c r="DK866" s="1530"/>
      <c r="DL866" s="1530"/>
      <c r="DM866" s="1530"/>
      <c r="DN866" s="1571"/>
      <c r="DO866" s="1530"/>
      <c r="DP866" s="1530"/>
    </row>
    <row r="867" spans="1:120">
      <c r="A867" s="1451"/>
      <c r="C867" s="1451"/>
      <c r="K867" s="1451"/>
      <c r="L867" s="1451"/>
      <c r="U867" s="1530"/>
      <c r="V867" s="1530"/>
      <c r="W867" s="1530"/>
      <c r="X867" s="1530"/>
      <c r="Y867" s="1530"/>
      <c r="Z867" s="1530"/>
      <c r="AA867" s="1530"/>
      <c r="AB867" s="1530"/>
      <c r="AC867" s="1530"/>
      <c r="AD867" s="1530"/>
      <c r="AE867" s="1530"/>
      <c r="AF867" s="1530"/>
      <c r="AG867" s="1530"/>
      <c r="AH867" s="1530"/>
      <c r="AI867" s="1530"/>
      <c r="AJ867" s="1530"/>
      <c r="AK867" s="1530"/>
      <c r="AL867" s="1530"/>
      <c r="AM867" s="1530"/>
      <c r="AN867" s="1530"/>
      <c r="AO867" s="1530"/>
      <c r="AP867" s="1530"/>
      <c r="AQ867" s="1530"/>
      <c r="AR867" s="1530"/>
      <c r="AS867" s="1530"/>
      <c r="AT867" s="1530"/>
      <c r="AU867" s="1530"/>
      <c r="AV867" s="1530"/>
      <c r="AW867" s="1530"/>
      <c r="AX867" s="1530"/>
      <c r="AY867" s="1530"/>
      <c r="AZ867" s="1530"/>
      <c r="BA867" s="1530"/>
      <c r="BB867" s="1530"/>
      <c r="BC867" s="1530"/>
      <c r="BD867" s="1530"/>
      <c r="BE867" s="1530"/>
      <c r="BF867" s="1530"/>
      <c r="BG867" s="1530"/>
      <c r="BH867" s="1530"/>
      <c r="BI867" s="1530"/>
      <c r="BJ867" s="1530"/>
      <c r="BK867" s="1530"/>
      <c r="BL867" s="1530"/>
      <c r="BM867" s="1530"/>
      <c r="BN867" s="1530"/>
      <c r="BW867" s="1569"/>
      <c r="CO867" s="1530"/>
      <c r="CP867" s="1530"/>
      <c r="CQ867" s="1530"/>
      <c r="CR867" s="1530"/>
      <c r="CS867" s="1530"/>
      <c r="CT867" s="1530"/>
      <c r="CU867" s="1530"/>
      <c r="CV867" s="1530"/>
      <c r="CW867" s="1530"/>
      <c r="CX867" s="1530"/>
      <c r="CY867" s="1530"/>
      <c r="CZ867" s="1530"/>
      <c r="DA867" s="1530"/>
      <c r="DB867" s="1530"/>
      <c r="DC867" s="1530"/>
      <c r="DD867" s="1530"/>
      <c r="DE867" s="1530"/>
      <c r="DF867" s="1530"/>
      <c r="DG867" s="1530"/>
      <c r="DH867" s="1530"/>
      <c r="DI867" s="1530"/>
      <c r="DJ867" s="1530"/>
      <c r="DK867" s="1530"/>
      <c r="DL867" s="1530"/>
      <c r="DM867" s="1530"/>
      <c r="DN867" s="1571"/>
      <c r="DO867" s="1530"/>
      <c r="DP867" s="1530"/>
    </row>
    <row r="868" spans="1:120">
      <c r="A868" s="1451"/>
      <c r="C868" s="1451"/>
      <c r="K868" s="1451"/>
      <c r="L868" s="1451"/>
      <c r="U868" s="1530"/>
      <c r="V868" s="1530"/>
      <c r="W868" s="1530"/>
      <c r="X868" s="1530"/>
      <c r="Y868" s="1530"/>
      <c r="Z868" s="1530"/>
      <c r="AA868" s="1530"/>
      <c r="AB868" s="1530"/>
      <c r="AC868" s="1530"/>
      <c r="AD868" s="1530"/>
      <c r="AE868" s="1530"/>
      <c r="AF868" s="1530"/>
      <c r="AG868" s="1530"/>
      <c r="AH868" s="1530"/>
      <c r="AI868" s="1530"/>
      <c r="AJ868" s="1530"/>
      <c r="AK868" s="1530"/>
      <c r="AL868" s="1530"/>
      <c r="AM868" s="1530"/>
      <c r="AN868" s="1530"/>
      <c r="AO868" s="1530"/>
      <c r="AP868" s="1530"/>
      <c r="AQ868" s="1530"/>
      <c r="AR868" s="1530"/>
      <c r="AS868" s="1530"/>
      <c r="AT868" s="1530"/>
      <c r="AU868" s="1530"/>
      <c r="AV868" s="1530"/>
      <c r="AW868" s="1530"/>
      <c r="AX868" s="1530"/>
      <c r="AY868" s="1530"/>
      <c r="AZ868" s="1530"/>
      <c r="BA868" s="1530"/>
      <c r="BB868" s="1530"/>
      <c r="BC868" s="1530"/>
      <c r="BD868" s="1530"/>
      <c r="BE868" s="1530"/>
      <c r="BF868" s="1530"/>
      <c r="BG868" s="1530"/>
      <c r="BH868" s="1530"/>
      <c r="BI868" s="1530"/>
      <c r="BJ868" s="1530"/>
      <c r="BK868" s="1530"/>
      <c r="BL868" s="1530"/>
      <c r="BM868" s="1530"/>
      <c r="BN868" s="1530"/>
      <c r="BW868" s="1569"/>
      <c r="CO868" s="1530"/>
      <c r="CP868" s="1530"/>
      <c r="CQ868" s="1530"/>
      <c r="CR868" s="1530"/>
      <c r="CS868" s="1530"/>
      <c r="CT868" s="1530"/>
      <c r="CU868" s="1530"/>
      <c r="CV868" s="1530"/>
      <c r="CW868" s="1530"/>
      <c r="CX868" s="1530"/>
      <c r="CY868" s="1530"/>
      <c r="CZ868" s="1530"/>
      <c r="DA868" s="1530"/>
      <c r="DB868" s="1530"/>
      <c r="DC868" s="1530"/>
      <c r="DD868" s="1530"/>
      <c r="DE868" s="1530"/>
      <c r="DF868" s="1530"/>
      <c r="DG868" s="1530"/>
      <c r="DH868" s="1530"/>
      <c r="DI868" s="1530"/>
      <c r="DJ868" s="1530"/>
      <c r="DK868" s="1530"/>
      <c r="DL868" s="1530"/>
      <c r="DM868" s="1530"/>
      <c r="DN868" s="1571"/>
      <c r="DO868" s="1530"/>
      <c r="DP868" s="1530"/>
    </row>
    <row r="869" spans="1:120">
      <c r="A869" s="1451"/>
      <c r="C869" s="1451"/>
      <c r="K869" s="1451"/>
      <c r="L869" s="1451"/>
      <c r="U869" s="1530"/>
      <c r="V869" s="1530"/>
      <c r="W869" s="1530"/>
      <c r="X869" s="1530"/>
      <c r="Y869" s="1530"/>
      <c r="Z869" s="1530"/>
      <c r="AA869" s="1530"/>
      <c r="AB869" s="1530"/>
      <c r="AC869" s="1530"/>
      <c r="AD869" s="1530"/>
      <c r="AE869" s="1530"/>
      <c r="AF869" s="1530"/>
      <c r="AG869" s="1530"/>
      <c r="AH869" s="1530"/>
      <c r="AI869" s="1530"/>
      <c r="AJ869" s="1530"/>
      <c r="AK869" s="1530"/>
      <c r="AL869" s="1530"/>
      <c r="AM869" s="1530"/>
      <c r="AN869" s="1530"/>
      <c r="AO869" s="1530"/>
      <c r="AP869" s="1530"/>
      <c r="AQ869" s="1530"/>
      <c r="AR869" s="1530"/>
      <c r="AS869" s="1530"/>
      <c r="AT869" s="1530"/>
      <c r="AU869" s="1530"/>
      <c r="AV869" s="1530"/>
      <c r="AW869" s="1530"/>
      <c r="AX869" s="1530"/>
      <c r="AY869" s="1530"/>
      <c r="AZ869" s="1530"/>
      <c r="BA869" s="1530"/>
      <c r="BB869" s="1530"/>
      <c r="BC869" s="1530"/>
      <c r="BD869" s="1530"/>
      <c r="BE869" s="1530"/>
      <c r="BF869" s="1530"/>
      <c r="BG869" s="1530"/>
      <c r="BH869" s="1530"/>
      <c r="BI869" s="1530"/>
      <c r="BJ869" s="1530"/>
      <c r="BK869" s="1530"/>
      <c r="BL869" s="1530"/>
      <c r="BM869" s="1530"/>
      <c r="BN869" s="1530"/>
      <c r="BW869" s="1569"/>
      <c r="CO869" s="1530"/>
      <c r="CP869" s="1530"/>
      <c r="CQ869" s="1530"/>
      <c r="CR869" s="1530"/>
      <c r="CS869" s="1530"/>
      <c r="CT869" s="1530"/>
      <c r="CU869" s="1530"/>
      <c r="CV869" s="1530"/>
      <c r="CW869" s="1530"/>
      <c r="CX869" s="1530"/>
      <c r="CY869" s="1530"/>
      <c r="CZ869" s="1530"/>
      <c r="DA869" s="1530"/>
      <c r="DB869" s="1530"/>
      <c r="DC869" s="1530"/>
      <c r="DD869" s="1530"/>
      <c r="DE869" s="1530"/>
      <c r="DF869" s="1530"/>
      <c r="DG869" s="1530"/>
      <c r="DH869" s="1530"/>
      <c r="DI869" s="1530"/>
      <c r="DJ869" s="1530"/>
      <c r="DK869" s="1530"/>
      <c r="DL869" s="1530"/>
      <c r="DM869" s="1530"/>
      <c r="DN869" s="1571"/>
      <c r="DO869" s="1530"/>
      <c r="DP869" s="1530"/>
    </row>
    <row r="870" spans="1:120">
      <c r="A870" s="1451"/>
      <c r="C870" s="1451"/>
      <c r="K870" s="1451"/>
      <c r="L870" s="1451"/>
      <c r="U870" s="1530"/>
      <c r="V870" s="1530"/>
      <c r="W870" s="1530"/>
      <c r="X870" s="1530"/>
      <c r="Y870" s="1530"/>
      <c r="Z870" s="1530"/>
      <c r="AA870" s="1530"/>
      <c r="AB870" s="1530"/>
      <c r="AC870" s="1530"/>
      <c r="AD870" s="1530"/>
      <c r="AE870" s="1530"/>
      <c r="AF870" s="1530"/>
      <c r="AG870" s="1530"/>
      <c r="AH870" s="1530"/>
      <c r="AI870" s="1530"/>
      <c r="AJ870" s="1530"/>
      <c r="AK870" s="1530"/>
      <c r="AL870" s="1530"/>
      <c r="AM870" s="1530"/>
      <c r="AN870" s="1530"/>
      <c r="AO870" s="1530"/>
      <c r="AP870" s="1530"/>
      <c r="AQ870" s="1530"/>
      <c r="AR870" s="1530"/>
      <c r="AS870" s="1530"/>
      <c r="AT870" s="1530"/>
      <c r="AU870" s="1530"/>
      <c r="AV870" s="1530"/>
      <c r="AW870" s="1530"/>
      <c r="AX870" s="1530"/>
      <c r="AY870" s="1530"/>
      <c r="AZ870" s="1530"/>
      <c r="BA870" s="1530"/>
      <c r="BB870" s="1530"/>
      <c r="BC870" s="1530"/>
      <c r="BD870" s="1530"/>
      <c r="BE870" s="1530"/>
      <c r="BF870" s="1530"/>
      <c r="BG870" s="1530"/>
      <c r="BH870" s="1530"/>
      <c r="BI870" s="1530"/>
      <c r="BJ870" s="1530"/>
      <c r="BK870" s="1530"/>
      <c r="BL870" s="1530"/>
      <c r="BM870" s="1530"/>
      <c r="BN870" s="1530"/>
      <c r="BW870" s="1569"/>
      <c r="CO870" s="1530"/>
      <c r="CP870" s="1530"/>
      <c r="CQ870" s="1530"/>
      <c r="CR870" s="1530"/>
      <c r="CS870" s="1530"/>
      <c r="CT870" s="1530"/>
      <c r="CU870" s="1530"/>
      <c r="CV870" s="1530"/>
      <c r="CW870" s="1530"/>
      <c r="CX870" s="1530"/>
      <c r="CY870" s="1530"/>
      <c r="CZ870" s="1530"/>
      <c r="DA870" s="1530"/>
      <c r="DB870" s="1530"/>
      <c r="DC870" s="1530"/>
      <c r="DD870" s="1530"/>
      <c r="DE870" s="1530"/>
      <c r="DF870" s="1530"/>
      <c r="DG870" s="1530"/>
      <c r="DH870" s="1530"/>
      <c r="DI870" s="1530"/>
      <c r="DJ870" s="1530"/>
      <c r="DK870" s="1530"/>
      <c r="DL870" s="1530"/>
      <c r="DM870" s="1530"/>
      <c r="DN870" s="1571"/>
      <c r="DO870" s="1530"/>
      <c r="DP870" s="1530"/>
    </row>
    <row r="871" spans="1:120">
      <c r="A871" s="1451"/>
      <c r="C871" s="1451"/>
      <c r="K871" s="1451"/>
      <c r="L871" s="1451"/>
      <c r="U871" s="1530"/>
      <c r="V871" s="1530"/>
      <c r="W871" s="1530"/>
      <c r="X871" s="1530"/>
      <c r="Y871" s="1530"/>
      <c r="Z871" s="1530"/>
      <c r="AA871" s="1530"/>
      <c r="AB871" s="1530"/>
      <c r="AC871" s="1530"/>
      <c r="AD871" s="1530"/>
      <c r="AE871" s="1530"/>
      <c r="AF871" s="1530"/>
      <c r="AG871" s="1530"/>
      <c r="AH871" s="1530"/>
      <c r="AI871" s="1530"/>
      <c r="AJ871" s="1530"/>
      <c r="AK871" s="1530"/>
      <c r="AL871" s="1530"/>
      <c r="AM871" s="1530"/>
      <c r="AN871" s="1530"/>
      <c r="AO871" s="1530"/>
      <c r="AP871" s="1530"/>
      <c r="AQ871" s="1530"/>
      <c r="AR871" s="1530"/>
      <c r="AS871" s="1530"/>
      <c r="AT871" s="1530"/>
      <c r="AU871" s="1530"/>
      <c r="AV871" s="1530"/>
      <c r="AW871" s="1530"/>
      <c r="AX871" s="1530"/>
      <c r="AY871" s="1530"/>
      <c r="AZ871" s="1530"/>
      <c r="BA871" s="1530"/>
      <c r="BB871" s="1530"/>
      <c r="BC871" s="1530"/>
      <c r="BD871" s="1530"/>
      <c r="BE871" s="1530"/>
      <c r="BF871" s="1530"/>
      <c r="BG871" s="1530"/>
      <c r="BH871" s="1530"/>
      <c r="BI871" s="1530"/>
      <c r="BJ871" s="1530"/>
      <c r="BK871" s="1530"/>
      <c r="BL871" s="1530"/>
      <c r="BM871" s="1530"/>
      <c r="BN871" s="1530"/>
      <c r="BW871" s="1569"/>
      <c r="CO871" s="1530"/>
      <c r="CP871" s="1530"/>
      <c r="CQ871" s="1530"/>
      <c r="CR871" s="1530"/>
      <c r="CS871" s="1530"/>
      <c r="CT871" s="1530"/>
      <c r="CU871" s="1530"/>
      <c r="CV871" s="1530"/>
      <c r="CW871" s="1530"/>
      <c r="CX871" s="1530"/>
      <c r="CY871" s="1530"/>
      <c r="CZ871" s="1530"/>
      <c r="DA871" s="1530"/>
      <c r="DB871" s="1530"/>
      <c r="DC871" s="1530"/>
      <c r="DD871" s="1530"/>
      <c r="DE871" s="1530"/>
      <c r="DF871" s="1530"/>
      <c r="DG871" s="1530"/>
      <c r="DH871" s="1530"/>
      <c r="DI871" s="1530"/>
      <c r="DJ871" s="1530"/>
      <c r="DK871" s="1530"/>
      <c r="DL871" s="1530"/>
      <c r="DM871" s="1530"/>
      <c r="DN871" s="1571"/>
      <c r="DO871" s="1530"/>
      <c r="DP871" s="1530"/>
    </row>
    <row r="872" spans="1:120">
      <c r="A872" s="1451"/>
      <c r="C872" s="1451"/>
      <c r="K872" s="1451"/>
      <c r="L872" s="1451"/>
      <c r="U872" s="1530"/>
      <c r="V872" s="1530"/>
      <c r="W872" s="1530"/>
      <c r="X872" s="1530"/>
      <c r="Y872" s="1530"/>
      <c r="Z872" s="1530"/>
      <c r="AA872" s="1530"/>
      <c r="AB872" s="1530"/>
      <c r="AC872" s="1530"/>
      <c r="AD872" s="1530"/>
      <c r="AE872" s="1530"/>
      <c r="AF872" s="1530"/>
      <c r="AG872" s="1530"/>
      <c r="AH872" s="1530"/>
      <c r="AI872" s="1530"/>
      <c r="AJ872" s="1530"/>
      <c r="AK872" s="1530"/>
      <c r="AL872" s="1530"/>
      <c r="AM872" s="1530"/>
      <c r="AN872" s="1530"/>
      <c r="AO872" s="1530"/>
      <c r="AP872" s="1530"/>
      <c r="AQ872" s="1530"/>
      <c r="AR872" s="1530"/>
      <c r="AS872" s="1530"/>
      <c r="AT872" s="1530"/>
      <c r="AU872" s="1530"/>
      <c r="AV872" s="1530"/>
      <c r="AW872" s="1530"/>
      <c r="AX872" s="1530"/>
      <c r="AY872" s="1530"/>
      <c r="AZ872" s="1530"/>
      <c r="BA872" s="1530"/>
      <c r="BB872" s="1530"/>
      <c r="BC872" s="1530"/>
      <c r="BD872" s="1530"/>
      <c r="BE872" s="1530"/>
      <c r="BF872" s="1530"/>
      <c r="BG872" s="1530"/>
      <c r="BH872" s="1530"/>
      <c r="BI872" s="1530"/>
      <c r="BJ872" s="1530"/>
      <c r="BK872" s="1530"/>
      <c r="BL872" s="1530"/>
      <c r="BM872" s="1530"/>
      <c r="BN872" s="1530"/>
      <c r="BW872" s="1569"/>
      <c r="CO872" s="1530"/>
      <c r="CP872" s="1530"/>
      <c r="CQ872" s="1530"/>
      <c r="CR872" s="1530"/>
      <c r="CS872" s="1530"/>
      <c r="CT872" s="1530"/>
      <c r="CU872" s="1530"/>
      <c r="CV872" s="1530"/>
      <c r="CW872" s="1530"/>
      <c r="CX872" s="1530"/>
      <c r="CY872" s="1530"/>
      <c r="CZ872" s="1530"/>
      <c r="DA872" s="1530"/>
      <c r="DB872" s="1530"/>
      <c r="DC872" s="1530"/>
      <c r="DD872" s="1530"/>
      <c r="DE872" s="1530"/>
      <c r="DF872" s="1530"/>
      <c r="DG872" s="1530"/>
      <c r="DH872" s="1530"/>
      <c r="DI872" s="1530"/>
      <c r="DJ872" s="1530"/>
      <c r="DK872" s="1530"/>
      <c r="DL872" s="1530"/>
      <c r="DM872" s="1530"/>
      <c r="DN872" s="1571"/>
      <c r="DO872" s="1530"/>
      <c r="DP872" s="1530"/>
    </row>
    <row r="873" spans="1:120">
      <c r="A873" s="1451"/>
      <c r="C873" s="1451"/>
      <c r="K873" s="1451"/>
      <c r="L873" s="1451"/>
      <c r="U873" s="1530"/>
      <c r="V873" s="1530"/>
      <c r="W873" s="1530"/>
      <c r="X873" s="1530"/>
      <c r="Y873" s="1530"/>
      <c r="Z873" s="1530"/>
      <c r="AA873" s="1530"/>
      <c r="AB873" s="1530"/>
      <c r="AC873" s="1530"/>
      <c r="AD873" s="1530"/>
      <c r="AE873" s="1530"/>
      <c r="AF873" s="1530"/>
      <c r="AG873" s="1530"/>
      <c r="AH873" s="1530"/>
      <c r="AI873" s="1530"/>
      <c r="AJ873" s="1530"/>
      <c r="AK873" s="1530"/>
      <c r="AL873" s="1530"/>
      <c r="AM873" s="1530"/>
      <c r="AN873" s="1530"/>
      <c r="AO873" s="1530"/>
      <c r="AP873" s="1530"/>
      <c r="AQ873" s="1530"/>
      <c r="AR873" s="1530"/>
      <c r="AS873" s="1530"/>
      <c r="AT873" s="1530"/>
      <c r="AU873" s="1530"/>
      <c r="AV873" s="1530"/>
      <c r="AW873" s="1530"/>
      <c r="AX873" s="1530"/>
      <c r="AY873" s="1530"/>
      <c r="AZ873" s="1530"/>
      <c r="BA873" s="1530"/>
      <c r="BB873" s="1530"/>
      <c r="BC873" s="1530"/>
      <c r="BD873" s="1530"/>
      <c r="BE873" s="1530"/>
      <c r="BF873" s="1530"/>
      <c r="BG873" s="1530"/>
      <c r="BH873" s="1530"/>
      <c r="BI873" s="1530"/>
      <c r="BJ873" s="1530"/>
      <c r="BK873" s="1530"/>
      <c r="BL873" s="1530"/>
      <c r="BM873" s="1530"/>
      <c r="BN873" s="1530"/>
      <c r="BW873" s="1569"/>
      <c r="CO873" s="1530"/>
      <c r="CP873" s="1530"/>
      <c r="CQ873" s="1530"/>
      <c r="CR873" s="1530"/>
      <c r="CS873" s="1530"/>
      <c r="CT873" s="1530"/>
      <c r="CU873" s="1530"/>
      <c r="CV873" s="1530"/>
      <c r="CW873" s="1530"/>
      <c r="CX873" s="1530"/>
      <c r="CY873" s="1530"/>
      <c r="CZ873" s="1530"/>
      <c r="DA873" s="1530"/>
      <c r="DB873" s="1530"/>
      <c r="DC873" s="1530"/>
      <c r="DD873" s="1530"/>
      <c r="DE873" s="1530"/>
      <c r="DF873" s="1530"/>
      <c r="DG873" s="1530"/>
      <c r="DH873" s="1530"/>
      <c r="DI873" s="1530"/>
      <c r="DJ873" s="1530"/>
      <c r="DK873" s="1530"/>
      <c r="DL873" s="1530"/>
      <c r="DM873" s="1530"/>
      <c r="DN873" s="1571"/>
      <c r="DO873" s="1530"/>
      <c r="DP873" s="1530"/>
    </row>
    <row r="874" spans="1:120">
      <c r="A874" s="1451"/>
      <c r="C874" s="1451"/>
      <c r="K874" s="1451"/>
      <c r="L874" s="1451"/>
      <c r="U874" s="1530"/>
      <c r="V874" s="1530"/>
      <c r="W874" s="1530"/>
      <c r="X874" s="1530"/>
      <c r="Y874" s="1530"/>
      <c r="Z874" s="1530"/>
      <c r="AA874" s="1530"/>
      <c r="AB874" s="1530"/>
      <c r="AC874" s="1530"/>
      <c r="AD874" s="1530"/>
      <c r="AE874" s="1530"/>
      <c r="AF874" s="1530"/>
      <c r="AG874" s="1530"/>
      <c r="AH874" s="1530"/>
      <c r="AI874" s="1530"/>
      <c r="AJ874" s="1530"/>
      <c r="AK874" s="1530"/>
      <c r="AL874" s="1530"/>
      <c r="AM874" s="1530"/>
      <c r="AN874" s="1530"/>
      <c r="AO874" s="1530"/>
      <c r="AP874" s="1530"/>
      <c r="AQ874" s="1530"/>
      <c r="AR874" s="1530"/>
      <c r="AS874" s="1530"/>
      <c r="AT874" s="1530"/>
      <c r="AU874" s="1530"/>
      <c r="AV874" s="1530"/>
      <c r="AW874" s="1530"/>
      <c r="AX874" s="1530"/>
      <c r="AY874" s="1530"/>
      <c r="AZ874" s="1530"/>
      <c r="BA874" s="1530"/>
      <c r="BB874" s="1530"/>
      <c r="BC874" s="1530"/>
      <c r="BD874" s="1530"/>
      <c r="BE874" s="1530"/>
      <c r="BF874" s="1530"/>
      <c r="BG874" s="1530"/>
      <c r="BH874" s="1530"/>
      <c r="BI874" s="1530"/>
      <c r="BJ874" s="1530"/>
      <c r="BK874" s="1530"/>
      <c r="BL874" s="1530"/>
      <c r="BM874" s="1530"/>
      <c r="BN874" s="1530"/>
      <c r="BW874" s="1569"/>
      <c r="CO874" s="1530"/>
      <c r="CP874" s="1530"/>
      <c r="CQ874" s="1530"/>
      <c r="CR874" s="1530"/>
      <c r="CS874" s="1530"/>
      <c r="CT874" s="1530"/>
      <c r="CU874" s="1530"/>
      <c r="CV874" s="1530"/>
      <c r="CW874" s="1530"/>
      <c r="CX874" s="1530"/>
      <c r="CY874" s="1530"/>
      <c r="CZ874" s="1530"/>
      <c r="DA874" s="1530"/>
      <c r="DB874" s="1530"/>
      <c r="DC874" s="1530"/>
      <c r="DD874" s="1530"/>
      <c r="DE874" s="1530"/>
      <c r="DF874" s="1530"/>
      <c r="DG874" s="1530"/>
      <c r="DH874" s="1530"/>
      <c r="DI874" s="1530"/>
      <c r="DJ874" s="1530"/>
      <c r="DK874" s="1530"/>
      <c r="DL874" s="1530"/>
      <c r="DM874" s="1530"/>
      <c r="DN874" s="1571"/>
      <c r="DO874" s="1530"/>
      <c r="DP874" s="1530"/>
    </row>
    <row r="875" spans="1:120">
      <c r="A875" s="1451"/>
      <c r="C875" s="1451"/>
      <c r="K875" s="1451"/>
      <c r="L875" s="1451"/>
      <c r="U875" s="1530"/>
      <c r="V875" s="1530"/>
      <c r="W875" s="1530"/>
      <c r="X875" s="1530"/>
      <c r="Y875" s="1530"/>
      <c r="Z875" s="1530"/>
      <c r="AA875" s="1530"/>
      <c r="AB875" s="1530"/>
      <c r="AC875" s="1530"/>
      <c r="AD875" s="1530"/>
      <c r="AE875" s="1530"/>
      <c r="AF875" s="1530"/>
      <c r="AG875" s="1530"/>
      <c r="AH875" s="1530"/>
      <c r="AI875" s="1530"/>
      <c r="AJ875" s="1530"/>
      <c r="AK875" s="1530"/>
      <c r="AL875" s="1530"/>
      <c r="AM875" s="1530"/>
      <c r="AN875" s="1530"/>
      <c r="AO875" s="1530"/>
      <c r="AP875" s="1530"/>
      <c r="AQ875" s="1530"/>
      <c r="AR875" s="1530"/>
      <c r="AS875" s="1530"/>
      <c r="AT875" s="1530"/>
      <c r="AU875" s="1530"/>
      <c r="AV875" s="1530"/>
      <c r="AW875" s="1530"/>
      <c r="AX875" s="1530"/>
      <c r="AY875" s="1530"/>
      <c r="AZ875" s="1530"/>
      <c r="BA875" s="1530"/>
      <c r="BB875" s="1530"/>
      <c r="BC875" s="1530"/>
      <c r="BD875" s="1530"/>
      <c r="BE875" s="1530"/>
      <c r="BF875" s="1530"/>
      <c r="BG875" s="1530"/>
      <c r="BH875" s="1530"/>
      <c r="BI875" s="1530"/>
      <c r="BJ875" s="1530"/>
      <c r="BK875" s="1530"/>
      <c r="BL875" s="1530"/>
      <c r="BM875" s="1530"/>
      <c r="BN875" s="1530"/>
      <c r="BW875" s="1569"/>
      <c r="CO875" s="1530"/>
      <c r="CP875" s="1530"/>
      <c r="CQ875" s="1530"/>
      <c r="CR875" s="1530"/>
      <c r="CS875" s="1530"/>
      <c r="CT875" s="1530"/>
      <c r="CU875" s="1530"/>
      <c r="CV875" s="1530"/>
      <c r="CW875" s="1530"/>
      <c r="CX875" s="1530"/>
      <c r="CY875" s="1530"/>
      <c r="CZ875" s="1530"/>
      <c r="DA875" s="1530"/>
      <c r="DB875" s="1530"/>
      <c r="DC875" s="1530"/>
      <c r="DD875" s="1530"/>
      <c r="DE875" s="1530"/>
      <c r="DF875" s="1530"/>
      <c r="DG875" s="1530"/>
      <c r="DH875" s="1530"/>
      <c r="DI875" s="1530"/>
      <c r="DJ875" s="1530"/>
      <c r="DK875" s="1530"/>
      <c r="DL875" s="1530"/>
      <c r="DM875" s="1530"/>
      <c r="DN875" s="1571"/>
      <c r="DO875" s="1530"/>
      <c r="DP875" s="1530"/>
    </row>
    <row r="876" spans="1:120">
      <c r="A876" s="1451"/>
      <c r="C876" s="1451"/>
      <c r="K876" s="1451"/>
      <c r="L876" s="1451"/>
      <c r="U876" s="1530"/>
      <c r="V876" s="1530"/>
      <c r="W876" s="1530"/>
      <c r="X876" s="1530"/>
      <c r="Y876" s="1530"/>
      <c r="Z876" s="1530"/>
      <c r="AA876" s="1530"/>
      <c r="AB876" s="1530"/>
      <c r="AC876" s="1530"/>
      <c r="AD876" s="1530"/>
      <c r="AE876" s="1530"/>
      <c r="AF876" s="1530"/>
      <c r="AG876" s="1530"/>
      <c r="AH876" s="1530"/>
      <c r="AI876" s="1530"/>
      <c r="AJ876" s="1530"/>
      <c r="AK876" s="1530"/>
      <c r="AL876" s="1530"/>
      <c r="AM876" s="1530"/>
      <c r="AN876" s="1530"/>
      <c r="AO876" s="1530"/>
      <c r="AP876" s="1530"/>
      <c r="AQ876" s="1530"/>
      <c r="AR876" s="1530"/>
      <c r="AS876" s="1530"/>
      <c r="AT876" s="1530"/>
      <c r="AU876" s="1530"/>
      <c r="AV876" s="1530"/>
      <c r="AW876" s="1530"/>
      <c r="AX876" s="1530"/>
      <c r="AY876" s="1530"/>
      <c r="AZ876" s="1530"/>
      <c r="BA876" s="1530"/>
      <c r="BB876" s="1530"/>
      <c r="BC876" s="1530"/>
      <c r="BD876" s="1530"/>
      <c r="BE876" s="1530"/>
      <c r="BF876" s="1530"/>
      <c r="BG876" s="1530"/>
      <c r="BH876" s="1530"/>
      <c r="BI876" s="1530"/>
      <c r="BJ876" s="1530"/>
      <c r="BK876" s="1530"/>
      <c r="BL876" s="1530"/>
      <c r="BM876" s="1530"/>
      <c r="BN876" s="1530"/>
      <c r="BW876" s="1569"/>
      <c r="CO876" s="1530"/>
      <c r="CP876" s="1530"/>
      <c r="CQ876" s="1530"/>
      <c r="CR876" s="1530"/>
      <c r="CS876" s="1530"/>
      <c r="CT876" s="1530"/>
      <c r="CU876" s="1530"/>
      <c r="CV876" s="1530"/>
      <c r="CW876" s="1530"/>
      <c r="CX876" s="1530"/>
      <c r="CY876" s="1530"/>
      <c r="CZ876" s="1530"/>
      <c r="DA876" s="1530"/>
      <c r="DB876" s="1530"/>
      <c r="DC876" s="1530"/>
      <c r="DD876" s="1530"/>
      <c r="DE876" s="1530"/>
      <c r="DF876" s="1530"/>
      <c r="DG876" s="1530"/>
      <c r="DH876" s="1530"/>
      <c r="DI876" s="1530"/>
      <c r="DJ876" s="1530"/>
      <c r="DK876" s="1530"/>
      <c r="DL876" s="1530"/>
      <c r="DM876" s="1530"/>
      <c r="DN876" s="1571"/>
      <c r="DO876" s="1530"/>
      <c r="DP876" s="1530"/>
    </row>
    <row r="877" spans="1:120">
      <c r="A877" s="1451"/>
      <c r="C877" s="1451"/>
      <c r="K877" s="1451"/>
      <c r="L877" s="1451"/>
      <c r="U877" s="1530"/>
      <c r="V877" s="1530"/>
      <c r="W877" s="1530"/>
      <c r="X877" s="1530"/>
      <c r="Y877" s="1530"/>
      <c r="Z877" s="1530"/>
      <c r="AA877" s="1530"/>
      <c r="AB877" s="1530"/>
      <c r="AC877" s="1530"/>
      <c r="AD877" s="1530"/>
      <c r="AE877" s="1530"/>
      <c r="AF877" s="1530"/>
      <c r="AG877" s="1530"/>
      <c r="AH877" s="1530"/>
      <c r="AI877" s="1530"/>
      <c r="AJ877" s="1530"/>
      <c r="AK877" s="1530"/>
      <c r="AL877" s="1530"/>
      <c r="AM877" s="1530"/>
      <c r="AN877" s="1530"/>
      <c r="AO877" s="1530"/>
      <c r="AP877" s="1530"/>
      <c r="AQ877" s="1530"/>
      <c r="AR877" s="1530"/>
      <c r="AS877" s="1530"/>
      <c r="AT877" s="1530"/>
      <c r="AU877" s="1530"/>
      <c r="AV877" s="1530"/>
      <c r="AW877" s="1530"/>
      <c r="AX877" s="1530"/>
      <c r="AY877" s="1530"/>
      <c r="AZ877" s="1530"/>
      <c r="BA877" s="1530"/>
      <c r="BB877" s="1530"/>
      <c r="BC877" s="1530"/>
      <c r="BD877" s="1530"/>
      <c r="BE877" s="1530"/>
      <c r="BF877" s="1530"/>
      <c r="BG877" s="1530"/>
      <c r="BH877" s="1530"/>
      <c r="BI877" s="1530"/>
      <c r="BJ877" s="1530"/>
      <c r="BK877" s="1530"/>
      <c r="BL877" s="1530"/>
      <c r="BM877" s="1530"/>
      <c r="BN877" s="1530"/>
      <c r="BW877" s="1569"/>
      <c r="CO877" s="1530"/>
      <c r="CP877" s="1530"/>
      <c r="CQ877" s="1530"/>
      <c r="CR877" s="1530"/>
      <c r="CS877" s="1530"/>
      <c r="CT877" s="1530"/>
      <c r="CU877" s="1530"/>
      <c r="CV877" s="1530"/>
      <c r="CW877" s="1530"/>
      <c r="CX877" s="1530"/>
      <c r="CY877" s="1530"/>
      <c r="CZ877" s="1530"/>
      <c r="DA877" s="1530"/>
      <c r="DB877" s="1530"/>
      <c r="DC877" s="1530"/>
      <c r="DD877" s="1530"/>
      <c r="DE877" s="1530"/>
      <c r="DF877" s="1530"/>
      <c r="DG877" s="1530"/>
      <c r="DH877" s="1530"/>
      <c r="DI877" s="1530"/>
      <c r="DJ877" s="1530"/>
      <c r="DK877" s="1530"/>
      <c r="DL877" s="1530"/>
      <c r="DM877" s="1530"/>
      <c r="DN877" s="1571"/>
      <c r="DO877" s="1530"/>
      <c r="DP877" s="1530"/>
    </row>
    <row r="878" spans="1:120">
      <c r="A878" s="1451"/>
      <c r="C878" s="1451"/>
      <c r="K878" s="1451"/>
      <c r="L878" s="1451"/>
      <c r="U878" s="1530"/>
      <c r="V878" s="1530"/>
      <c r="W878" s="1530"/>
      <c r="X878" s="1530"/>
      <c r="Y878" s="1530"/>
      <c r="Z878" s="1530"/>
      <c r="AA878" s="1530"/>
      <c r="AB878" s="1530"/>
      <c r="AC878" s="1530"/>
      <c r="AD878" s="1530"/>
      <c r="AE878" s="1530"/>
      <c r="AF878" s="1530"/>
      <c r="AG878" s="1530"/>
      <c r="AH878" s="1530"/>
      <c r="AI878" s="1530"/>
      <c r="AJ878" s="1530"/>
      <c r="AK878" s="1530"/>
      <c r="AL878" s="1530"/>
      <c r="AM878" s="1530"/>
      <c r="AN878" s="1530"/>
      <c r="AO878" s="1530"/>
      <c r="AP878" s="1530"/>
      <c r="AQ878" s="1530"/>
      <c r="AR878" s="1530"/>
      <c r="AS878" s="1530"/>
      <c r="AT878" s="1530"/>
      <c r="AU878" s="1530"/>
      <c r="AV878" s="1530"/>
      <c r="AW878" s="1530"/>
      <c r="AX878" s="1530"/>
      <c r="AY878" s="1530"/>
      <c r="AZ878" s="1530"/>
      <c r="BA878" s="1530"/>
      <c r="BB878" s="1530"/>
      <c r="BC878" s="1530"/>
      <c r="BD878" s="1530"/>
      <c r="BE878" s="1530"/>
      <c r="BF878" s="1530"/>
      <c r="BG878" s="1530"/>
      <c r="BH878" s="1530"/>
      <c r="BI878" s="1530"/>
      <c r="BJ878" s="1530"/>
      <c r="BK878" s="1530"/>
      <c r="BL878" s="1530"/>
      <c r="BM878" s="1530"/>
      <c r="BN878" s="1530"/>
      <c r="BW878" s="1569"/>
      <c r="CO878" s="1530"/>
      <c r="CP878" s="1530"/>
      <c r="CQ878" s="1530"/>
      <c r="CR878" s="1530"/>
      <c r="CS878" s="1530"/>
      <c r="CT878" s="1530"/>
      <c r="CU878" s="1530"/>
      <c r="CV878" s="1530"/>
      <c r="CW878" s="1530"/>
      <c r="CX878" s="1530"/>
      <c r="CY878" s="1530"/>
      <c r="CZ878" s="1530"/>
      <c r="DA878" s="1530"/>
      <c r="DB878" s="1530"/>
      <c r="DC878" s="1530"/>
      <c r="DD878" s="1530"/>
      <c r="DE878" s="1530"/>
      <c r="DF878" s="1530"/>
      <c r="DG878" s="1530"/>
      <c r="DH878" s="1530"/>
      <c r="DI878" s="1530"/>
      <c r="DJ878" s="1530"/>
      <c r="DK878" s="1530"/>
      <c r="DL878" s="1530"/>
      <c r="DM878" s="1530"/>
      <c r="DN878" s="1571"/>
      <c r="DO878" s="1530"/>
      <c r="DP878" s="1530"/>
    </row>
    <row r="879" spans="1:120">
      <c r="A879" s="1451"/>
      <c r="C879" s="1451"/>
      <c r="K879" s="1451"/>
      <c r="L879" s="1451"/>
      <c r="U879" s="1530"/>
      <c r="V879" s="1530"/>
      <c r="W879" s="1530"/>
      <c r="X879" s="1530"/>
      <c r="Y879" s="1530"/>
      <c r="Z879" s="1530"/>
      <c r="AA879" s="1530"/>
      <c r="AB879" s="1530"/>
      <c r="AC879" s="1530"/>
      <c r="AD879" s="1530"/>
      <c r="AE879" s="1530"/>
      <c r="AF879" s="1530"/>
      <c r="AG879" s="1530"/>
      <c r="AH879" s="1530"/>
      <c r="AI879" s="1530"/>
      <c r="AJ879" s="1530"/>
      <c r="AK879" s="1530"/>
      <c r="AL879" s="1530"/>
      <c r="AM879" s="1530"/>
      <c r="AN879" s="1530"/>
      <c r="AO879" s="1530"/>
      <c r="AP879" s="1530"/>
      <c r="AQ879" s="1530"/>
      <c r="AR879" s="1530"/>
      <c r="AS879" s="1530"/>
      <c r="AT879" s="1530"/>
      <c r="AU879" s="1530"/>
      <c r="AV879" s="1530"/>
      <c r="AW879" s="1530"/>
      <c r="AX879" s="1530"/>
      <c r="AY879" s="1530"/>
      <c r="AZ879" s="1530"/>
      <c r="BA879" s="1530"/>
      <c r="BB879" s="1530"/>
      <c r="BC879" s="1530"/>
      <c r="BD879" s="1530"/>
      <c r="BE879" s="1530"/>
      <c r="BF879" s="1530"/>
      <c r="BG879" s="1530"/>
      <c r="BH879" s="1530"/>
      <c r="BI879" s="1530"/>
      <c r="BJ879" s="1530"/>
      <c r="BK879" s="1530"/>
      <c r="BL879" s="1530"/>
      <c r="BM879" s="1530"/>
      <c r="BN879" s="1530"/>
      <c r="BW879" s="1569"/>
      <c r="CO879" s="1530"/>
      <c r="CP879" s="1530"/>
      <c r="CQ879" s="1530"/>
      <c r="CR879" s="1530"/>
      <c r="CS879" s="1530"/>
      <c r="CT879" s="1530"/>
      <c r="CU879" s="1530"/>
      <c r="CV879" s="1530"/>
      <c r="CW879" s="1530"/>
      <c r="CX879" s="1530"/>
      <c r="CY879" s="1530"/>
      <c r="CZ879" s="1530"/>
      <c r="DA879" s="1530"/>
      <c r="DB879" s="1530"/>
      <c r="DC879" s="1530"/>
      <c r="DD879" s="1530"/>
      <c r="DE879" s="1530"/>
      <c r="DF879" s="1530"/>
      <c r="DG879" s="1530"/>
      <c r="DH879" s="1530"/>
      <c r="DI879" s="1530"/>
      <c r="DJ879" s="1530"/>
      <c r="DK879" s="1530"/>
      <c r="DL879" s="1530"/>
      <c r="DM879" s="1530"/>
      <c r="DN879" s="1571"/>
      <c r="DO879" s="1530"/>
      <c r="DP879" s="1530"/>
    </row>
    <row r="880" spans="1:120">
      <c r="A880" s="1451"/>
      <c r="C880" s="1451"/>
      <c r="K880" s="1451"/>
      <c r="L880" s="1451"/>
      <c r="U880" s="1530"/>
      <c r="V880" s="1530"/>
      <c r="W880" s="1530"/>
      <c r="X880" s="1530"/>
      <c r="Y880" s="1530"/>
      <c r="Z880" s="1530"/>
      <c r="AA880" s="1530"/>
      <c r="AB880" s="1530"/>
      <c r="AC880" s="1530"/>
      <c r="AD880" s="1530"/>
      <c r="AE880" s="1530"/>
      <c r="AF880" s="1530"/>
      <c r="AG880" s="1530"/>
      <c r="AH880" s="1530"/>
      <c r="AI880" s="1530"/>
      <c r="AJ880" s="1530"/>
      <c r="AK880" s="1530"/>
      <c r="AL880" s="1530"/>
      <c r="AM880" s="1530"/>
      <c r="AN880" s="1530"/>
      <c r="AO880" s="1530"/>
      <c r="AP880" s="1530"/>
      <c r="AQ880" s="1530"/>
      <c r="AR880" s="1530"/>
      <c r="AS880" s="1530"/>
      <c r="AT880" s="1530"/>
      <c r="AU880" s="1530"/>
      <c r="AV880" s="1530"/>
      <c r="AW880" s="1530"/>
      <c r="AX880" s="1530"/>
      <c r="AY880" s="1530"/>
      <c r="AZ880" s="1530"/>
      <c r="BA880" s="1530"/>
      <c r="BB880" s="1530"/>
      <c r="BC880" s="1530"/>
      <c r="BD880" s="1530"/>
      <c r="BE880" s="1530"/>
      <c r="BF880" s="1530"/>
      <c r="BG880" s="1530"/>
      <c r="BH880" s="1530"/>
      <c r="BI880" s="1530"/>
      <c r="BJ880" s="1530"/>
      <c r="BK880" s="1530"/>
      <c r="BL880" s="1530"/>
      <c r="BM880" s="1530"/>
      <c r="BN880" s="1530"/>
      <c r="BW880" s="1569"/>
      <c r="CO880" s="1530"/>
      <c r="CP880" s="1530"/>
      <c r="CQ880" s="1530"/>
      <c r="CR880" s="1530"/>
      <c r="CS880" s="1530"/>
      <c r="CT880" s="1530"/>
      <c r="CU880" s="1530"/>
      <c r="CV880" s="1530"/>
      <c r="CW880" s="1530"/>
      <c r="CX880" s="1530"/>
      <c r="CY880" s="1530"/>
      <c r="CZ880" s="1530"/>
      <c r="DA880" s="1530"/>
      <c r="DB880" s="1530"/>
      <c r="DC880" s="1530"/>
      <c r="DD880" s="1530"/>
      <c r="DE880" s="1530"/>
      <c r="DF880" s="1530"/>
      <c r="DG880" s="1530"/>
      <c r="DH880" s="1530"/>
      <c r="DI880" s="1530"/>
      <c r="DJ880" s="1530"/>
      <c r="DK880" s="1530"/>
      <c r="DL880" s="1530"/>
      <c r="DM880" s="1530"/>
      <c r="DN880" s="1571"/>
      <c r="DO880" s="1530"/>
      <c r="DP880" s="1530"/>
    </row>
    <row r="881" spans="1:120">
      <c r="A881" s="1451"/>
      <c r="C881" s="1451"/>
      <c r="K881" s="1451"/>
      <c r="L881" s="1451"/>
      <c r="U881" s="1530"/>
      <c r="V881" s="1530"/>
      <c r="W881" s="1530"/>
      <c r="X881" s="1530"/>
      <c r="Y881" s="1530"/>
      <c r="Z881" s="1530"/>
      <c r="AA881" s="1530"/>
      <c r="AB881" s="1530"/>
      <c r="AC881" s="1530"/>
      <c r="AD881" s="1530"/>
      <c r="AE881" s="1530"/>
      <c r="AF881" s="1530"/>
      <c r="AG881" s="1530"/>
      <c r="AH881" s="1530"/>
      <c r="AI881" s="1530"/>
      <c r="AJ881" s="1530"/>
      <c r="AK881" s="1530"/>
      <c r="AL881" s="1530"/>
      <c r="AM881" s="1530"/>
      <c r="AN881" s="1530"/>
      <c r="AO881" s="1530"/>
      <c r="AP881" s="1530"/>
      <c r="AQ881" s="1530"/>
      <c r="AR881" s="1530"/>
      <c r="AS881" s="1530"/>
      <c r="AT881" s="1530"/>
      <c r="AU881" s="1530"/>
      <c r="AV881" s="1530"/>
      <c r="AW881" s="1530"/>
      <c r="AX881" s="1530"/>
      <c r="AY881" s="1530"/>
      <c r="AZ881" s="1530"/>
      <c r="BA881" s="1530"/>
      <c r="BB881" s="1530"/>
      <c r="BC881" s="1530"/>
      <c r="BD881" s="1530"/>
      <c r="BE881" s="1530"/>
      <c r="BF881" s="1530"/>
      <c r="BG881" s="1530"/>
      <c r="BH881" s="1530"/>
      <c r="BI881" s="1530"/>
      <c r="BJ881" s="1530"/>
      <c r="BK881" s="1530"/>
      <c r="BL881" s="1530"/>
      <c r="BM881" s="1530"/>
      <c r="BN881" s="1530"/>
      <c r="BW881" s="1569"/>
      <c r="CO881" s="1530"/>
      <c r="CP881" s="1530"/>
      <c r="CQ881" s="1530"/>
      <c r="CR881" s="1530"/>
      <c r="CS881" s="1530"/>
      <c r="CT881" s="1530"/>
      <c r="CU881" s="1530"/>
      <c r="CV881" s="1530"/>
      <c r="CW881" s="1530"/>
      <c r="CX881" s="1530"/>
      <c r="CY881" s="1530"/>
      <c r="CZ881" s="1530"/>
      <c r="DA881" s="1530"/>
      <c r="DB881" s="1530"/>
      <c r="DC881" s="1530"/>
      <c r="DD881" s="1530"/>
      <c r="DE881" s="1530"/>
      <c r="DF881" s="1530"/>
      <c r="DG881" s="1530"/>
      <c r="DH881" s="1530"/>
      <c r="DI881" s="1530"/>
      <c r="DJ881" s="1530"/>
      <c r="DK881" s="1530"/>
      <c r="DL881" s="1530"/>
      <c r="DM881" s="1530"/>
      <c r="DN881" s="1571"/>
      <c r="DO881" s="1530"/>
      <c r="DP881" s="1530"/>
    </row>
    <row r="882" spans="1:120">
      <c r="A882" s="1451"/>
      <c r="C882" s="1451"/>
      <c r="K882" s="1451"/>
      <c r="L882" s="1451"/>
      <c r="U882" s="1530"/>
      <c r="V882" s="1530"/>
      <c r="W882" s="1530"/>
      <c r="X882" s="1530"/>
      <c r="Y882" s="1530"/>
      <c r="Z882" s="1530"/>
      <c r="AA882" s="1530"/>
      <c r="AB882" s="1530"/>
      <c r="AC882" s="1530"/>
      <c r="AD882" s="1530"/>
      <c r="AE882" s="1530"/>
      <c r="AF882" s="1530"/>
      <c r="AG882" s="1530"/>
      <c r="AH882" s="1530"/>
      <c r="AI882" s="1530"/>
      <c r="AJ882" s="1530"/>
      <c r="AK882" s="1530"/>
      <c r="AL882" s="1530"/>
      <c r="AM882" s="1530"/>
      <c r="AN882" s="1530"/>
      <c r="AO882" s="1530"/>
      <c r="AP882" s="1530"/>
      <c r="AQ882" s="1530"/>
      <c r="AR882" s="1530"/>
      <c r="AS882" s="1530"/>
      <c r="AT882" s="1530"/>
      <c r="AU882" s="1530"/>
      <c r="AV882" s="1530"/>
      <c r="AW882" s="1530"/>
      <c r="AX882" s="1530"/>
      <c r="AY882" s="1530"/>
      <c r="AZ882" s="1530"/>
      <c r="BA882" s="1530"/>
      <c r="BB882" s="1530"/>
      <c r="BC882" s="1530"/>
      <c r="BD882" s="1530"/>
      <c r="BE882" s="1530"/>
      <c r="BF882" s="1530"/>
      <c r="BG882" s="1530"/>
      <c r="BH882" s="1530"/>
      <c r="BI882" s="1530"/>
      <c r="BJ882" s="1530"/>
      <c r="BK882" s="1530"/>
      <c r="BL882" s="1530"/>
      <c r="BM882" s="1530"/>
      <c r="BN882" s="1530"/>
      <c r="BW882" s="1569"/>
      <c r="CO882" s="1530"/>
      <c r="CP882" s="1530"/>
      <c r="CQ882" s="1530"/>
      <c r="CR882" s="1530"/>
      <c r="CS882" s="1530"/>
      <c r="CT882" s="1530"/>
      <c r="CU882" s="1530"/>
      <c r="CV882" s="1530"/>
      <c r="CW882" s="1530"/>
      <c r="CX882" s="1530"/>
      <c r="CY882" s="1530"/>
      <c r="CZ882" s="1530"/>
      <c r="DA882" s="1530"/>
      <c r="DB882" s="1530"/>
      <c r="DC882" s="1530"/>
      <c r="DD882" s="1530"/>
      <c r="DE882" s="1530"/>
      <c r="DF882" s="1530"/>
      <c r="DG882" s="1530"/>
      <c r="DH882" s="1530"/>
      <c r="DI882" s="1530"/>
      <c r="DJ882" s="1530"/>
      <c r="DK882" s="1530"/>
      <c r="DL882" s="1530"/>
      <c r="DM882" s="1530"/>
      <c r="DN882" s="1571"/>
      <c r="DO882" s="1530"/>
      <c r="DP882" s="1530"/>
    </row>
    <row r="883" spans="1:120">
      <c r="A883" s="1451"/>
      <c r="C883" s="1451"/>
      <c r="K883" s="1451"/>
      <c r="L883" s="1451"/>
      <c r="U883" s="1530"/>
      <c r="V883" s="1530"/>
      <c r="W883" s="1530"/>
      <c r="X883" s="1530"/>
      <c r="Y883" s="1530"/>
      <c r="Z883" s="1530"/>
      <c r="AA883" s="1530"/>
      <c r="AB883" s="1530"/>
      <c r="AC883" s="1530"/>
      <c r="AD883" s="1530"/>
      <c r="AE883" s="1530"/>
      <c r="AF883" s="1530"/>
      <c r="AG883" s="1530"/>
      <c r="AH883" s="1530"/>
      <c r="AI883" s="1530"/>
      <c r="AJ883" s="1530"/>
      <c r="AK883" s="1530"/>
      <c r="AL883" s="1530"/>
      <c r="AM883" s="1530"/>
      <c r="AN883" s="1530"/>
      <c r="AO883" s="1530"/>
      <c r="AP883" s="1530"/>
      <c r="AQ883" s="1530"/>
      <c r="AR883" s="1530"/>
      <c r="AS883" s="1530"/>
      <c r="AT883" s="1530"/>
      <c r="AU883" s="1530"/>
      <c r="AV883" s="1530"/>
      <c r="AW883" s="1530"/>
      <c r="AX883" s="1530"/>
      <c r="AY883" s="1530"/>
      <c r="AZ883" s="1530"/>
      <c r="BA883" s="1530"/>
      <c r="BB883" s="1530"/>
      <c r="BC883" s="1530"/>
      <c r="BD883" s="1530"/>
      <c r="BE883" s="1530"/>
      <c r="BF883" s="1530"/>
      <c r="BG883" s="1530"/>
      <c r="BH883" s="1530"/>
      <c r="BI883" s="1530"/>
      <c r="BJ883" s="1530"/>
      <c r="BK883" s="1530"/>
      <c r="BL883" s="1530"/>
      <c r="BM883" s="1530"/>
      <c r="BN883" s="1530"/>
      <c r="BW883" s="1569"/>
      <c r="CO883" s="1530"/>
      <c r="CP883" s="1530"/>
      <c r="CQ883" s="1530"/>
      <c r="CR883" s="1530"/>
      <c r="CS883" s="1530"/>
      <c r="CT883" s="1530"/>
      <c r="CU883" s="1530"/>
      <c r="CV883" s="1530"/>
      <c r="CW883" s="1530"/>
      <c r="CX883" s="1530"/>
      <c r="CY883" s="1530"/>
      <c r="CZ883" s="1530"/>
      <c r="DA883" s="1530"/>
      <c r="DB883" s="1530"/>
      <c r="DC883" s="1530"/>
      <c r="DD883" s="1530"/>
      <c r="DE883" s="1530"/>
      <c r="DF883" s="1530"/>
      <c r="DG883" s="1530"/>
      <c r="DH883" s="1530"/>
      <c r="DI883" s="1530"/>
      <c r="DJ883" s="1530"/>
      <c r="DK883" s="1530"/>
      <c r="DL883" s="1530"/>
      <c r="DM883" s="1530"/>
      <c r="DN883" s="1571"/>
      <c r="DO883" s="1530"/>
      <c r="DP883" s="1530"/>
    </row>
    <row r="884" spans="1:120">
      <c r="A884" s="1451"/>
      <c r="C884" s="1451"/>
      <c r="K884" s="1451"/>
      <c r="L884" s="1451"/>
      <c r="U884" s="1530"/>
      <c r="V884" s="1530"/>
      <c r="W884" s="1530"/>
      <c r="X884" s="1530"/>
      <c r="Y884" s="1530"/>
      <c r="Z884" s="1530"/>
      <c r="AA884" s="1530"/>
      <c r="AB884" s="1530"/>
      <c r="AC884" s="1530"/>
      <c r="AD884" s="1530"/>
      <c r="AE884" s="1530"/>
      <c r="AF884" s="1530"/>
      <c r="AG884" s="1530"/>
      <c r="AH884" s="1530"/>
      <c r="AI884" s="1530"/>
      <c r="AJ884" s="1530"/>
      <c r="AK884" s="1530"/>
      <c r="AL884" s="1530"/>
      <c r="AM884" s="1530"/>
      <c r="AN884" s="1530"/>
      <c r="AO884" s="1530"/>
      <c r="AP884" s="1530"/>
      <c r="AQ884" s="1530"/>
      <c r="AR884" s="1530"/>
      <c r="AS884" s="1530"/>
      <c r="AT884" s="1530"/>
      <c r="AU884" s="1530"/>
      <c r="AV884" s="1530"/>
      <c r="AW884" s="1530"/>
      <c r="AX884" s="1530"/>
      <c r="AY884" s="1530"/>
      <c r="AZ884" s="1530"/>
      <c r="BA884" s="1530"/>
      <c r="BB884" s="1530"/>
      <c r="BC884" s="1530"/>
      <c r="BD884" s="1530"/>
      <c r="BE884" s="1530"/>
      <c r="BF884" s="1530"/>
      <c r="BG884" s="1530"/>
      <c r="BH884" s="1530"/>
      <c r="BI884" s="1530"/>
      <c r="BJ884" s="1530"/>
      <c r="BK884" s="1530"/>
      <c r="BL884" s="1530"/>
      <c r="BM884" s="1530"/>
      <c r="BN884" s="1530"/>
      <c r="BW884" s="1569"/>
      <c r="CO884" s="1530"/>
      <c r="CP884" s="1530"/>
      <c r="CQ884" s="1530"/>
      <c r="CR884" s="1530"/>
      <c r="CS884" s="1530"/>
      <c r="CT884" s="1530"/>
      <c r="CU884" s="1530"/>
      <c r="CV884" s="1530"/>
      <c r="CW884" s="1530"/>
      <c r="CX884" s="1530"/>
      <c r="CY884" s="1530"/>
      <c r="CZ884" s="1530"/>
      <c r="DA884" s="1530"/>
      <c r="DB884" s="1530"/>
      <c r="DC884" s="1530"/>
      <c r="DD884" s="1530"/>
      <c r="DE884" s="1530"/>
      <c r="DF884" s="1530"/>
      <c r="DG884" s="1530"/>
      <c r="DH884" s="1530"/>
      <c r="DI884" s="1530"/>
      <c r="DJ884" s="1530"/>
      <c r="DK884" s="1530"/>
      <c r="DL884" s="1530"/>
      <c r="DM884" s="1530"/>
      <c r="DN884" s="1571"/>
      <c r="DO884" s="1530"/>
      <c r="DP884" s="1530"/>
    </row>
    <row r="885" spans="1:120">
      <c r="A885" s="1451"/>
      <c r="C885" s="1451"/>
      <c r="K885" s="1451"/>
      <c r="L885" s="1451"/>
      <c r="U885" s="1530"/>
      <c r="V885" s="1530"/>
      <c r="W885" s="1530"/>
      <c r="X885" s="1530"/>
      <c r="Y885" s="1530"/>
      <c r="Z885" s="1530"/>
      <c r="AA885" s="1530"/>
      <c r="AB885" s="1530"/>
      <c r="AC885" s="1530"/>
      <c r="AD885" s="1530"/>
      <c r="AE885" s="1530"/>
      <c r="AF885" s="1530"/>
      <c r="AG885" s="1530"/>
      <c r="AH885" s="1530"/>
      <c r="AI885" s="1530"/>
      <c r="AJ885" s="1530"/>
      <c r="AK885" s="1530"/>
      <c r="AL885" s="1530"/>
      <c r="AM885" s="1530"/>
      <c r="AN885" s="1530"/>
      <c r="AO885" s="1530"/>
      <c r="AP885" s="1530"/>
      <c r="AQ885" s="1530"/>
      <c r="AR885" s="1530"/>
      <c r="AS885" s="1530"/>
      <c r="AT885" s="1530"/>
      <c r="AU885" s="1530"/>
      <c r="AV885" s="1530"/>
      <c r="AW885" s="1530"/>
      <c r="AX885" s="1530"/>
      <c r="AY885" s="1530"/>
      <c r="AZ885" s="1530"/>
      <c r="BA885" s="1530"/>
      <c r="BB885" s="1530"/>
      <c r="BC885" s="1530"/>
      <c r="BD885" s="1530"/>
      <c r="BE885" s="1530"/>
      <c r="BF885" s="1530"/>
      <c r="BG885" s="1530"/>
      <c r="BH885" s="1530"/>
      <c r="BI885" s="1530"/>
      <c r="BJ885" s="1530"/>
      <c r="BK885" s="1530"/>
      <c r="BL885" s="1530"/>
      <c r="BM885" s="1530"/>
      <c r="BN885" s="1530"/>
      <c r="BW885" s="1569"/>
      <c r="CO885" s="1530"/>
      <c r="CP885" s="1530"/>
      <c r="CQ885" s="1530"/>
      <c r="CR885" s="1530"/>
      <c r="CS885" s="1530"/>
      <c r="CT885" s="1530"/>
      <c r="CU885" s="1530"/>
      <c r="CV885" s="1530"/>
      <c r="CW885" s="1530"/>
      <c r="CX885" s="1530"/>
      <c r="CY885" s="1530"/>
      <c r="CZ885" s="1530"/>
      <c r="DA885" s="1530"/>
      <c r="DB885" s="1530"/>
      <c r="DC885" s="1530"/>
      <c r="DD885" s="1530"/>
      <c r="DE885" s="1530"/>
      <c r="DF885" s="1530"/>
      <c r="DG885" s="1530"/>
      <c r="DH885" s="1530"/>
      <c r="DI885" s="1530"/>
      <c r="DJ885" s="1530"/>
      <c r="DK885" s="1530"/>
      <c r="DL885" s="1530"/>
      <c r="DM885" s="1530"/>
      <c r="DN885" s="1571"/>
      <c r="DO885" s="1530"/>
      <c r="DP885" s="1530"/>
    </row>
    <row r="886" spans="1:120">
      <c r="A886" s="1451"/>
      <c r="C886" s="1451"/>
      <c r="K886" s="1451"/>
      <c r="L886" s="1451"/>
      <c r="U886" s="1530"/>
      <c r="V886" s="1530"/>
      <c r="W886" s="1530"/>
      <c r="X886" s="1530"/>
      <c r="Y886" s="1530"/>
      <c r="Z886" s="1530"/>
      <c r="AA886" s="1530"/>
      <c r="AB886" s="1530"/>
      <c r="AC886" s="1530"/>
      <c r="AD886" s="1530"/>
      <c r="AE886" s="1530"/>
      <c r="AF886" s="1530"/>
      <c r="AG886" s="1530"/>
      <c r="AH886" s="1530"/>
      <c r="AI886" s="1530"/>
      <c r="AJ886" s="1530"/>
      <c r="AK886" s="1530"/>
      <c r="AL886" s="1530"/>
      <c r="AM886" s="1530"/>
      <c r="AN886" s="1530"/>
      <c r="AO886" s="1530"/>
      <c r="AP886" s="1530"/>
      <c r="AQ886" s="1530"/>
      <c r="AR886" s="1530"/>
      <c r="AS886" s="1530"/>
      <c r="AT886" s="1530"/>
      <c r="AU886" s="1530"/>
      <c r="AV886" s="1530"/>
      <c r="AW886" s="1530"/>
      <c r="AX886" s="1530"/>
      <c r="AY886" s="1530"/>
      <c r="AZ886" s="1530"/>
      <c r="BA886" s="1530"/>
      <c r="BB886" s="1530"/>
      <c r="BC886" s="1530"/>
      <c r="BD886" s="1530"/>
      <c r="BE886" s="1530"/>
      <c r="BF886" s="1530"/>
      <c r="BG886" s="1530"/>
      <c r="BH886" s="1530"/>
      <c r="BI886" s="1530"/>
      <c r="BJ886" s="1530"/>
      <c r="BK886" s="1530"/>
      <c r="BL886" s="1530"/>
      <c r="BM886" s="1530"/>
      <c r="BN886" s="1530"/>
      <c r="BW886" s="1569"/>
      <c r="CO886" s="1530"/>
      <c r="CP886" s="1530"/>
      <c r="CQ886" s="1530"/>
      <c r="CR886" s="1530"/>
      <c r="CS886" s="1530"/>
      <c r="CT886" s="1530"/>
      <c r="CU886" s="1530"/>
      <c r="CV886" s="1530"/>
      <c r="CW886" s="1530"/>
      <c r="CX886" s="1530"/>
      <c r="CY886" s="1530"/>
      <c r="CZ886" s="1530"/>
      <c r="DA886" s="1530"/>
      <c r="DB886" s="1530"/>
      <c r="DC886" s="1530"/>
      <c r="DD886" s="1530"/>
      <c r="DE886" s="1530"/>
      <c r="DF886" s="1530"/>
      <c r="DG886" s="1530"/>
      <c r="DH886" s="1530"/>
      <c r="DI886" s="1530"/>
      <c r="DJ886" s="1530"/>
      <c r="DK886" s="1530"/>
      <c r="DL886" s="1530"/>
      <c r="DM886" s="1530"/>
      <c r="DN886" s="1571"/>
      <c r="DO886" s="1530"/>
      <c r="DP886" s="1530"/>
    </row>
    <row r="887" spans="1:120">
      <c r="A887" s="1451"/>
      <c r="C887" s="1451"/>
      <c r="K887" s="1451"/>
      <c r="L887" s="1451"/>
      <c r="U887" s="1530"/>
      <c r="V887" s="1530"/>
      <c r="W887" s="1530"/>
      <c r="X887" s="1530"/>
      <c r="Y887" s="1530"/>
      <c r="Z887" s="1530"/>
      <c r="AA887" s="1530"/>
      <c r="AB887" s="1530"/>
      <c r="AC887" s="1530"/>
      <c r="AD887" s="1530"/>
      <c r="AE887" s="1530"/>
      <c r="AF887" s="1530"/>
      <c r="AG887" s="1530"/>
      <c r="AH887" s="1530"/>
      <c r="AI887" s="1530"/>
      <c r="AJ887" s="1530"/>
      <c r="AK887" s="1530"/>
      <c r="AL887" s="1530"/>
      <c r="AM887" s="1530"/>
      <c r="AN887" s="1530"/>
      <c r="AO887" s="1530"/>
      <c r="AP887" s="1530"/>
      <c r="AQ887" s="1530"/>
      <c r="AR887" s="1530"/>
      <c r="AS887" s="1530"/>
      <c r="AT887" s="1530"/>
      <c r="AU887" s="1530"/>
      <c r="AV887" s="1530"/>
      <c r="AW887" s="1530"/>
      <c r="AX887" s="1530"/>
      <c r="AY887" s="1530"/>
      <c r="AZ887" s="1530"/>
      <c r="BA887" s="1530"/>
      <c r="BB887" s="1530"/>
      <c r="BC887" s="1530"/>
      <c r="BD887" s="1530"/>
      <c r="BE887" s="1530"/>
      <c r="BF887" s="1530"/>
      <c r="BG887" s="1530"/>
      <c r="BH887" s="1530"/>
      <c r="BI887" s="1530"/>
      <c r="BJ887" s="1530"/>
      <c r="BK887" s="1530"/>
      <c r="BL887" s="1530"/>
      <c r="BM887" s="1530"/>
      <c r="BN887" s="1530"/>
      <c r="BW887" s="1569"/>
      <c r="CO887" s="1530"/>
      <c r="CP887" s="1530"/>
      <c r="CQ887" s="1530"/>
      <c r="CR887" s="1530"/>
      <c r="CS887" s="1530"/>
      <c r="CT887" s="1530"/>
      <c r="CU887" s="1530"/>
      <c r="CV887" s="1530"/>
      <c r="CW887" s="1530"/>
      <c r="CX887" s="1530"/>
      <c r="CY887" s="1530"/>
      <c r="CZ887" s="1530"/>
      <c r="DA887" s="1530"/>
      <c r="DB887" s="1530"/>
      <c r="DC887" s="1530"/>
      <c r="DD887" s="1530"/>
      <c r="DE887" s="1530"/>
      <c r="DF887" s="1530"/>
      <c r="DG887" s="1530"/>
      <c r="DH887" s="1530"/>
      <c r="DI887" s="1530"/>
      <c r="DJ887" s="1530"/>
      <c r="DK887" s="1530"/>
      <c r="DL887" s="1530"/>
      <c r="DM887" s="1530"/>
      <c r="DN887" s="1571"/>
      <c r="DO887" s="1530"/>
      <c r="DP887" s="1530"/>
    </row>
    <row r="888" spans="1:120">
      <c r="A888" s="1451"/>
      <c r="C888" s="1451"/>
      <c r="K888" s="1451"/>
      <c r="L888" s="1451"/>
      <c r="U888" s="1530"/>
      <c r="V888" s="1530"/>
      <c r="W888" s="1530"/>
      <c r="X888" s="1530"/>
      <c r="Y888" s="1530"/>
      <c r="Z888" s="1530"/>
      <c r="AA888" s="1530"/>
      <c r="AB888" s="1530"/>
      <c r="AC888" s="1530"/>
      <c r="AD888" s="1530"/>
      <c r="AE888" s="1530"/>
      <c r="AF888" s="1530"/>
      <c r="AG888" s="1530"/>
      <c r="AH888" s="1530"/>
      <c r="AI888" s="1530"/>
      <c r="AJ888" s="1530"/>
      <c r="AK888" s="1530"/>
      <c r="AL888" s="1530"/>
      <c r="AM888" s="1530"/>
      <c r="AN888" s="1530"/>
      <c r="AO888" s="1530"/>
      <c r="AP888" s="1530"/>
      <c r="AQ888" s="1530"/>
      <c r="AR888" s="1530"/>
      <c r="AS888" s="1530"/>
      <c r="AT888" s="1530"/>
      <c r="AU888" s="1530"/>
      <c r="AV888" s="1530"/>
      <c r="AW888" s="1530"/>
      <c r="AX888" s="1530"/>
      <c r="AY888" s="1530"/>
      <c r="AZ888" s="1530"/>
      <c r="BA888" s="1530"/>
      <c r="BB888" s="1530"/>
      <c r="BC888" s="1530"/>
      <c r="BD888" s="1530"/>
      <c r="BE888" s="1530"/>
      <c r="BF888" s="1530"/>
      <c r="BG888" s="1530"/>
      <c r="BH888" s="1530"/>
      <c r="BI888" s="1530"/>
      <c r="BJ888" s="1530"/>
      <c r="BK888" s="1530"/>
      <c r="BL888" s="1530"/>
      <c r="BM888" s="1530"/>
      <c r="BN888" s="1530"/>
      <c r="BW888" s="1569"/>
      <c r="CO888" s="1530"/>
      <c r="CP888" s="1530"/>
      <c r="CQ888" s="1530"/>
      <c r="CR888" s="1530"/>
      <c r="CS888" s="1530"/>
      <c r="CT888" s="1530"/>
      <c r="CU888" s="1530"/>
      <c r="CV888" s="1530"/>
      <c r="CW888" s="1530"/>
      <c r="CX888" s="1530"/>
      <c r="CY888" s="1530"/>
      <c r="CZ888" s="1530"/>
      <c r="DA888" s="1530"/>
      <c r="DB888" s="1530"/>
      <c r="DC888" s="1530"/>
      <c r="DD888" s="1530"/>
      <c r="DE888" s="1530"/>
      <c r="DF888" s="1530"/>
      <c r="DG888" s="1530"/>
      <c r="DH888" s="1530"/>
      <c r="DI888" s="1530"/>
      <c r="DJ888" s="1530"/>
      <c r="DK888" s="1530"/>
      <c r="DL888" s="1530"/>
      <c r="DM888" s="1530"/>
      <c r="DN888" s="1571"/>
      <c r="DO888" s="1530"/>
      <c r="DP888" s="1530"/>
    </row>
    <row r="889" spans="1:120">
      <c r="A889" s="1451"/>
      <c r="C889" s="1451"/>
      <c r="K889" s="1451"/>
      <c r="L889" s="1451"/>
      <c r="U889" s="1530"/>
      <c r="V889" s="1530"/>
      <c r="W889" s="1530"/>
      <c r="X889" s="1530"/>
      <c r="Y889" s="1530"/>
      <c r="Z889" s="1530"/>
      <c r="AA889" s="1530"/>
      <c r="AB889" s="1530"/>
      <c r="AC889" s="1530"/>
      <c r="AD889" s="1530"/>
      <c r="AE889" s="1530"/>
      <c r="AF889" s="1530"/>
      <c r="AG889" s="1530"/>
      <c r="AH889" s="1530"/>
      <c r="AI889" s="1530"/>
      <c r="AJ889" s="1530"/>
      <c r="AK889" s="1530"/>
      <c r="AL889" s="1530"/>
      <c r="AM889" s="1530"/>
      <c r="AN889" s="1530"/>
      <c r="AO889" s="1530"/>
      <c r="AP889" s="1530"/>
      <c r="AQ889" s="1530"/>
      <c r="AR889" s="1530"/>
      <c r="AS889" s="1530"/>
      <c r="AT889" s="1530"/>
      <c r="AU889" s="1530"/>
      <c r="AV889" s="1530"/>
      <c r="AW889" s="1530"/>
      <c r="AX889" s="1530"/>
      <c r="AY889" s="1530"/>
      <c r="AZ889" s="1530"/>
      <c r="BA889" s="1530"/>
      <c r="BB889" s="1530"/>
      <c r="BC889" s="1530"/>
      <c r="BD889" s="1530"/>
      <c r="BE889" s="1530"/>
      <c r="BF889" s="1530"/>
      <c r="BG889" s="1530"/>
      <c r="BH889" s="1530"/>
      <c r="BI889" s="1530"/>
      <c r="BJ889" s="1530"/>
      <c r="BK889" s="1530"/>
      <c r="BL889" s="1530"/>
      <c r="BM889" s="1530"/>
      <c r="BN889" s="1530"/>
      <c r="BW889" s="1569"/>
      <c r="CO889" s="1530"/>
      <c r="CP889" s="1530"/>
      <c r="CQ889" s="1530"/>
      <c r="CR889" s="1530"/>
      <c r="CS889" s="1530"/>
      <c r="CT889" s="1530"/>
      <c r="CU889" s="1530"/>
      <c r="CV889" s="1530"/>
      <c r="CW889" s="1530"/>
      <c r="CX889" s="1530"/>
      <c r="CY889" s="1530"/>
      <c r="CZ889" s="1530"/>
      <c r="DA889" s="1530"/>
      <c r="DB889" s="1530"/>
      <c r="DC889" s="1530"/>
      <c r="DD889" s="1530"/>
      <c r="DE889" s="1530"/>
      <c r="DF889" s="1530"/>
      <c r="DG889" s="1530"/>
      <c r="DH889" s="1530"/>
      <c r="DI889" s="1530"/>
      <c r="DJ889" s="1530"/>
      <c r="DK889" s="1530"/>
      <c r="DL889" s="1530"/>
      <c r="DM889" s="1530"/>
      <c r="DN889" s="1571"/>
      <c r="DO889" s="1530"/>
      <c r="DP889" s="1530"/>
    </row>
    <row r="890" spans="1:120">
      <c r="A890" s="1451"/>
      <c r="C890" s="1451"/>
      <c r="K890" s="1451"/>
      <c r="L890" s="1451"/>
      <c r="U890" s="1530"/>
      <c r="V890" s="1530"/>
      <c r="W890" s="1530"/>
      <c r="X890" s="1530"/>
      <c r="Y890" s="1530"/>
      <c r="Z890" s="1530"/>
      <c r="AA890" s="1530"/>
      <c r="AB890" s="1530"/>
      <c r="AC890" s="1530"/>
      <c r="AD890" s="1530"/>
      <c r="AE890" s="1530"/>
      <c r="AF890" s="1530"/>
      <c r="AG890" s="1530"/>
      <c r="AH890" s="1530"/>
      <c r="AI890" s="1530"/>
      <c r="AJ890" s="1530"/>
      <c r="AK890" s="1530"/>
      <c r="AL890" s="1530"/>
      <c r="AM890" s="1530"/>
      <c r="AN890" s="1530"/>
      <c r="AO890" s="1530"/>
      <c r="AP890" s="1530"/>
      <c r="AQ890" s="1530"/>
      <c r="AR890" s="1530"/>
      <c r="AS890" s="1530"/>
      <c r="AT890" s="1530"/>
      <c r="AU890" s="1530"/>
      <c r="AV890" s="1530"/>
      <c r="AW890" s="1530"/>
      <c r="AX890" s="1530"/>
      <c r="AY890" s="1530"/>
      <c r="AZ890" s="1530"/>
      <c r="BA890" s="1530"/>
      <c r="BB890" s="1530"/>
      <c r="BC890" s="1530"/>
      <c r="BD890" s="1530"/>
      <c r="BE890" s="1530"/>
      <c r="BF890" s="1530"/>
      <c r="BG890" s="1530"/>
      <c r="BH890" s="1530"/>
      <c r="BI890" s="1530"/>
      <c r="BJ890" s="1530"/>
      <c r="BK890" s="1530"/>
      <c r="BL890" s="1530"/>
      <c r="BM890" s="1530"/>
      <c r="BN890" s="1530"/>
      <c r="BW890" s="1569"/>
      <c r="CO890" s="1530"/>
      <c r="CP890" s="1530"/>
      <c r="CQ890" s="1530"/>
      <c r="CR890" s="1530"/>
      <c r="CS890" s="1530"/>
      <c r="CT890" s="1530"/>
      <c r="CU890" s="1530"/>
      <c r="CV890" s="1530"/>
      <c r="CW890" s="1530"/>
      <c r="CX890" s="1530"/>
      <c r="CY890" s="1530"/>
      <c r="CZ890" s="1530"/>
      <c r="DA890" s="1530"/>
      <c r="DB890" s="1530"/>
      <c r="DC890" s="1530"/>
      <c r="DD890" s="1530"/>
      <c r="DE890" s="1530"/>
      <c r="DF890" s="1530"/>
      <c r="DG890" s="1530"/>
      <c r="DH890" s="1530"/>
      <c r="DI890" s="1530"/>
      <c r="DJ890" s="1530"/>
      <c r="DK890" s="1530"/>
      <c r="DL890" s="1530"/>
      <c r="DM890" s="1530"/>
      <c r="DN890" s="1571"/>
      <c r="DO890" s="1530"/>
      <c r="DP890" s="1530"/>
    </row>
    <row r="891" spans="1:120">
      <c r="A891" s="1451"/>
      <c r="C891" s="1451"/>
      <c r="K891" s="1451"/>
      <c r="L891" s="1451"/>
      <c r="U891" s="1530"/>
      <c r="V891" s="1530"/>
      <c r="W891" s="1530"/>
      <c r="X891" s="1530"/>
      <c r="Y891" s="1530"/>
      <c r="Z891" s="1530"/>
      <c r="AA891" s="1530"/>
      <c r="AB891" s="1530"/>
      <c r="AC891" s="1530"/>
      <c r="AD891" s="1530"/>
      <c r="AE891" s="1530"/>
      <c r="AF891" s="1530"/>
      <c r="AG891" s="1530"/>
      <c r="AH891" s="1530"/>
      <c r="AI891" s="1530"/>
      <c r="AJ891" s="1530"/>
      <c r="AK891" s="1530"/>
      <c r="AL891" s="1530"/>
      <c r="AM891" s="1530"/>
      <c r="AN891" s="1530"/>
      <c r="AO891" s="1530"/>
      <c r="AP891" s="1530"/>
      <c r="AQ891" s="1530"/>
      <c r="AR891" s="1530"/>
      <c r="AS891" s="1530"/>
      <c r="AT891" s="1530"/>
      <c r="AU891" s="1530"/>
      <c r="AV891" s="1530"/>
      <c r="AW891" s="1530"/>
      <c r="AX891" s="1530"/>
      <c r="AY891" s="1530"/>
      <c r="AZ891" s="1530"/>
      <c r="BA891" s="1530"/>
      <c r="BB891" s="1530"/>
      <c r="BC891" s="1530"/>
      <c r="BD891" s="1530"/>
      <c r="BE891" s="1530"/>
      <c r="BF891" s="1530"/>
      <c r="BG891" s="1530"/>
      <c r="BH891" s="1530"/>
      <c r="BI891" s="1530"/>
      <c r="BJ891" s="1530"/>
      <c r="BK891" s="1530"/>
      <c r="BL891" s="1530"/>
      <c r="BM891" s="1530"/>
      <c r="BN891" s="1530"/>
      <c r="BW891" s="1569"/>
      <c r="CO891" s="1530"/>
      <c r="CP891" s="1530"/>
      <c r="CQ891" s="1530"/>
      <c r="CR891" s="1530"/>
      <c r="CS891" s="1530"/>
      <c r="CT891" s="1530"/>
      <c r="CU891" s="1530"/>
      <c r="CV891" s="1530"/>
      <c r="CW891" s="1530"/>
      <c r="CX891" s="1530"/>
      <c r="CY891" s="1530"/>
      <c r="CZ891" s="1530"/>
      <c r="DA891" s="1530"/>
      <c r="DB891" s="1530"/>
      <c r="DC891" s="1530"/>
      <c r="DD891" s="1530"/>
      <c r="DE891" s="1530"/>
      <c r="DF891" s="1530"/>
      <c r="DG891" s="1530"/>
      <c r="DH891" s="1530"/>
      <c r="DI891" s="1530"/>
      <c r="DJ891" s="1530"/>
      <c r="DK891" s="1530"/>
      <c r="DL891" s="1530"/>
      <c r="DM891" s="1530"/>
      <c r="DN891" s="1571"/>
      <c r="DO891" s="1530"/>
      <c r="DP891" s="1530"/>
    </row>
    <row r="892" spans="1:120">
      <c r="A892" s="1451"/>
      <c r="C892" s="1451"/>
      <c r="K892" s="1451"/>
      <c r="L892" s="1451"/>
      <c r="U892" s="1530"/>
      <c r="V892" s="1530"/>
      <c r="W892" s="1530"/>
      <c r="X892" s="1530"/>
      <c r="Y892" s="1530"/>
      <c r="Z892" s="1530"/>
      <c r="AA892" s="1530"/>
      <c r="AB892" s="1530"/>
      <c r="AC892" s="1530"/>
      <c r="AD892" s="1530"/>
      <c r="AE892" s="1530"/>
      <c r="AF892" s="1530"/>
      <c r="AG892" s="1530"/>
      <c r="AH892" s="1530"/>
      <c r="AI892" s="1530"/>
      <c r="AJ892" s="1530"/>
      <c r="AK892" s="1530"/>
      <c r="AL892" s="1530"/>
      <c r="AM892" s="1530"/>
      <c r="AN892" s="1530"/>
      <c r="AO892" s="1530"/>
      <c r="AP892" s="1530"/>
      <c r="AQ892" s="1530"/>
      <c r="AR892" s="1530"/>
      <c r="AS892" s="1530"/>
      <c r="AT892" s="1530"/>
      <c r="AU892" s="1530"/>
      <c r="AV892" s="1530"/>
      <c r="AW892" s="1530"/>
      <c r="AX892" s="1530"/>
      <c r="AY892" s="1530"/>
      <c r="AZ892" s="1530"/>
      <c r="BA892" s="1530"/>
      <c r="BB892" s="1530"/>
      <c r="BC892" s="1530"/>
      <c r="BD892" s="1530"/>
      <c r="BE892" s="1530"/>
      <c r="BF892" s="1530"/>
      <c r="BG892" s="1530"/>
      <c r="BH892" s="1530"/>
      <c r="BI892" s="1530"/>
      <c r="BJ892" s="1530"/>
      <c r="BK892" s="1530"/>
      <c r="BL892" s="1530"/>
      <c r="BM892" s="1530"/>
      <c r="BN892" s="1530"/>
      <c r="BW892" s="1569"/>
      <c r="CO892" s="1530"/>
      <c r="CP892" s="1530"/>
      <c r="CQ892" s="1530"/>
      <c r="CR892" s="1530"/>
      <c r="CS892" s="1530"/>
      <c r="CT892" s="1530"/>
      <c r="CU892" s="1530"/>
      <c r="CV892" s="1530"/>
      <c r="CW892" s="1530"/>
      <c r="CX892" s="1530"/>
      <c r="CY892" s="1530"/>
      <c r="CZ892" s="1530"/>
      <c r="DA892" s="1530"/>
      <c r="DB892" s="1530"/>
      <c r="DC892" s="1530"/>
      <c r="DD892" s="1530"/>
      <c r="DE892" s="1530"/>
      <c r="DF892" s="1530"/>
      <c r="DG892" s="1530"/>
      <c r="DH892" s="1530"/>
      <c r="DI892" s="1530"/>
      <c r="DJ892" s="1530"/>
      <c r="DK892" s="1530"/>
      <c r="DL892" s="1530"/>
      <c r="DM892" s="1530"/>
      <c r="DN892" s="1571"/>
      <c r="DO892" s="1530"/>
      <c r="DP892" s="1530"/>
    </row>
    <row r="893" spans="1:120">
      <c r="A893" s="1451"/>
      <c r="C893" s="1451"/>
      <c r="K893" s="1451"/>
      <c r="L893" s="1451"/>
      <c r="U893" s="1530"/>
      <c r="V893" s="1530"/>
      <c r="W893" s="1530"/>
      <c r="X893" s="1530"/>
      <c r="Y893" s="1530"/>
      <c r="Z893" s="1530"/>
      <c r="AA893" s="1530"/>
      <c r="AB893" s="1530"/>
      <c r="AC893" s="1530"/>
      <c r="AD893" s="1530"/>
      <c r="AE893" s="1530"/>
      <c r="AF893" s="1530"/>
      <c r="AG893" s="1530"/>
      <c r="AH893" s="1530"/>
      <c r="AI893" s="1530"/>
      <c r="AJ893" s="1530"/>
      <c r="AK893" s="1530"/>
      <c r="AL893" s="1530"/>
      <c r="AM893" s="1530"/>
      <c r="AN893" s="1530"/>
      <c r="AO893" s="1530"/>
      <c r="AP893" s="1530"/>
      <c r="AQ893" s="1530"/>
      <c r="AR893" s="1530"/>
      <c r="AS893" s="1530"/>
      <c r="AT893" s="1530"/>
      <c r="AU893" s="1530"/>
      <c r="AV893" s="1530"/>
      <c r="AW893" s="1530"/>
      <c r="AX893" s="1530"/>
      <c r="AY893" s="1530"/>
      <c r="AZ893" s="1530"/>
      <c r="BA893" s="1530"/>
      <c r="BB893" s="1530"/>
      <c r="BC893" s="1530"/>
      <c r="BD893" s="1530"/>
      <c r="BE893" s="1530"/>
      <c r="BF893" s="1530"/>
      <c r="BG893" s="1530"/>
      <c r="BH893" s="1530"/>
      <c r="BI893" s="1530"/>
      <c r="BJ893" s="1530"/>
      <c r="BK893" s="1530"/>
      <c r="BL893" s="1530"/>
      <c r="BM893" s="1530"/>
      <c r="BN893" s="1530"/>
      <c r="BW893" s="1569"/>
      <c r="CO893" s="1530"/>
      <c r="CP893" s="1530"/>
      <c r="CQ893" s="1530"/>
      <c r="CR893" s="1530"/>
      <c r="CS893" s="1530"/>
      <c r="CT893" s="1530"/>
      <c r="CU893" s="1530"/>
      <c r="CV893" s="1530"/>
      <c r="CW893" s="1530"/>
      <c r="CX893" s="1530"/>
      <c r="CY893" s="1530"/>
      <c r="CZ893" s="1530"/>
      <c r="DA893" s="1530"/>
      <c r="DB893" s="1530"/>
      <c r="DC893" s="1530"/>
      <c r="DD893" s="1530"/>
      <c r="DE893" s="1530"/>
      <c r="DF893" s="1530"/>
      <c r="DG893" s="1530"/>
      <c r="DH893" s="1530"/>
      <c r="DI893" s="1530"/>
      <c r="DJ893" s="1530"/>
      <c r="DK893" s="1530"/>
      <c r="DL893" s="1530"/>
      <c r="DM893" s="1530"/>
      <c r="DN893" s="1571"/>
      <c r="DO893" s="1530"/>
      <c r="DP893" s="1530"/>
    </row>
    <row r="894" spans="1:120">
      <c r="A894" s="1451"/>
      <c r="C894" s="1451"/>
      <c r="K894" s="1451"/>
      <c r="L894" s="1451"/>
      <c r="U894" s="1530"/>
      <c r="V894" s="1530"/>
      <c r="W894" s="1530"/>
      <c r="X894" s="1530"/>
      <c r="Y894" s="1530"/>
      <c r="Z894" s="1530"/>
      <c r="AA894" s="1530"/>
      <c r="AB894" s="1530"/>
      <c r="AC894" s="1530"/>
      <c r="AD894" s="1530"/>
      <c r="AE894" s="1530"/>
      <c r="AF894" s="1530"/>
      <c r="AG894" s="1530"/>
      <c r="AH894" s="1530"/>
      <c r="AI894" s="1530"/>
      <c r="AJ894" s="1530"/>
      <c r="AK894" s="1530"/>
      <c r="AL894" s="1530"/>
      <c r="AM894" s="1530"/>
      <c r="AN894" s="1530"/>
      <c r="AO894" s="1530"/>
      <c r="AP894" s="1530"/>
      <c r="AQ894" s="1530"/>
      <c r="AR894" s="1530"/>
      <c r="AS894" s="1530"/>
      <c r="AT894" s="1530"/>
      <c r="AU894" s="1530"/>
      <c r="AV894" s="1530"/>
      <c r="AW894" s="1530"/>
      <c r="AX894" s="1530"/>
      <c r="AY894" s="1530"/>
      <c r="AZ894" s="1530"/>
      <c r="BA894" s="1530"/>
      <c r="BB894" s="1530"/>
      <c r="BC894" s="1530"/>
      <c r="BD894" s="1530"/>
      <c r="BE894" s="1530"/>
      <c r="BF894" s="1530"/>
      <c r="BG894" s="1530"/>
      <c r="BH894" s="1530"/>
      <c r="BI894" s="1530"/>
      <c r="BJ894" s="1530"/>
      <c r="BK894" s="1530"/>
      <c r="BL894" s="1530"/>
      <c r="BM894" s="1530"/>
      <c r="BN894" s="1530"/>
      <c r="BW894" s="1569"/>
      <c r="CO894" s="1530"/>
      <c r="CP894" s="1530"/>
      <c r="CQ894" s="1530"/>
      <c r="CR894" s="1530"/>
      <c r="CS894" s="1530"/>
      <c r="CT894" s="1530"/>
      <c r="CU894" s="1530"/>
      <c r="CV894" s="1530"/>
      <c r="CW894" s="1530"/>
      <c r="CX894" s="1530"/>
      <c r="CY894" s="1530"/>
      <c r="CZ894" s="1530"/>
      <c r="DA894" s="1530"/>
      <c r="DB894" s="1530"/>
      <c r="DC894" s="1530"/>
      <c r="DD894" s="1530"/>
      <c r="DE894" s="1530"/>
      <c r="DF894" s="1530"/>
      <c r="DG894" s="1530"/>
      <c r="DH894" s="1530"/>
      <c r="DI894" s="1530"/>
      <c r="DJ894" s="1530"/>
      <c r="DK894" s="1530"/>
      <c r="DL894" s="1530"/>
      <c r="DM894" s="1530"/>
      <c r="DN894" s="1571"/>
      <c r="DO894" s="1530"/>
      <c r="DP894" s="1530"/>
    </row>
    <row r="895" spans="1:120">
      <c r="A895" s="1451"/>
      <c r="C895" s="1451"/>
      <c r="K895" s="1451"/>
      <c r="L895" s="1451"/>
      <c r="U895" s="1530"/>
      <c r="V895" s="1530"/>
      <c r="W895" s="1530"/>
      <c r="X895" s="1530"/>
      <c r="Y895" s="1530"/>
      <c r="Z895" s="1530"/>
      <c r="AA895" s="1530"/>
      <c r="AB895" s="1530"/>
      <c r="AC895" s="1530"/>
      <c r="AD895" s="1530"/>
      <c r="AE895" s="1530"/>
      <c r="AF895" s="1530"/>
      <c r="AG895" s="1530"/>
      <c r="AH895" s="1530"/>
      <c r="AI895" s="1530"/>
      <c r="AJ895" s="1530"/>
      <c r="AK895" s="1530"/>
      <c r="AL895" s="1530"/>
      <c r="AM895" s="1530"/>
      <c r="AN895" s="1530"/>
      <c r="AO895" s="1530"/>
      <c r="AP895" s="1530"/>
      <c r="AQ895" s="1530"/>
      <c r="AR895" s="1530"/>
      <c r="AS895" s="1530"/>
      <c r="AT895" s="1530"/>
      <c r="AU895" s="1530"/>
      <c r="AV895" s="1530"/>
      <c r="AW895" s="1530"/>
      <c r="AX895" s="1530"/>
      <c r="AY895" s="1530"/>
      <c r="AZ895" s="1530"/>
      <c r="BA895" s="1530"/>
      <c r="BB895" s="1530"/>
      <c r="BC895" s="1530"/>
      <c r="BD895" s="1530"/>
      <c r="BE895" s="1530"/>
      <c r="BF895" s="1530"/>
      <c r="BG895" s="1530"/>
      <c r="BH895" s="1530"/>
      <c r="BI895" s="1530"/>
      <c r="BJ895" s="1530"/>
      <c r="BK895" s="1530"/>
      <c r="BL895" s="1530"/>
      <c r="BM895" s="1530"/>
      <c r="BN895" s="1530"/>
      <c r="BW895" s="1569"/>
      <c r="CO895" s="1530"/>
      <c r="CP895" s="1530"/>
      <c r="CQ895" s="1530"/>
      <c r="CR895" s="1530"/>
      <c r="CS895" s="1530"/>
      <c r="CT895" s="1530"/>
      <c r="CU895" s="1530"/>
      <c r="CV895" s="1530"/>
      <c r="CW895" s="1530"/>
      <c r="CX895" s="1530"/>
      <c r="CY895" s="1530"/>
      <c r="CZ895" s="1530"/>
      <c r="DA895" s="1530"/>
      <c r="DB895" s="1530"/>
      <c r="DC895" s="1530"/>
      <c r="DD895" s="1530"/>
      <c r="DE895" s="1530"/>
      <c r="DF895" s="1530"/>
      <c r="DG895" s="1530"/>
      <c r="DH895" s="1530"/>
      <c r="DI895" s="1530"/>
      <c r="DJ895" s="1530"/>
      <c r="DK895" s="1530"/>
      <c r="DL895" s="1530"/>
      <c r="DM895" s="1530"/>
      <c r="DN895" s="1571"/>
      <c r="DO895" s="1530"/>
      <c r="DP895" s="1530"/>
    </row>
    <row r="896" spans="1:120">
      <c r="A896" s="1451"/>
      <c r="C896" s="1451"/>
      <c r="K896" s="1451"/>
      <c r="L896" s="1451"/>
      <c r="U896" s="1530"/>
      <c r="V896" s="1530"/>
      <c r="W896" s="1530"/>
      <c r="X896" s="1530"/>
      <c r="Y896" s="1530"/>
      <c r="Z896" s="1530"/>
      <c r="AA896" s="1530"/>
      <c r="AB896" s="1530"/>
      <c r="AC896" s="1530"/>
      <c r="AD896" s="1530"/>
      <c r="AE896" s="1530"/>
      <c r="AF896" s="1530"/>
      <c r="AG896" s="1530"/>
      <c r="AH896" s="1530"/>
      <c r="AI896" s="1530"/>
      <c r="AJ896" s="1530"/>
      <c r="AK896" s="1530"/>
      <c r="AL896" s="1530"/>
      <c r="AM896" s="1530"/>
      <c r="AN896" s="1530"/>
      <c r="AO896" s="1530"/>
      <c r="AP896" s="1530"/>
      <c r="AQ896" s="1530"/>
      <c r="AR896" s="1530"/>
      <c r="AS896" s="1530"/>
      <c r="AT896" s="1530"/>
      <c r="AU896" s="1530"/>
      <c r="AV896" s="1530"/>
      <c r="AW896" s="1530"/>
      <c r="AX896" s="1530"/>
      <c r="AY896" s="1530"/>
      <c r="AZ896" s="1530"/>
      <c r="BA896" s="1530"/>
      <c r="BB896" s="1530"/>
      <c r="BC896" s="1530"/>
      <c r="BD896" s="1530"/>
      <c r="BE896" s="1530"/>
      <c r="BF896" s="1530"/>
      <c r="BG896" s="1530"/>
      <c r="BH896" s="1530"/>
      <c r="BI896" s="1530"/>
      <c r="BJ896" s="1530"/>
      <c r="BK896" s="1530"/>
      <c r="BL896" s="1530"/>
      <c r="BM896" s="1530"/>
      <c r="BN896" s="1530"/>
      <c r="BW896" s="1569"/>
      <c r="CO896" s="1530"/>
      <c r="CP896" s="1530"/>
      <c r="CQ896" s="1530"/>
      <c r="CR896" s="1530"/>
      <c r="CS896" s="1530"/>
      <c r="CT896" s="1530"/>
      <c r="CU896" s="1530"/>
      <c r="CV896" s="1530"/>
      <c r="CW896" s="1530"/>
      <c r="CX896" s="1530"/>
      <c r="CY896" s="1530"/>
      <c r="CZ896" s="1530"/>
      <c r="DA896" s="1530"/>
      <c r="DB896" s="1530"/>
      <c r="DC896" s="1530"/>
      <c r="DD896" s="1530"/>
      <c r="DE896" s="1530"/>
      <c r="DF896" s="1530"/>
      <c r="DG896" s="1530"/>
      <c r="DH896" s="1530"/>
      <c r="DI896" s="1530"/>
      <c r="DJ896" s="1530"/>
      <c r="DK896" s="1530"/>
      <c r="DL896" s="1530"/>
      <c r="DM896" s="1530"/>
      <c r="DN896" s="1571"/>
      <c r="DO896" s="1530"/>
      <c r="DP896" s="1530"/>
    </row>
    <row r="897" spans="1:120">
      <c r="A897" s="1451"/>
      <c r="C897" s="1451"/>
      <c r="K897" s="1451"/>
      <c r="L897" s="1451"/>
      <c r="U897" s="1530"/>
      <c r="V897" s="1530"/>
      <c r="W897" s="1530"/>
      <c r="X897" s="1530"/>
      <c r="Y897" s="1530"/>
      <c r="Z897" s="1530"/>
      <c r="AA897" s="1530"/>
      <c r="AB897" s="1530"/>
      <c r="AC897" s="1530"/>
      <c r="AD897" s="1530"/>
      <c r="AE897" s="1530"/>
      <c r="AF897" s="1530"/>
      <c r="AG897" s="1530"/>
      <c r="AH897" s="1530"/>
      <c r="AI897" s="1530"/>
      <c r="AJ897" s="1530"/>
      <c r="AK897" s="1530"/>
      <c r="AL897" s="1530"/>
      <c r="AM897" s="1530"/>
      <c r="AN897" s="1530"/>
      <c r="AO897" s="1530"/>
      <c r="AP897" s="1530"/>
      <c r="AQ897" s="1530"/>
      <c r="AR897" s="1530"/>
      <c r="AS897" s="1530"/>
      <c r="AT897" s="1530"/>
      <c r="AU897" s="1530"/>
      <c r="AV897" s="1530"/>
      <c r="AW897" s="1530"/>
      <c r="AX897" s="1530"/>
      <c r="AY897" s="1530"/>
      <c r="AZ897" s="1530"/>
      <c r="BA897" s="1530"/>
      <c r="BB897" s="1530"/>
      <c r="BC897" s="1530"/>
      <c r="BD897" s="1530"/>
      <c r="BE897" s="1530"/>
      <c r="BF897" s="1530"/>
      <c r="BG897" s="1530"/>
      <c r="BH897" s="1530"/>
      <c r="BI897" s="1530"/>
      <c r="BJ897" s="1530"/>
      <c r="BK897" s="1530"/>
      <c r="BL897" s="1530"/>
      <c r="BM897" s="1530"/>
      <c r="BN897" s="1530"/>
      <c r="BW897" s="1569"/>
      <c r="CO897" s="1530"/>
      <c r="CP897" s="1530"/>
      <c r="CQ897" s="1530"/>
      <c r="CR897" s="1530"/>
      <c r="CS897" s="1530"/>
      <c r="CT897" s="1530"/>
      <c r="CU897" s="1530"/>
      <c r="CV897" s="1530"/>
      <c r="CW897" s="1530"/>
      <c r="CX897" s="1530"/>
      <c r="CY897" s="1530"/>
      <c r="CZ897" s="1530"/>
      <c r="DA897" s="1530"/>
      <c r="DB897" s="1530"/>
      <c r="DC897" s="1530"/>
      <c r="DD897" s="1530"/>
      <c r="DE897" s="1530"/>
      <c r="DF897" s="1530"/>
      <c r="DG897" s="1530"/>
      <c r="DH897" s="1530"/>
      <c r="DI897" s="1530"/>
      <c r="DJ897" s="1530"/>
      <c r="DK897" s="1530"/>
      <c r="DL897" s="1530"/>
      <c r="DM897" s="1530"/>
      <c r="DN897" s="1571"/>
      <c r="DO897" s="1530"/>
      <c r="DP897" s="1530"/>
    </row>
    <row r="898" spans="1:120">
      <c r="A898" s="1451"/>
      <c r="C898" s="1451"/>
      <c r="K898" s="1451"/>
      <c r="L898" s="1451"/>
      <c r="U898" s="1530"/>
      <c r="V898" s="1530"/>
      <c r="W898" s="1530"/>
      <c r="X898" s="1530"/>
      <c r="Y898" s="1530"/>
      <c r="Z898" s="1530"/>
      <c r="AA898" s="1530"/>
      <c r="AB898" s="1530"/>
      <c r="AC898" s="1530"/>
      <c r="AD898" s="1530"/>
      <c r="AE898" s="1530"/>
      <c r="AF898" s="1530"/>
      <c r="AG898" s="1530"/>
      <c r="AH898" s="1530"/>
      <c r="AI898" s="1530"/>
      <c r="AJ898" s="1530"/>
      <c r="AK898" s="1530"/>
      <c r="AL898" s="1530"/>
      <c r="AM898" s="1530"/>
      <c r="AN898" s="1530"/>
      <c r="AO898" s="1530"/>
      <c r="AP898" s="1530"/>
      <c r="AQ898" s="1530"/>
      <c r="AR898" s="1530"/>
      <c r="AS898" s="1530"/>
      <c r="AT898" s="1530"/>
      <c r="AU898" s="1530"/>
      <c r="AV898" s="1530"/>
      <c r="AW898" s="1530"/>
      <c r="AX898" s="1530"/>
      <c r="AY898" s="1530"/>
      <c r="AZ898" s="1530"/>
      <c r="BA898" s="1530"/>
      <c r="BB898" s="1530"/>
      <c r="BC898" s="1530"/>
      <c r="BD898" s="1530"/>
      <c r="BE898" s="1530"/>
      <c r="BF898" s="1530"/>
      <c r="BG898" s="1530"/>
      <c r="BH898" s="1530"/>
      <c r="BI898" s="1530"/>
      <c r="BJ898" s="1530"/>
      <c r="BK898" s="1530"/>
      <c r="BL898" s="1530"/>
      <c r="BM898" s="1530"/>
      <c r="BN898" s="1530"/>
      <c r="BW898" s="1569"/>
      <c r="CO898" s="1530"/>
      <c r="CP898" s="1530"/>
      <c r="CQ898" s="1530"/>
      <c r="CR898" s="1530"/>
      <c r="CS898" s="1530"/>
      <c r="CT898" s="1530"/>
      <c r="CU898" s="1530"/>
      <c r="CV898" s="1530"/>
      <c r="CW898" s="1530"/>
      <c r="CX898" s="1530"/>
      <c r="CY898" s="1530"/>
      <c r="CZ898" s="1530"/>
      <c r="DA898" s="1530"/>
      <c r="DB898" s="1530"/>
      <c r="DC898" s="1530"/>
      <c r="DD898" s="1530"/>
      <c r="DE898" s="1530"/>
      <c r="DF898" s="1530"/>
      <c r="DG898" s="1530"/>
      <c r="DH898" s="1530"/>
      <c r="DI898" s="1530"/>
      <c r="DJ898" s="1530"/>
      <c r="DK898" s="1530"/>
      <c r="DL898" s="1530"/>
      <c r="DM898" s="1530"/>
      <c r="DN898" s="1571"/>
      <c r="DO898" s="1530"/>
      <c r="DP898" s="1530"/>
    </row>
    <row r="899" spans="1:120">
      <c r="A899" s="1451"/>
      <c r="C899" s="1451"/>
      <c r="K899" s="1451"/>
      <c r="L899" s="1451"/>
      <c r="U899" s="1530"/>
      <c r="V899" s="1530"/>
      <c r="W899" s="1530"/>
      <c r="X899" s="1530"/>
      <c r="Y899" s="1530"/>
      <c r="Z899" s="1530"/>
      <c r="AA899" s="1530"/>
      <c r="AB899" s="1530"/>
      <c r="AC899" s="1530"/>
      <c r="AD899" s="1530"/>
      <c r="AE899" s="1530"/>
      <c r="AF899" s="1530"/>
      <c r="AG899" s="1530"/>
      <c r="AH899" s="1530"/>
      <c r="AI899" s="1530"/>
      <c r="AJ899" s="1530"/>
      <c r="AK899" s="1530"/>
      <c r="AL899" s="1530"/>
      <c r="AM899" s="1530"/>
      <c r="AN899" s="1530"/>
      <c r="AO899" s="1530"/>
      <c r="AP899" s="1530"/>
      <c r="AQ899" s="1530"/>
      <c r="AR899" s="1530"/>
      <c r="AS899" s="1530"/>
      <c r="AT899" s="1530"/>
      <c r="AU899" s="1530"/>
      <c r="AV899" s="1530"/>
      <c r="AW899" s="1530"/>
      <c r="AX899" s="1530"/>
      <c r="AY899" s="1530"/>
      <c r="AZ899" s="1530"/>
      <c r="BA899" s="1530"/>
      <c r="BB899" s="1530"/>
      <c r="BC899" s="1530"/>
      <c r="BD899" s="1530"/>
      <c r="BE899" s="1530"/>
      <c r="BF899" s="1530"/>
      <c r="BG899" s="1530"/>
      <c r="BH899" s="1530"/>
      <c r="BI899" s="1530"/>
      <c r="BJ899" s="1530"/>
      <c r="BK899" s="1530"/>
      <c r="BL899" s="1530"/>
      <c r="BM899" s="1530"/>
      <c r="BN899" s="1530"/>
      <c r="BW899" s="1569"/>
      <c r="CO899" s="1530"/>
      <c r="CP899" s="1530"/>
      <c r="CQ899" s="1530"/>
      <c r="CR899" s="1530"/>
      <c r="CS899" s="1530"/>
      <c r="CT899" s="1530"/>
      <c r="CU899" s="1530"/>
      <c r="CV899" s="1530"/>
      <c r="CW899" s="1530"/>
      <c r="CX899" s="1530"/>
      <c r="CY899" s="1530"/>
      <c r="CZ899" s="1530"/>
      <c r="DA899" s="1530"/>
      <c r="DB899" s="1530"/>
      <c r="DC899" s="1530"/>
      <c r="DD899" s="1530"/>
      <c r="DE899" s="1530"/>
      <c r="DF899" s="1530"/>
      <c r="DG899" s="1530"/>
      <c r="DH899" s="1530"/>
      <c r="DI899" s="1530"/>
      <c r="DJ899" s="1530"/>
      <c r="DK899" s="1530"/>
      <c r="DL899" s="1530"/>
      <c r="DM899" s="1530"/>
      <c r="DN899" s="1571"/>
      <c r="DO899" s="1530"/>
      <c r="DP899" s="1530"/>
    </row>
    <row r="900" spans="1:120">
      <c r="A900" s="1451"/>
      <c r="C900" s="1451"/>
      <c r="K900" s="1451"/>
      <c r="L900" s="1451"/>
      <c r="U900" s="1530"/>
      <c r="V900" s="1530"/>
      <c r="W900" s="1530"/>
      <c r="X900" s="1530"/>
      <c r="Y900" s="1530"/>
      <c r="Z900" s="1530"/>
      <c r="AA900" s="1530"/>
      <c r="AB900" s="1530"/>
      <c r="AC900" s="1530"/>
      <c r="AD900" s="1530"/>
      <c r="AE900" s="1530"/>
      <c r="AF900" s="1530"/>
      <c r="AG900" s="1530"/>
      <c r="AH900" s="1530"/>
      <c r="AI900" s="1530"/>
      <c r="AJ900" s="1530"/>
      <c r="AK900" s="1530"/>
      <c r="AL900" s="1530"/>
      <c r="AM900" s="1530"/>
      <c r="AN900" s="1530"/>
      <c r="AO900" s="1530"/>
      <c r="AP900" s="1530"/>
      <c r="AQ900" s="1530"/>
      <c r="AR900" s="1530"/>
      <c r="AS900" s="1530"/>
      <c r="AT900" s="1530"/>
      <c r="AU900" s="1530"/>
      <c r="AV900" s="1530"/>
      <c r="AW900" s="1530"/>
      <c r="AX900" s="1530"/>
      <c r="AY900" s="1530"/>
      <c r="AZ900" s="1530"/>
      <c r="BA900" s="1530"/>
      <c r="BB900" s="1530"/>
      <c r="BC900" s="1530"/>
      <c r="BD900" s="1530"/>
      <c r="BE900" s="1530"/>
      <c r="BF900" s="1530"/>
      <c r="BG900" s="1530"/>
      <c r="BH900" s="1530"/>
      <c r="BI900" s="1530"/>
      <c r="BJ900" s="1530"/>
      <c r="BK900" s="1530"/>
      <c r="BL900" s="1530"/>
      <c r="BM900" s="1530"/>
      <c r="BN900" s="1530"/>
      <c r="BW900" s="1569"/>
      <c r="CO900" s="1530"/>
      <c r="CP900" s="1530"/>
      <c r="CQ900" s="1530"/>
      <c r="CR900" s="1530"/>
      <c r="CS900" s="1530"/>
      <c r="CT900" s="1530"/>
      <c r="CU900" s="1530"/>
      <c r="CV900" s="1530"/>
      <c r="CW900" s="1530"/>
      <c r="CX900" s="1530"/>
      <c r="CY900" s="1530"/>
      <c r="CZ900" s="1530"/>
      <c r="DA900" s="1530"/>
      <c r="DB900" s="1530"/>
      <c r="DC900" s="1530"/>
      <c r="DD900" s="1530"/>
      <c r="DE900" s="1530"/>
      <c r="DF900" s="1530"/>
      <c r="DG900" s="1530"/>
      <c r="DH900" s="1530"/>
      <c r="DI900" s="1530"/>
      <c r="DJ900" s="1530"/>
      <c r="DK900" s="1530"/>
      <c r="DL900" s="1530"/>
      <c r="DM900" s="1530"/>
      <c r="DN900" s="1571"/>
      <c r="DO900" s="1530"/>
      <c r="DP900" s="1530"/>
    </row>
    <row r="901" spans="1:120">
      <c r="A901" s="1451"/>
      <c r="C901" s="1451"/>
      <c r="K901" s="1451"/>
      <c r="L901" s="1451"/>
      <c r="U901" s="1530"/>
      <c r="V901" s="1530"/>
      <c r="W901" s="1530"/>
      <c r="X901" s="1530"/>
      <c r="Y901" s="1530"/>
      <c r="Z901" s="1530"/>
      <c r="AA901" s="1530"/>
      <c r="AB901" s="1530"/>
      <c r="AC901" s="1530"/>
      <c r="AD901" s="1530"/>
      <c r="AE901" s="1530"/>
      <c r="AF901" s="1530"/>
      <c r="AG901" s="1530"/>
      <c r="AH901" s="1530"/>
      <c r="AI901" s="1530"/>
      <c r="AJ901" s="1530"/>
      <c r="AK901" s="1530"/>
      <c r="AL901" s="1530"/>
      <c r="AM901" s="1530"/>
      <c r="AN901" s="1530"/>
      <c r="AO901" s="1530"/>
      <c r="AP901" s="1530"/>
      <c r="AQ901" s="1530"/>
      <c r="AR901" s="1530"/>
      <c r="AS901" s="1530"/>
      <c r="AT901" s="1530"/>
      <c r="AU901" s="1530"/>
      <c r="AV901" s="1530"/>
      <c r="AW901" s="1530"/>
      <c r="AX901" s="1530"/>
      <c r="AY901" s="1530"/>
      <c r="AZ901" s="1530"/>
      <c r="BA901" s="1530"/>
      <c r="BB901" s="1530"/>
      <c r="BC901" s="1530"/>
      <c r="BD901" s="1530"/>
      <c r="BE901" s="1530"/>
      <c r="BF901" s="1530"/>
      <c r="BG901" s="1530"/>
      <c r="BH901" s="1530"/>
      <c r="BI901" s="1530"/>
      <c r="BJ901" s="1530"/>
      <c r="BK901" s="1530"/>
      <c r="BL901" s="1530"/>
      <c r="BM901" s="1530"/>
      <c r="BN901" s="1530"/>
      <c r="BW901" s="1569"/>
      <c r="CO901" s="1530"/>
      <c r="CP901" s="1530"/>
      <c r="CQ901" s="1530"/>
      <c r="CR901" s="1530"/>
      <c r="CS901" s="1530"/>
      <c r="CT901" s="1530"/>
      <c r="CU901" s="1530"/>
      <c r="CV901" s="1530"/>
      <c r="CW901" s="1530"/>
      <c r="CX901" s="1530"/>
      <c r="CY901" s="1530"/>
      <c r="CZ901" s="1530"/>
      <c r="DA901" s="1530"/>
      <c r="DB901" s="1530"/>
      <c r="DC901" s="1530"/>
      <c r="DD901" s="1530"/>
      <c r="DE901" s="1530"/>
      <c r="DF901" s="1530"/>
      <c r="DG901" s="1530"/>
      <c r="DH901" s="1530"/>
      <c r="DI901" s="1530"/>
      <c r="DJ901" s="1530"/>
      <c r="DK901" s="1530"/>
      <c r="DL901" s="1530"/>
      <c r="DM901" s="1530"/>
      <c r="DN901" s="1571"/>
      <c r="DO901" s="1530"/>
      <c r="DP901" s="1530"/>
    </row>
    <row r="902" spans="1:120">
      <c r="A902" s="1451"/>
      <c r="C902" s="1451"/>
      <c r="K902" s="1451"/>
      <c r="L902" s="1451"/>
      <c r="U902" s="1530"/>
      <c r="V902" s="1530"/>
      <c r="W902" s="1530"/>
      <c r="X902" s="1530"/>
      <c r="Y902" s="1530"/>
      <c r="Z902" s="1530"/>
      <c r="AA902" s="1530"/>
      <c r="AB902" s="1530"/>
      <c r="AC902" s="1530"/>
      <c r="AD902" s="1530"/>
      <c r="AE902" s="1530"/>
      <c r="AF902" s="1530"/>
      <c r="AG902" s="1530"/>
      <c r="AH902" s="1530"/>
      <c r="AI902" s="1530"/>
      <c r="AJ902" s="1530"/>
      <c r="AK902" s="1530"/>
      <c r="AL902" s="1530"/>
      <c r="AM902" s="1530"/>
      <c r="AN902" s="1530"/>
      <c r="AO902" s="1530"/>
      <c r="AP902" s="1530"/>
      <c r="AQ902" s="1530"/>
      <c r="AR902" s="1530"/>
      <c r="AS902" s="1530"/>
      <c r="AT902" s="1530"/>
      <c r="AU902" s="1530"/>
      <c r="AV902" s="1530"/>
      <c r="AW902" s="1530"/>
      <c r="AX902" s="1530"/>
      <c r="AY902" s="1530"/>
      <c r="AZ902" s="1530"/>
      <c r="BA902" s="1530"/>
      <c r="BB902" s="1530"/>
      <c r="BC902" s="1530"/>
      <c r="BD902" s="1530"/>
      <c r="BE902" s="1530"/>
      <c r="BF902" s="1530"/>
      <c r="BG902" s="1530"/>
      <c r="BH902" s="1530"/>
      <c r="BI902" s="1530"/>
      <c r="BJ902" s="1530"/>
      <c r="BK902" s="1530"/>
      <c r="BL902" s="1530"/>
      <c r="BM902" s="1530"/>
      <c r="BN902" s="1530"/>
      <c r="BW902" s="1569"/>
      <c r="CO902" s="1530"/>
      <c r="CP902" s="1530"/>
      <c r="CQ902" s="1530"/>
      <c r="CR902" s="1530"/>
      <c r="CS902" s="1530"/>
      <c r="CT902" s="1530"/>
      <c r="CU902" s="1530"/>
      <c r="CV902" s="1530"/>
      <c r="CW902" s="1530"/>
      <c r="CX902" s="1530"/>
      <c r="CY902" s="1530"/>
      <c r="CZ902" s="1530"/>
      <c r="DA902" s="1530"/>
      <c r="DB902" s="1530"/>
      <c r="DC902" s="1530"/>
      <c r="DD902" s="1530"/>
      <c r="DE902" s="1530"/>
      <c r="DF902" s="1530"/>
      <c r="DG902" s="1530"/>
      <c r="DH902" s="1530"/>
      <c r="DI902" s="1530"/>
      <c r="DJ902" s="1530"/>
      <c r="DK902" s="1530"/>
      <c r="DL902" s="1530"/>
      <c r="DM902" s="1530"/>
      <c r="DN902" s="1571"/>
      <c r="DO902" s="1530"/>
      <c r="DP902" s="1530"/>
    </row>
    <row r="903" spans="1:120">
      <c r="A903" s="1451"/>
      <c r="C903" s="1451"/>
      <c r="K903" s="1451"/>
      <c r="L903" s="1451"/>
      <c r="U903" s="1530"/>
      <c r="V903" s="1530"/>
      <c r="W903" s="1530"/>
      <c r="X903" s="1530"/>
      <c r="Y903" s="1530"/>
      <c r="Z903" s="1530"/>
      <c r="AA903" s="1530"/>
      <c r="AB903" s="1530"/>
      <c r="AC903" s="1530"/>
      <c r="AD903" s="1530"/>
      <c r="AE903" s="1530"/>
      <c r="AF903" s="1530"/>
      <c r="AG903" s="1530"/>
      <c r="AH903" s="1530"/>
      <c r="AI903" s="1530"/>
      <c r="AJ903" s="1530"/>
      <c r="AK903" s="1530"/>
      <c r="AL903" s="1530"/>
      <c r="AM903" s="1530"/>
      <c r="AN903" s="1530"/>
      <c r="AO903" s="1530"/>
      <c r="AP903" s="1530"/>
      <c r="AQ903" s="1530"/>
      <c r="AR903" s="1530"/>
      <c r="AS903" s="1530"/>
      <c r="AT903" s="1530"/>
      <c r="AU903" s="1530"/>
      <c r="AV903" s="1530"/>
      <c r="AW903" s="1530"/>
      <c r="AX903" s="1530"/>
      <c r="AY903" s="1530"/>
      <c r="AZ903" s="1530"/>
      <c r="BA903" s="1530"/>
      <c r="BB903" s="1530"/>
      <c r="BC903" s="1530"/>
      <c r="BD903" s="1530"/>
      <c r="BE903" s="1530"/>
      <c r="BF903" s="1530"/>
      <c r="BG903" s="1530"/>
      <c r="BH903" s="1530"/>
      <c r="BI903" s="1530"/>
      <c r="BJ903" s="1530"/>
      <c r="BK903" s="1530"/>
      <c r="BL903" s="1530"/>
      <c r="BM903" s="1530"/>
      <c r="BN903" s="1530"/>
      <c r="BW903" s="1569"/>
      <c r="CO903" s="1530"/>
      <c r="CP903" s="1530"/>
      <c r="CQ903" s="1530"/>
      <c r="CR903" s="1530"/>
      <c r="CS903" s="1530"/>
      <c r="CT903" s="1530"/>
      <c r="CU903" s="1530"/>
      <c r="CV903" s="1530"/>
      <c r="CW903" s="1530"/>
      <c r="CX903" s="1530"/>
      <c r="CY903" s="1530"/>
      <c r="CZ903" s="1530"/>
      <c r="DA903" s="1530"/>
      <c r="DB903" s="1530"/>
      <c r="DC903" s="1530"/>
      <c r="DD903" s="1530"/>
      <c r="DE903" s="1530"/>
      <c r="DF903" s="1530"/>
      <c r="DG903" s="1530"/>
      <c r="DH903" s="1530"/>
      <c r="DI903" s="1530"/>
      <c r="DJ903" s="1530"/>
      <c r="DK903" s="1530"/>
      <c r="DL903" s="1530"/>
      <c r="DM903" s="1530"/>
      <c r="DN903" s="1571"/>
      <c r="DO903" s="1530"/>
      <c r="DP903" s="1530"/>
    </row>
    <row r="904" spans="1:120">
      <c r="A904" s="1451"/>
      <c r="C904" s="1451"/>
      <c r="K904" s="1451"/>
      <c r="L904" s="1451"/>
      <c r="U904" s="1530"/>
      <c r="V904" s="1530"/>
      <c r="W904" s="1530"/>
      <c r="X904" s="1530"/>
      <c r="Y904" s="1530"/>
      <c r="Z904" s="1530"/>
      <c r="AA904" s="1530"/>
      <c r="AB904" s="1530"/>
      <c r="AC904" s="1530"/>
      <c r="AD904" s="1530"/>
      <c r="AE904" s="1530"/>
      <c r="AF904" s="1530"/>
      <c r="AG904" s="1530"/>
      <c r="AH904" s="1530"/>
      <c r="AI904" s="1530"/>
      <c r="AJ904" s="1530"/>
      <c r="AK904" s="1530"/>
      <c r="AL904" s="1530"/>
      <c r="AM904" s="1530"/>
      <c r="AN904" s="1530"/>
      <c r="AO904" s="1530"/>
      <c r="AP904" s="1530"/>
      <c r="AQ904" s="1530"/>
      <c r="AR904" s="1530"/>
      <c r="AS904" s="1530"/>
      <c r="AT904" s="1530"/>
      <c r="AU904" s="1530"/>
      <c r="AV904" s="1530"/>
      <c r="AW904" s="1530"/>
      <c r="AX904" s="1530"/>
      <c r="AY904" s="1530"/>
      <c r="AZ904" s="1530"/>
      <c r="BA904" s="1530"/>
      <c r="BB904" s="1530"/>
      <c r="BC904" s="1530"/>
      <c r="BD904" s="1530"/>
      <c r="BE904" s="1530"/>
      <c r="BF904" s="1530"/>
      <c r="BG904" s="1530"/>
      <c r="BH904" s="1530"/>
      <c r="BI904" s="1530"/>
      <c r="BJ904" s="1530"/>
      <c r="BK904" s="1530"/>
      <c r="BL904" s="1530"/>
      <c r="BM904" s="1530"/>
      <c r="BN904" s="1530"/>
      <c r="BW904" s="1569"/>
      <c r="CO904" s="1530"/>
      <c r="CP904" s="1530"/>
      <c r="CQ904" s="1530"/>
      <c r="CR904" s="1530"/>
      <c r="CS904" s="1530"/>
      <c r="CT904" s="1530"/>
      <c r="CU904" s="1530"/>
      <c r="CV904" s="1530"/>
      <c r="CW904" s="1530"/>
      <c r="CX904" s="1530"/>
      <c r="CY904" s="1530"/>
      <c r="CZ904" s="1530"/>
      <c r="DA904" s="1530"/>
      <c r="DB904" s="1530"/>
      <c r="DC904" s="1530"/>
      <c r="DD904" s="1530"/>
      <c r="DE904" s="1530"/>
      <c r="DF904" s="1530"/>
      <c r="DG904" s="1530"/>
      <c r="DH904" s="1530"/>
      <c r="DI904" s="1530"/>
      <c r="DJ904" s="1530"/>
      <c r="DK904" s="1530"/>
      <c r="DL904" s="1530"/>
      <c r="DM904" s="1530"/>
      <c r="DN904" s="1571"/>
      <c r="DO904" s="1530"/>
      <c r="DP904" s="1530"/>
    </row>
    <row r="905" spans="1:120">
      <c r="A905" s="1451"/>
      <c r="C905" s="1451"/>
      <c r="K905" s="1451"/>
      <c r="L905" s="1451"/>
      <c r="U905" s="1530"/>
      <c r="V905" s="1530"/>
      <c r="W905" s="1530"/>
      <c r="X905" s="1530"/>
      <c r="Y905" s="1530"/>
      <c r="Z905" s="1530"/>
      <c r="AA905" s="1530"/>
      <c r="AB905" s="1530"/>
      <c r="AC905" s="1530"/>
      <c r="AD905" s="1530"/>
      <c r="AE905" s="1530"/>
      <c r="AF905" s="1530"/>
      <c r="AG905" s="1530"/>
      <c r="AH905" s="1530"/>
      <c r="AI905" s="1530"/>
      <c r="AJ905" s="1530"/>
      <c r="AK905" s="1530"/>
      <c r="AL905" s="1530"/>
      <c r="AM905" s="1530"/>
      <c r="AN905" s="1530"/>
      <c r="AO905" s="1530"/>
      <c r="AP905" s="1530"/>
      <c r="AQ905" s="1530"/>
      <c r="AR905" s="1530"/>
      <c r="AS905" s="1530"/>
      <c r="AT905" s="1530"/>
      <c r="AU905" s="1530"/>
      <c r="AV905" s="1530"/>
      <c r="AW905" s="1530"/>
      <c r="AX905" s="1530"/>
      <c r="AY905" s="1530"/>
      <c r="AZ905" s="1530"/>
      <c r="BA905" s="1530"/>
      <c r="BB905" s="1530"/>
      <c r="BC905" s="1530"/>
      <c r="BD905" s="1530"/>
      <c r="BE905" s="1530"/>
      <c r="BF905" s="1530"/>
      <c r="BG905" s="1530"/>
      <c r="BH905" s="1530"/>
      <c r="BI905" s="1530"/>
      <c r="BJ905" s="1530"/>
      <c r="BK905" s="1530"/>
      <c r="BL905" s="1530"/>
      <c r="BM905" s="1530"/>
      <c r="BN905" s="1530"/>
      <c r="BW905" s="1569"/>
      <c r="CO905" s="1530"/>
      <c r="CP905" s="1530"/>
      <c r="CQ905" s="1530"/>
      <c r="CR905" s="1530"/>
      <c r="CS905" s="1530"/>
      <c r="CT905" s="1530"/>
      <c r="CU905" s="1530"/>
      <c r="CV905" s="1530"/>
      <c r="CW905" s="1530"/>
      <c r="CX905" s="1530"/>
      <c r="CY905" s="1530"/>
      <c r="CZ905" s="1530"/>
      <c r="DA905" s="1530"/>
      <c r="DB905" s="1530"/>
      <c r="DC905" s="1530"/>
      <c r="DD905" s="1530"/>
      <c r="DE905" s="1530"/>
      <c r="DF905" s="1530"/>
      <c r="DG905" s="1530"/>
      <c r="DH905" s="1530"/>
      <c r="DI905" s="1530"/>
      <c r="DJ905" s="1530"/>
      <c r="DK905" s="1530"/>
      <c r="DL905" s="1530"/>
      <c r="DM905" s="1530"/>
      <c r="DN905" s="1571"/>
      <c r="DO905" s="1530"/>
      <c r="DP905" s="1530"/>
    </row>
    <row r="906" spans="1:120">
      <c r="A906" s="1451"/>
      <c r="C906" s="1451"/>
      <c r="K906" s="1451"/>
      <c r="L906" s="1451"/>
      <c r="U906" s="1530"/>
      <c r="V906" s="1530"/>
      <c r="W906" s="1530"/>
      <c r="X906" s="1530"/>
      <c r="Y906" s="1530"/>
      <c r="Z906" s="1530"/>
      <c r="AA906" s="1530"/>
      <c r="AB906" s="1530"/>
      <c r="AC906" s="1530"/>
      <c r="AD906" s="1530"/>
      <c r="AE906" s="1530"/>
      <c r="AF906" s="1530"/>
      <c r="AG906" s="1530"/>
      <c r="AH906" s="1530"/>
      <c r="AI906" s="1530"/>
      <c r="AJ906" s="1530"/>
      <c r="AK906" s="1530"/>
      <c r="AL906" s="1530"/>
      <c r="AM906" s="1530"/>
      <c r="AN906" s="1530"/>
      <c r="AO906" s="1530"/>
      <c r="AP906" s="1530"/>
      <c r="AQ906" s="1530"/>
      <c r="AR906" s="1530"/>
      <c r="AS906" s="1530"/>
      <c r="AT906" s="1530"/>
      <c r="AU906" s="1530"/>
      <c r="AV906" s="1530"/>
      <c r="AW906" s="1530"/>
      <c r="AX906" s="1530"/>
      <c r="AY906" s="1530"/>
      <c r="AZ906" s="1530"/>
      <c r="BA906" s="1530"/>
      <c r="BB906" s="1530"/>
      <c r="BC906" s="1530"/>
      <c r="BD906" s="1530"/>
      <c r="BE906" s="1530"/>
      <c r="BF906" s="1530"/>
      <c r="BG906" s="1530"/>
      <c r="BH906" s="1530"/>
      <c r="BI906" s="1530"/>
      <c r="BJ906" s="1530"/>
      <c r="BK906" s="1530"/>
      <c r="BL906" s="1530"/>
      <c r="BM906" s="1530"/>
      <c r="BN906" s="1530"/>
      <c r="BW906" s="1569"/>
      <c r="CO906" s="1530"/>
      <c r="CP906" s="1530"/>
      <c r="CQ906" s="1530"/>
      <c r="CR906" s="1530"/>
      <c r="CS906" s="1530"/>
      <c r="CT906" s="1530"/>
      <c r="CU906" s="1530"/>
      <c r="CV906" s="1530"/>
      <c r="CW906" s="1530"/>
      <c r="CX906" s="1530"/>
      <c r="CY906" s="1530"/>
      <c r="CZ906" s="1530"/>
      <c r="DA906" s="1530"/>
      <c r="DB906" s="1530"/>
      <c r="DC906" s="1530"/>
      <c r="DD906" s="1530"/>
      <c r="DE906" s="1530"/>
      <c r="DF906" s="1530"/>
      <c r="DG906" s="1530"/>
      <c r="DH906" s="1530"/>
      <c r="DI906" s="1530"/>
      <c r="DJ906" s="1530"/>
      <c r="DK906" s="1530"/>
      <c r="DL906" s="1530"/>
      <c r="DM906" s="1530"/>
      <c r="DN906" s="1571"/>
      <c r="DO906" s="1530"/>
      <c r="DP906" s="1530"/>
    </row>
    <row r="907" spans="1:120">
      <c r="A907" s="1451"/>
      <c r="C907" s="1451"/>
      <c r="K907" s="1451"/>
      <c r="L907" s="1451"/>
      <c r="U907" s="1530"/>
      <c r="V907" s="1530"/>
      <c r="W907" s="1530"/>
      <c r="X907" s="1530"/>
      <c r="Y907" s="1530"/>
      <c r="Z907" s="1530"/>
      <c r="AA907" s="1530"/>
      <c r="AB907" s="1530"/>
      <c r="AC907" s="1530"/>
      <c r="AD907" s="1530"/>
      <c r="AE907" s="1530"/>
      <c r="AF907" s="1530"/>
      <c r="AG907" s="1530"/>
      <c r="AH907" s="1530"/>
      <c r="AI907" s="1530"/>
      <c r="AJ907" s="1530"/>
      <c r="AK907" s="1530"/>
      <c r="AL907" s="1530"/>
      <c r="AM907" s="1530"/>
      <c r="AN907" s="1530"/>
      <c r="AO907" s="1530"/>
      <c r="AP907" s="1530"/>
      <c r="AQ907" s="1530"/>
      <c r="AR907" s="1530"/>
      <c r="AS907" s="1530"/>
      <c r="AT907" s="1530"/>
      <c r="AU907" s="1530"/>
      <c r="AV907" s="1530"/>
      <c r="AW907" s="1530"/>
      <c r="AX907" s="1530"/>
      <c r="AY907" s="1530"/>
      <c r="AZ907" s="1530"/>
      <c r="BA907" s="1530"/>
      <c r="BB907" s="1530"/>
      <c r="BC907" s="1530"/>
      <c r="BD907" s="1530"/>
      <c r="BE907" s="1530"/>
      <c r="BF907" s="1530"/>
      <c r="BG907" s="1530"/>
      <c r="BH907" s="1530"/>
      <c r="BI907" s="1530"/>
      <c r="BJ907" s="1530"/>
      <c r="BK907" s="1530"/>
      <c r="BL907" s="1530"/>
      <c r="BM907" s="1530"/>
      <c r="BN907" s="1530"/>
      <c r="BW907" s="1569"/>
      <c r="CO907" s="1530"/>
      <c r="CP907" s="1530"/>
      <c r="CQ907" s="1530"/>
      <c r="CR907" s="1530"/>
      <c r="CS907" s="1530"/>
      <c r="CT907" s="1530"/>
      <c r="CU907" s="1530"/>
      <c r="CV907" s="1530"/>
      <c r="CW907" s="1530"/>
      <c r="CX907" s="1530"/>
      <c r="CY907" s="1530"/>
      <c r="CZ907" s="1530"/>
      <c r="DA907" s="1530"/>
      <c r="DB907" s="1530"/>
      <c r="DC907" s="1530"/>
      <c r="DD907" s="1530"/>
      <c r="DE907" s="1530"/>
      <c r="DF907" s="1530"/>
      <c r="DG907" s="1530"/>
      <c r="DH907" s="1530"/>
      <c r="DI907" s="1530"/>
      <c r="DJ907" s="1530"/>
      <c r="DK907" s="1530"/>
      <c r="DL907" s="1530"/>
      <c r="DM907" s="1530"/>
      <c r="DN907" s="1571"/>
      <c r="DO907" s="1530"/>
      <c r="DP907" s="1530"/>
    </row>
    <row r="908" spans="1:120">
      <c r="A908" s="1451"/>
      <c r="C908" s="1451"/>
      <c r="K908" s="1451"/>
      <c r="L908" s="1451"/>
      <c r="U908" s="1530"/>
      <c r="V908" s="1530"/>
      <c r="W908" s="1530"/>
      <c r="X908" s="1530"/>
      <c r="Y908" s="1530"/>
      <c r="Z908" s="1530"/>
      <c r="AA908" s="1530"/>
      <c r="AB908" s="1530"/>
      <c r="AC908" s="1530"/>
      <c r="AD908" s="1530"/>
      <c r="AE908" s="1530"/>
      <c r="AF908" s="1530"/>
      <c r="AG908" s="1530"/>
      <c r="AH908" s="1530"/>
      <c r="AI908" s="1530"/>
      <c r="AJ908" s="1530"/>
      <c r="AK908" s="1530"/>
      <c r="AL908" s="1530"/>
      <c r="AM908" s="1530"/>
      <c r="AN908" s="1530"/>
      <c r="AO908" s="1530"/>
      <c r="AP908" s="1530"/>
      <c r="AQ908" s="1530"/>
      <c r="AR908" s="1530"/>
      <c r="AS908" s="1530"/>
      <c r="AT908" s="1530"/>
      <c r="AU908" s="1530"/>
      <c r="AV908" s="1530"/>
      <c r="AW908" s="1530"/>
      <c r="AX908" s="1530"/>
      <c r="AY908" s="1530"/>
      <c r="AZ908" s="1530"/>
      <c r="BA908" s="1530"/>
      <c r="BB908" s="1530"/>
      <c r="BC908" s="1530"/>
      <c r="BD908" s="1530"/>
      <c r="BE908" s="1530"/>
      <c r="BF908" s="1530"/>
      <c r="BG908" s="1530"/>
      <c r="BH908" s="1530"/>
      <c r="BI908" s="1530"/>
      <c r="BJ908" s="1530"/>
      <c r="BK908" s="1530"/>
      <c r="BL908" s="1530"/>
      <c r="BM908" s="1530"/>
      <c r="BN908" s="1530"/>
      <c r="BW908" s="1569"/>
      <c r="CO908" s="1530"/>
      <c r="CP908" s="1530"/>
      <c r="CQ908" s="1530"/>
      <c r="CR908" s="1530"/>
      <c r="CS908" s="1530"/>
      <c r="CT908" s="1530"/>
      <c r="CU908" s="1530"/>
      <c r="CV908" s="1530"/>
      <c r="CW908" s="1530"/>
      <c r="CX908" s="1530"/>
      <c r="CY908" s="1530"/>
      <c r="CZ908" s="1530"/>
      <c r="DA908" s="1530"/>
      <c r="DB908" s="1530"/>
      <c r="DC908" s="1530"/>
      <c r="DD908" s="1530"/>
      <c r="DE908" s="1530"/>
      <c r="DF908" s="1530"/>
      <c r="DG908" s="1530"/>
      <c r="DH908" s="1530"/>
      <c r="DI908" s="1530"/>
      <c r="DJ908" s="1530"/>
      <c r="DK908" s="1530"/>
      <c r="DL908" s="1530"/>
      <c r="DM908" s="1530"/>
      <c r="DN908" s="1571"/>
      <c r="DO908" s="1530"/>
      <c r="DP908" s="1530"/>
    </row>
    <row r="909" spans="1:120">
      <c r="A909" s="1451"/>
      <c r="C909" s="1451"/>
      <c r="K909" s="1451"/>
      <c r="L909" s="1451"/>
      <c r="U909" s="1530"/>
      <c r="V909" s="1530"/>
      <c r="W909" s="1530"/>
      <c r="X909" s="1530"/>
      <c r="Y909" s="1530"/>
      <c r="Z909" s="1530"/>
      <c r="AA909" s="1530"/>
      <c r="AB909" s="1530"/>
      <c r="AC909" s="1530"/>
      <c r="AD909" s="1530"/>
      <c r="AE909" s="1530"/>
      <c r="AF909" s="1530"/>
      <c r="AG909" s="1530"/>
      <c r="AH909" s="1530"/>
      <c r="AI909" s="1530"/>
      <c r="AJ909" s="1530"/>
      <c r="AK909" s="1530"/>
      <c r="AL909" s="1530"/>
      <c r="AM909" s="1530"/>
      <c r="AN909" s="1530"/>
      <c r="AO909" s="1530"/>
      <c r="AP909" s="1530"/>
      <c r="AQ909" s="1530"/>
      <c r="AR909" s="1530"/>
      <c r="AS909" s="1530"/>
      <c r="AT909" s="1530"/>
      <c r="AU909" s="1530"/>
      <c r="AV909" s="1530"/>
      <c r="AW909" s="1530"/>
      <c r="AX909" s="1530"/>
      <c r="AY909" s="1530"/>
      <c r="AZ909" s="1530"/>
      <c r="BA909" s="1530"/>
      <c r="BB909" s="1530"/>
      <c r="BC909" s="1530"/>
      <c r="BD909" s="1530"/>
      <c r="BE909" s="1530"/>
      <c r="BF909" s="1530"/>
      <c r="BG909" s="1530"/>
      <c r="BH909" s="1530"/>
      <c r="BI909" s="1530"/>
      <c r="BJ909" s="1530"/>
      <c r="BK909" s="1530"/>
      <c r="BL909" s="1530"/>
      <c r="BM909" s="1530"/>
      <c r="BN909" s="1530"/>
      <c r="BW909" s="1569"/>
      <c r="CO909" s="1530"/>
      <c r="CP909" s="1530"/>
      <c r="CQ909" s="1530"/>
      <c r="CR909" s="1530"/>
      <c r="CS909" s="1530"/>
      <c r="CT909" s="1530"/>
      <c r="CU909" s="1530"/>
      <c r="CV909" s="1530"/>
      <c r="CW909" s="1530"/>
      <c r="CX909" s="1530"/>
      <c r="CY909" s="1530"/>
      <c r="CZ909" s="1530"/>
      <c r="DA909" s="1530"/>
      <c r="DB909" s="1530"/>
      <c r="DC909" s="1530"/>
      <c r="DD909" s="1530"/>
      <c r="DE909" s="1530"/>
      <c r="DF909" s="1530"/>
      <c r="DG909" s="1530"/>
      <c r="DH909" s="1530"/>
      <c r="DI909" s="1530"/>
      <c r="DJ909" s="1530"/>
      <c r="DK909" s="1530"/>
      <c r="DL909" s="1530"/>
      <c r="DM909" s="1530"/>
      <c r="DN909" s="1571"/>
      <c r="DO909" s="1530"/>
      <c r="DP909" s="1530"/>
    </row>
    <row r="910" spans="1:120">
      <c r="A910" s="1451"/>
      <c r="C910" s="1451"/>
      <c r="K910" s="1451"/>
      <c r="L910" s="1451"/>
      <c r="U910" s="1530"/>
      <c r="V910" s="1530"/>
      <c r="W910" s="1530"/>
      <c r="X910" s="1530"/>
      <c r="Y910" s="1530"/>
      <c r="Z910" s="1530"/>
      <c r="AA910" s="1530"/>
      <c r="AB910" s="1530"/>
      <c r="AC910" s="1530"/>
      <c r="AD910" s="1530"/>
      <c r="AE910" s="1530"/>
      <c r="AF910" s="1530"/>
      <c r="AG910" s="1530"/>
      <c r="AH910" s="1530"/>
      <c r="AI910" s="1530"/>
      <c r="AJ910" s="1530"/>
      <c r="AK910" s="1530"/>
      <c r="AL910" s="1530"/>
      <c r="AM910" s="1530"/>
      <c r="AN910" s="1530"/>
      <c r="AO910" s="1530"/>
      <c r="AP910" s="1530"/>
      <c r="AQ910" s="1530"/>
      <c r="AR910" s="1530"/>
      <c r="AS910" s="1530"/>
      <c r="AT910" s="1530"/>
      <c r="AU910" s="1530"/>
      <c r="AV910" s="1530"/>
      <c r="AW910" s="1530"/>
      <c r="AX910" s="1530"/>
      <c r="AY910" s="1530"/>
      <c r="AZ910" s="1530"/>
      <c r="BA910" s="1530"/>
      <c r="BB910" s="1530"/>
      <c r="BC910" s="1530"/>
      <c r="BD910" s="1530"/>
      <c r="BE910" s="1530"/>
      <c r="BF910" s="1530"/>
      <c r="BG910" s="1530"/>
      <c r="BH910" s="1530"/>
      <c r="BI910" s="1530"/>
      <c r="BJ910" s="1530"/>
      <c r="BK910" s="1530"/>
      <c r="BL910" s="1530"/>
      <c r="BM910" s="1530"/>
      <c r="BN910" s="1530"/>
      <c r="BW910" s="1569"/>
      <c r="CO910" s="1530"/>
      <c r="CP910" s="1530"/>
      <c r="CQ910" s="1530"/>
      <c r="CR910" s="1530"/>
      <c r="CS910" s="1530"/>
      <c r="CT910" s="1530"/>
      <c r="CU910" s="1530"/>
      <c r="CV910" s="1530"/>
      <c r="CW910" s="1530"/>
      <c r="CX910" s="1530"/>
      <c r="CY910" s="1530"/>
      <c r="CZ910" s="1530"/>
      <c r="DA910" s="1530"/>
      <c r="DB910" s="1530"/>
      <c r="DC910" s="1530"/>
      <c r="DD910" s="1530"/>
      <c r="DE910" s="1530"/>
      <c r="DF910" s="1530"/>
      <c r="DG910" s="1530"/>
      <c r="DH910" s="1530"/>
      <c r="DI910" s="1530"/>
      <c r="DJ910" s="1530"/>
      <c r="DK910" s="1530"/>
      <c r="DL910" s="1530"/>
      <c r="DM910" s="1530"/>
      <c r="DN910" s="1571"/>
      <c r="DO910" s="1530"/>
      <c r="DP910" s="1530"/>
    </row>
    <row r="911" spans="1:120">
      <c r="A911" s="1451"/>
      <c r="C911" s="1451"/>
      <c r="K911" s="1451"/>
      <c r="L911" s="1451"/>
      <c r="U911" s="1530"/>
      <c r="V911" s="1530"/>
      <c r="W911" s="1530"/>
      <c r="X911" s="1530"/>
      <c r="Y911" s="1530"/>
      <c r="Z911" s="1530"/>
      <c r="AA911" s="1530"/>
      <c r="AB911" s="1530"/>
      <c r="AC911" s="1530"/>
      <c r="AD911" s="1530"/>
      <c r="AE911" s="1530"/>
      <c r="AF911" s="1530"/>
      <c r="AG911" s="1530"/>
      <c r="AH911" s="1530"/>
      <c r="AI911" s="1530"/>
      <c r="AJ911" s="1530"/>
      <c r="AK911" s="1530"/>
      <c r="AL911" s="1530"/>
      <c r="AM911" s="1530"/>
      <c r="AN911" s="1530"/>
      <c r="AO911" s="1530"/>
      <c r="AP911" s="1530"/>
      <c r="AQ911" s="1530"/>
      <c r="AR911" s="1530"/>
      <c r="AS911" s="1530"/>
      <c r="AT911" s="1530"/>
      <c r="AU911" s="1530"/>
      <c r="AV911" s="1530"/>
      <c r="AW911" s="1530"/>
      <c r="AX911" s="1530"/>
      <c r="AY911" s="1530"/>
      <c r="AZ911" s="1530"/>
      <c r="BA911" s="1530"/>
      <c r="BB911" s="1530"/>
      <c r="BC911" s="1530"/>
      <c r="BD911" s="1530"/>
      <c r="BE911" s="1530"/>
      <c r="BF911" s="1530"/>
      <c r="BG911" s="1530"/>
      <c r="BH911" s="1530"/>
      <c r="BI911" s="1530"/>
      <c r="BJ911" s="1530"/>
      <c r="BK911" s="1530"/>
      <c r="BL911" s="1530"/>
      <c r="BM911" s="1530"/>
      <c r="BN911" s="1530"/>
      <c r="BW911" s="1569"/>
      <c r="CO911" s="1530"/>
      <c r="CP911" s="1530"/>
      <c r="CQ911" s="1530"/>
      <c r="CR911" s="1530"/>
      <c r="CS911" s="1530"/>
      <c r="CT911" s="1530"/>
      <c r="CU911" s="1530"/>
      <c r="CV911" s="1530"/>
      <c r="CW911" s="1530"/>
      <c r="CX911" s="1530"/>
      <c r="CY911" s="1530"/>
      <c r="CZ911" s="1530"/>
      <c r="DA911" s="1530"/>
      <c r="DB911" s="1530"/>
      <c r="DC911" s="1530"/>
      <c r="DD911" s="1530"/>
      <c r="DE911" s="1530"/>
      <c r="DF911" s="1530"/>
      <c r="DG911" s="1530"/>
      <c r="DH911" s="1530"/>
      <c r="DI911" s="1530"/>
      <c r="DJ911" s="1530"/>
      <c r="DK911" s="1530"/>
      <c r="DL911" s="1530"/>
      <c r="DM911" s="1530"/>
      <c r="DN911" s="1571"/>
      <c r="DO911" s="1530"/>
      <c r="DP911" s="1530"/>
    </row>
    <row r="912" spans="1:120">
      <c r="A912" s="1451"/>
      <c r="C912" s="1451"/>
      <c r="K912" s="1451"/>
      <c r="L912" s="1451"/>
      <c r="U912" s="1530"/>
      <c r="V912" s="1530"/>
      <c r="W912" s="1530"/>
      <c r="X912" s="1530"/>
      <c r="Y912" s="1530"/>
      <c r="Z912" s="1530"/>
      <c r="AA912" s="1530"/>
      <c r="AB912" s="1530"/>
      <c r="AC912" s="1530"/>
      <c r="AD912" s="1530"/>
      <c r="AE912" s="1530"/>
      <c r="AF912" s="1530"/>
      <c r="AG912" s="1530"/>
      <c r="AH912" s="1530"/>
      <c r="AI912" s="1530"/>
      <c r="AJ912" s="1530"/>
      <c r="AK912" s="1530"/>
      <c r="AL912" s="1530"/>
      <c r="AM912" s="1530"/>
      <c r="AN912" s="1530"/>
      <c r="AO912" s="1530"/>
      <c r="AP912" s="1530"/>
      <c r="AQ912" s="1530"/>
      <c r="AR912" s="1530"/>
      <c r="AS912" s="1530"/>
      <c r="AT912" s="1530"/>
      <c r="AU912" s="1530"/>
      <c r="AV912" s="1530"/>
      <c r="AW912" s="1530"/>
      <c r="AX912" s="1530"/>
      <c r="AY912" s="1530"/>
      <c r="AZ912" s="1530"/>
      <c r="BA912" s="1530"/>
      <c r="BB912" s="1530"/>
      <c r="BC912" s="1530"/>
      <c r="BD912" s="1530"/>
      <c r="BE912" s="1530"/>
      <c r="BF912" s="1530"/>
      <c r="BG912" s="1530"/>
      <c r="BH912" s="1530"/>
      <c r="BI912" s="1530"/>
      <c r="BJ912" s="1530"/>
      <c r="BK912" s="1530"/>
      <c r="BL912" s="1530"/>
      <c r="BM912" s="1530"/>
      <c r="BN912" s="1530"/>
      <c r="BW912" s="1569"/>
      <c r="CO912" s="1530"/>
      <c r="CP912" s="1530"/>
      <c r="CQ912" s="1530"/>
      <c r="CR912" s="1530"/>
      <c r="CS912" s="1530"/>
      <c r="CT912" s="1530"/>
      <c r="CU912" s="1530"/>
      <c r="CV912" s="1530"/>
      <c r="CW912" s="1530"/>
      <c r="CX912" s="1530"/>
      <c r="CY912" s="1530"/>
      <c r="CZ912" s="1530"/>
      <c r="DA912" s="1530"/>
      <c r="DB912" s="1530"/>
      <c r="DC912" s="1530"/>
      <c r="DD912" s="1530"/>
      <c r="DE912" s="1530"/>
      <c r="DF912" s="1530"/>
      <c r="DG912" s="1530"/>
      <c r="DH912" s="1530"/>
      <c r="DI912" s="1530"/>
      <c r="DJ912" s="1530"/>
      <c r="DK912" s="1530"/>
      <c r="DL912" s="1530"/>
      <c r="DM912" s="1530"/>
      <c r="DN912" s="1571"/>
      <c r="DO912" s="1530"/>
      <c r="DP912" s="1530"/>
    </row>
    <row r="913" spans="1:120">
      <c r="A913" s="1451"/>
      <c r="C913" s="1451"/>
      <c r="K913" s="1451"/>
      <c r="L913" s="1451"/>
      <c r="U913" s="1530"/>
      <c r="V913" s="1530"/>
      <c r="W913" s="1530"/>
      <c r="X913" s="1530"/>
      <c r="Y913" s="1530"/>
      <c r="Z913" s="1530"/>
      <c r="AA913" s="1530"/>
      <c r="AB913" s="1530"/>
      <c r="AC913" s="1530"/>
      <c r="AD913" s="1530"/>
      <c r="AE913" s="1530"/>
      <c r="AF913" s="1530"/>
      <c r="AG913" s="1530"/>
      <c r="AH913" s="1530"/>
      <c r="AI913" s="1530"/>
      <c r="AJ913" s="1530"/>
      <c r="AK913" s="1530"/>
      <c r="AL913" s="1530"/>
      <c r="AM913" s="1530"/>
      <c r="AN913" s="1530"/>
      <c r="AO913" s="1530"/>
      <c r="AP913" s="1530"/>
      <c r="AQ913" s="1530"/>
      <c r="AR913" s="1530"/>
      <c r="AS913" s="1530"/>
      <c r="AT913" s="1530"/>
      <c r="AU913" s="1530"/>
      <c r="AV913" s="1530"/>
      <c r="AW913" s="1530"/>
      <c r="AX913" s="1530"/>
      <c r="AY913" s="1530"/>
      <c r="AZ913" s="1530"/>
      <c r="BA913" s="1530"/>
      <c r="BB913" s="1530"/>
      <c r="BC913" s="1530"/>
      <c r="BD913" s="1530"/>
      <c r="BE913" s="1530"/>
      <c r="BF913" s="1530"/>
      <c r="BG913" s="1530"/>
      <c r="BH913" s="1530"/>
      <c r="BI913" s="1530"/>
      <c r="BJ913" s="1530"/>
      <c r="BK913" s="1530"/>
      <c r="BL913" s="1530"/>
      <c r="BM913" s="1530"/>
      <c r="BN913" s="1530"/>
      <c r="BW913" s="1569"/>
      <c r="CO913" s="1530"/>
      <c r="CP913" s="1530"/>
      <c r="CQ913" s="1530"/>
      <c r="CR913" s="1530"/>
      <c r="CS913" s="1530"/>
      <c r="CT913" s="1530"/>
      <c r="CU913" s="1530"/>
      <c r="CV913" s="1530"/>
      <c r="CW913" s="1530"/>
      <c r="CX913" s="1530"/>
      <c r="CY913" s="1530"/>
      <c r="CZ913" s="1530"/>
      <c r="DA913" s="1530"/>
      <c r="DB913" s="1530"/>
      <c r="DC913" s="1530"/>
      <c r="DD913" s="1530"/>
      <c r="DE913" s="1530"/>
      <c r="DF913" s="1530"/>
      <c r="DG913" s="1530"/>
      <c r="DH913" s="1530"/>
      <c r="DI913" s="1530"/>
      <c r="DJ913" s="1530"/>
      <c r="DK913" s="1530"/>
      <c r="DL913" s="1530"/>
      <c r="DM913" s="1530"/>
      <c r="DN913" s="1571"/>
      <c r="DO913" s="1530"/>
      <c r="DP913" s="1530"/>
    </row>
    <row r="914" spans="1:120">
      <c r="A914" s="1451"/>
      <c r="C914" s="1451"/>
      <c r="K914" s="1451"/>
      <c r="L914" s="1451"/>
      <c r="U914" s="1530"/>
      <c r="V914" s="1530"/>
      <c r="W914" s="1530"/>
      <c r="X914" s="1530"/>
      <c r="Y914" s="1530"/>
      <c r="Z914" s="1530"/>
      <c r="AA914" s="1530"/>
      <c r="AB914" s="1530"/>
      <c r="AC914" s="1530"/>
      <c r="AD914" s="1530"/>
      <c r="AE914" s="1530"/>
      <c r="AF914" s="1530"/>
      <c r="AG914" s="1530"/>
      <c r="AH914" s="1530"/>
      <c r="AI914" s="1530"/>
      <c r="AJ914" s="1530"/>
      <c r="AK914" s="1530"/>
      <c r="AL914" s="1530"/>
      <c r="AM914" s="1530"/>
      <c r="AN914" s="1530"/>
      <c r="AO914" s="1530"/>
      <c r="AP914" s="1530"/>
      <c r="AQ914" s="1530"/>
      <c r="AR914" s="1530"/>
      <c r="AS914" s="1530"/>
      <c r="AT914" s="1530"/>
      <c r="AU914" s="1530"/>
      <c r="AV914" s="1530"/>
      <c r="AW914" s="1530"/>
      <c r="AX914" s="1530"/>
      <c r="AY914" s="1530"/>
      <c r="AZ914" s="1530"/>
      <c r="BA914" s="1530"/>
      <c r="BB914" s="1530"/>
      <c r="BC914" s="1530"/>
      <c r="BD914" s="1530"/>
      <c r="BE914" s="1530"/>
      <c r="BF914" s="1530"/>
      <c r="BG914" s="1530"/>
      <c r="BH914" s="1530"/>
      <c r="BI914" s="1530"/>
      <c r="BJ914" s="1530"/>
      <c r="BK914" s="1530"/>
      <c r="BL914" s="1530"/>
      <c r="BM914" s="1530"/>
      <c r="BN914" s="1530"/>
      <c r="BW914" s="1569"/>
      <c r="CO914" s="1530"/>
      <c r="CP914" s="1530"/>
      <c r="CQ914" s="1530"/>
      <c r="CR914" s="1530"/>
      <c r="CS914" s="1530"/>
      <c r="CT914" s="1530"/>
      <c r="CU914" s="1530"/>
      <c r="CV914" s="1530"/>
      <c r="CW914" s="1530"/>
      <c r="CX914" s="1530"/>
      <c r="CY914" s="1530"/>
      <c r="CZ914" s="1530"/>
      <c r="DA914" s="1530"/>
      <c r="DB914" s="1530"/>
      <c r="DC914" s="1530"/>
      <c r="DD914" s="1530"/>
      <c r="DE914" s="1530"/>
      <c r="DF914" s="1530"/>
      <c r="DG914" s="1530"/>
      <c r="DH914" s="1530"/>
      <c r="DI914" s="1530"/>
      <c r="DJ914" s="1530"/>
      <c r="DK914" s="1530"/>
      <c r="DL914" s="1530"/>
      <c r="DM914" s="1530"/>
      <c r="DN914" s="1571"/>
      <c r="DO914" s="1530"/>
      <c r="DP914" s="1530"/>
    </row>
    <row r="915" spans="1:120">
      <c r="A915" s="1451"/>
      <c r="C915" s="1451"/>
      <c r="K915" s="1451"/>
      <c r="L915" s="1451"/>
      <c r="U915" s="1530"/>
      <c r="V915" s="1530"/>
      <c r="W915" s="1530"/>
      <c r="X915" s="1530"/>
      <c r="Y915" s="1530"/>
      <c r="Z915" s="1530"/>
      <c r="AA915" s="1530"/>
      <c r="AB915" s="1530"/>
      <c r="AC915" s="1530"/>
      <c r="AD915" s="1530"/>
      <c r="AE915" s="1530"/>
      <c r="AF915" s="1530"/>
      <c r="AG915" s="1530"/>
      <c r="AH915" s="1530"/>
      <c r="AI915" s="1530"/>
      <c r="AJ915" s="1530"/>
      <c r="AK915" s="1530"/>
      <c r="AL915" s="1530"/>
      <c r="AM915" s="1530"/>
      <c r="AN915" s="1530"/>
      <c r="AO915" s="1530"/>
      <c r="AP915" s="1530"/>
      <c r="AQ915" s="1530"/>
      <c r="AR915" s="1530"/>
      <c r="AS915" s="1530"/>
      <c r="AT915" s="1530"/>
      <c r="AU915" s="1530"/>
      <c r="AV915" s="1530"/>
      <c r="AW915" s="1530"/>
      <c r="AX915" s="1530"/>
      <c r="AY915" s="1530"/>
      <c r="AZ915" s="1530"/>
      <c r="BA915" s="1530"/>
      <c r="BB915" s="1530"/>
      <c r="BC915" s="1530"/>
      <c r="BD915" s="1530"/>
      <c r="BE915" s="1530"/>
      <c r="BF915" s="1530"/>
      <c r="BG915" s="1530"/>
      <c r="BH915" s="1530"/>
      <c r="BI915" s="1530"/>
      <c r="BJ915" s="1530"/>
      <c r="BK915" s="1530"/>
      <c r="BL915" s="1530"/>
      <c r="BM915" s="1530"/>
      <c r="BN915" s="1530"/>
      <c r="BW915" s="1569"/>
      <c r="CO915" s="1530"/>
      <c r="CP915" s="1530"/>
      <c r="CQ915" s="1530"/>
      <c r="CR915" s="1530"/>
      <c r="CS915" s="1530"/>
      <c r="CT915" s="1530"/>
      <c r="CU915" s="1530"/>
      <c r="CV915" s="1530"/>
      <c r="CW915" s="1530"/>
      <c r="CX915" s="1530"/>
      <c r="CY915" s="1530"/>
      <c r="CZ915" s="1530"/>
      <c r="DA915" s="1530"/>
      <c r="DB915" s="1530"/>
      <c r="DC915" s="1530"/>
      <c r="DD915" s="1530"/>
      <c r="DE915" s="1530"/>
      <c r="DF915" s="1530"/>
      <c r="DG915" s="1530"/>
      <c r="DH915" s="1530"/>
      <c r="DI915" s="1530"/>
      <c r="DJ915" s="1530"/>
      <c r="DK915" s="1530"/>
      <c r="DL915" s="1530"/>
      <c r="DM915" s="1530"/>
      <c r="DN915" s="1571"/>
      <c r="DO915" s="1530"/>
      <c r="DP915" s="1530"/>
    </row>
    <row r="916" spans="1:120">
      <c r="A916" s="1451"/>
      <c r="C916" s="1451"/>
      <c r="K916" s="1451"/>
      <c r="L916" s="1451"/>
      <c r="U916" s="1530"/>
      <c r="V916" s="1530"/>
      <c r="W916" s="1530"/>
      <c r="X916" s="1530"/>
      <c r="Y916" s="1530"/>
      <c r="Z916" s="1530"/>
      <c r="AA916" s="1530"/>
      <c r="AB916" s="1530"/>
      <c r="AC916" s="1530"/>
      <c r="AD916" s="1530"/>
      <c r="AE916" s="1530"/>
      <c r="AF916" s="1530"/>
      <c r="AG916" s="1530"/>
      <c r="AH916" s="1530"/>
      <c r="AI916" s="1530"/>
      <c r="AJ916" s="1530"/>
      <c r="AK916" s="1530"/>
      <c r="AL916" s="1530"/>
      <c r="AM916" s="1530"/>
      <c r="AN916" s="1530"/>
      <c r="AO916" s="1530"/>
      <c r="AP916" s="1530"/>
      <c r="AQ916" s="1530"/>
      <c r="AR916" s="1530"/>
      <c r="AS916" s="1530"/>
      <c r="AT916" s="1530"/>
      <c r="AU916" s="1530"/>
      <c r="AV916" s="1530"/>
      <c r="AW916" s="1530"/>
      <c r="AX916" s="1530"/>
      <c r="AY916" s="1530"/>
      <c r="AZ916" s="1530"/>
      <c r="BA916" s="1530"/>
      <c r="BB916" s="1530"/>
      <c r="BC916" s="1530"/>
      <c r="BD916" s="1530"/>
      <c r="BE916" s="1530"/>
      <c r="BF916" s="1530"/>
      <c r="BG916" s="1530"/>
      <c r="BH916" s="1530"/>
      <c r="BI916" s="1530"/>
      <c r="BJ916" s="1530"/>
      <c r="BK916" s="1530"/>
      <c r="BL916" s="1530"/>
      <c r="BM916" s="1530"/>
      <c r="BN916" s="1530"/>
      <c r="BW916" s="1569"/>
      <c r="CO916" s="1530"/>
      <c r="CP916" s="1530"/>
      <c r="CQ916" s="1530"/>
      <c r="CR916" s="1530"/>
      <c r="CS916" s="1530"/>
      <c r="CT916" s="1530"/>
      <c r="CU916" s="1530"/>
      <c r="CV916" s="1530"/>
      <c r="CW916" s="1530"/>
      <c r="CX916" s="1530"/>
      <c r="CY916" s="1530"/>
      <c r="CZ916" s="1530"/>
      <c r="DA916" s="1530"/>
      <c r="DB916" s="1530"/>
      <c r="DC916" s="1530"/>
      <c r="DD916" s="1530"/>
      <c r="DE916" s="1530"/>
      <c r="DF916" s="1530"/>
      <c r="DG916" s="1530"/>
      <c r="DH916" s="1530"/>
      <c r="DI916" s="1530"/>
      <c r="DJ916" s="1530"/>
      <c r="DK916" s="1530"/>
      <c r="DL916" s="1530"/>
      <c r="DM916" s="1530"/>
      <c r="DN916" s="1571"/>
      <c r="DO916" s="1530"/>
      <c r="DP916" s="1530"/>
    </row>
    <row r="917" spans="1:120">
      <c r="A917" s="1451"/>
      <c r="C917" s="1451"/>
      <c r="K917" s="1451"/>
      <c r="L917" s="1451"/>
      <c r="U917" s="1530"/>
      <c r="V917" s="1530"/>
      <c r="W917" s="1530"/>
      <c r="X917" s="1530"/>
      <c r="Y917" s="1530"/>
      <c r="Z917" s="1530"/>
      <c r="AA917" s="1530"/>
      <c r="AB917" s="1530"/>
      <c r="AC917" s="1530"/>
      <c r="AD917" s="1530"/>
      <c r="AE917" s="1530"/>
      <c r="AF917" s="1530"/>
      <c r="AG917" s="1530"/>
      <c r="AH917" s="1530"/>
      <c r="AI917" s="1530"/>
      <c r="AJ917" s="1530"/>
      <c r="AK917" s="1530"/>
      <c r="AL917" s="1530"/>
      <c r="AM917" s="1530"/>
      <c r="AN917" s="1530"/>
      <c r="AO917" s="1530"/>
      <c r="AP917" s="1530"/>
      <c r="AQ917" s="1530"/>
      <c r="AR917" s="1530"/>
      <c r="AS917" s="1530"/>
      <c r="AT917" s="1530"/>
      <c r="AU917" s="1530"/>
      <c r="AV917" s="1530"/>
      <c r="AW917" s="1530"/>
      <c r="AX917" s="1530"/>
      <c r="AY917" s="1530"/>
      <c r="AZ917" s="1530"/>
      <c r="BA917" s="1530"/>
      <c r="BB917" s="1530"/>
      <c r="BC917" s="1530"/>
      <c r="BD917" s="1530"/>
      <c r="BE917" s="1530"/>
      <c r="BF917" s="1530"/>
      <c r="BG917" s="1530"/>
      <c r="BH917" s="1530"/>
      <c r="BI917" s="1530"/>
      <c r="BJ917" s="1530"/>
      <c r="BK917" s="1530"/>
      <c r="BL917" s="1530"/>
      <c r="BM917" s="1530"/>
      <c r="BN917" s="1530"/>
      <c r="BW917" s="1569"/>
      <c r="CO917" s="1530"/>
      <c r="CP917" s="1530"/>
      <c r="CQ917" s="1530"/>
      <c r="CR917" s="1530"/>
      <c r="CS917" s="1530"/>
      <c r="CT917" s="1530"/>
      <c r="CU917" s="1530"/>
      <c r="CV917" s="1530"/>
      <c r="CW917" s="1530"/>
      <c r="CX917" s="1530"/>
      <c r="CY917" s="1530"/>
      <c r="CZ917" s="1530"/>
      <c r="DA917" s="1530"/>
      <c r="DB917" s="1530"/>
      <c r="DC917" s="1530"/>
      <c r="DD917" s="1530"/>
      <c r="DE917" s="1530"/>
      <c r="DF917" s="1530"/>
      <c r="DG917" s="1530"/>
      <c r="DH917" s="1530"/>
      <c r="DI917" s="1530"/>
      <c r="DJ917" s="1530"/>
      <c r="DK917" s="1530"/>
      <c r="DL917" s="1530"/>
      <c r="DM917" s="1530"/>
      <c r="DN917" s="1571"/>
      <c r="DO917" s="1530"/>
      <c r="DP917" s="1530"/>
    </row>
    <row r="918" spans="1:120">
      <c r="A918" s="1451"/>
      <c r="C918" s="1451"/>
      <c r="K918" s="1451"/>
      <c r="L918" s="1451"/>
      <c r="U918" s="1530"/>
      <c r="V918" s="1530"/>
      <c r="W918" s="1530"/>
      <c r="X918" s="1530"/>
      <c r="Y918" s="1530"/>
      <c r="Z918" s="1530"/>
      <c r="AA918" s="1530"/>
      <c r="AB918" s="1530"/>
      <c r="AC918" s="1530"/>
      <c r="AD918" s="1530"/>
      <c r="AE918" s="1530"/>
      <c r="AF918" s="1530"/>
      <c r="AG918" s="1530"/>
      <c r="AH918" s="1530"/>
      <c r="AI918" s="1530"/>
      <c r="AJ918" s="1530"/>
      <c r="AK918" s="1530"/>
      <c r="AL918" s="1530"/>
      <c r="AM918" s="1530"/>
      <c r="AN918" s="1530"/>
      <c r="AO918" s="1530"/>
      <c r="AP918" s="1530"/>
      <c r="AQ918" s="1530"/>
      <c r="AR918" s="1530"/>
      <c r="AS918" s="1530"/>
      <c r="AT918" s="1530"/>
      <c r="AU918" s="1530"/>
      <c r="AV918" s="1530"/>
      <c r="AW918" s="1530"/>
      <c r="AX918" s="1530"/>
      <c r="AY918" s="1530"/>
      <c r="AZ918" s="1530"/>
      <c r="BA918" s="1530"/>
      <c r="BB918" s="1530"/>
      <c r="BC918" s="1530"/>
      <c r="BD918" s="1530"/>
      <c r="BE918" s="1530"/>
      <c r="BF918" s="1530"/>
      <c r="BG918" s="1530"/>
      <c r="BH918" s="1530"/>
      <c r="BI918" s="1530"/>
      <c r="BJ918" s="1530"/>
      <c r="BK918" s="1530"/>
      <c r="BL918" s="1530"/>
      <c r="BM918" s="1530"/>
      <c r="BN918" s="1530"/>
      <c r="BW918" s="1569"/>
      <c r="CO918" s="1530"/>
      <c r="CP918" s="1530"/>
      <c r="CQ918" s="1530"/>
      <c r="CR918" s="1530"/>
      <c r="CS918" s="1530"/>
      <c r="CT918" s="1530"/>
      <c r="CU918" s="1530"/>
      <c r="CV918" s="1530"/>
      <c r="CW918" s="1530"/>
      <c r="CX918" s="1530"/>
      <c r="CY918" s="1530"/>
      <c r="CZ918" s="1530"/>
      <c r="DA918" s="1530"/>
      <c r="DB918" s="1530"/>
      <c r="DC918" s="1530"/>
      <c r="DD918" s="1530"/>
      <c r="DE918" s="1530"/>
      <c r="DF918" s="1530"/>
      <c r="DG918" s="1530"/>
      <c r="DH918" s="1530"/>
      <c r="DI918" s="1530"/>
      <c r="DJ918" s="1530"/>
      <c r="DK918" s="1530"/>
      <c r="DL918" s="1530"/>
      <c r="DM918" s="1530"/>
      <c r="DN918" s="1571"/>
      <c r="DO918" s="1530"/>
      <c r="DP918" s="1530"/>
    </row>
    <row r="919" spans="1:120">
      <c r="A919" s="1451"/>
      <c r="C919" s="1451"/>
      <c r="K919" s="1451"/>
      <c r="L919" s="1451"/>
      <c r="U919" s="1530"/>
      <c r="V919" s="1530"/>
      <c r="W919" s="1530"/>
      <c r="X919" s="1530"/>
      <c r="Y919" s="1530"/>
      <c r="Z919" s="1530"/>
      <c r="AA919" s="1530"/>
      <c r="AB919" s="1530"/>
      <c r="AC919" s="1530"/>
      <c r="AD919" s="1530"/>
      <c r="AE919" s="1530"/>
      <c r="AF919" s="1530"/>
      <c r="AG919" s="1530"/>
      <c r="AH919" s="1530"/>
      <c r="AI919" s="1530"/>
      <c r="AJ919" s="1530"/>
      <c r="AK919" s="1530"/>
      <c r="AL919" s="1530"/>
      <c r="AM919" s="1530"/>
      <c r="AN919" s="1530"/>
      <c r="AO919" s="1530"/>
      <c r="AP919" s="1530"/>
      <c r="AQ919" s="1530"/>
      <c r="AR919" s="1530"/>
      <c r="AS919" s="1530"/>
      <c r="AT919" s="1530"/>
      <c r="AU919" s="1530"/>
      <c r="AV919" s="1530"/>
      <c r="AW919" s="1530"/>
      <c r="AX919" s="1530"/>
      <c r="AY919" s="1530"/>
      <c r="AZ919" s="1530"/>
      <c r="BA919" s="1530"/>
      <c r="BB919" s="1530"/>
      <c r="BC919" s="1530"/>
      <c r="BD919" s="1530"/>
      <c r="BE919" s="1530"/>
      <c r="BF919" s="1530"/>
      <c r="BG919" s="1530"/>
      <c r="BH919" s="1530"/>
      <c r="BI919" s="1530"/>
      <c r="BJ919" s="1530"/>
      <c r="BK919" s="1530"/>
      <c r="BL919" s="1530"/>
      <c r="BM919" s="1530"/>
      <c r="BN919" s="1530"/>
      <c r="BW919" s="1569"/>
      <c r="CO919" s="1530"/>
      <c r="CP919" s="1530"/>
      <c r="CQ919" s="1530"/>
      <c r="CR919" s="1530"/>
      <c r="CS919" s="1530"/>
      <c r="CT919" s="1530"/>
      <c r="CU919" s="1530"/>
      <c r="CV919" s="1530"/>
      <c r="CW919" s="1530"/>
      <c r="CX919" s="1530"/>
      <c r="CY919" s="1530"/>
      <c r="CZ919" s="1530"/>
      <c r="DA919" s="1530"/>
      <c r="DB919" s="1530"/>
      <c r="DC919" s="1530"/>
      <c r="DD919" s="1530"/>
      <c r="DE919" s="1530"/>
      <c r="DF919" s="1530"/>
      <c r="DG919" s="1530"/>
      <c r="DH919" s="1530"/>
      <c r="DI919" s="1530"/>
      <c r="DJ919" s="1530"/>
      <c r="DK919" s="1530"/>
      <c r="DL919" s="1530"/>
      <c r="DM919" s="1530"/>
      <c r="DN919" s="1571"/>
      <c r="DO919" s="1530"/>
      <c r="DP919" s="1530"/>
    </row>
    <row r="920" spans="1:120">
      <c r="A920" s="1451"/>
      <c r="C920" s="1451"/>
      <c r="K920" s="1451"/>
      <c r="L920" s="1451"/>
      <c r="U920" s="1530"/>
      <c r="V920" s="1530"/>
      <c r="W920" s="1530"/>
      <c r="X920" s="1530"/>
      <c r="Y920" s="1530"/>
      <c r="Z920" s="1530"/>
      <c r="AA920" s="1530"/>
      <c r="AB920" s="1530"/>
      <c r="AC920" s="1530"/>
      <c r="AD920" s="1530"/>
      <c r="AE920" s="1530"/>
      <c r="AF920" s="1530"/>
      <c r="AG920" s="1530"/>
      <c r="AH920" s="1530"/>
      <c r="AI920" s="1530"/>
      <c r="AJ920" s="1530"/>
      <c r="AK920" s="1530"/>
      <c r="AL920" s="1530"/>
      <c r="AM920" s="1530"/>
      <c r="AN920" s="1530"/>
      <c r="AO920" s="1530"/>
      <c r="AP920" s="1530"/>
      <c r="AQ920" s="1530"/>
      <c r="AR920" s="1530"/>
      <c r="AS920" s="1530"/>
      <c r="AT920" s="1530"/>
      <c r="AU920" s="1530"/>
      <c r="AV920" s="1530"/>
      <c r="AW920" s="1530"/>
      <c r="AX920" s="1530"/>
      <c r="AY920" s="1530"/>
      <c r="AZ920" s="1530"/>
      <c r="BA920" s="1530"/>
      <c r="BB920" s="1530"/>
      <c r="BC920" s="1530"/>
      <c r="BD920" s="1530"/>
      <c r="BE920" s="1530"/>
      <c r="BF920" s="1530"/>
      <c r="BG920" s="1530"/>
      <c r="BH920" s="1530"/>
      <c r="BI920" s="1530"/>
      <c r="BJ920" s="1530"/>
      <c r="BK920" s="1530"/>
      <c r="BL920" s="1530"/>
      <c r="BM920" s="1530"/>
      <c r="BN920" s="1530"/>
      <c r="BW920" s="1569"/>
      <c r="CO920" s="1530"/>
      <c r="CP920" s="1530"/>
      <c r="CQ920" s="1530"/>
      <c r="CR920" s="1530"/>
      <c r="CS920" s="1530"/>
      <c r="CT920" s="1530"/>
      <c r="CU920" s="1530"/>
      <c r="CV920" s="1530"/>
      <c r="CW920" s="1530"/>
      <c r="CX920" s="1530"/>
      <c r="CY920" s="1530"/>
      <c r="CZ920" s="1530"/>
      <c r="DA920" s="1530"/>
      <c r="DB920" s="1530"/>
      <c r="DC920" s="1530"/>
      <c r="DD920" s="1530"/>
      <c r="DE920" s="1530"/>
      <c r="DF920" s="1530"/>
      <c r="DG920" s="1530"/>
      <c r="DH920" s="1530"/>
      <c r="DI920" s="1530"/>
      <c r="DJ920" s="1530"/>
      <c r="DK920" s="1530"/>
      <c r="DL920" s="1530"/>
      <c r="DM920" s="1530"/>
      <c r="DN920" s="1571"/>
      <c r="DO920" s="1530"/>
      <c r="DP920" s="1530"/>
    </row>
    <row r="921" spans="1:120">
      <c r="A921" s="1451"/>
      <c r="C921" s="1451"/>
      <c r="K921" s="1451"/>
      <c r="L921" s="1451"/>
      <c r="U921" s="1530"/>
      <c r="V921" s="1530"/>
      <c r="W921" s="1530"/>
      <c r="X921" s="1530"/>
      <c r="Y921" s="1530"/>
      <c r="Z921" s="1530"/>
      <c r="AA921" s="1530"/>
      <c r="AB921" s="1530"/>
      <c r="AC921" s="1530"/>
      <c r="AD921" s="1530"/>
      <c r="AE921" s="1530"/>
      <c r="AF921" s="1530"/>
      <c r="AG921" s="1530"/>
      <c r="AH921" s="1530"/>
      <c r="AI921" s="1530"/>
      <c r="AJ921" s="1530"/>
      <c r="AK921" s="1530"/>
      <c r="AL921" s="1530"/>
      <c r="AM921" s="1530"/>
      <c r="AN921" s="1530"/>
      <c r="AO921" s="1530"/>
      <c r="AP921" s="1530"/>
      <c r="AQ921" s="1530"/>
      <c r="AR921" s="1530"/>
      <c r="AS921" s="1530"/>
      <c r="AT921" s="1530"/>
      <c r="AU921" s="1530"/>
      <c r="AV921" s="1530"/>
      <c r="AW921" s="1530"/>
      <c r="AX921" s="1530"/>
      <c r="AY921" s="1530"/>
      <c r="AZ921" s="1530"/>
      <c r="BA921" s="1530"/>
      <c r="BB921" s="1530"/>
      <c r="BC921" s="1530"/>
      <c r="BD921" s="1530"/>
      <c r="BE921" s="1530"/>
      <c r="BF921" s="1530"/>
      <c r="BG921" s="1530"/>
      <c r="BH921" s="1530"/>
      <c r="BI921" s="1530"/>
      <c r="BJ921" s="1530"/>
      <c r="BK921" s="1530"/>
      <c r="BL921" s="1530"/>
      <c r="BM921" s="1530"/>
      <c r="BN921" s="1530"/>
      <c r="BW921" s="1569"/>
      <c r="CO921" s="1530"/>
      <c r="CP921" s="1530"/>
      <c r="CQ921" s="1530"/>
      <c r="CR921" s="1530"/>
      <c r="CS921" s="1530"/>
      <c r="CT921" s="1530"/>
      <c r="CU921" s="1530"/>
      <c r="CV921" s="1530"/>
      <c r="CW921" s="1530"/>
      <c r="CX921" s="1530"/>
      <c r="CY921" s="1530"/>
      <c r="CZ921" s="1530"/>
      <c r="DA921" s="1530"/>
      <c r="DB921" s="1530"/>
      <c r="DC921" s="1530"/>
      <c r="DD921" s="1530"/>
      <c r="DE921" s="1530"/>
      <c r="DF921" s="1530"/>
      <c r="DG921" s="1530"/>
      <c r="DH921" s="1530"/>
      <c r="DI921" s="1530"/>
      <c r="DJ921" s="1530"/>
      <c r="DK921" s="1530"/>
      <c r="DL921" s="1530"/>
      <c r="DM921" s="1530"/>
      <c r="DN921" s="1571"/>
      <c r="DO921" s="1530"/>
      <c r="DP921" s="1530"/>
    </row>
    <row r="922" spans="1:120">
      <c r="A922" s="1451"/>
      <c r="C922" s="1451"/>
      <c r="K922" s="1451"/>
      <c r="L922" s="1451"/>
      <c r="U922" s="1530"/>
      <c r="V922" s="1530"/>
      <c r="W922" s="1530"/>
      <c r="X922" s="1530"/>
      <c r="Y922" s="1530"/>
      <c r="Z922" s="1530"/>
      <c r="AA922" s="1530"/>
      <c r="AB922" s="1530"/>
      <c r="AC922" s="1530"/>
      <c r="AD922" s="1530"/>
      <c r="AE922" s="1530"/>
      <c r="AF922" s="1530"/>
      <c r="AG922" s="1530"/>
      <c r="AH922" s="1530"/>
      <c r="AI922" s="1530"/>
      <c r="AJ922" s="1530"/>
      <c r="AK922" s="1530"/>
      <c r="AL922" s="1530"/>
      <c r="AM922" s="1530"/>
      <c r="AN922" s="1530"/>
      <c r="AO922" s="1530"/>
      <c r="AP922" s="1530"/>
      <c r="AQ922" s="1530"/>
      <c r="AR922" s="1530"/>
      <c r="AS922" s="1530"/>
      <c r="AT922" s="1530"/>
      <c r="AU922" s="1530"/>
      <c r="AV922" s="1530"/>
      <c r="AW922" s="1530"/>
      <c r="AX922" s="1530"/>
      <c r="AY922" s="1530"/>
      <c r="AZ922" s="1530"/>
      <c r="BA922" s="1530"/>
      <c r="BB922" s="1530"/>
      <c r="BC922" s="1530"/>
      <c r="BD922" s="1530"/>
      <c r="BE922" s="1530"/>
      <c r="BF922" s="1530"/>
      <c r="BG922" s="1530"/>
      <c r="BH922" s="1530"/>
      <c r="BI922" s="1530"/>
      <c r="BJ922" s="1530"/>
      <c r="BK922" s="1530"/>
      <c r="BL922" s="1530"/>
      <c r="BM922" s="1530"/>
      <c r="BN922" s="1530"/>
      <c r="BW922" s="1569"/>
      <c r="CO922" s="1530"/>
      <c r="CP922" s="1530"/>
      <c r="CQ922" s="1530"/>
      <c r="CR922" s="1530"/>
      <c r="CS922" s="1530"/>
      <c r="CT922" s="1530"/>
      <c r="CU922" s="1530"/>
      <c r="CV922" s="1530"/>
      <c r="CW922" s="1530"/>
      <c r="CX922" s="1530"/>
      <c r="CY922" s="1530"/>
      <c r="CZ922" s="1530"/>
      <c r="DA922" s="1530"/>
      <c r="DB922" s="1530"/>
      <c r="DC922" s="1530"/>
      <c r="DD922" s="1530"/>
      <c r="DE922" s="1530"/>
      <c r="DF922" s="1530"/>
      <c r="DG922" s="1530"/>
      <c r="DH922" s="1530"/>
      <c r="DI922" s="1530"/>
      <c r="DJ922" s="1530"/>
      <c r="DK922" s="1530"/>
      <c r="DL922" s="1530"/>
      <c r="DM922" s="1530"/>
      <c r="DN922" s="1571"/>
      <c r="DO922" s="1530"/>
      <c r="DP922" s="1530"/>
    </row>
    <row r="923" spans="1:120">
      <c r="A923" s="1451"/>
      <c r="C923" s="1451"/>
      <c r="K923" s="1451"/>
      <c r="L923" s="1451"/>
      <c r="U923" s="1530"/>
      <c r="V923" s="1530"/>
      <c r="W923" s="1530"/>
      <c r="X923" s="1530"/>
      <c r="Y923" s="1530"/>
      <c r="Z923" s="1530"/>
      <c r="AA923" s="1530"/>
      <c r="AB923" s="1530"/>
      <c r="AC923" s="1530"/>
      <c r="AD923" s="1530"/>
      <c r="AE923" s="1530"/>
      <c r="AF923" s="1530"/>
      <c r="AG923" s="1530"/>
      <c r="AH923" s="1530"/>
      <c r="AI923" s="1530"/>
      <c r="AJ923" s="1530"/>
      <c r="AK923" s="1530"/>
      <c r="AL923" s="1530"/>
      <c r="AM923" s="1530"/>
      <c r="AN923" s="1530"/>
      <c r="AO923" s="1530"/>
      <c r="AP923" s="1530"/>
      <c r="AQ923" s="1530"/>
      <c r="AR923" s="1530"/>
      <c r="AS923" s="1530"/>
      <c r="AT923" s="1530"/>
      <c r="AU923" s="1530"/>
      <c r="AV923" s="1530"/>
      <c r="AW923" s="1530"/>
      <c r="AX923" s="1530"/>
      <c r="AY923" s="1530"/>
      <c r="AZ923" s="1530"/>
      <c r="BA923" s="1530"/>
      <c r="BB923" s="1530"/>
      <c r="BC923" s="1530"/>
      <c r="BD923" s="1530"/>
      <c r="BE923" s="1530"/>
      <c r="BF923" s="1530"/>
      <c r="BG923" s="1530"/>
      <c r="BH923" s="1530"/>
      <c r="BI923" s="1530"/>
      <c r="BJ923" s="1530"/>
      <c r="BK923" s="1530"/>
      <c r="BL923" s="1530"/>
      <c r="BM923" s="1530"/>
      <c r="BN923" s="1530"/>
      <c r="BW923" s="1569"/>
      <c r="CO923" s="1530"/>
      <c r="CP923" s="1530"/>
      <c r="CQ923" s="1530"/>
      <c r="CR923" s="1530"/>
      <c r="CS923" s="1530"/>
      <c r="CT923" s="1530"/>
      <c r="CU923" s="1530"/>
      <c r="CV923" s="1530"/>
      <c r="CW923" s="1530"/>
      <c r="CX923" s="1530"/>
      <c r="CY923" s="1530"/>
      <c r="CZ923" s="1530"/>
      <c r="DA923" s="1530"/>
      <c r="DB923" s="1530"/>
      <c r="DC923" s="1530"/>
      <c r="DD923" s="1530"/>
      <c r="DE923" s="1530"/>
      <c r="DF923" s="1530"/>
      <c r="DG923" s="1530"/>
      <c r="DH923" s="1530"/>
      <c r="DI923" s="1530"/>
      <c r="DJ923" s="1530"/>
      <c r="DK923" s="1530"/>
      <c r="DL923" s="1530"/>
      <c r="DM923" s="1530"/>
      <c r="DN923" s="1571"/>
      <c r="DO923" s="1530"/>
      <c r="DP923" s="1530"/>
    </row>
    <row r="924" spans="1:120">
      <c r="A924" s="1451"/>
      <c r="C924" s="1451"/>
      <c r="K924" s="1451"/>
      <c r="L924" s="1451"/>
      <c r="U924" s="1530"/>
      <c r="V924" s="1530"/>
      <c r="W924" s="1530"/>
      <c r="X924" s="1530"/>
      <c r="Y924" s="1530"/>
      <c r="Z924" s="1530"/>
      <c r="AA924" s="1530"/>
      <c r="AB924" s="1530"/>
      <c r="AC924" s="1530"/>
      <c r="AD924" s="1530"/>
      <c r="AE924" s="1530"/>
      <c r="AF924" s="1530"/>
      <c r="AG924" s="1530"/>
      <c r="AH924" s="1530"/>
      <c r="AI924" s="1530"/>
      <c r="AJ924" s="1530"/>
      <c r="AK924" s="1530"/>
      <c r="AL924" s="1530"/>
      <c r="AM924" s="1530"/>
      <c r="AN924" s="1530"/>
      <c r="AO924" s="1530"/>
      <c r="AP924" s="1530"/>
      <c r="AQ924" s="1530"/>
      <c r="AR924" s="1530"/>
      <c r="AS924" s="1530"/>
      <c r="AT924" s="1530"/>
      <c r="AU924" s="1530"/>
      <c r="AV924" s="1530"/>
      <c r="AW924" s="1530"/>
      <c r="AX924" s="1530"/>
      <c r="AY924" s="1530"/>
      <c r="AZ924" s="1530"/>
      <c r="BA924" s="1530"/>
      <c r="BB924" s="1530"/>
      <c r="BC924" s="1530"/>
      <c r="BD924" s="1530"/>
      <c r="BE924" s="1530"/>
      <c r="BF924" s="1530"/>
      <c r="BG924" s="1530"/>
      <c r="BH924" s="1530"/>
      <c r="BI924" s="1530"/>
      <c r="BJ924" s="1530"/>
      <c r="BK924" s="1530"/>
      <c r="BL924" s="1530"/>
      <c r="BM924" s="1530"/>
      <c r="BN924" s="1530"/>
      <c r="BW924" s="1569"/>
      <c r="CO924" s="1530"/>
      <c r="CP924" s="1530"/>
      <c r="CQ924" s="1530"/>
      <c r="CR924" s="1530"/>
      <c r="CS924" s="1530"/>
      <c r="CT924" s="1530"/>
      <c r="CU924" s="1530"/>
      <c r="CV924" s="1530"/>
      <c r="CW924" s="1530"/>
      <c r="CX924" s="1530"/>
      <c r="CY924" s="1530"/>
      <c r="CZ924" s="1530"/>
      <c r="DA924" s="1530"/>
      <c r="DB924" s="1530"/>
      <c r="DC924" s="1530"/>
      <c r="DD924" s="1530"/>
      <c r="DE924" s="1530"/>
      <c r="DF924" s="1530"/>
      <c r="DG924" s="1530"/>
      <c r="DH924" s="1530"/>
      <c r="DI924" s="1530"/>
      <c r="DJ924" s="1530"/>
      <c r="DK924" s="1530"/>
      <c r="DL924" s="1530"/>
      <c r="DM924" s="1530"/>
      <c r="DN924" s="1571"/>
      <c r="DO924" s="1530"/>
      <c r="DP924" s="1530"/>
    </row>
    <row r="925" spans="1:120">
      <c r="A925" s="1451"/>
      <c r="C925" s="1451"/>
      <c r="K925" s="1451"/>
      <c r="L925" s="1451"/>
      <c r="U925" s="1530"/>
      <c r="V925" s="1530"/>
      <c r="W925" s="1530"/>
      <c r="X925" s="1530"/>
      <c r="Y925" s="1530"/>
      <c r="Z925" s="1530"/>
      <c r="AA925" s="1530"/>
      <c r="AB925" s="1530"/>
      <c r="AC925" s="1530"/>
      <c r="AD925" s="1530"/>
      <c r="AE925" s="1530"/>
      <c r="AF925" s="1530"/>
      <c r="AG925" s="1530"/>
      <c r="AH925" s="1530"/>
      <c r="AI925" s="1530"/>
      <c r="AJ925" s="1530"/>
      <c r="AK925" s="1530"/>
      <c r="AL925" s="1530"/>
      <c r="AM925" s="1530"/>
      <c r="AN925" s="1530"/>
      <c r="AO925" s="1530"/>
      <c r="AP925" s="1530"/>
      <c r="AQ925" s="1530"/>
      <c r="AR925" s="1530"/>
      <c r="AS925" s="1530"/>
      <c r="AT925" s="1530"/>
      <c r="AU925" s="1530"/>
      <c r="AV925" s="1530"/>
      <c r="AW925" s="1530"/>
      <c r="AX925" s="1530"/>
      <c r="AY925" s="1530"/>
      <c r="AZ925" s="1530"/>
      <c r="BA925" s="1530"/>
      <c r="BB925" s="1530"/>
      <c r="BC925" s="1530"/>
      <c r="BD925" s="1530"/>
      <c r="BE925" s="1530"/>
      <c r="BF925" s="1530"/>
      <c r="BG925" s="1530"/>
      <c r="BH925" s="1530"/>
      <c r="BI925" s="1530"/>
      <c r="BJ925" s="1530"/>
      <c r="BK925" s="1530"/>
      <c r="BL925" s="1530"/>
      <c r="BM925" s="1530"/>
      <c r="BN925" s="1530"/>
      <c r="BW925" s="1569"/>
      <c r="CO925" s="1530"/>
      <c r="CP925" s="1530"/>
      <c r="CQ925" s="1530"/>
      <c r="CR925" s="1530"/>
      <c r="CS925" s="1530"/>
      <c r="CT925" s="1530"/>
      <c r="CU925" s="1530"/>
      <c r="CV925" s="1530"/>
      <c r="CW925" s="1530"/>
      <c r="CX925" s="1530"/>
      <c r="CY925" s="1530"/>
      <c r="CZ925" s="1530"/>
      <c r="DA925" s="1530"/>
      <c r="DB925" s="1530"/>
      <c r="DC925" s="1530"/>
      <c r="DD925" s="1530"/>
      <c r="DE925" s="1530"/>
      <c r="DF925" s="1530"/>
      <c r="DG925" s="1530"/>
      <c r="DH925" s="1530"/>
      <c r="DI925" s="1530"/>
      <c r="DJ925" s="1530"/>
      <c r="DK925" s="1530"/>
      <c r="DL925" s="1530"/>
      <c r="DM925" s="1530"/>
      <c r="DN925" s="1571"/>
      <c r="DO925" s="1530"/>
      <c r="DP925" s="1530"/>
    </row>
    <row r="926" spans="1:120">
      <c r="A926" s="1451"/>
      <c r="C926" s="1451"/>
      <c r="K926" s="1451"/>
      <c r="L926" s="1451"/>
      <c r="U926" s="1530"/>
      <c r="V926" s="1530"/>
      <c r="W926" s="1530"/>
      <c r="X926" s="1530"/>
      <c r="Y926" s="1530"/>
      <c r="Z926" s="1530"/>
      <c r="AA926" s="1530"/>
      <c r="AB926" s="1530"/>
      <c r="AC926" s="1530"/>
      <c r="AD926" s="1530"/>
      <c r="AE926" s="1530"/>
      <c r="AF926" s="1530"/>
      <c r="AG926" s="1530"/>
      <c r="AH926" s="1530"/>
      <c r="AI926" s="1530"/>
      <c r="AJ926" s="1530"/>
      <c r="AK926" s="1530"/>
      <c r="AL926" s="1530"/>
      <c r="AM926" s="1530"/>
      <c r="AN926" s="1530"/>
      <c r="AO926" s="1530"/>
      <c r="AP926" s="1530"/>
      <c r="AQ926" s="1530"/>
      <c r="AR926" s="1530"/>
      <c r="AS926" s="1530"/>
      <c r="AT926" s="1530"/>
      <c r="AU926" s="1530"/>
      <c r="AV926" s="1530"/>
      <c r="AW926" s="1530"/>
      <c r="AX926" s="1530"/>
      <c r="AY926" s="1530"/>
      <c r="AZ926" s="1530"/>
      <c r="BA926" s="1530"/>
      <c r="BB926" s="1530"/>
      <c r="BC926" s="1530"/>
      <c r="BD926" s="1530"/>
      <c r="BE926" s="1530"/>
      <c r="BF926" s="1530"/>
      <c r="BG926" s="1530"/>
      <c r="BH926" s="1530"/>
      <c r="BI926" s="1530"/>
      <c r="BJ926" s="1530"/>
      <c r="BK926" s="1530"/>
      <c r="BL926" s="1530"/>
      <c r="BM926" s="1530"/>
      <c r="BN926" s="1530"/>
      <c r="BW926" s="1569"/>
      <c r="CO926" s="1530"/>
      <c r="CP926" s="1530"/>
      <c r="CQ926" s="1530"/>
      <c r="CR926" s="1530"/>
      <c r="CS926" s="1530"/>
      <c r="CT926" s="1530"/>
      <c r="CU926" s="1530"/>
      <c r="CV926" s="1530"/>
      <c r="CW926" s="1530"/>
      <c r="CX926" s="1530"/>
      <c r="CY926" s="1530"/>
      <c r="CZ926" s="1530"/>
      <c r="DA926" s="1530"/>
      <c r="DB926" s="1530"/>
      <c r="DC926" s="1530"/>
      <c r="DD926" s="1530"/>
      <c r="DE926" s="1530"/>
      <c r="DF926" s="1530"/>
      <c r="DG926" s="1530"/>
      <c r="DH926" s="1530"/>
      <c r="DI926" s="1530"/>
      <c r="DJ926" s="1530"/>
      <c r="DK926" s="1530"/>
      <c r="DL926" s="1530"/>
      <c r="DM926" s="1530"/>
      <c r="DN926" s="1571"/>
      <c r="DO926" s="1530"/>
      <c r="DP926" s="1530"/>
    </row>
    <row r="927" spans="1:120">
      <c r="A927" s="1451"/>
      <c r="C927" s="1451"/>
      <c r="K927" s="1451"/>
      <c r="L927" s="1451"/>
      <c r="U927" s="1530"/>
      <c r="V927" s="1530"/>
      <c r="W927" s="1530"/>
      <c r="X927" s="1530"/>
      <c r="Y927" s="1530"/>
      <c r="Z927" s="1530"/>
      <c r="AA927" s="1530"/>
      <c r="AB927" s="1530"/>
      <c r="AC927" s="1530"/>
      <c r="AD927" s="1530"/>
      <c r="AE927" s="1530"/>
      <c r="AF927" s="1530"/>
      <c r="AG927" s="1530"/>
      <c r="AH927" s="1530"/>
      <c r="AI927" s="1530"/>
      <c r="AJ927" s="1530"/>
      <c r="AK927" s="1530"/>
      <c r="AL927" s="1530"/>
      <c r="AM927" s="1530"/>
      <c r="AN927" s="1530"/>
      <c r="AO927" s="1530"/>
      <c r="AP927" s="1530"/>
      <c r="AQ927" s="1530"/>
      <c r="AR927" s="1530"/>
      <c r="AS927" s="1530"/>
      <c r="AT927" s="1530"/>
      <c r="AU927" s="1530"/>
      <c r="AV927" s="1530"/>
      <c r="AW927" s="1530"/>
      <c r="AX927" s="1530"/>
      <c r="AY927" s="1530"/>
      <c r="AZ927" s="1530"/>
      <c r="BA927" s="1530"/>
      <c r="BB927" s="1530"/>
      <c r="BC927" s="1530"/>
      <c r="BD927" s="1530"/>
      <c r="BE927" s="1530"/>
      <c r="BF927" s="1530"/>
      <c r="BG927" s="1530"/>
      <c r="BH927" s="1530"/>
      <c r="BI927" s="1530"/>
      <c r="BJ927" s="1530"/>
      <c r="BK927" s="1530"/>
      <c r="BL927" s="1530"/>
      <c r="BM927" s="1530"/>
      <c r="BN927" s="1530"/>
      <c r="BW927" s="1569"/>
      <c r="CO927" s="1530"/>
      <c r="CP927" s="1530"/>
      <c r="CQ927" s="1530"/>
      <c r="CR927" s="1530"/>
      <c r="CS927" s="1530"/>
      <c r="CT927" s="1530"/>
      <c r="CU927" s="1530"/>
      <c r="CV927" s="1530"/>
      <c r="CW927" s="1530"/>
      <c r="CX927" s="1530"/>
      <c r="CY927" s="1530"/>
      <c r="CZ927" s="1530"/>
      <c r="DA927" s="1530"/>
      <c r="DB927" s="1530"/>
      <c r="DC927" s="1530"/>
      <c r="DD927" s="1530"/>
      <c r="DE927" s="1530"/>
      <c r="DF927" s="1530"/>
      <c r="DG927" s="1530"/>
      <c r="DH927" s="1530"/>
      <c r="DI927" s="1530"/>
      <c r="DJ927" s="1530"/>
      <c r="DK927" s="1530"/>
      <c r="DL927" s="1530"/>
      <c r="DM927" s="1530"/>
      <c r="DN927" s="1571"/>
      <c r="DO927" s="1530"/>
      <c r="DP927" s="1530"/>
    </row>
    <row r="928" spans="1:120">
      <c r="A928" s="1451"/>
      <c r="C928" s="1451"/>
      <c r="K928" s="1451"/>
      <c r="L928" s="1451"/>
      <c r="U928" s="1530"/>
      <c r="V928" s="1530"/>
      <c r="W928" s="1530"/>
      <c r="X928" s="1530"/>
      <c r="Y928" s="1530"/>
      <c r="Z928" s="1530"/>
      <c r="AA928" s="1530"/>
      <c r="AB928" s="1530"/>
      <c r="AC928" s="1530"/>
      <c r="AD928" s="1530"/>
      <c r="AE928" s="1530"/>
      <c r="AF928" s="1530"/>
      <c r="AG928" s="1530"/>
      <c r="AH928" s="1530"/>
      <c r="AI928" s="1530"/>
      <c r="AJ928" s="1530"/>
      <c r="AK928" s="1530"/>
      <c r="AL928" s="1530"/>
      <c r="AM928" s="1530"/>
      <c r="AN928" s="1530"/>
      <c r="AO928" s="1530"/>
      <c r="AP928" s="1530"/>
      <c r="AQ928" s="1530"/>
      <c r="AR928" s="1530"/>
      <c r="AS928" s="1530"/>
      <c r="AT928" s="1530"/>
      <c r="AU928" s="1530"/>
      <c r="AV928" s="1530"/>
      <c r="AW928" s="1530"/>
      <c r="AX928" s="1530"/>
      <c r="AY928" s="1530"/>
      <c r="AZ928" s="1530"/>
      <c r="BA928" s="1530"/>
      <c r="BB928" s="1530"/>
      <c r="BC928" s="1530"/>
      <c r="BD928" s="1530"/>
      <c r="BE928" s="1530"/>
      <c r="BF928" s="1530"/>
      <c r="BG928" s="1530"/>
      <c r="BH928" s="1530"/>
      <c r="BI928" s="1530"/>
      <c r="BJ928" s="1530"/>
      <c r="BK928" s="1530"/>
      <c r="BL928" s="1530"/>
      <c r="BM928" s="1530"/>
      <c r="BN928" s="1530"/>
      <c r="BW928" s="1569"/>
      <c r="CO928" s="1530"/>
      <c r="CP928" s="1530"/>
      <c r="CQ928" s="1530"/>
      <c r="CR928" s="1530"/>
      <c r="CS928" s="1530"/>
      <c r="CT928" s="1530"/>
      <c r="CU928" s="1530"/>
      <c r="CV928" s="1530"/>
      <c r="CW928" s="1530"/>
      <c r="CX928" s="1530"/>
      <c r="CY928" s="1530"/>
      <c r="CZ928" s="1530"/>
      <c r="DA928" s="1530"/>
      <c r="DB928" s="1530"/>
      <c r="DC928" s="1530"/>
      <c r="DD928" s="1530"/>
      <c r="DE928" s="1530"/>
      <c r="DF928" s="1530"/>
      <c r="DG928" s="1530"/>
      <c r="DH928" s="1530"/>
      <c r="DI928" s="1530"/>
      <c r="DJ928" s="1530"/>
      <c r="DK928" s="1530"/>
      <c r="DL928" s="1530"/>
      <c r="DM928" s="1530"/>
      <c r="DN928" s="1571"/>
      <c r="DO928" s="1530"/>
      <c r="DP928" s="1530"/>
    </row>
    <row r="929" spans="1:120">
      <c r="A929" s="1451"/>
      <c r="C929" s="1451"/>
      <c r="K929" s="1451"/>
      <c r="L929" s="1451"/>
      <c r="U929" s="1530"/>
      <c r="V929" s="1530"/>
      <c r="W929" s="1530"/>
      <c r="X929" s="1530"/>
      <c r="Y929" s="1530"/>
      <c r="Z929" s="1530"/>
      <c r="AA929" s="1530"/>
      <c r="AB929" s="1530"/>
      <c r="AC929" s="1530"/>
      <c r="AD929" s="1530"/>
      <c r="AE929" s="1530"/>
      <c r="AF929" s="1530"/>
      <c r="AG929" s="1530"/>
      <c r="AH929" s="1530"/>
      <c r="AI929" s="1530"/>
      <c r="AJ929" s="1530"/>
      <c r="AK929" s="1530"/>
      <c r="AL929" s="1530"/>
      <c r="AM929" s="1530"/>
      <c r="AN929" s="1530"/>
      <c r="AO929" s="1530"/>
      <c r="AP929" s="1530"/>
      <c r="AQ929" s="1530"/>
      <c r="AR929" s="1530"/>
      <c r="AS929" s="1530"/>
      <c r="AT929" s="1530"/>
      <c r="AU929" s="1530"/>
      <c r="AV929" s="1530"/>
      <c r="AW929" s="1530"/>
      <c r="AX929" s="1530"/>
      <c r="AY929" s="1530"/>
      <c r="AZ929" s="1530"/>
      <c r="BA929" s="1530"/>
      <c r="BB929" s="1530"/>
      <c r="BC929" s="1530"/>
      <c r="BD929" s="1530"/>
      <c r="BE929" s="1530"/>
      <c r="BF929" s="1530"/>
      <c r="BG929" s="1530"/>
      <c r="BH929" s="1530"/>
      <c r="BI929" s="1530"/>
      <c r="BJ929" s="1530"/>
      <c r="BK929" s="1530"/>
      <c r="BL929" s="1530"/>
      <c r="BM929" s="1530"/>
      <c r="BN929" s="1530"/>
      <c r="BW929" s="1569"/>
      <c r="CO929" s="1530"/>
      <c r="CP929" s="1530"/>
      <c r="CQ929" s="1530"/>
      <c r="CR929" s="1530"/>
      <c r="CS929" s="1530"/>
      <c r="CT929" s="1530"/>
      <c r="CU929" s="1530"/>
      <c r="CV929" s="1530"/>
      <c r="CW929" s="1530"/>
      <c r="CX929" s="1530"/>
      <c r="CY929" s="1530"/>
      <c r="CZ929" s="1530"/>
      <c r="DA929" s="1530"/>
      <c r="DB929" s="1530"/>
      <c r="DC929" s="1530"/>
      <c r="DD929" s="1530"/>
      <c r="DE929" s="1530"/>
      <c r="DF929" s="1530"/>
      <c r="DG929" s="1530"/>
      <c r="DH929" s="1530"/>
      <c r="DI929" s="1530"/>
      <c r="DJ929" s="1530"/>
      <c r="DK929" s="1530"/>
      <c r="DL929" s="1530"/>
      <c r="DM929" s="1530"/>
      <c r="DN929" s="1571"/>
      <c r="DO929" s="1530"/>
      <c r="DP929" s="1530"/>
    </row>
    <row r="930" spans="1:120">
      <c r="A930" s="1451"/>
      <c r="C930" s="1451"/>
      <c r="K930" s="1451"/>
      <c r="L930" s="1451"/>
      <c r="U930" s="1530"/>
      <c r="V930" s="1530"/>
      <c r="W930" s="1530"/>
      <c r="X930" s="1530"/>
      <c r="Y930" s="1530"/>
      <c r="Z930" s="1530"/>
      <c r="AA930" s="1530"/>
      <c r="AB930" s="1530"/>
      <c r="AC930" s="1530"/>
      <c r="AD930" s="1530"/>
      <c r="AE930" s="1530"/>
      <c r="AF930" s="1530"/>
      <c r="AG930" s="1530"/>
      <c r="AH930" s="1530"/>
      <c r="AI930" s="1530"/>
      <c r="AJ930" s="1530"/>
      <c r="AK930" s="1530"/>
      <c r="AL930" s="1530"/>
      <c r="AM930" s="1530"/>
      <c r="AN930" s="1530"/>
      <c r="AO930" s="1530"/>
      <c r="AP930" s="1530"/>
      <c r="AQ930" s="1530"/>
      <c r="AR930" s="1530"/>
      <c r="AS930" s="1530"/>
      <c r="AT930" s="1530"/>
      <c r="AU930" s="1530"/>
      <c r="AV930" s="1530"/>
      <c r="AW930" s="1530"/>
      <c r="AX930" s="1530"/>
      <c r="AY930" s="1530"/>
      <c r="AZ930" s="1530"/>
      <c r="BA930" s="1530"/>
      <c r="BB930" s="1530"/>
      <c r="BC930" s="1530"/>
      <c r="BD930" s="1530"/>
      <c r="BE930" s="1530"/>
      <c r="BF930" s="1530"/>
      <c r="BG930" s="1530"/>
      <c r="BH930" s="1530"/>
      <c r="BI930" s="1530"/>
      <c r="BJ930" s="1530"/>
      <c r="BK930" s="1530"/>
      <c r="BL930" s="1530"/>
      <c r="BM930" s="1530"/>
      <c r="BN930" s="1530"/>
      <c r="BW930" s="1569"/>
      <c r="CO930" s="1530"/>
      <c r="CP930" s="1530"/>
      <c r="CQ930" s="1530"/>
      <c r="CR930" s="1530"/>
      <c r="CS930" s="1530"/>
      <c r="CT930" s="1530"/>
      <c r="CU930" s="1530"/>
      <c r="CV930" s="1530"/>
      <c r="CW930" s="1530"/>
      <c r="CX930" s="1530"/>
      <c r="CY930" s="1530"/>
      <c r="CZ930" s="1530"/>
      <c r="DA930" s="1530"/>
      <c r="DB930" s="1530"/>
      <c r="DC930" s="1530"/>
      <c r="DD930" s="1530"/>
      <c r="DE930" s="1530"/>
      <c r="DF930" s="1530"/>
      <c r="DG930" s="1530"/>
      <c r="DH930" s="1530"/>
      <c r="DI930" s="1530"/>
      <c r="DJ930" s="1530"/>
      <c r="DK930" s="1530"/>
      <c r="DL930" s="1530"/>
      <c r="DM930" s="1530"/>
      <c r="DN930" s="1571"/>
      <c r="DO930" s="1530"/>
      <c r="DP930" s="1530"/>
    </row>
    <row r="931" spans="1:120">
      <c r="A931" s="1451"/>
      <c r="C931" s="1451"/>
      <c r="K931" s="1451"/>
      <c r="L931" s="1451"/>
      <c r="U931" s="1530"/>
      <c r="V931" s="1530"/>
      <c r="W931" s="1530"/>
      <c r="X931" s="1530"/>
      <c r="Y931" s="1530"/>
      <c r="Z931" s="1530"/>
      <c r="AA931" s="1530"/>
      <c r="AB931" s="1530"/>
      <c r="AC931" s="1530"/>
      <c r="AD931" s="1530"/>
      <c r="AE931" s="1530"/>
      <c r="AF931" s="1530"/>
      <c r="AG931" s="1530"/>
      <c r="AH931" s="1530"/>
      <c r="AI931" s="1530"/>
      <c r="AJ931" s="1530"/>
      <c r="AK931" s="1530"/>
      <c r="AL931" s="1530"/>
      <c r="AM931" s="1530"/>
      <c r="AN931" s="1530"/>
      <c r="AO931" s="1530"/>
      <c r="AP931" s="1530"/>
      <c r="AQ931" s="1530"/>
      <c r="AR931" s="1530"/>
      <c r="AS931" s="1530"/>
      <c r="AT931" s="1530"/>
      <c r="AU931" s="1530"/>
      <c r="AV931" s="1530"/>
      <c r="AW931" s="1530"/>
      <c r="AX931" s="1530"/>
      <c r="AY931" s="1530"/>
      <c r="AZ931" s="1530"/>
      <c r="BA931" s="1530"/>
      <c r="BB931" s="1530"/>
      <c r="BC931" s="1530"/>
      <c r="BD931" s="1530"/>
      <c r="BE931" s="1530"/>
      <c r="BF931" s="1530"/>
      <c r="BG931" s="1530"/>
      <c r="BH931" s="1530"/>
      <c r="BI931" s="1530"/>
      <c r="BJ931" s="1530"/>
      <c r="BK931" s="1530"/>
      <c r="BL931" s="1530"/>
      <c r="BM931" s="1530"/>
      <c r="BN931" s="1530"/>
      <c r="BW931" s="1569"/>
      <c r="CO931" s="1530"/>
      <c r="CP931" s="1530"/>
      <c r="CQ931" s="1530"/>
      <c r="CR931" s="1530"/>
      <c r="CS931" s="1530"/>
      <c r="CT931" s="1530"/>
      <c r="CU931" s="1530"/>
      <c r="CV931" s="1530"/>
      <c r="CW931" s="1530"/>
      <c r="CX931" s="1530"/>
      <c r="CY931" s="1530"/>
      <c r="CZ931" s="1530"/>
      <c r="DA931" s="1530"/>
      <c r="DB931" s="1530"/>
      <c r="DC931" s="1530"/>
      <c r="DD931" s="1530"/>
      <c r="DE931" s="1530"/>
      <c r="DF931" s="1530"/>
      <c r="DG931" s="1530"/>
      <c r="DH931" s="1530"/>
      <c r="DI931" s="1530"/>
      <c r="DJ931" s="1530"/>
      <c r="DK931" s="1530"/>
      <c r="DL931" s="1530"/>
      <c r="DM931" s="1530"/>
      <c r="DN931" s="1571"/>
      <c r="DO931" s="1530"/>
      <c r="DP931" s="1530"/>
    </row>
    <row r="932" spans="1:120">
      <c r="A932" s="1451"/>
      <c r="C932" s="1451"/>
      <c r="K932" s="1451"/>
      <c r="L932" s="1451"/>
      <c r="U932" s="1530"/>
      <c r="V932" s="1530"/>
      <c r="W932" s="1530"/>
      <c r="X932" s="1530"/>
      <c r="Y932" s="1530"/>
      <c r="Z932" s="1530"/>
      <c r="AA932" s="1530"/>
      <c r="AB932" s="1530"/>
      <c r="AC932" s="1530"/>
      <c r="AD932" s="1530"/>
      <c r="AE932" s="1530"/>
      <c r="AF932" s="1530"/>
      <c r="AG932" s="1530"/>
      <c r="AH932" s="1530"/>
      <c r="AI932" s="1530"/>
      <c r="AJ932" s="1530"/>
      <c r="AK932" s="1530"/>
      <c r="AL932" s="1530"/>
      <c r="AM932" s="1530"/>
      <c r="AN932" s="1530"/>
      <c r="AO932" s="1530"/>
      <c r="AP932" s="1530"/>
      <c r="AQ932" s="1530"/>
      <c r="AR932" s="1530"/>
      <c r="AS932" s="1530"/>
      <c r="AT932" s="1530"/>
      <c r="AU932" s="1530"/>
      <c r="AV932" s="1530"/>
      <c r="AW932" s="1530"/>
      <c r="AX932" s="1530"/>
      <c r="AY932" s="1530"/>
      <c r="AZ932" s="1530"/>
      <c r="BA932" s="1530"/>
      <c r="BB932" s="1530"/>
      <c r="BC932" s="1530"/>
      <c r="BD932" s="1530"/>
      <c r="BE932" s="1530"/>
      <c r="BF932" s="1530"/>
      <c r="BG932" s="1530"/>
      <c r="BH932" s="1530"/>
      <c r="BI932" s="1530"/>
      <c r="BJ932" s="1530"/>
      <c r="BK932" s="1530"/>
      <c r="BL932" s="1530"/>
      <c r="BM932" s="1530"/>
      <c r="BN932" s="1530"/>
      <c r="BW932" s="1569"/>
      <c r="CO932" s="1530"/>
      <c r="CP932" s="1530"/>
      <c r="CQ932" s="1530"/>
      <c r="CR932" s="1530"/>
      <c r="CS932" s="1530"/>
      <c r="CT932" s="1530"/>
      <c r="CU932" s="1530"/>
      <c r="CV932" s="1530"/>
      <c r="CW932" s="1530"/>
      <c r="CX932" s="1530"/>
      <c r="CY932" s="1530"/>
      <c r="CZ932" s="1530"/>
      <c r="DA932" s="1530"/>
      <c r="DB932" s="1530"/>
      <c r="DC932" s="1530"/>
      <c r="DD932" s="1530"/>
      <c r="DE932" s="1530"/>
      <c r="DF932" s="1530"/>
      <c r="DG932" s="1530"/>
      <c r="DH932" s="1530"/>
      <c r="DI932" s="1530"/>
      <c r="DJ932" s="1530"/>
      <c r="DK932" s="1530"/>
      <c r="DL932" s="1530"/>
      <c r="DM932" s="1530"/>
      <c r="DN932" s="1571"/>
      <c r="DO932" s="1530"/>
      <c r="DP932" s="1530"/>
    </row>
    <row r="933" spans="1:120">
      <c r="A933" s="1451"/>
      <c r="C933" s="1451"/>
      <c r="K933" s="1451"/>
      <c r="L933" s="1451"/>
      <c r="U933" s="1530"/>
      <c r="V933" s="1530"/>
      <c r="W933" s="1530"/>
      <c r="X933" s="1530"/>
      <c r="Y933" s="1530"/>
      <c r="Z933" s="1530"/>
      <c r="AA933" s="1530"/>
      <c r="AB933" s="1530"/>
      <c r="AC933" s="1530"/>
      <c r="AD933" s="1530"/>
      <c r="AE933" s="1530"/>
      <c r="AF933" s="1530"/>
      <c r="AG933" s="1530"/>
      <c r="AH933" s="1530"/>
      <c r="AI933" s="1530"/>
      <c r="AJ933" s="1530"/>
      <c r="AK933" s="1530"/>
      <c r="AL933" s="1530"/>
      <c r="AM933" s="1530"/>
      <c r="AN933" s="1530"/>
      <c r="AO933" s="1530"/>
      <c r="AP933" s="1530"/>
      <c r="AQ933" s="1530"/>
      <c r="AR933" s="1530"/>
      <c r="AS933" s="1530"/>
      <c r="AT933" s="1530"/>
      <c r="AU933" s="1530"/>
      <c r="AV933" s="1530"/>
      <c r="AW933" s="1530"/>
      <c r="AX933" s="1530"/>
      <c r="AY933" s="1530"/>
      <c r="AZ933" s="1530"/>
      <c r="BA933" s="1530"/>
      <c r="BB933" s="1530"/>
      <c r="BC933" s="1530"/>
      <c r="BD933" s="1530"/>
      <c r="BE933" s="1530"/>
      <c r="BF933" s="1530"/>
      <c r="BG933" s="1530"/>
      <c r="BH933" s="1530"/>
      <c r="BI933" s="1530"/>
      <c r="BJ933" s="1530"/>
      <c r="BK933" s="1530"/>
      <c r="BL933" s="1530"/>
      <c r="BM933" s="1530"/>
      <c r="BN933" s="1530"/>
      <c r="BW933" s="1569"/>
      <c r="CO933" s="1530"/>
      <c r="CP933" s="1530"/>
      <c r="CQ933" s="1530"/>
      <c r="CR933" s="1530"/>
      <c r="CS933" s="1530"/>
      <c r="CT933" s="1530"/>
      <c r="CU933" s="1530"/>
      <c r="CV933" s="1530"/>
      <c r="CW933" s="1530"/>
      <c r="CX933" s="1530"/>
      <c r="CY933" s="1530"/>
      <c r="CZ933" s="1530"/>
      <c r="DA933" s="1530"/>
      <c r="DB933" s="1530"/>
      <c r="DC933" s="1530"/>
      <c r="DD933" s="1530"/>
      <c r="DE933" s="1530"/>
      <c r="DF933" s="1530"/>
      <c r="DG933" s="1530"/>
      <c r="DH933" s="1530"/>
      <c r="DI933" s="1530"/>
      <c r="DJ933" s="1530"/>
      <c r="DK933" s="1530"/>
      <c r="DL933" s="1530"/>
      <c r="DM933" s="1530"/>
      <c r="DN933" s="1571"/>
      <c r="DO933" s="1530"/>
      <c r="DP933" s="1530"/>
    </row>
    <row r="934" spans="1:120">
      <c r="A934" s="1451"/>
      <c r="C934" s="1451"/>
      <c r="K934" s="1451"/>
      <c r="L934" s="1451"/>
      <c r="U934" s="1530"/>
      <c r="V934" s="1530"/>
      <c r="W934" s="1530"/>
      <c r="X934" s="1530"/>
      <c r="Y934" s="1530"/>
      <c r="Z934" s="1530"/>
      <c r="AA934" s="1530"/>
      <c r="AB934" s="1530"/>
      <c r="AC934" s="1530"/>
      <c r="AD934" s="1530"/>
      <c r="AE934" s="1530"/>
      <c r="AF934" s="1530"/>
      <c r="AG934" s="1530"/>
      <c r="AH934" s="1530"/>
      <c r="AI934" s="1530"/>
      <c r="AJ934" s="1530"/>
      <c r="AK934" s="1530"/>
      <c r="AL934" s="1530"/>
      <c r="AM934" s="1530"/>
      <c r="AN934" s="1530"/>
      <c r="AO934" s="1530"/>
      <c r="AP934" s="1530"/>
      <c r="AQ934" s="1530"/>
      <c r="AR934" s="1530"/>
      <c r="AS934" s="1530"/>
      <c r="AT934" s="1530"/>
      <c r="AU934" s="1530"/>
      <c r="AV934" s="1530"/>
      <c r="AW934" s="1530"/>
      <c r="AX934" s="1530"/>
      <c r="AY934" s="1530"/>
      <c r="AZ934" s="1530"/>
      <c r="BA934" s="1530"/>
      <c r="BB934" s="1530"/>
      <c r="BC934" s="1530"/>
      <c r="BD934" s="1530"/>
      <c r="BE934" s="1530"/>
      <c r="BF934" s="1530"/>
      <c r="BG934" s="1530"/>
      <c r="BH934" s="1530"/>
      <c r="BI934" s="1530"/>
      <c r="BJ934" s="1530"/>
      <c r="BK934" s="1530"/>
      <c r="BL934" s="1530"/>
      <c r="BM934" s="1530"/>
      <c r="BN934" s="1530"/>
      <c r="BW934" s="1569"/>
      <c r="CO934" s="1530"/>
      <c r="CP934" s="1530"/>
      <c r="CQ934" s="1530"/>
      <c r="CR934" s="1530"/>
      <c r="CS934" s="1530"/>
      <c r="CT934" s="1530"/>
      <c r="CU934" s="1530"/>
      <c r="CV934" s="1530"/>
      <c r="CW934" s="1530"/>
      <c r="CX934" s="1530"/>
      <c r="CY934" s="1530"/>
      <c r="CZ934" s="1530"/>
      <c r="DA934" s="1530"/>
      <c r="DB934" s="1530"/>
      <c r="DC934" s="1530"/>
      <c r="DD934" s="1530"/>
      <c r="DE934" s="1530"/>
      <c r="DF934" s="1530"/>
      <c r="DG934" s="1530"/>
      <c r="DH934" s="1530"/>
      <c r="DI934" s="1530"/>
      <c r="DJ934" s="1530"/>
      <c r="DK934" s="1530"/>
      <c r="DL934" s="1530"/>
      <c r="DM934" s="1530"/>
      <c r="DN934" s="1571"/>
      <c r="DO934" s="1530"/>
      <c r="DP934" s="1530"/>
    </row>
    <row r="935" spans="1:120">
      <c r="A935" s="1451"/>
      <c r="C935" s="1451"/>
      <c r="K935" s="1451"/>
      <c r="L935" s="1451"/>
      <c r="U935" s="1530"/>
      <c r="V935" s="1530"/>
      <c r="W935" s="1530"/>
      <c r="X935" s="1530"/>
      <c r="Y935" s="1530"/>
      <c r="Z935" s="1530"/>
      <c r="AA935" s="1530"/>
      <c r="AB935" s="1530"/>
      <c r="AC935" s="1530"/>
      <c r="AD935" s="1530"/>
      <c r="AE935" s="1530"/>
      <c r="AF935" s="1530"/>
      <c r="AG935" s="1530"/>
      <c r="AH935" s="1530"/>
      <c r="AI935" s="1530"/>
      <c r="AJ935" s="1530"/>
      <c r="AK935" s="1530"/>
      <c r="AL935" s="1530"/>
      <c r="AM935" s="1530"/>
      <c r="AN935" s="1530"/>
      <c r="AO935" s="1530"/>
      <c r="AP935" s="1530"/>
      <c r="AQ935" s="1530"/>
      <c r="AR935" s="1530"/>
      <c r="AS935" s="1530"/>
      <c r="AT935" s="1530"/>
      <c r="AU935" s="1530"/>
      <c r="AV935" s="1530"/>
      <c r="AW935" s="1530"/>
      <c r="AX935" s="1530"/>
      <c r="AY935" s="1530"/>
      <c r="AZ935" s="1530"/>
      <c r="BA935" s="1530"/>
      <c r="BB935" s="1530"/>
      <c r="BC935" s="1530"/>
      <c r="BD935" s="1530"/>
      <c r="BE935" s="1530"/>
      <c r="BF935" s="1530"/>
      <c r="BG935" s="1530"/>
      <c r="BH935" s="1530"/>
      <c r="BI935" s="1530"/>
      <c r="BJ935" s="1530"/>
      <c r="BK935" s="1530"/>
      <c r="BL935" s="1530"/>
      <c r="BM935" s="1530"/>
      <c r="BN935" s="1530"/>
      <c r="BW935" s="1569"/>
      <c r="CO935" s="1530"/>
      <c r="CP935" s="1530"/>
      <c r="CQ935" s="1530"/>
      <c r="CR935" s="1530"/>
      <c r="CS935" s="1530"/>
      <c r="CT935" s="1530"/>
      <c r="CU935" s="1530"/>
      <c r="CV935" s="1530"/>
      <c r="CW935" s="1530"/>
      <c r="CX935" s="1530"/>
      <c r="CY935" s="1530"/>
      <c r="CZ935" s="1530"/>
      <c r="DA935" s="1530"/>
      <c r="DB935" s="1530"/>
      <c r="DC935" s="1530"/>
      <c r="DD935" s="1530"/>
      <c r="DE935" s="1530"/>
      <c r="DF935" s="1530"/>
      <c r="DG935" s="1530"/>
      <c r="DH935" s="1530"/>
      <c r="DI935" s="1530"/>
      <c r="DJ935" s="1530"/>
      <c r="DK935" s="1530"/>
      <c r="DL935" s="1530"/>
      <c r="DM935" s="1530"/>
      <c r="DN935" s="1571"/>
      <c r="DO935" s="1530"/>
      <c r="DP935" s="1530"/>
    </row>
    <row r="936" spans="1:120">
      <c r="A936" s="1451"/>
      <c r="C936" s="1451"/>
      <c r="K936" s="1451"/>
      <c r="L936" s="1451"/>
      <c r="U936" s="1530"/>
      <c r="V936" s="1530"/>
      <c r="W936" s="1530"/>
      <c r="X936" s="1530"/>
      <c r="Y936" s="1530"/>
      <c r="Z936" s="1530"/>
      <c r="AA936" s="1530"/>
      <c r="AB936" s="1530"/>
      <c r="AC936" s="1530"/>
      <c r="AD936" s="1530"/>
      <c r="AE936" s="1530"/>
      <c r="AF936" s="1530"/>
      <c r="AG936" s="1530"/>
      <c r="AH936" s="1530"/>
      <c r="AI936" s="1530"/>
      <c r="AJ936" s="1530"/>
      <c r="AK936" s="1530"/>
      <c r="AL936" s="1530"/>
      <c r="AM936" s="1530"/>
      <c r="AN936" s="1530"/>
      <c r="AO936" s="1530"/>
      <c r="AP936" s="1530"/>
      <c r="AQ936" s="1530"/>
      <c r="AR936" s="1530"/>
      <c r="AS936" s="1530"/>
      <c r="AT936" s="1530"/>
      <c r="AU936" s="1530"/>
      <c r="AV936" s="1530"/>
      <c r="AW936" s="1530"/>
      <c r="AX936" s="1530"/>
      <c r="AY936" s="1530"/>
      <c r="AZ936" s="1530"/>
      <c r="BA936" s="1530"/>
      <c r="BB936" s="1530"/>
      <c r="BC936" s="1530"/>
      <c r="BD936" s="1530"/>
      <c r="BE936" s="1530"/>
      <c r="BF936" s="1530"/>
      <c r="BG936" s="1530"/>
      <c r="BH936" s="1530"/>
      <c r="BI936" s="1530"/>
      <c r="BJ936" s="1530"/>
      <c r="BK936" s="1530"/>
      <c r="BL936" s="1530"/>
      <c r="BM936" s="1530"/>
      <c r="BN936" s="1530"/>
      <c r="BW936" s="1569"/>
      <c r="CO936" s="1530"/>
      <c r="CP936" s="1530"/>
      <c r="CQ936" s="1530"/>
      <c r="CR936" s="1530"/>
      <c r="CS936" s="1530"/>
      <c r="CT936" s="1530"/>
      <c r="CU936" s="1530"/>
      <c r="CV936" s="1530"/>
      <c r="CW936" s="1530"/>
      <c r="CX936" s="1530"/>
      <c r="CY936" s="1530"/>
      <c r="CZ936" s="1530"/>
      <c r="DA936" s="1530"/>
      <c r="DB936" s="1530"/>
      <c r="DC936" s="1530"/>
      <c r="DD936" s="1530"/>
      <c r="DE936" s="1530"/>
      <c r="DF936" s="1530"/>
      <c r="DG936" s="1530"/>
      <c r="DH936" s="1530"/>
      <c r="DI936" s="1530"/>
      <c r="DJ936" s="1530"/>
      <c r="DK936" s="1530"/>
      <c r="DL936" s="1530"/>
      <c r="DM936" s="1530"/>
      <c r="DN936" s="1571"/>
      <c r="DO936" s="1530"/>
      <c r="DP936" s="1530"/>
    </row>
    <row r="937" spans="1:120">
      <c r="A937" s="1451"/>
      <c r="C937" s="1451"/>
      <c r="K937" s="1451"/>
      <c r="L937" s="1451"/>
      <c r="U937" s="1530"/>
      <c r="V937" s="1530"/>
      <c r="W937" s="1530"/>
      <c r="X937" s="1530"/>
      <c r="Y937" s="1530"/>
      <c r="Z937" s="1530"/>
      <c r="AA937" s="1530"/>
      <c r="AB937" s="1530"/>
      <c r="AC937" s="1530"/>
      <c r="AD937" s="1530"/>
      <c r="AE937" s="1530"/>
      <c r="AF937" s="1530"/>
      <c r="AG937" s="1530"/>
      <c r="AH937" s="1530"/>
      <c r="AI937" s="1530"/>
      <c r="AJ937" s="1530"/>
      <c r="AK937" s="1530"/>
      <c r="AL937" s="1530"/>
      <c r="AM937" s="1530"/>
      <c r="AN937" s="1530"/>
      <c r="AO937" s="1530"/>
      <c r="AP937" s="1530"/>
      <c r="AQ937" s="1530"/>
      <c r="AR937" s="1530"/>
      <c r="AS937" s="1530"/>
      <c r="AT937" s="1530"/>
      <c r="AU937" s="1530"/>
      <c r="AV937" s="1530"/>
      <c r="AW937" s="1530"/>
      <c r="AX937" s="1530"/>
      <c r="AY937" s="1530"/>
      <c r="AZ937" s="1530"/>
      <c r="BA937" s="1530"/>
      <c r="BB937" s="1530"/>
      <c r="BC937" s="1530"/>
      <c r="BD937" s="1530"/>
      <c r="BE937" s="1530"/>
      <c r="BF937" s="1530"/>
      <c r="BG937" s="1530"/>
      <c r="BH937" s="1530"/>
      <c r="BI937" s="1530"/>
      <c r="BJ937" s="1530"/>
      <c r="BK937" s="1530"/>
      <c r="BL937" s="1530"/>
      <c r="BM937" s="1530"/>
      <c r="BN937" s="1530"/>
      <c r="BW937" s="1569"/>
      <c r="CO937" s="1530"/>
      <c r="CP937" s="1530"/>
      <c r="CQ937" s="1530"/>
      <c r="CR937" s="1530"/>
      <c r="CS937" s="1530"/>
      <c r="CT937" s="1530"/>
      <c r="CU937" s="1530"/>
      <c r="CV937" s="1530"/>
      <c r="CW937" s="1530"/>
      <c r="CX937" s="1530"/>
      <c r="CY937" s="1530"/>
      <c r="CZ937" s="1530"/>
      <c r="DA937" s="1530"/>
      <c r="DB937" s="1530"/>
      <c r="DC937" s="1530"/>
      <c r="DD937" s="1530"/>
      <c r="DE937" s="1530"/>
      <c r="DF937" s="1530"/>
      <c r="DG937" s="1530"/>
      <c r="DH937" s="1530"/>
      <c r="DI937" s="1530"/>
      <c r="DJ937" s="1530"/>
      <c r="DK937" s="1530"/>
      <c r="DL937" s="1530"/>
      <c r="DM937" s="1530"/>
      <c r="DN937" s="1571"/>
      <c r="DO937" s="1530"/>
      <c r="DP937" s="1530"/>
    </row>
    <row r="938" spans="1:120">
      <c r="A938" s="1451"/>
      <c r="C938" s="1451"/>
      <c r="K938" s="1451"/>
      <c r="L938" s="1451"/>
      <c r="U938" s="1530"/>
      <c r="V938" s="1530"/>
      <c r="W938" s="1530"/>
      <c r="X938" s="1530"/>
      <c r="Y938" s="1530"/>
      <c r="Z938" s="1530"/>
      <c r="AA938" s="1530"/>
      <c r="AB938" s="1530"/>
      <c r="AC938" s="1530"/>
      <c r="AD938" s="1530"/>
      <c r="AE938" s="1530"/>
      <c r="AF938" s="1530"/>
      <c r="AG938" s="1530"/>
      <c r="AH938" s="1530"/>
      <c r="AI938" s="1530"/>
      <c r="AJ938" s="1530"/>
      <c r="AK938" s="1530"/>
      <c r="AL938" s="1530"/>
      <c r="AM938" s="1530"/>
      <c r="AN938" s="1530"/>
      <c r="AO938" s="1530"/>
      <c r="AP938" s="1530"/>
      <c r="AQ938" s="1530"/>
      <c r="AR938" s="1530"/>
      <c r="AS938" s="1530"/>
      <c r="AT938" s="1530"/>
      <c r="AU938" s="1530"/>
      <c r="AV938" s="1530"/>
      <c r="AW938" s="1530"/>
      <c r="AX938" s="1530"/>
      <c r="AY938" s="1530"/>
      <c r="AZ938" s="1530"/>
      <c r="BA938" s="1530"/>
      <c r="BB938" s="1530"/>
      <c r="BC938" s="1530"/>
      <c r="BD938" s="1530"/>
      <c r="BE938" s="1530"/>
      <c r="BF938" s="1530"/>
      <c r="BG938" s="1530"/>
      <c r="BH938" s="1530"/>
      <c r="BI938" s="1530"/>
      <c r="BJ938" s="1530"/>
      <c r="BK938" s="1530"/>
      <c r="BL938" s="1530"/>
      <c r="BM938" s="1530"/>
      <c r="BN938" s="1530"/>
      <c r="BW938" s="1569"/>
      <c r="CO938" s="1530"/>
      <c r="CP938" s="1530"/>
      <c r="CQ938" s="1530"/>
      <c r="CR938" s="1530"/>
      <c r="CS938" s="1530"/>
      <c r="CT938" s="1530"/>
      <c r="CU938" s="1530"/>
      <c r="CV938" s="1530"/>
      <c r="CW938" s="1530"/>
      <c r="CX938" s="1530"/>
      <c r="CY938" s="1530"/>
      <c r="CZ938" s="1530"/>
      <c r="DA938" s="1530"/>
      <c r="DB938" s="1530"/>
      <c r="DC938" s="1530"/>
      <c r="DD938" s="1530"/>
      <c r="DE938" s="1530"/>
      <c r="DF938" s="1530"/>
      <c r="DG938" s="1530"/>
      <c r="DH938" s="1530"/>
      <c r="DI938" s="1530"/>
      <c r="DJ938" s="1530"/>
      <c r="DK938" s="1530"/>
      <c r="DL938" s="1530"/>
      <c r="DM938" s="1530"/>
      <c r="DN938" s="1571"/>
      <c r="DO938" s="1530"/>
      <c r="DP938" s="1530"/>
    </row>
    <row r="939" spans="1:120">
      <c r="A939" s="1451"/>
      <c r="C939" s="1451"/>
      <c r="K939" s="1451"/>
      <c r="L939" s="1451"/>
      <c r="U939" s="1530"/>
      <c r="V939" s="1530"/>
      <c r="W939" s="1530"/>
      <c r="X939" s="1530"/>
      <c r="Y939" s="1530"/>
      <c r="Z939" s="1530"/>
      <c r="AA939" s="1530"/>
      <c r="AB939" s="1530"/>
      <c r="AC939" s="1530"/>
      <c r="AD939" s="1530"/>
      <c r="AE939" s="1530"/>
      <c r="AF939" s="1530"/>
      <c r="AG939" s="1530"/>
      <c r="AH939" s="1530"/>
      <c r="AI939" s="1530"/>
      <c r="AJ939" s="1530"/>
      <c r="AK939" s="1530"/>
      <c r="AL939" s="1530"/>
      <c r="AM939" s="1530"/>
      <c r="AN939" s="1530"/>
      <c r="AO939" s="1530"/>
      <c r="AP939" s="1530"/>
      <c r="AQ939" s="1530"/>
      <c r="AR939" s="1530"/>
      <c r="AS939" s="1530"/>
      <c r="AT939" s="1530"/>
      <c r="AU939" s="1530"/>
      <c r="AV939" s="1530"/>
      <c r="AW939" s="1530"/>
      <c r="AX939" s="1530"/>
      <c r="AY939" s="1530"/>
      <c r="AZ939" s="1530"/>
      <c r="BA939" s="1530"/>
      <c r="BB939" s="1530"/>
      <c r="BC939" s="1530"/>
      <c r="BD939" s="1530"/>
      <c r="BE939" s="1530"/>
      <c r="BF939" s="1530"/>
      <c r="BG939" s="1530"/>
      <c r="BH939" s="1530"/>
      <c r="BI939" s="1530"/>
      <c r="BJ939" s="1530"/>
      <c r="BK939" s="1530"/>
      <c r="BL939" s="1530"/>
      <c r="BM939" s="1530"/>
      <c r="BN939" s="1530"/>
      <c r="BW939" s="1569"/>
      <c r="CO939" s="1530"/>
      <c r="CP939" s="1530"/>
      <c r="CQ939" s="1530"/>
      <c r="CR939" s="1530"/>
      <c r="CS939" s="1530"/>
      <c r="CT939" s="1530"/>
      <c r="CU939" s="1530"/>
      <c r="CV939" s="1530"/>
      <c r="CW939" s="1530"/>
      <c r="CX939" s="1530"/>
      <c r="CY939" s="1530"/>
      <c r="CZ939" s="1530"/>
      <c r="DA939" s="1530"/>
      <c r="DB939" s="1530"/>
      <c r="DC939" s="1530"/>
      <c r="DD939" s="1530"/>
      <c r="DE939" s="1530"/>
      <c r="DF939" s="1530"/>
      <c r="DG939" s="1530"/>
      <c r="DH939" s="1530"/>
      <c r="DI939" s="1530"/>
      <c r="DJ939" s="1530"/>
      <c r="DK939" s="1530"/>
      <c r="DL939" s="1530"/>
      <c r="DM939" s="1530"/>
      <c r="DN939" s="1571"/>
      <c r="DO939" s="1530"/>
      <c r="DP939" s="1530"/>
    </row>
    <row r="940" spans="1:120">
      <c r="A940" s="1451"/>
      <c r="C940" s="1451"/>
      <c r="K940" s="1451"/>
      <c r="L940" s="1451"/>
      <c r="U940" s="1530"/>
      <c r="V940" s="1530"/>
      <c r="W940" s="1530"/>
      <c r="X940" s="1530"/>
      <c r="Y940" s="1530"/>
      <c r="Z940" s="1530"/>
      <c r="AA940" s="1530"/>
      <c r="AB940" s="1530"/>
      <c r="AC940" s="1530"/>
      <c r="AD940" s="1530"/>
      <c r="AE940" s="1530"/>
      <c r="AF940" s="1530"/>
      <c r="AG940" s="1530"/>
      <c r="AH940" s="1530"/>
      <c r="AI940" s="1530"/>
      <c r="AJ940" s="1530"/>
      <c r="AK940" s="1530"/>
      <c r="AL940" s="1530"/>
      <c r="AM940" s="1530"/>
      <c r="AN940" s="1530"/>
      <c r="AO940" s="1530"/>
      <c r="AP940" s="1530"/>
      <c r="AQ940" s="1530"/>
      <c r="AR940" s="1530"/>
      <c r="AS940" s="1530"/>
      <c r="AT940" s="1530"/>
      <c r="AU940" s="1530"/>
      <c r="AV940" s="1530"/>
      <c r="AW940" s="1530"/>
      <c r="AX940" s="1530"/>
      <c r="AY940" s="1530"/>
      <c r="AZ940" s="1530"/>
      <c r="BA940" s="1530"/>
      <c r="BB940" s="1530"/>
      <c r="BC940" s="1530"/>
      <c r="BD940" s="1530"/>
      <c r="BE940" s="1530"/>
      <c r="BF940" s="1530"/>
      <c r="BG940" s="1530"/>
      <c r="BH940" s="1530"/>
      <c r="BI940" s="1530"/>
      <c r="BJ940" s="1530"/>
      <c r="BK940" s="1530"/>
      <c r="BL940" s="1530"/>
      <c r="BM940" s="1530"/>
      <c r="BN940" s="1530"/>
      <c r="BW940" s="1569"/>
      <c r="CO940" s="1530"/>
      <c r="CP940" s="1530"/>
      <c r="CQ940" s="1530"/>
      <c r="CR940" s="1530"/>
      <c r="CS940" s="1530"/>
      <c r="CT940" s="1530"/>
      <c r="CU940" s="1530"/>
      <c r="CV940" s="1530"/>
      <c r="CW940" s="1530"/>
      <c r="CX940" s="1530"/>
      <c r="CY940" s="1530"/>
      <c r="CZ940" s="1530"/>
      <c r="DA940" s="1530"/>
      <c r="DB940" s="1530"/>
      <c r="DC940" s="1530"/>
      <c r="DD940" s="1530"/>
      <c r="DE940" s="1530"/>
      <c r="DF940" s="1530"/>
      <c r="DG940" s="1530"/>
      <c r="DH940" s="1530"/>
      <c r="DI940" s="1530"/>
      <c r="DJ940" s="1530"/>
      <c r="DK940" s="1530"/>
      <c r="DL940" s="1530"/>
      <c r="DM940" s="1530"/>
      <c r="DN940" s="1571"/>
      <c r="DO940" s="1530"/>
      <c r="DP940" s="1530"/>
    </row>
    <row r="941" spans="1:120">
      <c r="A941" s="1451"/>
      <c r="C941" s="1451"/>
      <c r="K941" s="1451"/>
      <c r="L941" s="1451"/>
      <c r="U941" s="1530"/>
      <c r="V941" s="1530"/>
      <c r="W941" s="1530"/>
      <c r="X941" s="1530"/>
      <c r="Y941" s="1530"/>
      <c r="Z941" s="1530"/>
      <c r="AA941" s="1530"/>
      <c r="AB941" s="1530"/>
      <c r="AC941" s="1530"/>
      <c r="AD941" s="1530"/>
      <c r="AE941" s="1530"/>
      <c r="AF941" s="1530"/>
      <c r="AG941" s="1530"/>
      <c r="AH941" s="1530"/>
      <c r="AI941" s="1530"/>
      <c r="AJ941" s="1530"/>
      <c r="AK941" s="1530"/>
      <c r="AL941" s="1530"/>
      <c r="AM941" s="1530"/>
      <c r="AN941" s="1530"/>
      <c r="AO941" s="1530"/>
      <c r="AP941" s="1530"/>
      <c r="AQ941" s="1530"/>
      <c r="AR941" s="1530"/>
      <c r="AS941" s="1530"/>
      <c r="AT941" s="1530"/>
      <c r="AU941" s="1530"/>
      <c r="AV941" s="1530"/>
      <c r="AW941" s="1530"/>
      <c r="AX941" s="1530"/>
      <c r="AY941" s="1530"/>
      <c r="AZ941" s="1530"/>
      <c r="BA941" s="1530"/>
      <c r="BB941" s="1530"/>
      <c r="BC941" s="1530"/>
      <c r="BD941" s="1530"/>
      <c r="BE941" s="1530"/>
      <c r="BF941" s="1530"/>
      <c r="BG941" s="1530"/>
      <c r="BH941" s="1530"/>
      <c r="BI941" s="1530"/>
      <c r="BJ941" s="1530"/>
      <c r="BK941" s="1530"/>
      <c r="BL941" s="1530"/>
      <c r="BM941" s="1530"/>
      <c r="BN941" s="1530"/>
      <c r="BW941" s="1569"/>
      <c r="CO941" s="1530"/>
      <c r="CP941" s="1530"/>
      <c r="CQ941" s="1530"/>
      <c r="CR941" s="1530"/>
      <c r="CS941" s="1530"/>
      <c r="CT941" s="1530"/>
      <c r="CU941" s="1530"/>
      <c r="CV941" s="1530"/>
      <c r="CW941" s="1530"/>
      <c r="CX941" s="1530"/>
      <c r="CY941" s="1530"/>
      <c r="CZ941" s="1530"/>
      <c r="DA941" s="1530"/>
      <c r="DB941" s="1530"/>
      <c r="DC941" s="1530"/>
      <c r="DD941" s="1530"/>
      <c r="DE941" s="1530"/>
      <c r="DF941" s="1530"/>
      <c r="DG941" s="1530"/>
      <c r="DH941" s="1530"/>
      <c r="DI941" s="1530"/>
      <c r="DJ941" s="1530"/>
      <c r="DK941" s="1530"/>
      <c r="DL941" s="1530"/>
      <c r="DM941" s="1530"/>
      <c r="DN941" s="1571"/>
      <c r="DO941" s="1530"/>
      <c r="DP941" s="1530"/>
    </row>
    <row r="942" spans="1:120">
      <c r="A942" s="1451"/>
      <c r="C942" s="1451"/>
      <c r="K942" s="1451"/>
      <c r="L942" s="1451"/>
      <c r="U942" s="1530"/>
      <c r="V942" s="1530"/>
      <c r="W942" s="1530"/>
      <c r="X942" s="1530"/>
      <c r="Y942" s="1530"/>
      <c r="Z942" s="1530"/>
      <c r="AA942" s="1530"/>
      <c r="AB942" s="1530"/>
      <c r="AC942" s="1530"/>
      <c r="AD942" s="1530"/>
      <c r="AE942" s="1530"/>
      <c r="AF942" s="1530"/>
      <c r="AG942" s="1530"/>
      <c r="AH942" s="1530"/>
      <c r="AI942" s="1530"/>
      <c r="AJ942" s="1530"/>
      <c r="AK942" s="1530"/>
      <c r="AL942" s="1530"/>
      <c r="AM942" s="1530"/>
      <c r="AN942" s="1530"/>
      <c r="AO942" s="1530"/>
      <c r="AP942" s="1530"/>
      <c r="AQ942" s="1530"/>
      <c r="AR942" s="1530"/>
      <c r="AS942" s="1530"/>
      <c r="AT942" s="1530"/>
      <c r="AU942" s="1530"/>
      <c r="AV942" s="1530"/>
      <c r="AW942" s="1530"/>
      <c r="AX942" s="1530"/>
      <c r="AY942" s="1530"/>
      <c r="AZ942" s="1530"/>
      <c r="BA942" s="1530"/>
      <c r="BB942" s="1530"/>
      <c r="BC942" s="1530"/>
      <c r="BD942" s="1530"/>
      <c r="BE942" s="1530"/>
      <c r="BF942" s="1530"/>
      <c r="BG942" s="1530"/>
      <c r="BH942" s="1530"/>
      <c r="BI942" s="1530"/>
      <c r="BJ942" s="1530"/>
      <c r="BK942" s="1530"/>
      <c r="BL942" s="1530"/>
      <c r="BM942" s="1530"/>
      <c r="BN942" s="1530"/>
      <c r="BW942" s="1569"/>
      <c r="CO942" s="1530"/>
      <c r="CP942" s="1530"/>
      <c r="CQ942" s="1530"/>
      <c r="CR942" s="1530"/>
      <c r="CS942" s="1530"/>
      <c r="CT942" s="1530"/>
      <c r="CU942" s="1530"/>
      <c r="CV942" s="1530"/>
      <c r="CW942" s="1530"/>
      <c r="CX942" s="1530"/>
      <c r="CY942" s="1530"/>
      <c r="CZ942" s="1530"/>
      <c r="DA942" s="1530"/>
      <c r="DB942" s="1530"/>
      <c r="DC942" s="1530"/>
      <c r="DD942" s="1530"/>
      <c r="DE942" s="1530"/>
      <c r="DF942" s="1530"/>
      <c r="DG942" s="1530"/>
      <c r="DH942" s="1530"/>
      <c r="DI942" s="1530"/>
      <c r="DJ942" s="1530"/>
      <c r="DK942" s="1530"/>
      <c r="DL942" s="1530"/>
      <c r="DM942" s="1530"/>
      <c r="DN942" s="1571"/>
      <c r="DO942" s="1530"/>
      <c r="DP942" s="1530"/>
    </row>
    <row r="943" spans="1:120">
      <c r="A943" s="1451"/>
      <c r="C943" s="1451"/>
      <c r="K943" s="1451"/>
      <c r="L943" s="1451"/>
      <c r="U943" s="1530"/>
      <c r="V943" s="1530"/>
      <c r="W943" s="1530"/>
      <c r="X943" s="1530"/>
      <c r="Y943" s="1530"/>
      <c r="Z943" s="1530"/>
      <c r="AA943" s="1530"/>
      <c r="AB943" s="1530"/>
      <c r="AC943" s="1530"/>
      <c r="AD943" s="1530"/>
      <c r="AE943" s="1530"/>
      <c r="AF943" s="1530"/>
      <c r="AG943" s="1530"/>
      <c r="AH943" s="1530"/>
      <c r="AI943" s="1530"/>
      <c r="AJ943" s="1530"/>
      <c r="AK943" s="1530"/>
      <c r="AL943" s="1530"/>
      <c r="AM943" s="1530"/>
      <c r="AN943" s="1530"/>
      <c r="AO943" s="1530"/>
      <c r="AP943" s="1530"/>
      <c r="AQ943" s="1530"/>
      <c r="AR943" s="1530"/>
      <c r="AS943" s="1530"/>
      <c r="AT943" s="1530"/>
      <c r="AU943" s="1530"/>
      <c r="AV943" s="1530"/>
      <c r="AW943" s="1530"/>
      <c r="AX943" s="1530"/>
      <c r="AY943" s="1530"/>
      <c r="AZ943" s="1530"/>
      <c r="BA943" s="1530"/>
      <c r="BB943" s="1530"/>
      <c r="BC943" s="1530"/>
      <c r="BD943" s="1530"/>
      <c r="BE943" s="1530"/>
      <c r="BF943" s="1530"/>
      <c r="BG943" s="1530"/>
      <c r="BH943" s="1530"/>
      <c r="BI943" s="1530"/>
      <c r="BJ943" s="1530"/>
      <c r="BK943" s="1530"/>
      <c r="BL943" s="1530"/>
      <c r="BM943" s="1530"/>
      <c r="BN943" s="1530"/>
      <c r="BW943" s="1569"/>
      <c r="CO943" s="1530"/>
      <c r="CP943" s="1530"/>
      <c r="CQ943" s="1530"/>
      <c r="CR943" s="1530"/>
      <c r="CS943" s="1530"/>
      <c r="CT943" s="1530"/>
      <c r="CU943" s="1530"/>
      <c r="CV943" s="1530"/>
      <c r="CW943" s="1530"/>
      <c r="CX943" s="1530"/>
      <c r="CY943" s="1530"/>
      <c r="CZ943" s="1530"/>
      <c r="DA943" s="1530"/>
      <c r="DB943" s="1530"/>
      <c r="DC943" s="1530"/>
      <c r="DD943" s="1530"/>
      <c r="DE943" s="1530"/>
      <c r="DF943" s="1530"/>
      <c r="DG943" s="1530"/>
      <c r="DH943" s="1530"/>
      <c r="DI943" s="1530"/>
      <c r="DJ943" s="1530"/>
      <c r="DK943" s="1530"/>
      <c r="DL943" s="1530"/>
      <c r="DM943" s="1530"/>
      <c r="DN943" s="1571"/>
      <c r="DO943" s="1530"/>
      <c r="DP943" s="1530"/>
    </row>
    <row r="944" spans="1:120">
      <c r="A944" s="1451"/>
      <c r="C944" s="1451"/>
      <c r="K944" s="1451"/>
      <c r="L944" s="1451"/>
      <c r="U944" s="1530"/>
      <c r="V944" s="1530"/>
      <c r="W944" s="1530"/>
      <c r="X944" s="1530"/>
      <c r="Y944" s="1530"/>
      <c r="Z944" s="1530"/>
      <c r="AA944" s="1530"/>
      <c r="AB944" s="1530"/>
      <c r="AC944" s="1530"/>
      <c r="AD944" s="1530"/>
      <c r="AE944" s="1530"/>
      <c r="AF944" s="1530"/>
      <c r="AG944" s="1530"/>
      <c r="AH944" s="1530"/>
      <c r="AI944" s="1530"/>
      <c r="AJ944" s="1530"/>
      <c r="AK944" s="1530"/>
      <c r="AL944" s="1530"/>
      <c r="AM944" s="1530"/>
      <c r="AN944" s="1530"/>
      <c r="AO944" s="1530"/>
      <c r="AP944" s="1530"/>
      <c r="AQ944" s="1530"/>
      <c r="AR944" s="1530"/>
      <c r="AS944" s="1530"/>
      <c r="AT944" s="1530"/>
      <c r="AU944" s="1530"/>
      <c r="AV944" s="1530"/>
      <c r="AW944" s="1530"/>
      <c r="AX944" s="1530"/>
      <c r="AY944" s="1530"/>
      <c r="AZ944" s="1530"/>
      <c r="BA944" s="1530"/>
      <c r="BB944" s="1530"/>
      <c r="BC944" s="1530"/>
      <c r="BD944" s="1530"/>
      <c r="BE944" s="1530"/>
      <c r="BF944" s="1530"/>
      <c r="BG944" s="1530"/>
      <c r="BH944" s="1530"/>
      <c r="BI944" s="1530"/>
      <c r="BJ944" s="1530"/>
      <c r="BK944" s="1530"/>
      <c r="BL944" s="1530"/>
      <c r="BM944" s="1530"/>
      <c r="BN944" s="1530"/>
      <c r="BW944" s="1569"/>
      <c r="CO944" s="1530"/>
      <c r="CP944" s="1530"/>
      <c r="CQ944" s="1530"/>
      <c r="CR944" s="1530"/>
      <c r="CS944" s="1530"/>
      <c r="CT944" s="1530"/>
      <c r="CU944" s="1530"/>
      <c r="CV944" s="1530"/>
      <c r="CW944" s="1530"/>
      <c r="CX944" s="1530"/>
      <c r="CY944" s="1530"/>
      <c r="CZ944" s="1530"/>
      <c r="DA944" s="1530"/>
      <c r="DB944" s="1530"/>
      <c r="DC944" s="1530"/>
      <c r="DD944" s="1530"/>
      <c r="DE944" s="1530"/>
      <c r="DF944" s="1530"/>
      <c r="DG944" s="1530"/>
      <c r="DH944" s="1530"/>
      <c r="DI944" s="1530"/>
      <c r="DJ944" s="1530"/>
      <c r="DK944" s="1530"/>
      <c r="DL944" s="1530"/>
      <c r="DM944" s="1530"/>
      <c r="DN944" s="1571"/>
      <c r="DO944" s="1530"/>
      <c r="DP944" s="1530"/>
    </row>
    <row r="945" spans="1:120">
      <c r="A945" s="1451"/>
      <c r="C945" s="1451"/>
      <c r="K945" s="1451"/>
      <c r="L945" s="1451"/>
      <c r="U945" s="1530"/>
      <c r="V945" s="1530"/>
      <c r="W945" s="1530"/>
      <c r="X945" s="1530"/>
      <c r="Y945" s="1530"/>
      <c r="Z945" s="1530"/>
      <c r="AA945" s="1530"/>
      <c r="AB945" s="1530"/>
      <c r="AC945" s="1530"/>
      <c r="AD945" s="1530"/>
      <c r="AE945" s="1530"/>
      <c r="AF945" s="1530"/>
      <c r="AG945" s="1530"/>
      <c r="AH945" s="1530"/>
      <c r="AI945" s="1530"/>
      <c r="AJ945" s="1530"/>
      <c r="AK945" s="1530"/>
      <c r="AL945" s="1530"/>
      <c r="AM945" s="1530"/>
      <c r="AN945" s="1530"/>
      <c r="AO945" s="1530"/>
      <c r="AP945" s="1530"/>
      <c r="AQ945" s="1530"/>
      <c r="AR945" s="1530"/>
      <c r="AS945" s="1530"/>
      <c r="AT945" s="1530"/>
      <c r="AU945" s="1530"/>
      <c r="AV945" s="1530"/>
      <c r="AW945" s="1530"/>
      <c r="AX945" s="1530"/>
      <c r="AY945" s="1530"/>
      <c r="AZ945" s="1530"/>
      <c r="BA945" s="1530"/>
      <c r="BB945" s="1530"/>
      <c r="BC945" s="1530"/>
      <c r="BD945" s="1530"/>
      <c r="BE945" s="1530"/>
      <c r="BF945" s="1530"/>
      <c r="BG945" s="1530"/>
      <c r="BH945" s="1530"/>
      <c r="BI945" s="1530"/>
      <c r="BJ945" s="1530"/>
      <c r="BK945" s="1530"/>
      <c r="BL945" s="1530"/>
      <c r="BM945" s="1530"/>
      <c r="BN945" s="1530"/>
      <c r="BW945" s="1569"/>
      <c r="CO945" s="1530"/>
      <c r="CP945" s="1530"/>
      <c r="CQ945" s="1530"/>
      <c r="CR945" s="1530"/>
      <c r="CS945" s="1530"/>
      <c r="CT945" s="1530"/>
      <c r="CU945" s="1530"/>
      <c r="CV945" s="1530"/>
      <c r="CW945" s="1530"/>
      <c r="CX945" s="1530"/>
      <c r="CY945" s="1530"/>
      <c r="CZ945" s="1530"/>
      <c r="DA945" s="1530"/>
      <c r="DB945" s="1530"/>
      <c r="DC945" s="1530"/>
      <c r="DD945" s="1530"/>
      <c r="DE945" s="1530"/>
      <c r="DF945" s="1530"/>
      <c r="DG945" s="1530"/>
      <c r="DH945" s="1530"/>
      <c r="DI945" s="1530"/>
      <c r="DJ945" s="1530"/>
      <c r="DK945" s="1530"/>
      <c r="DL945" s="1530"/>
      <c r="DM945" s="1530"/>
      <c r="DN945" s="1571"/>
      <c r="DO945" s="1530"/>
      <c r="DP945" s="1530"/>
    </row>
    <row r="946" spans="1:120">
      <c r="A946" s="1451"/>
      <c r="C946" s="1451"/>
      <c r="K946" s="1451"/>
      <c r="L946" s="1451"/>
      <c r="U946" s="1530"/>
      <c r="V946" s="1530"/>
      <c r="W946" s="1530"/>
      <c r="X946" s="1530"/>
      <c r="Y946" s="1530"/>
      <c r="Z946" s="1530"/>
      <c r="AA946" s="1530"/>
      <c r="AB946" s="1530"/>
      <c r="AC946" s="1530"/>
      <c r="AD946" s="1530"/>
      <c r="AE946" s="1530"/>
      <c r="AF946" s="1530"/>
      <c r="AG946" s="1530"/>
      <c r="AH946" s="1530"/>
      <c r="AI946" s="1530"/>
      <c r="AJ946" s="1530"/>
      <c r="AK946" s="1530"/>
      <c r="AL946" s="1530"/>
      <c r="AM946" s="1530"/>
      <c r="AN946" s="1530"/>
      <c r="AO946" s="1530"/>
      <c r="AP946" s="1530"/>
      <c r="AQ946" s="1530"/>
      <c r="AR946" s="1530"/>
      <c r="AS946" s="1530"/>
      <c r="AT946" s="1530"/>
      <c r="AU946" s="1530"/>
      <c r="AV946" s="1530"/>
      <c r="AW946" s="1530"/>
      <c r="AX946" s="1530"/>
      <c r="AY946" s="1530"/>
      <c r="AZ946" s="1530"/>
      <c r="BA946" s="1530"/>
      <c r="BB946" s="1530"/>
      <c r="BC946" s="1530"/>
      <c r="BD946" s="1530"/>
      <c r="BE946" s="1530"/>
      <c r="BF946" s="1530"/>
      <c r="BG946" s="1530"/>
      <c r="BH946" s="1530"/>
      <c r="BI946" s="1530"/>
      <c r="BJ946" s="1530"/>
      <c r="BK946" s="1530"/>
      <c r="BL946" s="1530"/>
      <c r="BM946" s="1530"/>
      <c r="BN946" s="1530"/>
      <c r="BW946" s="1569"/>
      <c r="CO946" s="1530"/>
      <c r="CP946" s="1530"/>
      <c r="CQ946" s="1530"/>
      <c r="CR946" s="1530"/>
      <c r="CS946" s="1530"/>
      <c r="CT946" s="1530"/>
      <c r="CU946" s="1530"/>
      <c r="CV946" s="1530"/>
      <c r="CW946" s="1530"/>
      <c r="CX946" s="1530"/>
      <c r="CY946" s="1530"/>
      <c r="CZ946" s="1530"/>
      <c r="DA946" s="1530"/>
      <c r="DB946" s="1530"/>
      <c r="DC946" s="1530"/>
      <c r="DD946" s="1530"/>
      <c r="DE946" s="1530"/>
      <c r="DF946" s="1530"/>
      <c r="DG946" s="1530"/>
      <c r="DH946" s="1530"/>
      <c r="DI946" s="1530"/>
      <c r="DJ946" s="1530"/>
      <c r="DK946" s="1530"/>
      <c r="DL946" s="1530"/>
      <c r="DM946" s="1530"/>
      <c r="DN946" s="1571"/>
      <c r="DO946" s="1530"/>
      <c r="DP946" s="1530"/>
    </row>
    <row r="947" spans="1:120">
      <c r="A947" s="1451"/>
      <c r="C947" s="1451"/>
      <c r="K947" s="1451"/>
      <c r="L947" s="1451"/>
      <c r="U947" s="1530"/>
      <c r="V947" s="1530"/>
      <c r="W947" s="1530"/>
      <c r="X947" s="1530"/>
      <c r="Y947" s="1530"/>
      <c r="Z947" s="1530"/>
      <c r="AA947" s="1530"/>
      <c r="AB947" s="1530"/>
      <c r="AC947" s="1530"/>
      <c r="AD947" s="1530"/>
      <c r="AE947" s="1530"/>
      <c r="AF947" s="1530"/>
      <c r="AG947" s="1530"/>
      <c r="AH947" s="1530"/>
      <c r="AI947" s="1530"/>
      <c r="AJ947" s="1530"/>
      <c r="AK947" s="1530"/>
      <c r="AL947" s="1530"/>
      <c r="AM947" s="1530"/>
      <c r="AN947" s="1530"/>
      <c r="AO947" s="1530"/>
      <c r="AP947" s="1530"/>
      <c r="AQ947" s="1530"/>
      <c r="AR947" s="1530"/>
      <c r="AS947" s="1530"/>
      <c r="AT947" s="1530"/>
      <c r="AU947" s="1530"/>
      <c r="AV947" s="1530"/>
      <c r="AW947" s="1530"/>
      <c r="AX947" s="1530"/>
      <c r="AY947" s="1530"/>
      <c r="AZ947" s="1530"/>
      <c r="BA947" s="1530"/>
      <c r="BB947" s="1530"/>
      <c r="BC947" s="1530"/>
      <c r="BD947" s="1530"/>
      <c r="BE947" s="1530"/>
      <c r="BF947" s="1530"/>
      <c r="BG947" s="1530"/>
      <c r="BH947" s="1530"/>
      <c r="BI947" s="1530"/>
      <c r="BJ947" s="1530"/>
      <c r="BK947" s="1530"/>
      <c r="BL947" s="1530"/>
      <c r="BM947" s="1530"/>
      <c r="BN947" s="1530"/>
      <c r="BW947" s="1569"/>
      <c r="CO947" s="1530"/>
      <c r="CP947" s="1530"/>
      <c r="CQ947" s="1530"/>
      <c r="CR947" s="1530"/>
      <c r="CS947" s="1530"/>
      <c r="CT947" s="1530"/>
      <c r="CU947" s="1530"/>
      <c r="CV947" s="1530"/>
      <c r="CW947" s="1530"/>
      <c r="CX947" s="1530"/>
      <c r="CY947" s="1530"/>
      <c r="CZ947" s="1530"/>
      <c r="DA947" s="1530"/>
      <c r="DB947" s="1530"/>
      <c r="DC947" s="1530"/>
      <c r="DD947" s="1530"/>
      <c r="DE947" s="1530"/>
      <c r="DF947" s="1530"/>
      <c r="DG947" s="1530"/>
      <c r="DH947" s="1530"/>
      <c r="DI947" s="1530"/>
      <c r="DJ947" s="1530"/>
      <c r="DK947" s="1530"/>
      <c r="DL947" s="1530"/>
      <c r="DM947" s="1530"/>
      <c r="DN947" s="1571"/>
      <c r="DO947" s="1530"/>
      <c r="DP947" s="1530"/>
    </row>
    <row r="948" spans="1:120">
      <c r="A948" s="1451"/>
      <c r="C948" s="1451"/>
      <c r="K948" s="1451"/>
      <c r="L948" s="1451"/>
      <c r="U948" s="1530"/>
      <c r="V948" s="1530"/>
      <c r="W948" s="1530"/>
      <c r="X948" s="1530"/>
      <c r="Y948" s="1530"/>
      <c r="Z948" s="1530"/>
      <c r="AA948" s="1530"/>
      <c r="AB948" s="1530"/>
      <c r="AC948" s="1530"/>
      <c r="AD948" s="1530"/>
      <c r="AE948" s="1530"/>
      <c r="AF948" s="1530"/>
      <c r="AG948" s="1530"/>
      <c r="AH948" s="1530"/>
      <c r="AI948" s="1530"/>
      <c r="AJ948" s="1530"/>
      <c r="AK948" s="1530"/>
      <c r="AL948" s="1530"/>
      <c r="AM948" s="1530"/>
      <c r="AN948" s="1530"/>
      <c r="AO948" s="1530"/>
      <c r="AP948" s="1530"/>
      <c r="AQ948" s="1530"/>
      <c r="AR948" s="1530"/>
      <c r="AS948" s="1530"/>
      <c r="AT948" s="1530"/>
      <c r="AU948" s="1530"/>
      <c r="AV948" s="1530"/>
      <c r="AW948" s="1530"/>
      <c r="AX948" s="1530"/>
      <c r="AY948" s="1530"/>
      <c r="AZ948" s="1530"/>
      <c r="BA948" s="1530"/>
      <c r="BB948" s="1530"/>
      <c r="BC948" s="1530"/>
      <c r="BD948" s="1530"/>
      <c r="BE948" s="1530"/>
      <c r="BF948" s="1530"/>
      <c r="BG948" s="1530"/>
      <c r="BH948" s="1530"/>
      <c r="BI948" s="1530"/>
      <c r="BJ948" s="1530"/>
      <c r="BK948" s="1530"/>
      <c r="BL948" s="1530"/>
      <c r="BM948" s="1530"/>
      <c r="BN948" s="1530"/>
      <c r="BW948" s="1569"/>
      <c r="CO948" s="1530"/>
      <c r="CP948" s="1530"/>
      <c r="CQ948" s="1530"/>
      <c r="CR948" s="1530"/>
      <c r="CS948" s="1530"/>
      <c r="CT948" s="1530"/>
      <c r="CU948" s="1530"/>
      <c r="CV948" s="1530"/>
      <c r="CW948" s="1530"/>
      <c r="CX948" s="1530"/>
      <c r="CY948" s="1530"/>
      <c r="CZ948" s="1530"/>
      <c r="DA948" s="1530"/>
      <c r="DB948" s="1530"/>
      <c r="DC948" s="1530"/>
      <c r="DD948" s="1530"/>
      <c r="DE948" s="1530"/>
      <c r="DF948" s="1530"/>
      <c r="DG948" s="1530"/>
      <c r="DH948" s="1530"/>
      <c r="DI948" s="1530"/>
      <c r="DJ948" s="1530"/>
      <c r="DK948" s="1530"/>
      <c r="DL948" s="1530"/>
      <c r="DM948" s="1530"/>
      <c r="DN948" s="1571"/>
      <c r="DO948" s="1530"/>
      <c r="DP948" s="1530"/>
    </row>
    <row r="949" spans="1:120">
      <c r="A949" s="1451"/>
      <c r="C949" s="1451"/>
      <c r="K949" s="1451"/>
      <c r="L949" s="1451"/>
      <c r="U949" s="1530"/>
      <c r="V949" s="1530"/>
      <c r="W949" s="1530"/>
      <c r="X949" s="1530"/>
      <c r="Y949" s="1530"/>
      <c r="Z949" s="1530"/>
      <c r="AA949" s="1530"/>
      <c r="AB949" s="1530"/>
      <c r="AC949" s="1530"/>
      <c r="AD949" s="1530"/>
      <c r="AE949" s="1530"/>
      <c r="AF949" s="1530"/>
      <c r="AG949" s="1530"/>
      <c r="AH949" s="1530"/>
      <c r="AI949" s="1530"/>
      <c r="AJ949" s="1530"/>
      <c r="AK949" s="1530"/>
      <c r="AL949" s="1530"/>
      <c r="AM949" s="1530"/>
      <c r="AN949" s="1530"/>
      <c r="AO949" s="1530"/>
      <c r="AP949" s="1530"/>
      <c r="AQ949" s="1530"/>
      <c r="AR949" s="1530"/>
      <c r="AS949" s="1530"/>
      <c r="AT949" s="1530"/>
      <c r="AU949" s="1530"/>
      <c r="AV949" s="1530"/>
      <c r="AW949" s="1530"/>
      <c r="AX949" s="1530"/>
      <c r="AY949" s="1530"/>
      <c r="AZ949" s="1530"/>
      <c r="BA949" s="1530"/>
      <c r="BB949" s="1530"/>
      <c r="BC949" s="1530"/>
      <c r="BD949" s="1530"/>
      <c r="BE949" s="1530"/>
      <c r="BF949" s="1530"/>
      <c r="BG949" s="1530"/>
      <c r="BH949" s="1530"/>
      <c r="BI949" s="1530"/>
      <c r="BJ949" s="1530"/>
      <c r="BK949" s="1530"/>
      <c r="BL949" s="1530"/>
      <c r="BM949" s="1530"/>
      <c r="BN949" s="1530"/>
      <c r="BW949" s="1569"/>
      <c r="CO949" s="1530"/>
      <c r="CP949" s="1530"/>
      <c r="CQ949" s="1530"/>
      <c r="CR949" s="1530"/>
      <c r="CS949" s="1530"/>
      <c r="CT949" s="1530"/>
      <c r="CU949" s="1530"/>
      <c r="CV949" s="1530"/>
      <c r="CW949" s="1530"/>
      <c r="CX949" s="1530"/>
      <c r="CY949" s="1530"/>
      <c r="CZ949" s="1530"/>
      <c r="DA949" s="1530"/>
      <c r="DB949" s="1530"/>
      <c r="DC949" s="1530"/>
      <c r="DD949" s="1530"/>
      <c r="DE949" s="1530"/>
      <c r="DF949" s="1530"/>
      <c r="DG949" s="1530"/>
      <c r="DH949" s="1530"/>
      <c r="DI949" s="1530"/>
      <c r="DJ949" s="1530"/>
      <c r="DK949" s="1530"/>
      <c r="DL949" s="1530"/>
      <c r="DM949" s="1530"/>
      <c r="DN949" s="1571"/>
      <c r="DO949" s="1530"/>
      <c r="DP949" s="1530"/>
    </row>
    <row r="950" spans="1:120">
      <c r="A950" s="1451"/>
      <c r="C950" s="1451"/>
      <c r="K950" s="1451"/>
      <c r="L950" s="1451"/>
      <c r="U950" s="1530"/>
      <c r="V950" s="1530"/>
      <c r="W950" s="1530"/>
      <c r="X950" s="1530"/>
      <c r="Y950" s="1530"/>
      <c r="Z950" s="1530"/>
      <c r="AA950" s="1530"/>
      <c r="AB950" s="1530"/>
      <c r="AC950" s="1530"/>
      <c r="AD950" s="1530"/>
      <c r="AE950" s="1530"/>
      <c r="AF950" s="1530"/>
      <c r="AG950" s="1530"/>
      <c r="AH950" s="1530"/>
      <c r="AI950" s="1530"/>
      <c r="AJ950" s="1530"/>
      <c r="AK950" s="1530"/>
      <c r="AL950" s="1530"/>
      <c r="AM950" s="1530"/>
      <c r="AN950" s="1530"/>
      <c r="AO950" s="1530"/>
      <c r="AP950" s="1530"/>
      <c r="AQ950" s="1530"/>
      <c r="AR950" s="1530"/>
      <c r="AS950" s="1530"/>
      <c r="AT950" s="1530"/>
      <c r="AU950" s="1530"/>
      <c r="AV950" s="1530"/>
      <c r="AW950" s="1530"/>
      <c r="AX950" s="1530"/>
      <c r="AY950" s="1530"/>
      <c r="AZ950" s="1530"/>
      <c r="BA950" s="1530"/>
      <c r="BB950" s="1530"/>
      <c r="BC950" s="1530"/>
      <c r="BD950" s="1530"/>
      <c r="BE950" s="1530"/>
      <c r="BF950" s="1530"/>
      <c r="BG950" s="1530"/>
      <c r="BH950" s="1530"/>
      <c r="BI950" s="1530"/>
      <c r="BJ950" s="1530"/>
      <c r="BK950" s="1530"/>
      <c r="BL950" s="1530"/>
      <c r="BM950" s="1530"/>
      <c r="BN950" s="1530"/>
      <c r="BW950" s="1569"/>
      <c r="CO950" s="1530"/>
      <c r="CP950" s="1530"/>
      <c r="CQ950" s="1530"/>
      <c r="CR950" s="1530"/>
      <c r="CS950" s="1530"/>
      <c r="CT950" s="1530"/>
      <c r="CU950" s="1530"/>
      <c r="CV950" s="1530"/>
      <c r="CW950" s="1530"/>
      <c r="CX950" s="1530"/>
      <c r="CY950" s="1530"/>
      <c r="CZ950" s="1530"/>
      <c r="DA950" s="1530"/>
      <c r="DB950" s="1530"/>
      <c r="DC950" s="1530"/>
      <c r="DD950" s="1530"/>
      <c r="DE950" s="1530"/>
      <c r="DF950" s="1530"/>
      <c r="DG950" s="1530"/>
      <c r="DH950" s="1530"/>
      <c r="DI950" s="1530"/>
      <c r="DJ950" s="1530"/>
      <c r="DK950" s="1530"/>
      <c r="DL950" s="1530"/>
      <c r="DM950" s="1530"/>
      <c r="DN950" s="1571"/>
      <c r="DO950" s="1530"/>
      <c r="DP950" s="1530"/>
    </row>
    <row r="951" spans="1:120">
      <c r="A951" s="1451"/>
      <c r="C951" s="1451"/>
      <c r="K951" s="1451"/>
      <c r="L951" s="1451"/>
      <c r="U951" s="1530"/>
      <c r="V951" s="1530"/>
      <c r="W951" s="1530"/>
      <c r="X951" s="1530"/>
      <c r="Y951" s="1530"/>
      <c r="Z951" s="1530"/>
      <c r="AA951" s="1530"/>
      <c r="AB951" s="1530"/>
      <c r="AC951" s="1530"/>
      <c r="AD951" s="1530"/>
      <c r="AE951" s="1530"/>
      <c r="AF951" s="1530"/>
      <c r="AG951" s="1530"/>
      <c r="AH951" s="1530"/>
      <c r="AI951" s="1530"/>
      <c r="AJ951" s="1530"/>
      <c r="AK951" s="1530"/>
      <c r="AL951" s="1530"/>
      <c r="AM951" s="1530"/>
      <c r="AN951" s="1530"/>
      <c r="AO951" s="1530"/>
      <c r="AP951" s="1530"/>
      <c r="AQ951" s="1530"/>
      <c r="AR951" s="1530"/>
      <c r="AS951" s="1530"/>
      <c r="AT951" s="1530"/>
      <c r="AU951" s="1530"/>
      <c r="AV951" s="1530"/>
      <c r="AW951" s="1530"/>
      <c r="AX951" s="1530"/>
      <c r="AY951" s="1530"/>
      <c r="AZ951" s="1530"/>
      <c r="BA951" s="1530"/>
      <c r="BB951" s="1530"/>
      <c r="BC951" s="1530"/>
      <c r="BD951" s="1530"/>
      <c r="BE951" s="1530"/>
      <c r="BF951" s="1530"/>
      <c r="BG951" s="1530"/>
      <c r="BH951" s="1530"/>
      <c r="BI951" s="1530"/>
      <c r="BJ951" s="1530"/>
      <c r="BK951" s="1530"/>
      <c r="BL951" s="1530"/>
      <c r="BM951" s="1530"/>
      <c r="BN951" s="1530"/>
      <c r="BW951" s="1569"/>
      <c r="CO951" s="1530"/>
      <c r="CP951" s="1530"/>
      <c r="CQ951" s="1530"/>
      <c r="CR951" s="1530"/>
      <c r="CS951" s="1530"/>
      <c r="CT951" s="1530"/>
      <c r="CU951" s="1530"/>
      <c r="CV951" s="1530"/>
      <c r="CW951" s="1530"/>
      <c r="CX951" s="1530"/>
      <c r="CY951" s="1530"/>
      <c r="CZ951" s="1530"/>
      <c r="DA951" s="1530"/>
      <c r="DB951" s="1530"/>
      <c r="DC951" s="1530"/>
      <c r="DD951" s="1530"/>
      <c r="DE951" s="1530"/>
      <c r="DF951" s="1530"/>
      <c r="DG951" s="1530"/>
      <c r="DH951" s="1530"/>
      <c r="DI951" s="1530"/>
      <c r="DJ951" s="1530"/>
      <c r="DK951" s="1530"/>
      <c r="DL951" s="1530"/>
      <c r="DM951" s="1530"/>
      <c r="DN951" s="1571"/>
      <c r="DO951" s="1530"/>
      <c r="DP951" s="1530"/>
    </row>
    <row r="952" spans="1:120">
      <c r="A952" s="1451"/>
      <c r="C952" s="1451"/>
      <c r="K952" s="1451"/>
      <c r="L952" s="1451"/>
      <c r="U952" s="1530"/>
      <c r="V952" s="1530"/>
      <c r="W952" s="1530"/>
      <c r="X952" s="1530"/>
      <c r="Y952" s="1530"/>
      <c r="Z952" s="1530"/>
      <c r="AA952" s="1530"/>
      <c r="AB952" s="1530"/>
      <c r="AC952" s="1530"/>
      <c r="AD952" s="1530"/>
      <c r="AE952" s="1530"/>
      <c r="AF952" s="1530"/>
      <c r="AG952" s="1530"/>
      <c r="AH952" s="1530"/>
      <c r="AI952" s="1530"/>
      <c r="AJ952" s="1530"/>
      <c r="AK952" s="1530"/>
      <c r="AL952" s="1530"/>
      <c r="AM952" s="1530"/>
      <c r="AN952" s="1530"/>
      <c r="AO952" s="1530"/>
      <c r="AP952" s="1530"/>
      <c r="AQ952" s="1530"/>
      <c r="AR952" s="1530"/>
      <c r="AS952" s="1530"/>
      <c r="AT952" s="1530"/>
      <c r="AU952" s="1530"/>
      <c r="AV952" s="1530"/>
      <c r="AW952" s="1530"/>
      <c r="AX952" s="1530"/>
      <c r="AY952" s="1530"/>
      <c r="AZ952" s="1530"/>
      <c r="BA952" s="1530"/>
      <c r="BB952" s="1530"/>
      <c r="BC952" s="1530"/>
      <c r="BD952" s="1530"/>
      <c r="BE952" s="1530"/>
      <c r="BF952" s="1530"/>
      <c r="BG952" s="1530"/>
      <c r="BH952" s="1530"/>
      <c r="BI952" s="1530"/>
      <c r="BJ952" s="1530"/>
      <c r="BK952" s="1530"/>
      <c r="BL952" s="1530"/>
      <c r="BM952" s="1530"/>
      <c r="BN952" s="1530"/>
      <c r="BW952" s="1569"/>
      <c r="CO952" s="1530"/>
      <c r="CP952" s="1530"/>
      <c r="CQ952" s="1530"/>
      <c r="CR952" s="1530"/>
      <c r="CS952" s="1530"/>
      <c r="CT952" s="1530"/>
      <c r="CU952" s="1530"/>
      <c r="CV952" s="1530"/>
      <c r="CW952" s="1530"/>
      <c r="CX952" s="1530"/>
      <c r="CY952" s="1530"/>
      <c r="CZ952" s="1530"/>
      <c r="DA952" s="1530"/>
      <c r="DB952" s="1530"/>
      <c r="DC952" s="1530"/>
      <c r="DD952" s="1530"/>
      <c r="DE952" s="1530"/>
      <c r="DF952" s="1530"/>
      <c r="DG952" s="1530"/>
      <c r="DH952" s="1530"/>
      <c r="DI952" s="1530"/>
      <c r="DJ952" s="1530"/>
      <c r="DK952" s="1530"/>
      <c r="DL952" s="1530"/>
      <c r="DM952" s="1530"/>
      <c r="DN952" s="1571"/>
      <c r="DO952" s="1530"/>
      <c r="DP952" s="1530"/>
    </row>
    <row r="953" spans="1:120">
      <c r="A953" s="1451"/>
      <c r="C953" s="1451"/>
      <c r="K953" s="1451"/>
      <c r="L953" s="1451"/>
      <c r="U953" s="1530"/>
      <c r="V953" s="1530"/>
      <c r="W953" s="1530"/>
      <c r="X953" s="1530"/>
      <c r="Y953" s="1530"/>
      <c r="Z953" s="1530"/>
      <c r="AA953" s="1530"/>
      <c r="AB953" s="1530"/>
      <c r="AC953" s="1530"/>
      <c r="AD953" s="1530"/>
      <c r="AE953" s="1530"/>
      <c r="AF953" s="1530"/>
      <c r="AG953" s="1530"/>
      <c r="AH953" s="1530"/>
      <c r="AI953" s="1530"/>
      <c r="AJ953" s="1530"/>
      <c r="AK953" s="1530"/>
      <c r="AL953" s="1530"/>
      <c r="AM953" s="1530"/>
      <c r="AN953" s="1530"/>
      <c r="AO953" s="1530"/>
      <c r="AP953" s="1530"/>
      <c r="AQ953" s="1530"/>
      <c r="AR953" s="1530"/>
      <c r="AS953" s="1530"/>
      <c r="AT953" s="1530"/>
      <c r="AU953" s="1530"/>
      <c r="AV953" s="1530"/>
      <c r="AW953" s="1530"/>
      <c r="AX953" s="1530"/>
      <c r="AY953" s="1530"/>
      <c r="AZ953" s="1530"/>
      <c r="BA953" s="1530"/>
      <c r="BB953" s="1530"/>
      <c r="BC953" s="1530"/>
      <c r="BD953" s="1530"/>
      <c r="BE953" s="1530"/>
      <c r="BF953" s="1530"/>
      <c r="BG953" s="1530"/>
      <c r="BH953" s="1530"/>
      <c r="BI953" s="1530"/>
      <c r="BJ953" s="1530"/>
      <c r="BK953" s="1530"/>
      <c r="BL953" s="1530"/>
      <c r="BM953" s="1530"/>
      <c r="BN953" s="1530"/>
      <c r="BW953" s="1569"/>
      <c r="CO953" s="1530"/>
      <c r="CP953" s="1530"/>
      <c r="CQ953" s="1530"/>
      <c r="CR953" s="1530"/>
      <c r="CS953" s="1530"/>
      <c r="CT953" s="1530"/>
      <c r="CU953" s="1530"/>
      <c r="CV953" s="1530"/>
      <c r="CW953" s="1530"/>
      <c r="CX953" s="1530"/>
      <c r="CY953" s="1530"/>
      <c r="CZ953" s="1530"/>
      <c r="DA953" s="1530"/>
      <c r="DB953" s="1530"/>
      <c r="DC953" s="1530"/>
      <c r="DD953" s="1530"/>
      <c r="DE953" s="1530"/>
      <c r="DF953" s="1530"/>
      <c r="DG953" s="1530"/>
      <c r="DH953" s="1530"/>
      <c r="DI953" s="1530"/>
      <c r="DJ953" s="1530"/>
      <c r="DK953" s="1530"/>
      <c r="DL953" s="1530"/>
      <c r="DM953" s="1530"/>
      <c r="DN953" s="1571"/>
      <c r="DO953" s="1530"/>
      <c r="DP953" s="1530"/>
    </row>
    <row r="954" spans="1:120">
      <c r="A954" s="1451"/>
      <c r="C954" s="1451"/>
      <c r="K954" s="1451"/>
      <c r="L954" s="1451"/>
      <c r="U954" s="1530"/>
      <c r="V954" s="1530"/>
      <c r="W954" s="1530"/>
      <c r="X954" s="1530"/>
      <c r="Y954" s="1530"/>
      <c r="Z954" s="1530"/>
      <c r="AA954" s="1530"/>
      <c r="AB954" s="1530"/>
      <c r="AC954" s="1530"/>
      <c r="AD954" s="1530"/>
      <c r="AE954" s="1530"/>
      <c r="AF954" s="1530"/>
      <c r="AG954" s="1530"/>
      <c r="AH954" s="1530"/>
      <c r="AI954" s="1530"/>
      <c r="AJ954" s="1530"/>
      <c r="AK954" s="1530"/>
      <c r="AL954" s="1530"/>
      <c r="AM954" s="1530"/>
      <c r="AN954" s="1530"/>
      <c r="AO954" s="1530"/>
      <c r="AP954" s="1530"/>
      <c r="AQ954" s="1530"/>
      <c r="AR954" s="1530"/>
      <c r="AS954" s="1530"/>
      <c r="AT954" s="1530"/>
      <c r="AU954" s="1530"/>
      <c r="AV954" s="1530"/>
      <c r="AW954" s="1530"/>
      <c r="AX954" s="1530"/>
      <c r="AY954" s="1530"/>
      <c r="AZ954" s="1530"/>
      <c r="BA954" s="1530"/>
      <c r="BB954" s="1530"/>
      <c r="BC954" s="1530"/>
      <c r="BD954" s="1530"/>
      <c r="BE954" s="1530"/>
      <c r="BF954" s="1530"/>
      <c r="BG954" s="1530"/>
      <c r="BH954" s="1530"/>
      <c r="BI954" s="1530"/>
      <c r="BJ954" s="1530"/>
      <c r="BK954" s="1530"/>
      <c r="BL954" s="1530"/>
      <c r="BM954" s="1530"/>
      <c r="BN954" s="1530"/>
      <c r="BW954" s="1569"/>
      <c r="CO954" s="1530"/>
      <c r="CP954" s="1530"/>
      <c r="CQ954" s="1530"/>
      <c r="CR954" s="1530"/>
      <c r="CS954" s="1530"/>
      <c r="CT954" s="1530"/>
      <c r="CU954" s="1530"/>
      <c r="CV954" s="1530"/>
      <c r="CW954" s="1530"/>
      <c r="CX954" s="1530"/>
      <c r="CY954" s="1530"/>
      <c r="CZ954" s="1530"/>
      <c r="DA954" s="1530"/>
      <c r="DB954" s="1530"/>
      <c r="DC954" s="1530"/>
      <c r="DD954" s="1530"/>
      <c r="DE954" s="1530"/>
      <c r="DF954" s="1530"/>
      <c r="DG954" s="1530"/>
      <c r="DH954" s="1530"/>
      <c r="DI954" s="1530"/>
      <c r="DJ954" s="1530"/>
      <c r="DK954" s="1530"/>
      <c r="DL954" s="1530"/>
      <c r="DM954" s="1530"/>
      <c r="DN954" s="1571"/>
      <c r="DO954" s="1530"/>
      <c r="DP954" s="1530"/>
    </row>
    <row r="955" spans="1:120">
      <c r="A955" s="1451"/>
      <c r="C955" s="1451"/>
      <c r="K955" s="1451"/>
      <c r="L955" s="1451"/>
      <c r="U955" s="1530"/>
      <c r="V955" s="1530"/>
      <c r="W955" s="1530"/>
      <c r="X955" s="1530"/>
      <c r="Y955" s="1530"/>
      <c r="Z955" s="1530"/>
      <c r="AA955" s="1530"/>
      <c r="AB955" s="1530"/>
      <c r="AC955" s="1530"/>
      <c r="AD955" s="1530"/>
      <c r="AE955" s="1530"/>
      <c r="AF955" s="1530"/>
      <c r="AG955" s="1530"/>
      <c r="AH955" s="1530"/>
      <c r="AI955" s="1530"/>
      <c r="AJ955" s="1530"/>
      <c r="AK955" s="1530"/>
      <c r="AL955" s="1530"/>
      <c r="AM955" s="1530"/>
      <c r="AN955" s="1530"/>
      <c r="AO955" s="1530"/>
      <c r="AP955" s="1530"/>
      <c r="AQ955" s="1530"/>
      <c r="AR955" s="1530"/>
      <c r="AS955" s="1530"/>
      <c r="AT955" s="1530"/>
      <c r="AU955" s="1530"/>
      <c r="AV955" s="1530"/>
      <c r="AW955" s="1530"/>
      <c r="AX955" s="1530"/>
      <c r="AY955" s="1530"/>
      <c r="AZ955" s="1530"/>
      <c r="BA955" s="1530"/>
      <c r="BB955" s="1530"/>
      <c r="BC955" s="1530"/>
      <c r="BD955" s="1530"/>
      <c r="BE955" s="1530"/>
      <c r="BF955" s="1530"/>
      <c r="BG955" s="1530"/>
      <c r="BH955" s="1530"/>
      <c r="BI955" s="1530"/>
      <c r="BJ955" s="1530"/>
      <c r="BK955" s="1530"/>
      <c r="BL955" s="1530"/>
      <c r="BM955" s="1530"/>
      <c r="BN955" s="1530"/>
      <c r="BW955" s="1569"/>
      <c r="CO955" s="1530"/>
      <c r="CP955" s="1530"/>
      <c r="CQ955" s="1530"/>
      <c r="CR955" s="1530"/>
      <c r="CS955" s="1530"/>
      <c r="CT955" s="1530"/>
      <c r="CU955" s="1530"/>
      <c r="CV955" s="1530"/>
      <c r="CW955" s="1530"/>
      <c r="CX955" s="1530"/>
      <c r="CY955" s="1530"/>
      <c r="CZ955" s="1530"/>
      <c r="DA955" s="1530"/>
      <c r="DB955" s="1530"/>
      <c r="DC955" s="1530"/>
      <c r="DD955" s="1530"/>
      <c r="DE955" s="1530"/>
      <c r="DF955" s="1530"/>
      <c r="DG955" s="1530"/>
      <c r="DH955" s="1530"/>
      <c r="DI955" s="1530"/>
      <c r="DJ955" s="1530"/>
      <c r="DK955" s="1530"/>
      <c r="DL955" s="1530"/>
      <c r="DM955" s="1530"/>
      <c r="DN955" s="1571"/>
      <c r="DO955" s="1530"/>
      <c r="DP955" s="1530"/>
    </row>
    <row r="956" spans="1:120">
      <c r="A956" s="1451"/>
      <c r="C956" s="1451"/>
      <c r="K956" s="1451"/>
      <c r="L956" s="1451"/>
      <c r="U956" s="1530"/>
      <c r="V956" s="1530"/>
      <c r="W956" s="1530"/>
      <c r="X956" s="1530"/>
      <c r="Y956" s="1530"/>
      <c r="Z956" s="1530"/>
      <c r="AA956" s="1530"/>
      <c r="AB956" s="1530"/>
      <c r="AC956" s="1530"/>
      <c r="AD956" s="1530"/>
      <c r="AE956" s="1530"/>
      <c r="AF956" s="1530"/>
      <c r="AG956" s="1530"/>
      <c r="AH956" s="1530"/>
      <c r="AI956" s="1530"/>
      <c r="AJ956" s="1530"/>
      <c r="AK956" s="1530"/>
      <c r="AL956" s="1530"/>
      <c r="AM956" s="1530"/>
      <c r="AN956" s="1530"/>
      <c r="AO956" s="1530"/>
      <c r="AP956" s="1530"/>
      <c r="AQ956" s="1530"/>
      <c r="AR956" s="1530"/>
      <c r="AS956" s="1530"/>
      <c r="AT956" s="1530"/>
      <c r="AU956" s="1530"/>
      <c r="AV956" s="1530"/>
      <c r="AW956" s="1530"/>
      <c r="AX956" s="1530"/>
      <c r="AY956" s="1530"/>
      <c r="AZ956" s="1530"/>
      <c r="BA956" s="1530"/>
      <c r="BB956" s="1530"/>
      <c r="BC956" s="1530"/>
      <c r="BD956" s="1530"/>
      <c r="BE956" s="1530"/>
      <c r="BF956" s="1530"/>
      <c r="BG956" s="1530"/>
      <c r="BH956" s="1530"/>
      <c r="BI956" s="1530"/>
      <c r="BJ956" s="1530"/>
      <c r="BK956" s="1530"/>
      <c r="BL956" s="1530"/>
      <c r="BM956" s="1530"/>
      <c r="BN956" s="1530"/>
      <c r="BW956" s="1569"/>
      <c r="CO956" s="1530"/>
      <c r="CP956" s="1530"/>
      <c r="CQ956" s="1530"/>
      <c r="CR956" s="1530"/>
      <c r="CS956" s="1530"/>
      <c r="CT956" s="1530"/>
      <c r="CU956" s="1530"/>
      <c r="CV956" s="1530"/>
      <c r="CW956" s="1530"/>
      <c r="CX956" s="1530"/>
      <c r="CY956" s="1530"/>
      <c r="CZ956" s="1530"/>
      <c r="DA956" s="1530"/>
      <c r="DB956" s="1530"/>
      <c r="DC956" s="1530"/>
      <c r="DD956" s="1530"/>
      <c r="DE956" s="1530"/>
      <c r="DF956" s="1530"/>
      <c r="DG956" s="1530"/>
      <c r="DH956" s="1530"/>
      <c r="DI956" s="1530"/>
      <c r="DJ956" s="1530"/>
      <c r="DK956" s="1530"/>
      <c r="DL956" s="1530"/>
      <c r="DM956" s="1530"/>
      <c r="DN956" s="1571"/>
      <c r="DO956" s="1530"/>
      <c r="DP956" s="1530"/>
    </row>
    <row r="957" spans="1:120">
      <c r="A957" s="1451"/>
      <c r="C957" s="1451"/>
      <c r="K957" s="1451"/>
      <c r="L957" s="1451"/>
      <c r="U957" s="1530"/>
      <c r="V957" s="1530"/>
      <c r="W957" s="1530"/>
      <c r="X957" s="1530"/>
      <c r="Y957" s="1530"/>
      <c r="Z957" s="1530"/>
      <c r="AA957" s="1530"/>
      <c r="AB957" s="1530"/>
      <c r="AC957" s="1530"/>
      <c r="AD957" s="1530"/>
      <c r="AE957" s="1530"/>
      <c r="AF957" s="1530"/>
      <c r="AG957" s="1530"/>
      <c r="AH957" s="1530"/>
      <c r="AI957" s="1530"/>
      <c r="AJ957" s="1530"/>
      <c r="AK957" s="1530"/>
      <c r="AL957" s="1530"/>
      <c r="AM957" s="1530"/>
      <c r="AN957" s="1530"/>
      <c r="AO957" s="1530"/>
      <c r="AP957" s="1530"/>
      <c r="AQ957" s="1530"/>
      <c r="AR957" s="1530"/>
      <c r="AS957" s="1530"/>
      <c r="AT957" s="1530"/>
      <c r="AU957" s="1530"/>
      <c r="AV957" s="1530"/>
      <c r="AW957" s="1530"/>
      <c r="AX957" s="1530"/>
      <c r="AY957" s="1530"/>
      <c r="AZ957" s="1530"/>
      <c r="BA957" s="1530"/>
      <c r="BB957" s="1530"/>
      <c r="BC957" s="1530"/>
      <c r="BD957" s="1530"/>
      <c r="BE957" s="1530"/>
      <c r="BF957" s="1530"/>
      <c r="BG957" s="1530"/>
      <c r="BH957" s="1530"/>
      <c r="BI957" s="1530"/>
      <c r="BJ957" s="1530"/>
      <c r="BK957" s="1530"/>
      <c r="BL957" s="1530"/>
      <c r="BM957" s="1530"/>
      <c r="BN957" s="1530"/>
      <c r="BW957" s="1569"/>
      <c r="CO957" s="1530"/>
      <c r="CP957" s="1530"/>
      <c r="CQ957" s="1530"/>
      <c r="CR957" s="1530"/>
      <c r="CS957" s="1530"/>
      <c r="CT957" s="1530"/>
      <c r="CU957" s="1530"/>
      <c r="CV957" s="1530"/>
      <c r="CW957" s="1530"/>
      <c r="CX957" s="1530"/>
      <c r="CY957" s="1530"/>
      <c r="CZ957" s="1530"/>
      <c r="DA957" s="1530"/>
      <c r="DB957" s="1530"/>
      <c r="DC957" s="1530"/>
      <c r="DD957" s="1530"/>
      <c r="DE957" s="1530"/>
      <c r="DF957" s="1530"/>
      <c r="DG957" s="1530"/>
      <c r="DH957" s="1530"/>
      <c r="DI957" s="1530"/>
      <c r="DJ957" s="1530"/>
      <c r="DK957" s="1530"/>
      <c r="DL957" s="1530"/>
      <c r="DM957" s="1530"/>
      <c r="DN957" s="1571"/>
      <c r="DO957" s="1530"/>
      <c r="DP957" s="1530"/>
    </row>
    <row r="958" spans="1:120">
      <c r="A958" s="1451"/>
      <c r="C958" s="1451"/>
      <c r="K958" s="1451"/>
      <c r="L958" s="1451"/>
      <c r="U958" s="1530"/>
      <c r="V958" s="1530"/>
      <c r="W958" s="1530"/>
      <c r="X958" s="1530"/>
      <c r="Y958" s="1530"/>
      <c r="Z958" s="1530"/>
      <c r="AA958" s="1530"/>
      <c r="AB958" s="1530"/>
      <c r="AC958" s="1530"/>
      <c r="AD958" s="1530"/>
      <c r="AE958" s="1530"/>
      <c r="AF958" s="1530"/>
      <c r="AG958" s="1530"/>
      <c r="AH958" s="1530"/>
      <c r="AI958" s="1530"/>
      <c r="AJ958" s="1530"/>
      <c r="AK958" s="1530"/>
      <c r="AL958" s="1530"/>
      <c r="AM958" s="1530"/>
      <c r="AN958" s="1530"/>
      <c r="AO958" s="1530"/>
      <c r="AP958" s="1530"/>
      <c r="AQ958" s="1530"/>
      <c r="AR958" s="1530"/>
      <c r="AS958" s="1530"/>
      <c r="AT958" s="1530"/>
      <c r="AU958" s="1530"/>
      <c r="AV958" s="1530"/>
      <c r="AW958" s="1530"/>
      <c r="AX958" s="1530"/>
      <c r="AY958" s="1530"/>
      <c r="AZ958" s="1530"/>
      <c r="BA958" s="1530"/>
      <c r="BB958" s="1530"/>
      <c r="BC958" s="1530"/>
      <c r="BD958" s="1530"/>
      <c r="BE958" s="1530"/>
      <c r="BF958" s="1530"/>
      <c r="BG958" s="1530"/>
      <c r="BH958" s="1530"/>
      <c r="BI958" s="1530"/>
      <c r="BJ958" s="1530"/>
      <c r="BK958" s="1530"/>
      <c r="BL958" s="1530"/>
      <c r="BM958" s="1530"/>
      <c r="BN958" s="1530"/>
      <c r="BW958" s="1569"/>
      <c r="CO958" s="1530"/>
      <c r="CP958" s="1530"/>
      <c r="CQ958" s="1530"/>
      <c r="CR958" s="1530"/>
      <c r="CS958" s="1530"/>
      <c r="CT958" s="1530"/>
      <c r="CU958" s="1530"/>
      <c r="CV958" s="1530"/>
      <c r="CW958" s="1530"/>
      <c r="CX958" s="1530"/>
      <c r="CY958" s="1530"/>
      <c r="CZ958" s="1530"/>
      <c r="DA958" s="1530"/>
      <c r="DB958" s="1530"/>
      <c r="DC958" s="1530"/>
      <c r="DD958" s="1530"/>
      <c r="DE958" s="1530"/>
      <c r="DF958" s="1530"/>
      <c r="DG958" s="1530"/>
      <c r="DH958" s="1530"/>
      <c r="DI958" s="1530"/>
      <c r="DJ958" s="1530"/>
      <c r="DK958" s="1530"/>
      <c r="DL958" s="1530"/>
      <c r="DM958" s="1530"/>
      <c r="DN958" s="1571"/>
      <c r="DO958" s="1530"/>
      <c r="DP958" s="1530"/>
    </row>
    <row r="959" spans="1:120">
      <c r="A959" s="1451"/>
      <c r="C959" s="1451"/>
      <c r="K959" s="1451"/>
      <c r="L959" s="1451"/>
      <c r="U959" s="1530"/>
      <c r="V959" s="1530"/>
      <c r="W959" s="1530"/>
      <c r="X959" s="1530"/>
      <c r="Y959" s="1530"/>
      <c r="Z959" s="1530"/>
      <c r="AA959" s="1530"/>
      <c r="AB959" s="1530"/>
      <c r="AC959" s="1530"/>
      <c r="AD959" s="1530"/>
      <c r="AE959" s="1530"/>
      <c r="AF959" s="1530"/>
      <c r="AG959" s="1530"/>
      <c r="AH959" s="1530"/>
      <c r="AI959" s="1530"/>
      <c r="AJ959" s="1530"/>
      <c r="AK959" s="1530"/>
      <c r="AL959" s="1530"/>
      <c r="AM959" s="1530"/>
      <c r="AN959" s="1530"/>
      <c r="AO959" s="1530"/>
      <c r="AP959" s="1530"/>
      <c r="AQ959" s="1530"/>
      <c r="AR959" s="1530"/>
      <c r="AS959" s="1530"/>
      <c r="AT959" s="1530"/>
      <c r="AU959" s="1530"/>
      <c r="AV959" s="1530"/>
      <c r="AW959" s="1530"/>
      <c r="AX959" s="1530"/>
      <c r="AY959" s="1530"/>
      <c r="AZ959" s="1530"/>
      <c r="BA959" s="1530"/>
      <c r="BB959" s="1530"/>
      <c r="BC959" s="1530"/>
      <c r="BD959" s="1530"/>
      <c r="BE959" s="1530"/>
      <c r="BF959" s="1530"/>
      <c r="BG959" s="1530"/>
      <c r="BH959" s="1530"/>
      <c r="BI959" s="1530"/>
      <c r="BJ959" s="1530"/>
      <c r="BK959" s="1530"/>
      <c r="BL959" s="1530"/>
      <c r="BM959" s="1530"/>
      <c r="BN959" s="1530"/>
      <c r="BW959" s="1569"/>
      <c r="CO959" s="1530"/>
      <c r="CP959" s="1530"/>
      <c r="CQ959" s="1530"/>
      <c r="CR959" s="1530"/>
      <c r="CS959" s="1530"/>
      <c r="CT959" s="1530"/>
      <c r="CU959" s="1530"/>
      <c r="CV959" s="1530"/>
      <c r="CW959" s="1530"/>
      <c r="CX959" s="1530"/>
      <c r="CY959" s="1530"/>
      <c r="CZ959" s="1530"/>
      <c r="DA959" s="1530"/>
      <c r="DB959" s="1530"/>
      <c r="DC959" s="1530"/>
      <c r="DD959" s="1530"/>
      <c r="DE959" s="1530"/>
      <c r="DF959" s="1530"/>
      <c r="DG959" s="1530"/>
      <c r="DH959" s="1530"/>
      <c r="DI959" s="1530"/>
      <c r="DJ959" s="1530"/>
      <c r="DK959" s="1530"/>
      <c r="DL959" s="1530"/>
      <c r="DM959" s="1530"/>
      <c r="DN959" s="1571"/>
      <c r="DO959" s="1530"/>
      <c r="DP959" s="1530"/>
    </row>
    <row r="960" spans="1:120">
      <c r="A960" s="1451"/>
      <c r="C960" s="1451"/>
      <c r="K960" s="1451"/>
      <c r="L960" s="1451"/>
      <c r="U960" s="1530"/>
      <c r="V960" s="1530"/>
      <c r="W960" s="1530"/>
      <c r="X960" s="1530"/>
      <c r="Y960" s="1530"/>
      <c r="Z960" s="1530"/>
      <c r="AA960" s="1530"/>
      <c r="AB960" s="1530"/>
      <c r="AC960" s="1530"/>
      <c r="AD960" s="1530"/>
      <c r="AE960" s="1530"/>
      <c r="AF960" s="1530"/>
      <c r="AG960" s="1530"/>
      <c r="AH960" s="1530"/>
      <c r="AI960" s="1530"/>
      <c r="AJ960" s="1530"/>
      <c r="AK960" s="1530"/>
      <c r="AL960" s="1530"/>
      <c r="AM960" s="1530"/>
      <c r="AN960" s="1530"/>
      <c r="AO960" s="1530"/>
      <c r="AP960" s="1530"/>
      <c r="AQ960" s="1530"/>
      <c r="AR960" s="1530"/>
      <c r="AS960" s="1530"/>
      <c r="AT960" s="1530"/>
      <c r="AU960" s="1530"/>
      <c r="AV960" s="1530"/>
      <c r="AW960" s="1530"/>
      <c r="AX960" s="1530"/>
      <c r="AY960" s="1530"/>
      <c r="AZ960" s="1530"/>
      <c r="BA960" s="1530"/>
      <c r="BB960" s="1530"/>
      <c r="BC960" s="1530"/>
      <c r="BD960" s="1530"/>
      <c r="BE960" s="1530"/>
      <c r="BF960" s="1530"/>
      <c r="BG960" s="1530"/>
      <c r="BH960" s="1530"/>
      <c r="BI960" s="1530"/>
      <c r="BJ960" s="1530"/>
      <c r="BK960" s="1530"/>
      <c r="BL960" s="1530"/>
      <c r="BM960" s="1530"/>
      <c r="BN960" s="1530"/>
      <c r="BW960" s="1569"/>
      <c r="CO960" s="1530"/>
      <c r="CP960" s="1530"/>
      <c r="CQ960" s="1530"/>
      <c r="CR960" s="1530"/>
      <c r="CS960" s="1530"/>
      <c r="CT960" s="1530"/>
      <c r="CU960" s="1530"/>
      <c r="CV960" s="1530"/>
      <c r="CW960" s="1530"/>
      <c r="CX960" s="1530"/>
      <c r="CY960" s="1530"/>
      <c r="CZ960" s="1530"/>
      <c r="DA960" s="1530"/>
      <c r="DB960" s="1530"/>
      <c r="DC960" s="1530"/>
      <c r="DD960" s="1530"/>
      <c r="DE960" s="1530"/>
      <c r="DF960" s="1530"/>
      <c r="DG960" s="1530"/>
      <c r="DH960" s="1530"/>
      <c r="DI960" s="1530"/>
      <c r="DJ960" s="1530"/>
      <c r="DK960" s="1530"/>
      <c r="DL960" s="1530"/>
      <c r="DM960" s="1530"/>
      <c r="DN960" s="1571"/>
      <c r="DO960" s="1530"/>
      <c r="DP960" s="1530"/>
    </row>
    <row r="961" spans="1:120">
      <c r="A961" s="1451"/>
      <c r="C961" s="1451"/>
      <c r="K961" s="1451"/>
      <c r="L961" s="1451"/>
      <c r="U961" s="1530"/>
      <c r="V961" s="1530"/>
      <c r="W961" s="1530"/>
      <c r="X961" s="1530"/>
      <c r="Y961" s="1530"/>
      <c r="Z961" s="1530"/>
      <c r="AA961" s="1530"/>
      <c r="AB961" s="1530"/>
      <c r="AC961" s="1530"/>
      <c r="AD961" s="1530"/>
      <c r="AE961" s="1530"/>
      <c r="AF961" s="1530"/>
      <c r="AG961" s="1530"/>
      <c r="AH961" s="1530"/>
      <c r="AI961" s="1530"/>
      <c r="AJ961" s="1530"/>
      <c r="AK961" s="1530"/>
      <c r="AL961" s="1530"/>
      <c r="AM961" s="1530"/>
      <c r="AN961" s="1530"/>
      <c r="AO961" s="1530"/>
      <c r="AP961" s="1530"/>
      <c r="AQ961" s="1530"/>
      <c r="AR961" s="1530"/>
      <c r="AS961" s="1530"/>
      <c r="AT961" s="1530"/>
      <c r="AU961" s="1530"/>
      <c r="AV961" s="1530"/>
      <c r="AW961" s="1530"/>
      <c r="AX961" s="1530"/>
      <c r="AY961" s="1530"/>
      <c r="AZ961" s="1530"/>
      <c r="BA961" s="1530"/>
      <c r="BB961" s="1530"/>
      <c r="BC961" s="1530"/>
      <c r="BD961" s="1530"/>
      <c r="BE961" s="1530"/>
      <c r="BF961" s="1530"/>
      <c r="BG961" s="1530"/>
      <c r="BH961" s="1530"/>
      <c r="BI961" s="1530"/>
      <c r="BJ961" s="1530"/>
      <c r="BK961" s="1530"/>
      <c r="BL961" s="1530"/>
      <c r="BM961" s="1530"/>
      <c r="BN961" s="1530"/>
      <c r="BW961" s="1569"/>
      <c r="CO961" s="1530"/>
      <c r="CP961" s="1530"/>
      <c r="CQ961" s="1530"/>
      <c r="CR961" s="1530"/>
      <c r="CS961" s="1530"/>
      <c r="CT961" s="1530"/>
      <c r="CU961" s="1530"/>
      <c r="CV961" s="1530"/>
      <c r="CW961" s="1530"/>
      <c r="CX961" s="1530"/>
      <c r="CY961" s="1530"/>
      <c r="CZ961" s="1530"/>
      <c r="DA961" s="1530"/>
      <c r="DB961" s="1530"/>
      <c r="DC961" s="1530"/>
      <c r="DD961" s="1530"/>
      <c r="DE961" s="1530"/>
      <c r="DF961" s="1530"/>
      <c r="DG961" s="1530"/>
      <c r="DH961" s="1530"/>
      <c r="DI961" s="1530"/>
      <c r="DJ961" s="1530"/>
      <c r="DK961" s="1530"/>
      <c r="DL961" s="1530"/>
      <c r="DM961" s="1530"/>
      <c r="DN961" s="1571"/>
      <c r="DO961" s="1530"/>
      <c r="DP961" s="1530"/>
    </row>
    <row r="962" spans="1:120">
      <c r="A962" s="1451"/>
      <c r="C962" s="1451"/>
      <c r="K962" s="1451"/>
      <c r="L962" s="1451"/>
      <c r="U962" s="1530"/>
      <c r="V962" s="1530"/>
      <c r="W962" s="1530"/>
      <c r="X962" s="1530"/>
      <c r="Y962" s="1530"/>
      <c r="Z962" s="1530"/>
      <c r="AA962" s="1530"/>
      <c r="AB962" s="1530"/>
      <c r="AC962" s="1530"/>
      <c r="AD962" s="1530"/>
      <c r="AE962" s="1530"/>
      <c r="AF962" s="1530"/>
      <c r="AG962" s="1530"/>
      <c r="AH962" s="1530"/>
      <c r="AI962" s="1530"/>
      <c r="AJ962" s="1530"/>
      <c r="AK962" s="1530"/>
      <c r="AL962" s="1530"/>
      <c r="AM962" s="1530"/>
      <c r="AN962" s="1530"/>
      <c r="AO962" s="1530"/>
      <c r="AP962" s="1530"/>
      <c r="AQ962" s="1530"/>
      <c r="AR962" s="1530"/>
      <c r="AS962" s="1530"/>
      <c r="AT962" s="1530"/>
      <c r="AU962" s="1530"/>
      <c r="AV962" s="1530"/>
      <c r="AW962" s="1530"/>
      <c r="AX962" s="1530"/>
      <c r="AY962" s="1530"/>
      <c r="AZ962" s="1530"/>
      <c r="BA962" s="1530"/>
      <c r="BB962" s="1530"/>
      <c r="BC962" s="1530"/>
      <c r="BD962" s="1530"/>
      <c r="BE962" s="1530"/>
      <c r="BF962" s="1530"/>
      <c r="BG962" s="1530"/>
      <c r="BH962" s="1530"/>
      <c r="BI962" s="1530"/>
      <c r="BJ962" s="1530"/>
      <c r="BK962" s="1530"/>
      <c r="BL962" s="1530"/>
      <c r="BM962" s="1530"/>
      <c r="BN962" s="1530"/>
      <c r="BW962" s="1569"/>
      <c r="CO962" s="1530"/>
      <c r="CP962" s="1530"/>
      <c r="CQ962" s="1530"/>
      <c r="CR962" s="1530"/>
      <c r="CS962" s="1530"/>
      <c r="CT962" s="1530"/>
      <c r="CU962" s="1530"/>
      <c r="CV962" s="1530"/>
      <c r="CW962" s="1530"/>
      <c r="CX962" s="1530"/>
      <c r="CY962" s="1530"/>
      <c r="CZ962" s="1530"/>
      <c r="DA962" s="1530"/>
      <c r="DB962" s="1530"/>
      <c r="DC962" s="1530"/>
      <c r="DD962" s="1530"/>
      <c r="DE962" s="1530"/>
      <c r="DF962" s="1530"/>
      <c r="DG962" s="1530"/>
      <c r="DH962" s="1530"/>
      <c r="DI962" s="1530"/>
      <c r="DJ962" s="1530"/>
      <c r="DK962" s="1530"/>
      <c r="DL962" s="1530"/>
      <c r="DM962" s="1530"/>
      <c r="DN962" s="1571"/>
      <c r="DO962" s="1530"/>
      <c r="DP962" s="1530"/>
    </row>
    <row r="963" spans="1:120">
      <c r="A963" s="1451"/>
      <c r="C963" s="1451"/>
      <c r="K963" s="1451"/>
      <c r="L963" s="1451"/>
      <c r="U963" s="1530"/>
      <c r="V963" s="1530"/>
      <c r="W963" s="1530"/>
      <c r="X963" s="1530"/>
      <c r="Y963" s="1530"/>
      <c r="Z963" s="1530"/>
      <c r="AA963" s="1530"/>
      <c r="AB963" s="1530"/>
      <c r="AC963" s="1530"/>
      <c r="AD963" s="1530"/>
      <c r="AE963" s="1530"/>
      <c r="AF963" s="1530"/>
      <c r="AG963" s="1530"/>
      <c r="AH963" s="1530"/>
      <c r="AI963" s="1530"/>
      <c r="AJ963" s="1530"/>
      <c r="AK963" s="1530"/>
      <c r="AL963" s="1530"/>
      <c r="AM963" s="1530"/>
      <c r="AN963" s="1530"/>
      <c r="AO963" s="1530"/>
      <c r="AP963" s="1530"/>
      <c r="AQ963" s="1530"/>
      <c r="AR963" s="1530"/>
      <c r="AS963" s="1530"/>
      <c r="AT963" s="1530"/>
      <c r="AU963" s="1530"/>
      <c r="AV963" s="1530"/>
      <c r="AW963" s="1530"/>
      <c r="AX963" s="1530"/>
      <c r="AY963" s="1530"/>
      <c r="AZ963" s="1530"/>
      <c r="BA963" s="1530"/>
      <c r="BB963" s="1530"/>
      <c r="BC963" s="1530"/>
      <c r="BD963" s="1530"/>
      <c r="BE963" s="1530"/>
      <c r="BF963" s="1530"/>
      <c r="BG963" s="1530"/>
      <c r="BH963" s="1530"/>
      <c r="BI963" s="1530"/>
      <c r="BJ963" s="1530"/>
      <c r="BK963" s="1530"/>
      <c r="BL963" s="1530"/>
      <c r="BM963" s="1530"/>
      <c r="BN963" s="1530"/>
      <c r="BW963" s="1569"/>
      <c r="CO963" s="1530"/>
      <c r="CP963" s="1530"/>
      <c r="CQ963" s="1530"/>
      <c r="CR963" s="1530"/>
      <c r="CS963" s="1530"/>
      <c r="CT963" s="1530"/>
      <c r="CU963" s="1530"/>
      <c r="CV963" s="1530"/>
      <c r="CW963" s="1530"/>
      <c r="CX963" s="1530"/>
      <c r="CY963" s="1530"/>
      <c r="CZ963" s="1530"/>
      <c r="DA963" s="1530"/>
      <c r="DB963" s="1530"/>
      <c r="DC963" s="1530"/>
      <c r="DD963" s="1530"/>
      <c r="DE963" s="1530"/>
      <c r="DF963" s="1530"/>
      <c r="DG963" s="1530"/>
      <c r="DH963" s="1530"/>
      <c r="DI963" s="1530"/>
      <c r="DJ963" s="1530"/>
      <c r="DK963" s="1530"/>
      <c r="DL963" s="1530"/>
      <c r="DM963" s="1530"/>
      <c r="DN963" s="1571"/>
      <c r="DO963" s="1530"/>
      <c r="DP963" s="1530"/>
    </row>
    <row r="964" spans="1:120">
      <c r="A964" s="1451"/>
      <c r="C964" s="1451"/>
      <c r="K964" s="1451"/>
      <c r="L964" s="1451"/>
      <c r="U964" s="1530"/>
      <c r="V964" s="1530"/>
      <c r="W964" s="1530"/>
      <c r="X964" s="1530"/>
      <c r="Y964" s="1530"/>
      <c r="Z964" s="1530"/>
      <c r="AA964" s="1530"/>
      <c r="AB964" s="1530"/>
      <c r="AC964" s="1530"/>
      <c r="AD964" s="1530"/>
      <c r="AE964" s="1530"/>
      <c r="AF964" s="1530"/>
      <c r="AG964" s="1530"/>
      <c r="AH964" s="1530"/>
      <c r="AI964" s="1530"/>
      <c r="AJ964" s="1530"/>
      <c r="AK964" s="1530"/>
      <c r="AL964" s="1530"/>
      <c r="AM964" s="1530"/>
      <c r="AN964" s="1530"/>
      <c r="AO964" s="1530"/>
      <c r="AP964" s="1530"/>
      <c r="AQ964" s="1530"/>
      <c r="AR964" s="1530"/>
      <c r="AS964" s="1530"/>
      <c r="AT964" s="1530"/>
      <c r="AU964" s="1530"/>
      <c r="AV964" s="1530"/>
      <c r="AW964" s="1530"/>
      <c r="AX964" s="1530"/>
      <c r="AY964" s="1530"/>
      <c r="AZ964" s="1530"/>
      <c r="BA964" s="1530"/>
      <c r="BB964" s="1530"/>
      <c r="BC964" s="1530"/>
      <c r="BD964" s="1530"/>
      <c r="BE964" s="1530"/>
      <c r="BF964" s="1530"/>
      <c r="BG964" s="1530"/>
      <c r="BH964" s="1530"/>
      <c r="BI964" s="1530"/>
      <c r="BJ964" s="1530"/>
      <c r="BK964" s="1530"/>
      <c r="BL964" s="1530"/>
      <c r="BM964" s="1530"/>
      <c r="BN964" s="1530"/>
      <c r="BW964" s="1569"/>
      <c r="CO964" s="1530"/>
      <c r="CP964" s="1530"/>
      <c r="CQ964" s="1530"/>
      <c r="CR964" s="1530"/>
      <c r="CS964" s="1530"/>
      <c r="CT964" s="1530"/>
      <c r="CU964" s="1530"/>
      <c r="CV964" s="1530"/>
      <c r="CW964" s="1530"/>
      <c r="CX964" s="1530"/>
      <c r="CY964" s="1530"/>
      <c r="CZ964" s="1530"/>
      <c r="DA964" s="1530"/>
      <c r="DB964" s="1530"/>
      <c r="DC964" s="1530"/>
      <c r="DD964" s="1530"/>
      <c r="DE964" s="1530"/>
      <c r="DF964" s="1530"/>
      <c r="DG964" s="1530"/>
      <c r="DH964" s="1530"/>
      <c r="DI964" s="1530"/>
      <c r="DJ964" s="1530"/>
      <c r="DK964" s="1530"/>
      <c r="DL964" s="1530"/>
      <c r="DM964" s="1530"/>
      <c r="DN964" s="1571"/>
      <c r="DO964" s="1530"/>
      <c r="DP964" s="1530"/>
    </row>
    <row r="965" spans="1:120">
      <c r="A965" s="1451"/>
      <c r="C965" s="1451"/>
      <c r="K965" s="1451"/>
      <c r="L965" s="1451"/>
      <c r="U965" s="1530"/>
      <c r="V965" s="1530"/>
      <c r="W965" s="1530"/>
      <c r="X965" s="1530"/>
      <c r="Y965" s="1530"/>
      <c r="Z965" s="1530"/>
      <c r="AA965" s="1530"/>
      <c r="AB965" s="1530"/>
      <c r="AC965" s="1530"/>
      <c r="AD965" s="1530"/>
      <c r="AE965" s="1530"/>
      <c r="AF965" s="1530"/>
      <c r="AG965" s="1530"/>
      <c r="AH965" s="1530"/>
      <c r="AI965" s="1530"/>
      <c r="AJ965" s="1530"/>
      <c r="AK965" s="1530"/>
      <c r="AL965" s="1530"/>
      <c r="AM965" s="1530"/>
      <c r="AN965" s="1530"/>
      <c r="AO965" s="1530"/>
      <c r="AP965" s="1530"/>
      <c r="AQ965" s="1530"/>
      <c r="AR965" s="1530"/>
      <c r="AS965" s="1530"/>
      <c r="AT965" s="1530"/>
      <c r="AU965" s="1530"/>
      <c r="AV965" s="1530"/>
      <c r="AW965" s="1530"/>
      <c r="AX965" s="1530"/>
      <c r="AY965" s="1530"/>
      <c r="AZ965" s="1530"/>
      <c r="BA965" s="1530"/>
      <c r="BB965" s="1530"/>
      <c r="BC965" s="1530"/>
      <c r="BD965" s="1530"/>
      <c r="BE965" s="1530"/>
      <c r="BF965" s="1530"/>
      <c r="BG965" s="1530"/>
      <c r="BH965" s="1530"/>
      <c r="BI965" s="1530"/>
      <c r="BJ965" s="1530"/>
      <c r="BK965" s="1530"/>
      <c r="BL965" s="1530"/>
      <c r="BM965" s="1530"/>
      <c r="BN965" s="1530"/>
      <c r="BW965" s="1569"/>
      <c r="CO965" s="1530"/>
      <c r="CP965" s="1530"/>
      <c r="CQ965" s="1530"/>
      <c r="CR965" s="1530"/>
      <c r="CS965" s="1530"/>
      <c r="CT965" s="1530"/>
      <c r="CU965" s="1530"/>
      <c r="CV965" s="1530"/>
      <c r="CW965" s="1530"/>
      <c r="CX965" s="1530"/>
      <c r="CY965" s="1530"/>
      <c r="CZ965" s="1530"/>
      <c r="DA965" s="1530"/>
      <c r="DB965" s="1530"/>
      <c r="DC965" s="1530"/>
      <c r="DD965" s="1530"/>
      <c r="DE965" s="1530"/>
      <c r="DF965" s="1530"/>
      <c r="DG965" s="1530"/>
      <c r="DH965" s="1530"/>
      <c r="DI965" s="1530"/>
      <c r="DJ965" s="1530"/>
      <c r="DK965" s="1530"/>
      <c r="DL965" s="1530"/>
      <c r="DM965" s="1530"/>
      <c r="DN965" s="1571"/>
      <c r="DO965" s="1530"/>
      <c r="DP965" s="1530"/>
    </row>
    <row r="966" spans="1:120">
      <c r="A966" s="1451"/>
      <c r="C966" s="1451"/>
      <c r="K966" s="1451"/>
      <c r="L966" s="1451"/>
      <c r="U966" s="1530"/>
      <c r="V966" s="1530"/>
      <c r="W966" s="1530"/>
      <c r="X966" s="1530"/>
      <c r="Y966" s="1530"/>
      <c r="Z966" s="1530"/>
      <c r="AA966" s="1530"/>
      <c r="AB966" s="1530"/>
      <c r="AC966" s="1530"/>
      <c r="AD966" s="1530"/>
      <c r="AE966" s="1530"/>
      <c r="AF966" s="1530"/>
      <c r="AG966" s="1530"/>
      <c r="AH966" s="1530"/>
      <c r="AI966" s="1530"/>
      <c r="AJ966" s="1530"/>
      <c r="AK966" s="1530"/>
      <c r="AL966" s="1530"/>
      <c r="AM966" s="1530"/>
      <c r="AN966" s="1530"/>
      <c r="AO966" s="1530"/>
      <c r="AP966" s="1530"/>
      <c r="AQ966" s="1530"/>
      <c r="AR966" s="1530"/>
      <c r="AS966" s="1530"/>
      <c r="AT966" s="1530"/>
      <c r="AU966" s="1530"/>
      <c r="AV966" s="1530"/>
      <c r="AW966" s="1530"/>
      <c r="AX966" s="1530"/>
      <c r="AY966" s="1530"/>
      <c r="AZ966" s="1530"/>
      <c r="BA966" s="1530"/>
      <c r="BB966" s="1530"/>
      <c r="BC966" s="1530"/>
      <c r="BD966" s="1530"/>
      <c r="BE966" s="1530"/>
      <c r="BF966" s="1530"/>
      <c r="BG966" s="1530"/>
      <c r="BH966" s="1530"/>
      <c r="BI966" s="1530"/>
      <c r="BJ966" s="1530"/>
      <c r="BK966" s="1530"/>
      <c r="BL966" s="1530"/>
      <c r="BM966" s="1530"/>
      <c r="BN966" s="1530"/>
      <c r="BW966" s="1569"/>
      <c r="CO966" s="1530"/>
      <c r="CP966" s="1530"/>
      <c r="CQ966" s="1530"/>
      <c r="CR966" s="1530"/>
      <c r="CS966" s="1530"/>
      <c r="CT966" s="1530"/>
      <c r="CU966" s="1530"/>
      <c r="CV966" s="1530"/>
      <c r="CW966" s="1530"/>
      <c r="CX966" s="1530"/>
      <c r="CY966" s="1530"/>
      <c r="CZ966" s="1530"/>
      <c r="DA966" s="1530"/>
      <c r="DB966" s="1530"/>
      <c r="DC966" s="1530"/>
      <c r="DD966" s="1530"/>
      <c r="DE966" s="1530"/>
      <c r="DF966" s="1530"/>
      <c r="DG966" s="1530"/>
      <c r="DH966" s="1530"/>
      <c r="DI966" s="1530"/>
      <c r="DJ966" s="1530"/>
      <c r="DK966" s="1530"/>
      <c r="DL966" s="1530"/>
      <c r="DM966" s="1530"/>
      <c r="DN966" s="1571"/>
      <c r="DO966" s="1530"/>
      <c r="DP966" s="1530"/>
    </row>
    <row r="967" spans="1:120">
      <c r="A967" s="1451"/>
      <c r="C967" s="1451"/>
      <c r="K967" s="1451"/>
      <c r="L967" s="1451"/>
      <c r="U967" s="1530"/>
      <c r="V967" s="1530"/>
      <c r="W967" s="1530"/>
      <c r="X967" s="1530"/>
      <c r="Y967" s="1530"/>
      <c r="Z967" s="1530"/>
      <c r="AA967" s="1530"/>
      <c r="AB967" s="1530"/>
      <c r="AC967" s="1530"/>
      <c r="AD967" s="1530"/>
      <c r="AE967" s="1530"/>
      <c r="AF967" s="1530"/>
      <c r="AG967" s="1530"/>
      <c r="AH967" s="1530"/>
      <c r="AI967" s="1530"/>
      <c r="AJ967" s="1530"/>
      <c r="AK967" s="1530"/>
      <c r="AL967" s="1530"/>
      <c r="AM967" s="1530"/>
      <c r="AN967" s="1530"/>
      <c r="AO967" s="1530"/>
      <c r="AP967" s="1530"/>
      <c r="AQ967" s="1530"/>
      <c r="AR967" s="1530"/>
      <c r="AS967" s="1530"/>
      <c r="AT967" s="1530"/>
      <c r="AU967" s="1530"/>
      <c r="AV967" s="1530"/>
      <c r="AW967" s="1530"/>
      <c r="AX967" s="1530"/>
      <c r="AY967" s="1530"/>
      <c r="AZ967" s="1530"/>
      <c r="BA967" s="1530"/>
      <c r="BB967" s="1530"/>
      <c r="BC967" s="1530"/>
      <c r="BD967" s="1530"/>
      <c r="BE967" s="1530"/>
      <c r="BF967" s="1530"/>
      <c r="BG967" s="1530"/>
      <c r="BH967" s="1530"/>
      <c r="BI967" s="1530"/>
      <c r="BJ967" s="1530"/>
      <c r="BK967" s="1530"/>
      <c r="BL967" s="1530"/>
      <c r="BM967" s="1530"/>
      <c r="BN967" s="1530"/>
      <c r="BW967" s="1569"/>
      <c r="CO967" s="1530"/>
      <c r="CP967" s="1530"/>
      <c r="CQ967" s="1530"/>
      <c r="CR967" s="1530"/>
      <c r="CS967" s="1530"/>
      <c r="CT967" s="1530"/>
      <c r="CU967" s="1530"/>
      <c r="CV967" s="1530"/>
      <c r="CW967" s="1530"/>
      <c r="CX967" s="1530"/>
      <c r="CY967" s="1530"/>
      <c r="CZ967" s="1530"/>
      <c r="DA967" s="1530"/>
      <c r="DB967" s="1530"/>
      <c r="DC967" s="1530"/>
      <c r="DD967" s="1530"/>
      <c r="DE967" s="1530"/>
      <c r="DF967" s="1530"/>
      <c r="DG967" s="1530"/>
      <c r="DH967" s="1530"/>
      <c r="DI967" s="1530"/>
      <c r="DJ967" s="1530"/>
      <c r="DK967" s="1530"/>
      <c r="DL967" s="1530"/>
      <c r="DM967" s="1530"/>
      <c r="DN967" s="1571"/>
      <c r="DO967" s="1530"/>
      <c r="DP967" s="1530"/>
    </row>
    <row r="968" spans="1:120">
      <c r="A968" s="1451"/>
      <c r="C968" s="1451"/>
      <c r="K968" s="1451"/>
      <c r="L968" s="1451"/>
      <c r="U968" s="1530"/>
      <c r="V968" s="1530"/>
      <c r="W968" s="1530"/>
      <c r="X968" s="1530"/>
      <c r="Y968" s="1530"/>
      <c r="Z968" s="1530"/>
      <c r="AA968" s="1530"/>
      <c r="AB968" s="1530"/>
      <c r="AC968" s="1530"/>
      <c r="AD968" s="1530"/>
      <c r="AE968" s="1530"/>
      <c r="AF968" s="1530"/>
      <c r="AG968" s="1530"/>
      <c r="AH968" s="1530"/>
      <c r="AI968" s="1530"/>
      <c r="AJ968" s="1530"/>
      <c r="AK968" s="1530"/>
      <c r="AL968" s="1530"/>
      <c r="AM968" s="1530"/>
      <c r="AN968" s="1530"/>
      <c r="AO968" s="1530"/>
      <c r="AP968" s="1530"/>
      <c r="AQ968" s="1530"/>
      <c r="AR968" s="1530"/>
      <c r="AS968" s="1530"/>
      <c r="AT968" s="1530"/>
      <c r="AU968" s="1530"/>
      <c r="AV968" s="1530"/>
      <c r="AW968" s="1530"/>
      <c r="AX968" s="1530"/>
      <c r="AY968" s="1530"/>
      <c r="AZ968" s="1530"/>
      <c r="BA968" s="1530"/>
      <c r="BB968" s="1530"/>
      <c r="BC968" s="1530"/>
      <c r="BD968" s="1530"/>
      <c r="BE968" s="1530"/>
      <c r="BF968" s="1530"/>
      <c r="BG968" s="1530"/>
      <c r="BH968" s="1530"/>
      <c r="BI968" s="1530"/>
      <c r="BJ968" s="1530"/>
      <c r="BK968" s="1530"/>
      <c r="BL968" s="1530"/>
      <c r="BM968" s="1530"/>
      <c r="BN968" s="1530"/>
      <c r="BW968" s="1569"/>
      <c r="CO968" s="1530"/>
      <c r="CP968" s="1530"/>
      <c r="CQ968" s="1530"/>
      <c r="CR968" s="1530"/>
      <c r="CS968" s="1530"/>
      <c r="CT968" s="1530"/>
      <c r="CU968" s="1530"/>
      <c r="CV968" s="1530"/>
      <c r="CW968" s="1530"/>
      <c r="CX968" s="1530"/>
      <c r="CY968" s="1530"/>
      <c r="CZ968" s="1530"/>
      <c r="DA968" s="1530"/>
      <c r="DB968" s="1530"/>
      <c r="DC968" s="1530"/>
      <c r="DD968" s="1530"/>
      <c r="DE968" s="1530"/>
      <c r="DF968" s="1530"/>
      <c r="DG968" s="1530"/>
      <c r="DH968" s="1530"/>
      <c r="DI968" s="1530"/>
      <c r="DJ968" s="1530"/>
      <c r="DK968" s="1530"/>
      <c r="DL968" s="1530"/>
      <c r="DM968" s="1530"/>
      <c r="DN968" s="1571"/>
      <c r="DO968" s="1530"/>
      <c r="DP968" s="1530"/>
    </row>
    <row r="969" spans="1:120">
      <c r="A969" s="1451"/>
      <c r="C969" s="1451"/>
      <c r="K969" s="1451"/>
      <c r="L969" s="1451"/>
      <c r="U969" s="1530"/>
      <c r="V969" s="1530"/>
      <c r="W969" s="1530"/>
      <c r="X969" s="1530"/>
      <c r="Y969" s="1530"/>
      <c r="Z969" s="1530"/>
      <c r="AA969" s="1530"/>
      <c r="AB969" s="1530"/>
      <c r="AC969" s="1530"/>
      <c r="AD969" s="1530"/>
      <c r="AE969" s="1530"/>
      <c r="AF969" s="1530"/>
      <c r="AG969" s="1530"/>
      <c r="AH969" s="1530"/>
      <c r="AI969" s="1530"/>
      <c r="AJ969" s="1530"/>
      <c r="AK969" s="1530"/>
      <c r="AL969" s="1530"/>
      <c r="AM969" s="1530"/>
      <c r="AN969" s="1530"/>
      <c r="AO969" s="1530"/>
      <c r="AP969" s="1530"/>
      <c r="AQ969" s="1530"/>
      <c r="AR969" s="1530"/>
      <c r="AS969" s="1530"/>
      <c r="AT969" s="1530"/>
      <c r="AU969" s="1530"/>
      <c r="AV969" s="1530"/>
      <c r="AW969" s="1530"/>
      <c r="AX969" s="1530"/>
      <c r="AY969" s="1530"/>
      <c r="AZ969" s="1530"/>
      <c r="BA969" s="1530"/>
      <c r="BB969" s="1530"/>
      <c r="BC969" s="1530"/>
      <c r="BD969" s="1530"/>
      <c r="BE969" s="1530"/>
      <c r="BF969" s="1530"/>
      <c r="BG969" s="1530"/>
      <c r="BH969" s="1530"/>
      <c r="BI969" s="1530"/>
      <c r="BJ969" s="1530"/>
      <c r="BK969" s="1530"/>
      <c r="BL969" s="1530"/>
      <c r="BM969" s="1530"/>
      <c r="BN969" s="1530"/>
      <c r="BW969" s="1569"/>
      <c r="CO969" s="1530"/>
      <c r="CP969" s="1530"/>
      <c r="CQ969" s="1530"/>
      <c r="CR969" s="1530"/>
      <c r="CS969" s="1530"/>
      <c r="CT969" s="1530"/>
      <c r="CU969" s="1530"/>
      <c r="CV969" s="1530"/>
      <c r="CW969" s="1530"/>
      <c r="CX969" s="1530"/>
      <c r="CY969" s="1530"/>
      <c r="CZ969" s="1530"/>
      <c r="DA969" s="1530"/>
      <c r="DB969" s="1530"/>
      <c r="DC969" s="1530"/>
      <c r="DD969" s="1530"/>
      <c r="DE969" s="1530"/>
      <c r="DF969" s="1530"/>
      <c r="DG969" s="1530"/>
      <c r="DH969" s="1530"/>
      <c r="DI969" s="1530"/>
      <c r="DJ969" s="1530"/>
      <c r="DK969" s="1530"/>
      <c r="DL969" s="1530"/>
      <c r="DM969" s="1530"/>
      <c r="DN969" s="1571"/>
      <c r="DO969" s="1530"/>
      <c r="DP969" s="1530"/>
    </row>
    <row r="970" spans="1:120">
      <c r="A970" s="1451"/>
      <c r="C970" s="1451"/>
      <c r="K970" s="1451"/>
      <c r="L970" s="1451"/>
      <c r="U970" s="1530"/>
      <c r="V970" s="1530"/>
      <c r="W970" s="1530"/>
      <c r="X970" s="1530"/>
      <c r="Y970" s="1530"/>
      <c r="Z970" s="1530"/>
      <c r="AA970" s="1530"/>
      <c r="AB970" s="1530"/>
      <c r="AC970" s="1530"/>
      <c r="AD970" s="1530"/>
      <c r="AE970" s="1530"/>
      <c r="AF970" s="1530"/>
      <c r="AG970" s="1530"/>
      <c r="AH970" s="1530"/>
      <c r="AI970" s="1530"/>
      <c r="AJ970" s="1530"/>
      <c r="AK970" s="1530"/>
      <c r="AL970" s="1530"/>
      <c r="AM970" s="1530"/>
      <c r="AN970" s="1530"/>
      <c r="AO970" s="1530"/>
      <c r="AP970" s="1530"/>
      <c r="AQ970" s="1530"/>
      <c r="AR970" s="1530"/>
      <c r="AS970" s="1530"/>
      <c r="AT970" s="1530"/>
      <c r="AU970" s="1530"/>
      <c r="AV970" s="1530"/>
      <c r="AW970" s="1530"/>
      <c r="AX970" s="1530"/>
      <c r="AY970" s="1530"/>
      <c r="AZ970" s="1530"/>
      <c r="BA970" s="1530"/>
      <c r="BB970" s="1530"/>
      <c r="BC970" s="1530"/>
      <c r="BD970" s="1530"/>
      <c r="BE970" s="1530"/>
      <c r="BF970" s="1530"/>
      <c r="BG970" s="1530"/>
      <c r="BH970" s="1530"/>
      <c r="BI970" s="1530"/>
      <c r="BJ970" s="1530"/>
      <c r="BK970" s="1530"/>
      <c r="BL970" s="1530"/>
      <c r="BM970" s="1530"/>
      <c r="BN970" s="1530"/>
      <c r="BW970" s="1569"/>
      <c r="CO970" s="1530"/>
      <c r="CP970" s="1530"/>
      <c r="CQ970" s="1530"/>
      <c r="CR970" s="1530"/>
      <c r="CS970" s="1530"/>
      <c r="CT970" s="1530"/>
      <c r="CU970" s="1530"/>
      <c r="CV970" s="1530"/>
      <c r="CW970" s="1530"/>
      <c r="CX970" s="1530"/>
      <c r="CY970" s="1530"/>
      <c r="CZ970" s="1530"/>
      <c r="DA970" s="1530"/>
      <c r="DB970" s="1530"/>
      <c r="DC970" s="1530"/>
      <c r="DD970" s="1530"/>
      <c r="DE970" s="1530"/>
      <c r="DF970" s="1530"/>
      <c r="DG970" s="1530"/>
      <c r="DH970" s="1530"/>
      <c r="DI970" s="1530"/>
      <c r="DJ970" s="1530"/>
      <c r="DK970" s="1530"/>
      <c r="DL970" s="1530"/>
      <c r="DM970" s="1530"/>
      <c r="DN970" s="1571"/>
      <c r="DO970" s="1530"/>
      <c r="DP970" s="1530"/>
    </row>
    <row r="971" spans="1:120">
      <c r="A971" s="1451"/>
      <c r="C971" s="1451"/>
      <c r="K971" s="1451"/>
      <c r="L971" s="1451"/>
      <c r="U971" s="1530"/>
      <c r="V971" s="1530"/>
      <c r="W971" s="1530"/>
      <c r="X971" s="1530"/>
      <c r="Y971" s="1530"/>
      <c r="Z971" s="1530"/>
      <c r="AA971" s="1530"/>
      <c r="AB971" s="1530"/>
      <c r="AC971" s="1530"/>
      <c r="AD971" s="1530"/>
      <c r="AE971" s="1530"/>
      <c r="AF971" s="1530"/>
      <c r="AG971" s="1530"/>
      <c r="AH971" s="1530"/>
      <c r="AI971" s="1530"/>
      <c r="AJ971" s="1530"/>
      <c r="AK971" s="1530"/>
      <c r="AL971" s="1530"/>
      <c r="AM971" s="1530"/>
      <c r="AN971" s="1530"/>
      <c r="AO971" s="1530"/>
      <c r="AP971" s="1530"/>
      <c r="AQ971" s="1530"/>
      <c r="AR971" s="1530"/>
      <c r="AS971" s="1530"/>
      <c r="AT971" s="1530"/>
      <c r="AU971" s="1530"/>
      <c r="AV971" s="1530"/>
      <c r="AW971" s="1530"/>
      <c r="AX971" s="1530"/>
      <c r="AY971" s="1530"/>
      <c r="AZ971" s="1530"/>
      <c r="BA971" s="1530"/>
      <c r="BB971" s="1530"/>
      <c r="BC971" s="1530"/>
      <c r="BD971" s="1530"/>
      <c r="BE971" s="1530"/>
      <c r="BF971" s="1530"/>
      <c r="BG971" s="1530"/>
      <c r="BH971" s="1530"/>
      <c r="BI971" s="1530"/>
      <c r="BJ971" s="1530"/>
      <c r="BK971" s="1530"/>
      <c r="BL971" s="1530"/>
      <c r="BM971" s="1530"/>
      <c r="BN971" s="1530"/>
      <c r="BW971" s="1569"/>
      <c r="CO971" s="1530"/>
      <c r="CP971" s="1530"/>
      <c r="CQ971" s="1530"/>
      <c r="CR971" s="1530"/>
      <c r="CS971" s="1530"/>
      <c r="CT971" s="1530"/>
      <c r="CU971" s="1530"/>
      <c r="CV971" s="1530"/>
      <c r="CW971" s="1530"/>
      <c r="CX971" s="1530"/>
      <c r="CY971" s="1530"/>
      <c r="CZ971" s="1530"/>
      <c r="DA971" s="1530"/>
      <c r="DB971" s="1530"/>
      <c r="DC971" s="1530"/>
      <c r="DD971" s="1530"/>
      <c r="DE971" s="1530"/>
      <c r="DF971" s="1530"/>
      <c r="DG971" s="1530"/>
      <c r="DH971" s="1530"/>
      <c r="DI971" s="1530"/>
      <c r="DJ971" s="1530"/>
      <c r="DK971" s="1530"/>
      <c r="DL971" s="1530"/>
      <c r="DM971" s="1530"/>
      <c r="DN971" s="1571"/>
      <c r="DO971" s="1530"/>
      <c r="DP971" s="1530"/>
    </row>
    <row r="972" spans="1:120">
      <c r="A972" s="1451"/>
      <c r="C972" s="1451"/>
      <c r="K972" s="1451"/>
      <c r="L972" s="1451"/>
      <c r="U972" s="1530"/>
      <c r="V972" s="1530"/>
      <c r="W972" s="1530"/>
      <c r="X972" s="1530"/>
      <c r="Y972" s="1530"/>
      <c r="Z972" s="1530"/>
      <c r="AA972" s="1530"/>
      <c r="AB972" s="1530"/>
      <c r="AC972" s="1530"/>
      <c r="AD972" s="1530"/>
      <c r="AE972" s="1530"/>
      <c r="AF972" s="1530"/>
      <c r="AG972" s="1530"/>
      <c r="AH972" s="1530"/>
      <c r="AI972" s="1530"/>
      <c r="AJ972" s="1530"/>
      <c r="AK972" s="1530"/>
      <c r="AL972" s="1530"/>
      <c r="AM972" s="1530"/>
      <c r="AN972" s="1530"/>
      <c r="AO972" s="1530"/>
      <c r="AP972" s="1530"/>
      <c r="AQ972" s="1530"/>
      <c r="AR972" s="1530"/>
      <c r="AS972" s="1530"/>
      <c r="AT972" s="1530"/>
      <c r="AU972" s="1530"/>
      <c r="AV972" s="1530"/>
      <c r="AW972" s="1530"/>
      <c r="AX972" s="1530"/>
      <c r="AY972" s="1530"/>
      <c r="AZ972" s="1530"/>
      <c r="BA972" s="1530"/>
      <c r="BB972" s="1530"/>
      <c r="BC972" s="1530"/>
      <c r="BD972" s="1530"/>
      <c r="BE972" s="1530"/>
      <c r="BF972" s="1530"/>
      <c r="BG972" s="1530"/>
      <c r="BH972" s="1530"/>
      <c r="BI972" s="1530"/>
      <c r="BJ972" s="1530"/>
      <c r="BK972" s="1530"/>
      <c r="BL972" s="1530"/>
      <c r="BM972" s="1530"/>
      <c r="BN972" s="1530"/>
      <c r="BW972" s="1569"/>
      <c r="CO972" s="1530"/>
      <c r="CP972" s="1530"/>
      <c r="CQ972" s="1530"/>
      <c r="CR972" s="1530"/>
      <c r="CS972" s="1530"/>
      <c r="CT972" s="1530"/>
      <c r="CU972" s="1530"/>
      <c r="CV972" s="1530"/>
      <c r="CW972" s="1530"/>
      <c r="CX972" s="1530"/>
      <c r="CY972" s="1530"/>
      <c r="CZ972" s="1530"/>
      <c r="DA972" s="1530"/>
      <c r="DB972" s="1530"/>
      <c r="DC972" s="1530"/>
      <c r="DD972" s="1530"/>
      <c r="DE972" s="1530"/>
      <c r="DF972" s="1530"/>
      <c r="DG972" s="1530"/>
      <c r="DH972" s="1530"/>
      <c r="DI972" s="1530"/>
      <c r="DJ972" s="1530"/>
      <c r="DK972" s="1530"/>
      <c r="DL972" s="1530"/>
      <c r="DM972" s="1530"/>
      <c r="DN972" s="1571"/>
      <c r="DO972" s="1530"/>
      <c r="DP972" s="1530"/>
    </row>
    <row r="973" spans="1:120">
      <c r="A973" s="1451"/>
      <c r="C973" s="1451"/>
      <c r="K973" s="1451"/>
      <c r="L973" s="1451"/>
      <c r="U973" s="1530"/>
      <c r="V973" s="1530"/>
      <c r="W973" s="1530"/>
      <c r="X973" s="1530"/>
      <c r="Y973" s="1530"/>
      <c r="Z973" s="1530"/>
      <c r="AA973" s="1530"/>
      <c r="AB973" s="1530"/>
      <c r="AC973" s="1530"/>
      <c r="AD973" s="1530"/>
      <c r="AE973" s="1530"/>
      <c r="AF973" s="1530"/>
      <c r="AG973" s="1530"/>
      <c r="AH973" s="1530"/>
      <c r="AI973" s="1530"/>
      <c r="AJ973" s="1530"/>
      <c r="AK973" s="1530"/>
      <c r="AL973" s="1530"/>
      <c r="AM973" s="1530"/>
      <c r="AN973" s="1530"/>
      <c r="AO973" s="1530"/>
      <c r="AP973" s="1530"/>
      <c r="AQ973" s="1530"/>
      <c r="AR973" s="1530"/>
      <c r="AS973" s="1530"/>
      <c r="AT973" s="1530"/>
      <c r="AU973" s="1530"/>
      <c r="AV973" s="1530"/>
      <c r="AW973" s="1530"/>
      <c r="AX973" s="1530"/>
      <c r="AY973" s="1530"/>
      <c r="AZ973" s="1530"/>
      <c r="BA973" s="1530"/>
      <c r="BB973" s="1530"/>
      <c r="BC973" s="1530"/>
      <c r="BD973" s="1530"/>
      <c r="BE973" s="1530"/>
      <c r="BF973" s="1530"/>
      <c r="BG973" s="1530"/>
      <c r="BH973" s="1530"/>
      <c r="BI973" s="1530"/>
      <c r="BJ973" s="1530"/>
      <c r="BK973" s="1530"/>
      <c r="BL973" s="1530"/>
      <c r="BM973" s="1530"/>
      <c r="BN973" s="1530"/>
      <c r="BW973" s="1569"/>
      <c r="CO973" s="1530"/>
      <c r="CP973" s="1530"/>
      <c r="CQ973" s="1530"/>
      <c r="CR973" s="1530"/>
      <c r="CS973" s="1530"/>
      <c r="CT973" s="1530"/>
      <c r="CU973" s="1530"/>
      <c r="CV973" s="1530"/>
      <c r="CW973" s="1530"/>
      <c r="CX973" s="1530"/>
      <c r="CY973" s="1530"/>
      <c r="CZ973" s="1530"/>
      <c r="DA973" s="1530"/>
      <c r="DB973" s="1530"/>
      <c r="DC973" s="1530"/>
      <c r="DD973" s="1530"/>
      <c r="DE973" s="1530"/>
      <c r="DF973" s="1530"/>
      <c r="DG973" s="1530"/>
      <c r="DH973" s="1530"/>
      <c r="DI973" s="1530"/>
      <c r="DJ973" s="1530"/>
      <c r="DK973" s="1530"/>
      <c r="DL973" s="1530"/>
      <c r="DM973" s="1530"/>
      <c r="DN973" s="1571"/>
      <c r="DO973" s="1530"/>
      <c r="DP973" s="1530"/>
    </row>
    <row r="974" spans="1:120">
      <c r="A974" s="1451"/>
      <c r="C974" s="1451"/>
      <c r="K974" s="1451"/>
      <c r="L974" s="1451"/>
      <c r="U974" s="1530"/>
      <c r="V974" s="1530"/>
      <c r="W974" s="1530"/>
      <c r="X974" s="1530"/>
      <c r="Y974" s="1530"/>
      <c r="Z974" s="1530"/>
      <c r="AA974" s="1530"/>
      <c r="AB974" s="1530"/>
      <c r="AC974" s="1530"/>
      <c r="AD974" s="1530"/>
      <c r="AE974" s="1530"/>
      <c r="AF974" s="1530"/>
      <c r="AG974" s="1530"/>
      <c r="AH974" s="1530"/>
      <c r="AI974" s="1530"/>
      <c r="AJ974" s="1530"/>
      <c r="AK974" s="1530"/>
      <c r="AL974" s="1530"/>
      <c r="AM974" s="1530"/>
      <c r="AN974" s="1530"/>
      <c r="AO974" s="1530"/>
      <c r="AP974" s="1530"/>
      <c r="AQ974" s="1530"/>
      <c r="AR974" s="1530"/>
      <c r="AS974" s="1530"/>
      <c r="AT974" s="1530"/>
      <c r="AU974" s="1530"/>
      <c r="AV974" s="1530"/>
      <c r="AW974" s="1530"/>
      <c r="AX974" s="1530"/>
      <c r="AY974" s="1530"/>
      <c r="AZ974" s="1530"/>
      <c r="BA974" s="1530"/>
      <c r="BB974" s="1530"/>
      <c r="BC974" s="1530"/>
      <c r="BD974" s="1530"/>
      <c r="BE974" s="1530"/>
      <c r="BF974" s="1530"/>
      <c r="BG974" s="1530"/>
      <c r="BH974" s="1530"/>
      <c r="BI974" s="1530"/>
      <c r="BJ974" s="1530"/>
      <c r="BK974" s="1530"/>
      <c r="BL974" s="1530"/>
      <c r="BM974" s="1530"/>
      <c r="BN974" s="1530"/>
      <c r="BW974" s="1569"/>
      <c r="CO974" s="1530"/>
      <c r="CP974" s="1530"/>
      <c r="CQ974" s="1530"/>
      <c r="CR974" s="1530"/>
      <c r="CS974" s="1530"/>
      <c r="CT974" s="1530"/>
      <c r="CU974" s="1530"/>
      <c r="CV974" s="1530"/>
      <c r="CW974" s="1530"/>
      <c r="CX974" s="1530"/>
      <c r="CY974" s="1530"/>
      <c r="CZ974" s="1530"/>
      <c r="DA974" s="1530"/>
      <c r="DB974" s="1530"/>
      <c r="DC974" s="1530"/>
      <c r="DD974" s="1530"/>
      <c r="DE974" s="1530"/>
      <c r="DF974" s="1530"/>
      <c r="DG974" s="1530"/>
      <c r="DH974" s="1530"/>
      <c r="DI974" s="1530"/>
      <c r="DJ974" s="1530"/>
      <c r="DK974" s="1530"/>
      <c r="DL974" s="1530"/>
      <c r="DM974" s="1530"/>
      <c r="DN974" s="1571"/>
      <c r="DO974" s="1530"/>
      <c r="DP974" s="1530"/>
    </row>
    <row r="975" spans="1:120">
      <c r="A975" s="1451"/>
      <c r="C975" s="1451"/>
      <c r="K975" s="1451"/>
      <c r="L975" s="1451"/>
      <c r="U975" s="1530"/>
      <c r="V975" s="1530"/>
      <c r="W975" s="1530"/>
      <c r="X975" s="1530"/>
      <c r="Y975" s="1530"/>
      <c r="Z975" s="1530"/>
      <c r="AA975" s="1530"/>
      <c r="AB975" s="1530"/>
      <c r="AC975" s="1530"/>
      <c r="AD975" s="1530"/>
      <c r="AE975" s="1530"/>
      <c r="AF975" s="1530"/>
      <c r="AG975" s="1530"/>
      <c r="AH975" s="1530"/>
      <c r="AI975" s="1530"/>
      <c r="AJ975" s="1530"/>
      <c r="AK975" s="1530"/>
      <c r="AL975" s="1530"/>
      <c r="AM975" s="1530"/>
      <c r="AN975" s="1530"/>
      <c r="AO975" s="1530"/>
      <c r="AP975" s="1530"/>
      <c r="AQ975" s="1530"/>
      <c r="AR975" s="1530"/>
      <c r="AS975" s="1530"/>
      <c r="AT975" s="1530"/>
      <c r="AU975" s="1530"/>
      <c r="AV975" s="1530"/>
      <c r="AW975" s="1530"/>
      <c r="AX975" s="1530"/>
      <c r="AY975" s="1530"/>
      <c r="AZ975" s="1530"/>
      <c r="BA975" s="1530"/>
      <c r="BB975" s="1530"/>
      <c r="BC975" s="1530"/>
      <c r="BD975" s="1530"/>
      <c r="BE975" s="1530"/>
      <c r="BF975" s="1530"/>
      <c r="BG975" s="1530"/>
      <c r="BH975" s="1530"/>
      <c r="BI975" s="1530"/>
      <c r="BJ975" s="1530"/>
      <c r="BK975" s="1530"/>
      <c r="BL975" s="1530"/>
      <c r="BM975" s="1530"/>
      <c r="BN975" s="1530"/>
      <c r="BW975" s="1569"/>
      <c r="CO975" s="1530"/>
      <c r="CP975" s="1530"/>
      <c r="CQ975" s="1530"/>
      <c r="CR975" s="1530"/>
      <c r="CS975" s="1530"/>
      <c r="CT975" s="1530"/>
      <c r="CU975" s="1530"/>
      <c r="CV975" s="1530"/>
      <c r="CW975" s="1530"/>
      <c r="CX975" s="1530"/>
      <c r="CY975" s="1530"/>
      <c r="CZ975" s="1530"/>
      <c r="DA975" s="1530"/>
      <c r="DB975" s="1530"/>
      <c r="DC975" s="1530"/>
      <c r="DD975" s="1530"/>
      <c r="DE975" s="1530"/>
      <c r="DF975" s="1530"/>
      <c r="DG975" s="1530"/>
      <c r="DH975" s="1530"/>
      <c r="DI975" s="1530"/>
      <c r="DJ975" s="1530"/>
      <c r="DK975" s="1530"/>
      <c r="DL975" s="1530"/>
      <c r="DM975" s="1530"/>
      <c r="DN975" s="1571"/>
      <c r="DO975" s="1530"/>
      <c r="DP975" s="1530"/>
    </row>
    <row r="976" spans="1:120">
      <c r="A976" s="1451"/>
      <c r="C976" s="1451"/>
      <c r="K976" s="1451"/>
      <c r="L976" s="1451"/>
      <c r="U976" s="1530"/>
      <c r="V976" s="1530"/>
      <c r="W976" s="1530"/>
      <c r="X976" s="1530"/>
      <c r="Y976" s="1530"/>
      <c r="Z976" s="1530"/>
      <c r="AA976" s="1530"/>
      <c r="AB976" s="1530"/>
      <c r="AC976" s="1530"/>
      <c r="AD976" s="1530"/>
      <c r="AE976" s="1530"/>
      <c r="AF976" s="1530"/>
      <c r="AG976" s="1530"/>
      <c r="AH976" s="1530"/>
      <c r="AI976" s="1530"/>
      <c r="AJ976" s="1530"/>
      <c r="AK976" s="1530"/>
      <c r="AL976" s="1530"/>
      <c r="AM976" s="1530"/>
      <c r="AN976" s="1530"/>
      <c r="AO976" s="1530"/>
      <c r="AP976" s="1530"/>
      <c r="AQ976" s="1530"/>
      <c r="AR976" s="1530"/>
      <c r="AS976" s="1530"/>
      <c r="AT976" s="1530"/>
      <c r="AU976" s="1530"/>
      <c r="AV976" s="1530"/>
      <c r="AW976" s="1530"/>
      <c r="AX976" s="1530"/>
      <c r="AY976" s="1530"/>
      <c r="AZ976" s="1530"/>
      <c r="BA976" s="1530"/>
      <c r="BB976" s="1530"/>
      <c r="BC976" s="1530"/>
      <c r="BD976" s="1530"/>
      <c r="BE976" s="1530"/>
      <c r="BF976" s="1530"/>
      <c r="BG976" s="1530"/>
      <c r="BH976" s="1530"/>
      <c r="BI976" s="1530"/>
      <c r="BJ976" s="1530"/>
      <c r="BK976" s="1530"/>
      <c r="BL976" s="1530"/>
      <c r="BM976" s="1530"/>
      <c r="BN976" s="1530"/>
      <c r="BW976" s="1569"/>
      <c r="CO976" s="1530"/>
      <c r="CP976" s="1530"/>
      <c r="CQ976" s="1530"/>
      <c r="CR976" s="1530"/>
      <c r="CS976" s="1530"/>
      <c r="CT976" s="1530"/>
      <c r="CU976" s="1530"/>
      <c r="CV976" s="1530"/>
      <c r="CW976" s="1530"/>
      <c r="CX976" s="1530"/>
      <c r="CY976" s="1530"/>
      <c r="CZ976" s="1530"/>
      <c r="DA976" s="1530"/>
      <c r="DB976" s="1530"/>
      <c r="DC976" s="1530"/>
      <c r="DD976" s="1530"/>
      <c r="DE976" s="1530"/>
      <c r="DF976" s="1530"/>
      <c r="DG976" s="1530"/>
      <c r="DH976" s="1530"/>
      <c r="DI976" s="1530"/>
      <c r="DJ976" s="1530"/>
      <c r="DK976" s="1530"/>
      <c r="DL976" s="1530"/>
      <c r="DM976" s="1530"/>
      <c r="DN976" s="1571"/>
      <c r="DO976" s="1530"/>
      <c r="DP976" s="1530"/>
    </row>
    <row r="977" spans="1:120">
      <c r="A977" s="1451"/>
      <c r="C977" s="1451"/>
      <c r="K977" s="1451"/>
      <c r="L977" s="1451"/>
      <c r="U977" s="1530"/>
      <c r="V977" s="1530"/>
      <c r="W977" s="1530"/>
      <c r="X977" s="1530"/>
      <c r="Y977" s="1530"/>
      <c r="Z977" s="1530"/>
      <c r="AA977" s="1530"/>
      <c r="AB977" s="1530"/>
      <c r="AC977" s="1530"/>
      <c r="AD977" s="1530"/>
      <c r="AE977" s="1530"/>
      <c r="AF977" s="1530"/>
      <c r="AG977" s="1530"/>
      <c r="AH977" s="1530"/>
      <c r="AI977" s="1530"/>
      <c r="AJ977" s="1530"/>
      <c r="AK977" s="1530"/>
      <c r="AL977" s="1530"/>
      <c r="AM977" s="1530"/>
      <c r="AN977" s="1530"/>
      <c r="AO977" s="1530"/>
      <c r="AP977" s="1530"/>
      <c r="AQ977" s="1530"/>
      <c r="AR977" s="1530"/>
      <c r="AS977" s="1530"/>
      <c r="AT977" s="1530"/>
      <c r="AU977" s="1530"/>
      <c r="AV977" s="1530"/>
      <c r="AW977" s="1530"/>
      <c r="AX977" s="1530"/>
      <c r="AY977" s="1530"/>
      <c r="AZ977" s="1530"/>
      <c r="BA977" s="1530"/>
      <c r="BB977" s="1530"/>
      <c r="BC977" s="1530"/>
      <c r="BD977" s="1530"/>
      <c r="BE977" s="1530"/>
      <c r="BF977" s="1530"/>
      <c r="BG977" s="1530"/>
      <c r="BH977" s="1530"/>
      <c r="BI977" s="1530"/>
      <c r="BJ977" s="1530"/>
      <c r="BK977" s="1530"/>
      <c r="BL977" s="1530"/>
      <c r="BM977" s="1530"/>
      <c r="BN977" s="1530"/>
      <c r="BW977" s="1569"/>
      <c r="CO977" s="1530"/>
      <c r="CP977" s="1530"/>
      <c r="CQ977" s="1530"/>
      <c r="CR977" s="1530"/>
      <c r="CS977" s="1530"/>
      <c r="CT977" s="1530"/>
      <c r="CU977" s="1530"/>
      <c r="CV977" s="1530"/>
      <c r="CW977" s="1530"/>
      <c r="CX977" s="1530"/>
      <c r="CY977" s="1530"/>
      <c r="CZ977" s="1530"/>
      <c r="DA977" s="1530"/>
      <c r="DB977" s="1530"/>
      <c r="DC977" s="1530"/>
      <c r="DD977" s="1530"/>
      <c r="DE977" s="1530"/>
      <c r="DF977" s="1530"/>
      <c r="DG977" s="1530"/>
      <c r="DH977" s="1530"/>
      <c r="DI977" s="1530"/>
      <c r="DJ977" s="1530"/>
      <c r="DK977" s="1530"/>
      <c r="DL977" s="1530"/>
      <c r="DM977" s="1530"/>
      <c r="DN977" s="1571"/>
      <c r="DO977" s="1530"/>
      <c r="DP977" s="1530"/>
    </row>
    <row r="978" spans="1:120">
      <c r="A978" s="1451"/>
      <c r="C978" s="1451"/>
      <c r="K978" s="1451"/>
      <c r="L978" s="1451"/>
      <c r="U978" s="1530"/>
      <c r="V978" s="1530"/>
      <c r="W978" s="1530"/>
      <c r="X978" s="1530"/>
      <c r="Y978" s="1530"/>
      <c r="Z978" s="1530"/>
      <c r="AA978" s="1530"/>
      <c r="AB978" s="1530"/>
      <c r="AC978" s="1530"/>
      <c r="AD978" s="1530"/>
      <c r="AE978" s="1530"/>
      <c r="AF978" s="1530"/>
      <c r="AG978" s="1530"/>
      <c r="AH978" s="1530"/>
      <c r="AI978" s="1530"/>
      <c r="AJ978" s="1530"/>
      <c r="AK978" s="1530"/>
      <c r="AL978" s="1530"/>
      <c r="AM978" s="1530"/>
      <c r="AN978" s="1530"/>
      <c r="AO978" s="1530"/>
      <c r="AP978" s="1530"/>
      <c r="AQ978" s="1530"/>
      <c r="AR978" s="1530"/>
      <c r="AS978" s="1530"/>
      <c r="AT978" s="1530"/>
      <c r="AU978" s="1530"/>
      <c r="AV978" s="1530"/>
      <c r="AW978" s="1530"/>
      <c r="AX978" s="1530"/>
      <c r="AY978" s="1530"/>
      <c r="AZ978" s="1530"/>
      <c r="BA978" s="1530"/>
      <c r="BB978" s="1530"/>
      <c r="BC978" s="1530"/>
      <c r="BD978" s="1530"/>
      <c r="BE978" s="1530"/>
      <c r="BF978" s="1530"/>
      <c r="BG978" s="1530"/>
      <c r="BH978" s="1530"/>
      <c r="BI978" s="1530"/>
      <c r="BJ978" s="1530"/>
      <c r="BK978" s="1530"/>
      <c r="BL978" s="1530"/>
      <c r="BM978" s="1530"/>
      <c r="BN978" s="1530"/>
      <c r="BW978" s="1569"/>
      <c r="CO978" s="1530"/>
      <c r="CP978" s="1530"/>
      <c r="CQ978" s="1530"/>
      <c r="CR978" s="1530"/>
      <c r="CS978" s="1530"/>
      <c r="CT978" s="1530"/>
      <c r="CU978" s="1530"/>
      <c r="CV978" s="1530"/>
      <c r="CW978" s="1530"/>
      <c r="CX978" s="1530"/>
      <c r="CY978" s="1530"/>
      <c r="CZ978" s="1530"/>
      <c r="DA978" s="1530"/>
      <c r="DB978" s="1530"/>
      <c r="DC978" s="1530"/>
      <c r="DD978" s="1530"/>
      <c r="DE978" s="1530"/>
      <c r="DF978" s="1530"/>
      <c r="DG978" s="1530"/>
      <c r="DH978" s="1530"/>
      <c r="DI978" s="1530"/>
      <c r="DJ978" s="1530"/>
      <c r="DK978" s="1530"/>
      <c r="DL978" s="1530"/>
      <c r="DM978" s="1530"/>
      <c r="DN978" s="1571"/>
      <c r="DO978" s="1530"/>
      <c r="DP978" s="1530"/>
    </row>
    <row r="979" spans="1:120">
      <c r="A979" s="1451"/>
      <c r="C979" s="1451"/>
      <c r="K979" s="1451"/>
      <c r="L979" s="1451"/>
      <c r="U979" s="1530"/>
      <c r="V979" s="1530"/>
      <c r="W979" s="1530"/>
      <c r="X979" s="1530"/>
      <c r="Y979" s="1530"/>
      <c r="Z979" s="1530"/>
      <c r="AA979" s="1530"/>
      <c r="AB979" s="1530"/>
      <c r="AC979" s="1530"/>
      <c r="AD979" s="1530"/>
      <c r="AE979" s="1530"/>
      <c r="AF979" s="1530"/>
      <c r="AG979" s="1530"/>
      <c r="AH979" s="1530"/>
      <c r="AI979" s="1530"/>
      <c r="AJ979" s="1530"/>
      <c r="AK979" s="1530"/>
      <c r="AL979" s="1530"/>
      <c r="AM979" s="1530"/>
      <c r="AN979" s="1530"/>
      <c r="AO979" s="1530"/>
      <c r="AP979" s="1530"/>
      <c r="AQ979" s="1530"/>
      <c r="AR979" s="1530"/>
      <c r="AS979" s="1530"/>
      <c r="AT979" s="1530"/>
      <c r="AU979" s="1530"/>
      <c r="AV979" s="1530"/>
      <c r="AW979" s="1530"/>
      <c r="AX979" s="1530"/>
      <c r="AY979" s="1530"/>
      <c r="AZ979" s="1530"/>
      <c r="BA979" s="1530"/>
      <c r="BB979" s="1530"/>
      <c r="BC979" s="1530"/>
      <c r="BD979" s="1530"/>
      <c r="BE979" s="1530"/>
      <c r="BF979" s="1530"/>
      <c r="BG979" s="1530"/>
      <c r="BH979" s="1530"/>
      <c r="BI979" s="1530"/>
      <c r="BJ979" s="1530"/>
      <c r="BK979" s="1530"/>
      <c r="BL979" s="1530"/>
      <c r="BM979" s="1530"/>
      <c r="BN979" s="1530"/>
      <c r="BW979" s="1569"/>
      <c r="CO979" s="1530"/>
      <c r="CP979" s="1530"/>
      <c r="CQ979" s="1530"/>
      <c r="CR979" s="1530"/>
      <c r="CS979" s="1530"/>
      <c r="CT979" s="1530"/>
      <c r="CU979" s="1530"/>
      <c r="CV979" s="1530"/>
      <c r="CW979" s="1530"/>
      <c r="CX979" s="1530"/>
      <c r="CY979" s="1530"/>
      <c r="CZ979" s="1530"/>
      <c r="DA979" s="1530"/>
      <c r="DB979" s="1530"/>
      <c r="DC979" s="1530"/>
      <c r="DD979" s="1530"/>
      <c r="DE979" s="1530"/>
      <c r="DF979" s="1530"/>
      <c r="DG979" s="1530"/>
      <c r="DH979" s="1530"/>
      <c r="DI979" s="1530"/>
      <c r="DJ979" s="1530"/>
      <c r="DK979" s="1530"/>
      <c r="DL979" s="1530"/>
      <c r="DM979" s="1530"/>
      <c r="DN979" s="1571"/>
      <c r="DO979" s="1530"/>
      <c r="DP979" s="1530"/>
    </row>
    <row r="980" spans="1:120">
      <c r="A980" s="1451"/>
      <c r="C980" s="1451"/>
      <c r="K980" s="1451"/>
      <c r="L980" s="1451"/>
      <c r="U980" s="1530"/>
      <c r="V980" s="1530"/>
      <c r="W980" s="1530"/>
      <c r="X980" s="1530"/>
      <c r="Y980" s="1530"/>
      <c r="Z980" s="1530"/>
      <c r="AA980" s="1530"/>
      <c r="AB980" s="1530"/>
      <c r="AC980" s="1530"/>
      <c r="AD980" s="1530"/>
      <c r="AE980" s="1530"/>
      <c r="AF980" s="1530"/>
      <c r="AG980" s="1530"/>
      <c r="AH980" s="1530"/>
      <c r="AI980" s="1530"/>
      <c r="AJ980" s="1530"/>
      <c r="AK980" s="1530"/>
      <c r="AL980" s="1530"/>
      <c r="AM980" s="1530"/>
      <c r="AN980" s="1530"/>
      <c r="AO980" s="1530"/>
      <c r="AP980" s="1530"/>
      <c r="AQ980" s="1530"/>
      <c r="AR980" s="1530"/>
      <c r="AS980" s="1530"/>
      <c r="AT980" s="1530"/>
      <c r="AU980" s="1530"/>
      <c r="AV980" s="1530"/>
      <c r="AW980" s="1530"/>
      <c r="AX980" s="1530"/>
      <c r="AY980" s="1530"/>
      <c r="AZ980" s="1530"/>
      <c r="BA980" s="1530"/>
      <c r="BB980" s="1530"/>
      <c r="BC980" s="1530"/>
      <c r="BD980" s="1530"/>
      <c r="BE980" s="1530"/>
      <c r="BF980" s="1530"/>
      <c r="BG980" s="1530"/>
      <c r="BH980" s="1530"/>
      <c r="BI980" s="1530"/>
      <c r="BJ980" s="1530"/>
      <c r="BK980" s="1530"/>
      <c r="BL980" s="1530"/>
      <c r="BM980" s="1530"/>
      <c r="BN980" s="1530"/>
      <c r="BW980" s="1569"/>
      <c r="CO980" s="1530"/>
      <c r="CP980" s="1530"/>
      <c r="CQ980" s="1530"/>
      <c r="CR980" s="1530"/>
      <c r="CS980" s="1530"/>
      <c r="CT980" s="1530"/>
      <c r="CU980" s="1530"/>
      <c r="CV980" s="1530"/>
      <c r="CW980" s="1530"/>
      <c r="CX980" s="1530"/>
      <c r="CY980" s="1530"/>
      <c r="CZ980" s="1530"/>
      <c r="DA980" s="1530"/>
      <c r="DB980" s="1530"/>
      <c r="DC980" s="1530"/>
      <c r="DD980" s="1530"/>
      <c r="DE980" s="1530"/>
      <c r="DF980" s="1530"/>
      <c r="DG980" s="1530"/>
      <c r="DH980" s="1530"/>
      <c r="DI980" s="1530"/>
      <c r="DJ980" s="1530"/>
      <c r="DK980" s="1530"/>
      <c r="DL980" s="1530"/>
      <c r="DM980" s="1530"/>
      <c r="DN980" s="1571"/>
      <c r="DO980" s="1530"/>
      <c r="DP980" s="1530"/>
    </row>
    <row r="981" spans="1:120">
      <c r="A981" s="1451"/>
      <c r="C981" s="1451"/>
      <c r="K981" s="1451"/>
      <c r="L981" s="1451"/>
      <c r="U981" s="1530"/>
      <c r="V981" s="1530"/>
      <c r="W981" s="1530"/>
      <c r="X981" s="1530"/>
      <c r="Y981" s="1530"/>
      <c r="Z981" s="1530"/>
      <c r="AA981" s="1530"/>
      <c r="AB981" s="1530"/>
      <c r="AC981" s="1530"/>
      <c r="AD981" s="1530"/>
      <c r="AE981" s="1530"/>
      <c r="AF981" s="1530"/>
      <c r="AG981" s="1530"/>
      <c r="AH981" s="1530"/>
      <c r="AI981" s="1530"/>
      <c r="AJ981" s="1530"/>
      <c r="AK981" s="1530"/>
      <c r="AL981" s="1530"/>
      <c r="AM981" s="1530"/>
      <c r="AN981" s="1530"/>
      <c r="AO981" s="1530"/>
      <c r="AP981" s="1530"/>
      <c r="AQ981" s="1530"/>
      <c r="AR981" s="1530"/>
      <c r="AS981" s="1530"/>
      <c r="AT981" s="1530"/>
      <c r="AU981" s="1530"/>
      <c r="AV981" s="1530"/>
      <c r="AW981" s="1530"/>
      <c r="AX981" s="1530"/>
      <c r="AY981" s="1530"/>
      <c r="AZ981" s="1530"/>
      <c r="BA981" s="1530"/>
      <c r="BB981" s="1530"/>
      <c r="BC981" s="1530"/>
      <c r="BD981" s="1530"/>
      <c r="BE981" s="1530"/>
      <c r="BF981" s="1530"/>
      <c r="BG981" s="1530"/>
      <c r="BH981" s="1530"/>
      <c r="BI981" s="1530"/>
      <c r="BJ981" s="1530"/>
      <c r="BK981" s="1530"/>
      <c r="BL981" s="1530"/>
      <c r="BM981" s="1530"/>
      <c r="BN981" s="1530"/>
      <c r="BW981" s="1569"/>
      <c r="CO981" s="1530"/>
      <c r="CP981" s="1530"/>
      <c r="CQ981" s="1530"/>
      <c r="CR981" s="1530"/>
      <c r="CS981" s="1530"/>
      <c r="CT981" s="1530"/>
      <c r="CU981" s="1530"/>
      <c r="CV981" s="1530"/>
      <c r="CW981" s="1530"/>
      <c r="CX981" s="1530"/>
      <c r="CY981" s="1530"/>
      <c r="CZ981" s="1530"/>
      <c r="DA981" s="1530"/>
      <c r="DB981" s="1530"/>
      <c r="DC981" s="1530"/>
      <c r="DD981" s="1530"/>
      <c r="DE981" s="1530"/>
      <c r="DF981" s="1530"/>
      <c r="DG981" s="1530"/>
      <c r="DH981" s="1530"/>
      <c r="DI981" s="1530"/>
      <c r="DJ981" s="1530"/>
      <c r="DK981" s="1530"/>
      <c r="DL981" s="1530"/>
      <c r="DM981" s="1530"/>
      <c r="DN981" s="1571"/>
      <c r="DO981" s="1530"/>
      <c r="DP981" s="1530"/>
    </row>
    <row r="982" spans="1:120">
      <c r="A982" s="1451"/>
      <c r="C982" s="1451"/>
      <c r="K982" s="1451"/>
      <c r="L982" s="1451"/>
      <c r="U982" s="1530"/>
      <c r="V982" s="1530"/>
      <c r="W982" s="1530"/>
      <c r="X982" s="1530"/>
      <c r="Y982" s="1530"/>
      <c r="Z982" s="1530"/>
      <c r="AA982" s="1530"/>
      <c r="AB982" s="1530"/>
      <c r="AC982" s="1530"/>
      <c r="AD982" s="1530"/>
      <c r="AE982" s="1530"/>
      <c r="AF982" s="1530"/>
      <c r="AG982" s="1530"/>
      <c r="AH982" s="1530"/>
      <c r="AI982" s="1530"/>
      <c r="AJ982" s="1530"/>
      <c r="AK982" s="1530"/>
      <c r="AL982" s="1530"/>
      <c r="AM982" s="1530"/>
      <c r="AN982" s="1530"/>
      <c r="AO982" s="1530"/>
      <c r="AP982" s="1530"/>
      <c r="AQ982" s="1530"/>
      <c r="AR982" s="1530"/>
      <c r="AS982" s="1530"/>
      <c r="AT982" s="1530"/>
      <c r="AU982" s="1530"/>
      <c r="AV982" s="1530"/>
      <c r="AW982" s="1530"/>
      <c r="AX982" s="1530"/>
      <c r="AY982" s="1530"/>
      <c r="AZ982" s="1530"/>
      <c r="BA982" s="1530"/>
      <c r="BB982" s="1530"/>
      <c r="BC982" s="1530"/>
      <c r="BD982" s="1530"/>
      <c r="BE982" s="1530"/>
      <c r="BF982" s="1530"/>
      <c r="BG982" s="1530"/>
      <c r="BH982" s="1530"/>
      <c r="BI982" s="1530"/>
      <c r="BJ982" s="1530"/>
      <c r="BK982" s="1530"/>
      <c r="BL982" s="1530"/>
      <c r="BM982" s="1530"/>
      <c r="BN982" s="1530"/>
      <c r="BW982" s="1569"/>
      <c r="CO982" s="1530"/>
      <c r="CP982" s="1530"/>
      <c r="CQ982" s="1530"/>
      <c r="CR982" s="1530"/>
      <c r="CS982" s="1530"/>
      <c r="CT982" s="1530"/>
      <c r="CU982" s="1530"/>
      <c r="CV982" s="1530"/>
      <c r="CW982" s="1530"/>
      <c r="CX982" s="1530"/>
      <c r="CY982" s="1530"/>
      <c r="CZ982" s="1530"/>
      <c r="DA982" s="1530"/>
      <c r="DB982" s="1530"/>
      <c r="DC982" s="1530"/>
      <c r="DD982" s="1530"/>
      <c r="DE982" s="1530"/>
      <c r="DF982" s="1530"/>
      <c r="DG982" s="1530"/>
      <c r="DH982" s="1530"/>
      <c r="DI982" s="1530"/>
      <c r="DJ982" s="1530"/>
      <c r="DK982" s="1530"/>
      <c r="DL982" s="1530"/>
      <c r="DM982" s="1530"/>
      <c r="DN982" s="1571"/>
      <c r="DO982" s="1530"/>
      <c r="DP982" s="1530"/>
    </row>
    <row r="983" spans="1:120">
      <c r="A983" s="1451"/>
      <c r="C983" s="1451"/>
      <c r="K983" s="1451"/>
      <c r="L983" s="1451"/>
      <c r="U983" s="1530"/>
      <c r="V983" s="1530"/>
      <c r="W983" s="1530"/>
      <c r="X983" s="1530"/>
      <c r="Y983" s="1530"/>
      <c r="Z983" s="1530"/>
      <c r="AA983" s="1530"/>
      <c r="AB983" s="1530"/>
      <c r="AC983" s="1530"/>
      <c r="AD983" s="1530"/>
      <c r="AE983" s="1530"/>
      <c r="AF983" s="1530"/>
      <c r="AG983" s="1530"/>
      <c r="AH983" s="1530"/>
      <c r="AI983" s="1530"/>
      <c r="AJ983" s="1530"/>
      <c r="AK983" s="1530"/>
      <c r="AL983" s="1530"/>
      <c r="AM983" s="1530"/>
      <c r="AN983" s="1530"/>
      <c r="AO983" s="1530"/>
      <c r="AP983" s="1530"/>
      <c r="AQ983" s="1530"/>
      <c r="AR983" s="1530"/>
      <c r="AS983" s="1530"/>
      <c r="AT983" s="1530"/>
      <c r="AU983" s="1530"/>
      <c r="AV983" s="1530"/>
      <c r="AW983" s="1530"/>
      <c r="AX983" s="1530"/>
      <c r="AY983" s="1530"/>
      <c r="AZ983" s="1530"/>
      <c r="BA983" s="1530"/>
      <c r="BB983" s="1530"/>
      <c r="BC983" s="1530"/>
      <c r="BD983" s="1530"/>
      <c r="BE983" s="1530"/>
      <c r="BF983" s="1530"/>
      <c r="BG983" s="1530"/>
      <c r="BH983" s="1530"/>
      <c r="BI983" s="1530"/>
      <c r="BJ983" s="1530"/>
      <c r="BK983" s="1530"/>
      <c r="BL983" s="1530"/>
      <c r="BM983" s="1530"/>
      <c r="BN983" s="1530"/>
      <c r="BW983" s="1569"/>
      <c r="CO983" s="1530"/>
      <c r="CP983" s="1530"/>
      <c r="CQ983" s="1530"/>
      <c r="CR983" s="1530"/>
      <c r="CS983" s="1530"/>
      <c r="CT983" s="1530"/>
      <c r="CU983" s="1530"/>
      <c r="CV983" s="1530"/>
      <c r="CW983" s="1530"/>
      <c r="CX983" s="1530"/>
      <c r="CY983" s="1530"/>
      <c r="CZ983" s="1530"/>
      <c r="DA983" s="1530"/>
      <c r="DB983" s="1530"/>
      <c r="DC983" s="1530"/>
      <c r="DD983" s="1530"/>
      <c r="DE983" s="1530"/>
      <c r="DF983" s="1530"/>
      <c r="DG983" s="1530"/>
      <c r="DH983" s="1530"/>
      <c r="DI983" s="1530"/>
      <c r="DJ983" s="1530"/>
      <c r="DK983" s="1530"/>
      <c r="DL983" s="1530"/>
      <c r="DM983" s="1530"/>
      <c r="DN983" s="1571"/>
      <c r="DO983" s="1530"/>
      <c r="DP983" s="1530"/>
    </row>
    <row r="984" spans="1:120">
      <c r="A984" s="1451"/>
      <c r="C984" s="1451"/>
      <c r="K984" s="1451"/>
      <c r="L984" s="1451"/>
      <c r="U984" s="1530"/>
      <c r="V984" s="1530"/>
      <c r="W984" s="1530"/>
      <c r="X984" s="1530"/>
      <c r="Y984" s="1530"/>
      <c r="Z984" s="1530"/>
      <c r="AA984" s="1530"/>
      <c r="AB984" s="1530"/>
      <c r="AC984" s="1530"/>
      <c r="AD984" s="1530"/>
      <c r="AE984" s="1530"/>
      <c r="AF984" s="1530"/>
      <c r="AG984" s="1530"/>
      <c r="AH984" s="1530"/>
      <c r="AI984" s="1530"/>
      <c r="AJ984" s="1530"/>
      <c r="AK984" s="1530"/>
      <c r="AL984" s="1530"/>
      <c r="AM984" s="1530"/>
      <c r="AN984" s="1530"/>
      <c r="AO984" s="1530"/>
      <c r="AP984" s="1530"/>
      <c r="AQ984" s="1530"/>
      <c r="AR984" s="1530"/>
      <c r="AS984" s="1530"/>
      <c r="AT984" s="1530"/>
      <c r="AU984" s="1530"/>
      <c r="AV984" s="1530"/>
      <c r="AW984" s="1530"/>
      <c r="AX984" s="1530"/>
      <c r="AY984" s="1530"/>
      <c r="AZ984" s="1530"/>
      <c r="BA984" s="1530"/>
      <c r="BB984" s="1530"/>
      <c r="BC984" s="1530"/>
      <c r="BD984" s="1530"/>
      <c r="BE984" s="1530"/>
      <c r="BF984" s="1530"/>
      <c r="BG984" s="1530"/>
      <c r="BH984" s="1530"/>
      <c r="BI984" s="1530"/>
      <c r="BJ984" s="1530"/>
      <c r="BK984" s="1530"/>
      <c r="BL984" s="1530"/>
      <c r="BM984" s="1530"/>
      <c r="BN984" s="1530"/>
      <c r="BW984" s="1569"/>
      <c r="CO984" s="1530"/>
      <c r="CP984" s="1530"/>
      <c r="CQ984" s="1530"/>
      <c r="CR984" s="1530"/>
      <c r="CS984" s="1530"/>
      <c r="CT984" s="1530"/>
      <c r="CU984" s="1530"/>
      <c r="CV984" s="1530"/>
      <c r="CW984" s="1530"/>
      <c r="CX984" s="1530"/>
      <c r="CY984" s="1530"/>
      <c r="CZ984" s="1530"/>
      <c r="DA984" s="1530"/>
      <c r="DB984" s="1530"/>
      <c r="DC984" s="1530"/>
      <c r="DD984" s="1530"/>
      <c r="DE984" s="1530"/>
      <c r="DF984" s="1530"/>
      <c r="DG984" s="1530"/>
      <c r="DH984" s="1530"/>
      <c r="DI984" s="1530"/>
      <c r="DJ984" s="1530"/>
      <c r="DK984" s="1530"/>
      <c r="DL984" s="1530"/>
      <c r="DM984" s="1530"/>
      <c r="DN984" s="1571"/>
      <c r="DO984" s="1530"/>
      <c r="DP984" s="1530"/>
    </row>
    <row r="985" spans="1:120">
      <c r="A985" s="1451"/>
      <c r="C985" s="1451"/>
      <c r="K985" s="1451"/>
      <c r="L985" s="1451"/>
      <c r="U985" s="1530"/>
      <c r="V985" s="1530"/>
      <c r="W985" s="1530"/>
      <c r="X985" s="1530"/>
      <c r="Y985" s="1530"/>
      <c r="Z985" s="1530"/>
      <c r="AA985" s="1530"/>
      <c r="AB985" s="1530"/>
      <c r="AC985" s="1530"/>
      <c r="AD985" s="1530"/>
      <c r="AE985" s="1530"/>
      <c r="AF985" s="1530"/>
      <c r="AG985" s="1530"/>
      <c r="AH985" s="1530"/>
      <c r="AI985" s="1530"/>
      <c r="AJ985" s="1530"/>
      <c r="AK985" s="1530"/>
      <c r="AL985" s="1530"/>
      <c r="AM985" s="1530"/>
      <c r="AN985" s="1530"/>
      <c r="AO985" s="1530"/>
      <c r="AP985" s="1530"/>
      <c r="AQ985" s="1530"/>
      <c r="AR985" s="1530"/>
      <c r="AS985" s="1530"/>
      <c r="AT985" s="1530"/>
      <c r="AU985" s="1530"/>
      <c r="AV985" s="1530"/>
      <c r="AW985" s="1530"/>
      <c r="AX985" s="1530"/>
      <c r="AY985" s="1530"/>
      <c r="AZ985" s="1530"/>
      <c r="BA985" s="1530"/>
      <c r="BB985" s="1530"/>
      <c r="BC985" s="1530"/>
      <c r="BD985" s="1530"/>
      <c r="BE985" s="1530"/>
      <c r="BF985" s="1530"/>
      <c r="BG985" s="1530"/>
      <c r="BH985" s="1530"/>
      <c r="BI985" s="1530"/>
      <c r="BJ985" s="1530"/>
      <c r="BK985" s="1530"/>
      <c r="BL985" s="1530"/>
      <c r="BM985" s="1530"/>
      <c r="BN985" s="1530"/>
      <c r="BW985" s="1569"/>
      <c r="CO985" s="1530"/>
      <c r="CP985" s="1530"/>
      <c r="CQ985" s="1530"/>
      <c r="CR985" s="1530"/>
      <c r="CS985" s="1530"/>
      <c r="CT985" s="1530"/>
      <c r="CU985" s="1530"/>
      <c r="CV985" s="1530"/>
      <c r="CW985" s="1530"/>
      <c r="CX985" s="1530"/>
      <c r="CY985" s="1530"/>
      <c r="CZ985" s="1530"/>
      <c r="DA985" s="1530"/>
      <c r="DB985" s="1530"/>
      <c r="DC985" s="1530"/>
      <c r="DD985" s="1530"/>
      <c r="DE985" s="1530"/>
      <c r="DF985" s="1530"/>
      <c r="DG985" s="1530"/>
      <c r="DH985" s="1530"/>
      <c r="DI985" s="1530"/>
      <c r="DJ985" s="1530"/>
      <c r="DK985" s="1530"/>
      <c r="DL985" s="1530"/>
      <c r="DM985" s="1530"/>
      <c r="DN985" s="1571"/>
      <c r="DO985" s="1530"/>
      <c r="DP985" s="1530"/>
    </row>
    <row r="986" spans="1:120">
      <c r="A986" s="1451"/>
      <c r="C986" s="1451"/>
      <c r="K986" s="1451"/>
      <c r="L986" s="1451"/>
      <c r="U986" s="1530"/>
      <c r="V986" s="1530"/>
      <c r="W986" s="1530"/>
      <c r="X986" s="1530"/>
      <c r="Y986" s="1530"/>
      <c r="Z986" s="1530"/>
      <c r="AA986" s="1530"/>
      <c r="AB986" s="1530"/>
      <c r="AC986" s="1530"/>
      <c r="AD986" s="1530"/>
      <c r="AE986" s="1530"/>
      <c r="AF986" s="1530"/>
      <c r="AG986" s="1530"/>
      <c r="AH986" s="1530"/>
      <c r="AI986" s="1530"/>
      <c r="AJ986" s="1530"/>
      <c r="AK986" s="1530"/>
      <c r="AL986" s="1530"/>
      <c r="AM986" s="1530"/>
      <c r="AN986" s="1530"/>
      <c r="AO986" s="1530"/>
      <c r="AP986" s="1530"/>
      <c r="AQ986" s="1530"/>
      <c r="AR986" s="1530"/>
      <c r="AS986" s="1530"/>
      <c r="AT986" s="1530"/>
      <c r="AU986" s="1530"/>
      <c r="AV986" s="1530"/>
      <c r="AW986" s="1530"/>
      <c r="AX986" s="1530"/>
      <c r="AY986" s="1530"/>
      <c r="AZ986" s="1530"/>
      <c r="BA986" s="1530"/>
      <c r="BB986" s="1530"/>
      <c r="BC986" s="1530"/>
      <c r="BD986" s="1530"/>
      <c r="BE986" s="1530"/>
      <c r="BF986" s="1530"/>
      <c r="BG986" s="1530"/>
      <c r="BH986" s="1530"/>
      <c r="BI986" s="1530"/>
      <c r="BJ986" s="1530"/>
      <c r="BK986" s="1530"/>
      <c r="BL986" s="1530"/>
      <c r="BM986" s="1530"/>
      <c r="BN986" s="1530"/>
      <c r="BW986" s="1569"/>
      <c r="CO986" s="1530"/>
      <c r="CP986" s="1530"/>
      <c r="CQ986" s="1530"/>
      <c r="CR986" s="1530"/>
      <c r="CS986" s="1530"/>
      <c r="CT986" s="1530"/>
      <c r="CU986" s="1530"/>
      <c r="CV986" s="1530"/>
      <c r="CW986" s="1530"/>
      <c r="CX986" s="1530"/>
      <c r="CY986" s="1530"/>
      <c r="CZ986" s="1530"/>
      <c r="DA986" s="1530"/>
      <c r="DB986" s="1530"/>
      <c r="DC986" s="1530"/>
      <c r="DD986" s="1530"/>
      <c r="DE986" s="1530"/>
      <c r="DF986" s="1530"/>
      <c r="DG986" s="1530"/>
      <c r="DH986" s="1530"/>
      <c r="DI986" s="1530"/>
      <c r="DJ986" s="1530"/>
      <c r="DK986" s="1530"/>
      <c r="DL986" s="1530"/>
      <c r="DM986" s="1530"/>
      <c r="DN986" s="1571"/>
      <c r="DO986" s="1530"/>
      <c r="DP986" s="1530"/>
    </row>
    <row r="987" spans="1:120">
      <c r="A987" s="1451"/>
      <c r="C987" s="1451"/>
      <c r="K987" s="1451"/>
      <c r="L987" s="1451"/>
      <c r="U987" s="1530"/>
      <c r="V987" s="1530"/>
      <c r="W987" s="1530"/>
      <c r="X987" s="1530"/>
      <c r="Y987" s="1530"/>
      <c r="Z987" s="1530"/>
      <c r="AA987" s="1530"/>
      <c r="AB987" s="1530"/>
      <c r="AC987" s="1530"/>
      <c r="AD987" s="1530"/>
      <c r="AE987" s="1530"/>
      <c r="AF987" s="1530"/>
      <c r="AG987" s="1530"/>
      <c r="AH987" s="1530"/>
      <c r="AI987" s="1530"/>
      <c r="AJ987" s="1530"/>
      <c r="AK987" s="1530"/>
      <c r="AL987" s="1530"/>
      <c r="AM987" s="1530"/>
      <c r="AN987" s="1530"/>
      <c r="AO987" s="1530"/>
      <c r="AP987" s="1530"/>
      <c r="AQ987" s="1530"/>
      <c r="AR987" s="1530"/>
      <c r="AS987" s="1530"/>
      <c r="AT987" s="1530"/>
      <c r="AU987" s="1530"/>
      <c r="AV987" s="1530"/>
      <c r="AW987" s="1530"/>
      <c r="AX987" s="1530"/>
      <c r="AY987" s="1530"/>
      <c r="AZ987" s="1530"/>
      <c r="BA987" s="1530"/>
      <c r="BB987" s="1530"/>
      <c r="BC987" s="1530"/>
      <c r="BD987" s="1530"/>
      <c r="BE987" s="1530"/>
      <c r="BF987" s="1530"/>
      <c r="BG987" s="1530"/>
      <c r="BH987" s="1530"/>
      <c r="BI987" s="1530"/>
      <c r="BJ987" s="1530"/>
      <c r="BK987" s="1530"/>
      <c r="BL987" s="1530"/>
      <c r="BM987" s="1530"/>
      <c r="BN987" s="1530"/>
      <c r="BW987" s="1569"/>
      <c r="CO987" s="1530"/>
      <c r="CP987" s="1530"/>
      <c r="CQ987" s="1530"/>
      <c r="CR987" s="1530"/>
      <c r="CS987" s="1530"/>
      <c r="CT987" s="1530"/>
      <c r="CU987" s="1530"/>
      <c r="CV987" s="1530"/>
      <c r="CW987" s="1530"/>
      <c r="CX987" s="1530"/>
      <c r="CY987" s="1530"/>
      <c r="CZ987" s="1530"/>
      <c r="DA987" s="1530"/>
      <c r="DB987" s="1530"/>
      <c r="DC987" s="1530"/>
      <c r="DD987" s="1530"/>
      <c r="DE987" s="1530"/>
      <c r="DF987" s="1530"/>
      <c r="DG987" s="1530"/>
      <c r="DH987" s="1530"/>
      <c r="DI987" s="1530"/>
      <c r="DJ987" s="1530"/>
      <c r="DK987" s="1530"/>
      <c r="DL987" s="1530"/>
      <c r="DM987" s="1530"/>
      <c r="DN987" s="1571"/>
      <c r="DO987" s="1530"/>
      <c r="DP987" s="1530"/>
    </row>
    <row r="988" spans="1:120">
      <c r="A988" s="1451"/>
      <c r="C988" s="1451"/>
      <c r="K988" s="1451"/>
      <c r="L988" s="1451"/>
      <c r="U988" s="1530"/>
      <c r="V988" s="1530"/>
      <c r="W988" s="1530"/>
      <c r="X988" s="1530"/>
      <c r="Y988" s="1530"/>
      <c r="Z988" s="1530"/>
      <c r="AA988" s="1530"/>
      <c r="AB988" s="1530"/>
      <c r="AC988" s="1530"/>
      <c r="AD988" s="1530"/>
      <c r="AE988" s="1530"/>
      <c r="AF988" s="1530"/>
      <c r="AG988" s="1530"/>
      <c r="AH988" s="1530"/>
      <c r="AI988" s="1530"/>
      <c r="AJ988" s="1530"/>
      <c r="AK988" s="1530"/>
      <c r="AL988" s="1530"/>
      <c r="AM988" s="1530"/>
      <c r="AN988" s="1530"/>
      <c r="AO988" s="1530"/>
      <c r="AP988" s="1530"/>
      <c r="AQ988" s="1530"/>
      <c r="AR988" s="1530"/>
      <c r="AS988" s="1530"/>
      <c r="AT988" s="1530"/>
      <c r="AU988" s="1530"/>
      <c r="AV988" s="1530"/>
      <c r="AW988" s="1530"/>
      <c r="AX988" s="1530"/>
      <c r="AY988" s="1530"/>
      <c r="AZ988" s="1530"/>
      <c r="BA988" s="1530"/>
      <c r="BB988" s="1530"/>
      <c r="BC988" s="1530"/>
      <c r="BD988" s="1530"/>
      <c r="BE988" s="1530"/>
      <c r="BF988" s="1530"/>
      <c r="BG988" s="1530"/>
      <c r="BH988" s="1530"/>
      <c r="BI988" s="1530"/>
      <c r="BJ988" s="1530"/>
      <c r="BK988" s="1530"/>
      <c r="BL988" s="1530"/>
      <c r="BM988" s="1530"/>
      <c r="BN988" s="1530"/>
      <c r="BW988" s="1569"/>
      <c r="CO988" s="1530"/>
      <c r="CP988" s="1530"/>
      <c r="CQ988" s="1530"/>
      <c r="CR988" s="1530"/>
      <c r="CS988" s="1530"/>
      <c r="CT988" s="1530"/>
      <c r="CU988" s="1530"/>
      <c r="CV988" s="1530"/>
      <c r="CW988" s="1530"/>
      <c r="CX988" s="1530"/>
      <c r="CY988" s="1530"/>
      <c r="CZ988" s="1530"/>
      <c r="DA988" s="1530"/>
      <c r="DB988" s="1530"/>
      <c r="DC988" s="1530"/>
      <c r="DD988" s="1530"/>
      <c r="DE988" s="1530"/>
      <c r="DF988" s="1530"/>
      <c r="DG988" s="1530"/>
      <c r="DH988" s="1530"/>
      <c r="DI988" s="1530"/>
      <c r="DJ988" s="1530"/>
      <c r="DK988" s="1530"/>
      <c r="DL988" s="1530"/>
      <c r="DM988" s="1530"/>
      <c r="DN988" s="1571"/>
      <c r="DO988" s="1530"/>
      <c r="DP988" s="1530"/>
    </row>
    <row r="989" spans="1:120">
      <c r="A989" s="1451"/>
      <c r="C989" s="1451"/>
      <c r="K989" s="1451"/>
      <c r="L989" s="1451"/>
      <c r="U989" s="1530"/>
      <c r="V989" s="1530"/>
      <c r="W989" s="1530"/>
      <c r="X989" s="1530"/>
      <c r="Y989" s="1530"/>
      <c r="Z989" s="1530"/>
      <c r="AA989" s="1530"/>
      <c r="AB989" s="1530"/>
      <c r="AC989" s="1530"/>
      <c r="AD989" s="1530"/>
      <c r="AE989" s="1530"/>
      <c r="AF989" s="1530"/>
      <c r="AG989" s="1530"/>
      <c r="AH989" s="1530"/>
      <c r="AI989" s="1530"/>
      <c r="AJ989" s="1530"/>
      <c r="AK989" s="1530"/>
      <c r="AL989" s="1530"/>
      <c r="AM989" s="1530"/>
      <c r="AN989" s="1530"/>
      <c r="AO989" s="1530"/>
      <c r="AP989" s="1530"/>
      <c r="AQ989" s="1530"/>
      <c r="AR989" s="1530"/>
      <c r="AS989" s="1530"/>
      <c r="AT989" s="1530"/>
      <c r="AU989" s="1530"/>
      <c r="AV989" s="1530"/>
      <c r="AW989" s="1530"/>
      <c r="AX989" s="1530"/>
      <c r="AY989" s="1530"/>
      <c r="AZ989" s="1530"/>
      <c r="BA989" s="1530"/>
      <c r="BB989" s="1530"/>
      <c r="BC989" s="1530"/>
      <c r="BD989" s="1530"/>
      <c r="BE989" s="1530"/>
      <c r="BF989" s="1530"/>
      <c r="BG989" s="1530"/>
      <c r="BH989" s="1530"/>
      <c r="BI989" s="1530"/>
      <c r="BJ989" s="1530"/>
      <c r="BK989" s="1530"/>
      <c r="BL989" s="1530"/>
      <c r="BM989" s="1530"/>
      <c r="BN989" s="1530"/>
      <c r="BW989" s="1569"/>
      <c r="CO989" s="1530"/>
      <c r="CP989" s="1530"/>
      <c r="CQ989" s="1530"/>
      <c r="CR989" s="1530"/>
      <c r="CS989" s="1530"/>
      <c r="CT989" s="1530"/>
      <c r="CU989" s="1530"/>
      <c r="CV989" s="1530"/>
      <c r="CW989" s="1530"/>
      <c r="CX989" s="1530"/>
      <c r="CY989" s="1530"/>
      <c r="CZ989" s="1530"/>
      <c r="DA989" s="1530"/>
      <c r="DB989" s="1530"/>
      <c r="DC989" s="1530"/>
      <c r="DD989" s="1530"/>
      <c r="DE989" s="1530"/>
      <c r="DF989" s="1530"/>
      <c r="DG989" s="1530"/>
      <c r="DH989" s="1530"/>
      <c r="DI989" s="1530"/>
      <c r="DJ989" s="1530"/>
      <c r="DK989" s="1530"/>
      <c r="DL989" s="1530"/>
      <c r="DM989" s="1530"/>
      <c r="DN989" s="1571"/>
      <c r="DO989" s="1530"/>
      <c r="DP989" s="1530"/>
    </row>
    <row r="990" spans="1:120">
      <c r="A990" s="1451"/>
      <c r="C990" s="1451"/>
      <c r="K990" s="1451"/>
      <c r="L990" s="1451"/>
      <c r="U990" s="1530"/>
      <c r="V990" s="1530"/>
      <c r="W990" s="1530"/>
      <c r="X990" s="1530"/>
      <c r="Y990" s="1530"/>
      <c r="Z990" s="1530"/>
      <c r="AA990" s="1530"/>
      <c r="AB990" s="1530"/>
      <c r="AC990" s="1530"/>
      <c r="AD990" s="1530"/>
      <c r="AE990" s="1530"/>
      <c r="AF990" s="1530"/>
      <c r="AG990" s="1530"/>
      <c r="AH990" s="1530"/>
      <c r="AI990" s="1530"/>
      <c r="AJ990" s="1530"/>
      <c r="AK990" s="1530"/>
      <c r="AL990" s="1530"/>
      <c r="AM990" s="1530"/>
      <c r="AN990" s="1530"/>
      <c r="AO990" s="1530"/>
      <c r="AP990" s="1530"/>
      <c r="AQ990" s="1530"/>
      <c r="AR990" s="1530"/>
      <c r="AS990" s="1530"/>
      <c r="AT990" s="1530"/>
      <c r="AU990" s="1530"/>
      <c r="AV990" s="1530"/>
      <c r="AW990" s="1530"/>
      <c r="AX990" s="1530"/>
      <c r="AY990" s="1530"/>
      <c r="AZ990" s="1530"/>
      <c r="BA990" s="1530"/>
      <c r="BB990" s="1530"/>
      <c r="BC990" s="1530"/>
      <c r="BD990" s="1530"/>
      <c r="BE990" s="1530"/>
      <c r="BF990" s="1530"/>
      <c r="BG990" s="1530"/>
      <c r="BH990" s="1530"/>
      <c r="BI990" s="1530"/>
      <c r="BJ990" s="1530"/>
      <c r="BK990" s="1530"/>
      <c r="BL990" s="1530"/>
      <c r="BM990" s="1530"/>
      <c r="BN990" s="1530"/>
      <c r="BW990" s="1569"/>
      <c r="CO990" s="1530"/>
      <c r="CP990" s="1530"/>
      <c r="CQ990" s="1530"/>
      <c r="CR990" s="1530"/>
      <c r="CS990" s="1530"/>
      <c r="CT990" s="1530"/>
      <c r="CU990" s="1530"/>
      <c r="CV990" s="1530"/>
      <c r="CW990" s="1530"/>
      <c r="CX990" s="1530"/>
      <c r="CY990" s="1530"/>
      <c r="CZ990" s="1530"/>
      <c r="DA990" s="1530"/>
      <c r="DB990" s="1530"/>
      <c r="DC990" s="1530"/>
      <c r="DD990" s="1530"/>
      <c r="DE990" s="1530"/>
      <c r="DF990" s="1530"/>
      <c r="DG990" s="1530"/>
      <c r="DH990" s="1530"/>
      <c r="DI990" s="1530"/>
      <c r="DJ990" s="1530"/>
      <c r="DK990" s="1530"/>
      <c r="DL990" s="1530"/>
      <c r="DM990" s="1530"/>
      <c r="DN990" s="1571"/>
      <c r="DO990" s="1530"/>
      <c r="DP990" s="1530"/>
    </row>
    <row r="991" spans="1:120">
      <c r="A991" s="1451"/>
      <c r="C991" s="1451"/>
      <c r="K991" s="1451"/>
      <c r="L991" s="1451"/>
      <c r="U991" s="1530"/>
      <c r="V991" s="1530"/>
      <c r="W991" s="1530"/>
      <c r="X991" s="1530"/>
      <c r="Y991" s="1530"/>
      <c r="Z991" s="1530"/>
      <c r="AA991" s="1530"/>
      <c r="AB991" s="1530"/>
      <c r="AC991" s="1530"/>
      <c r="AD991" s="1530"/>
      <c r="AE991" s="1530"/>
      <c r="AF991" s="1530"/>
      <c r="AG991" s="1530"/>
      <c r="AH991" s="1530"/>
      <c r="AI991" s="1530"/>
      <c r="AJ991" s="1530"/>
      <c r="AK991" s="1530"/>
      <c r="AL991" s="1530"/>
      <c r="AM991" s="1530"/>
      <c r="AN991" s="1530"/>
      <c r="AO991" s="1530"/>
      <c r="AP991" s="1530"/>
      <c r="AQ991" s="1530"/>
      <c r="AR991" s="1530"/>
      <c r="AS991" s="1530"/>
      <c r="AT991" s="1530"/>
      <c r="AU991" s="1530"/>
      <c r="AV991" s="1530"/>
      <c r="AW991" s="1530"/>
      <c r="AX991" s="1530"/>
      <c r="AY991" s="1530"/>
      <c r="AZ991" s="1530"/>
      <c r="BA991" s="1530"/>
      <c r="BB991" s="1530"/>
      <c r="BC991" s="1530"/>
      <c r="BD991" s="1530"/>
      <c r="BE991" s="1530"/>
      <c r="BF991" s="1530"/>
      <c r="BG991" s="1530"/>
      <c r="BH991" s="1530"/>
      <c r="BI991" s="1530"/>
      <c r="BJ991" s="1530"/>
      <c r="BK991" s="1530"/>
      <c r="BL991" s="1530"/>
      <c r="BM991" s="1530"/>
      <c r="BN991" s="1530"/>
      <c r="BW991" s="1569"/>
      <c r="CO991" s="1530"/>
      <c r="CP991" s="1530"/>
      <c r="CQ991" s="1530"/>
      <c r="CR991" s="1530"/>
      <c r="CS991" s="1530"/>
      <c r="CT991" s="1530"/>
      <c r="CU991" s="1530"/>
      <c r="CV991" s="1530"/>
      <c r="CW991" s="1530"/>
      <c r="CX991" s="1530"/>
      <c r="CY991" s="1530"/>
      <c r="CZ991" s="1530"/>
      <c r="DA991" s="1530"/>
      <c r="DB991" s="1530"/>
      <c r="DC991" s="1530"/>
      <c r="DD991" s="1530"/>
      <c r="DE991" s="1530"/>
      <c r="DF991" s="1530"/>
      <c r="DG991" s="1530"/>
      <c r="DH991" s="1530"/>
      <c r="DI991" s="1530"/>
      <c r="DJ991" s="1530"/>
      <c r="DK991" s="1530"/>
      <c r="DL991" s="1530"/>
      <c r="DM991" s="1530"/>
      <c r="DN991" s="1571"/>
      <c r="DO991" s="1530"/>
      <c r="DP991" s="1530"/>
    </row>
    <row r="992" spans="1:120">
      <c r="A992" s="1451"/>
      <c r="C992" s="1451"/>
      <c r="K992" s="1451"/>
      <c r="L992" s="1451"/>
      <c r="U992" s="1530"/>
      <c r="V992" s="1530"/>
      <c r="W992" s="1530"/>
      <c r="X992" s="1530"/>
      <c r="Y992" s="1530"/>
      <c r="Z992" s="1530"/>
      <c r="AA992" s="1530"/>
      <c r="AB992" s="1530"/>
      <c r="AC992" s="1530"/>
      <c r="AD992" s="1530"/>
      <c r="AE992" s="1530"/>
      <c r="AF992" s="1530"/>
      <c r="AG992" s="1530"/>
      <c r="AH992" s="1530"/>
      <c r="AI992" s="1530"/>
      <c r="AJ992" s="1530"/>
      <c r="AK992" s="1530"/>
      <c r="AL992" s="1530"/>
      <c r="AM992" s="1530"/>
      <c r="AN992" s="1530"/>
      <c r="AO992" s="1530"/>
      <c r="AP992" s="1530"/>
      <c r="AQ992" s="1530"/>
      <c r="AR992" s="1530"/>
      <c r="AS992" s="1530"/>
      <c r="AT992" s="1530"/>
      <c r="AU992" s="1530"/>
      <c r="AV992" s="1530"/>
      <c r="AW992" s="1530"/>
      <c r="AX992" s="1530"/>
      <c r="AY992" s="1530"/>
      <c r="AZ992" s="1530"/>
      <c r="BA992" s="1530"/>
      <c r="BB992" s="1530"/>
      <c r="BC992" s="1530"/>
      <c r="BD992" s="1530"/>
      <c r="BE992" s="1530"/>
      <c r="BF992" s="1530"/>
      <c r="BG992" s="1530"/>
      <c r="BH992" s="1530"/>
      <c r="BI992" s="1530"/>
      <c r="BJ992" s="1530"/>
      <c r="BK992" s="1530"/>
      <c r="BL992" s="1530"/>
      <c r="BM992" s="1530"/>
      <c r="BN992" s="1530"/>
      <c r="BW992" s="1569"/>
      <c r="CO992" s="1530"/>
      <c r="CP992" s="1530"/>
      <c r="CQ992" s="1530"/>
      <c r="CR992" s="1530"/>
      <c r="CS992" s="1530"/>
      <c r="CT992" s="1530"/>
      <c r="CU992" s="1530"/>
      <c r="CV992" s="1530"/>
      <c r="CW992" s="1530"/>
      <c r="CX992" s="1530"/>
      <c r="CY992" s="1530"/>
      <c r="CZ992" s="1530"/>
      <c r="DA992" s="1530"/>
      <c r="DB992" s="1530"/>
      <c r="DC992" s="1530"/>
      <c r="DD992" s="1530"/>
      <c r="DE992" s="1530"/>
      <c r="DF992" s="1530"/>
      <c r="DG992" s="1530"/>
      <c r="DH992" s="1530"/>
      <c r="DI992" s="1530"/>
      <c r="DJ992" s="1530"/>
      <c r="DK992" s="1530"/>
      <c r="DL992" s="1530"/>
      <c r="DM992" s="1530"/>
      <c r="DN992" s="1571"/>
      <c r="DO992" s="1530"/>
      <c r="DP992" s="1530"/>
    </row>
    <row r="993" spans="1:120">
      <c r="A993" s="1451"/>
      <c r="C993" s="1451"/>
      <c r="K993" s="1451"/>
      <c r="L993" s="1451"/>
      <c r="U993" s="1530"/>
      <c r="V993" s="1530"/>
      <c r="W993" s="1530"/>
      <c r="X993" s="1530"/>
      <c r="Y993" s="1530"/>
      <c r="Z993" s="1530"/>
      <c r="AA993" s="1530"/>
      <c r="AB993" s="1530"/>
      <c r="AC993" s="1530"/>
      <c r="AD993" s="1530"/>
      <c r="AE993" s="1530"/>
      <c r="AF993" s="1530"/>
      <c r="AG993" s="1530"/>
      <c r="AH993" s="1530"/>
      <c r="AI993" s="1530"/>
      <c r="AJ993" s="1530"/>
      <c r="AK993" s="1530"/>
      <c r="AL993" s="1530"/>
      <c r="AM993" s="1530"/>
      <c r="AN993" s="1530"/>
      <c r="AO993" s="1530"/>
      <c r="AP993" s="1530"/>
      <c r="AQ993" s="1530"/>
      <c r="AR993" s="1530"/>
      <c r="AS993" s="1530"/>
      <c r="AT993" s="1530"/>
      <c r="AU993" s="1530"/>
      <c r="AV993" s="1530"/>
      <c r="AW993" s="1530"/>
      <c r="AX993" s="1530"/>
      <c r="AY993" s="1530"/>
      <c r="AZ993" s="1530"/>
      <c r="BA993" s="1530"/>
      <c r="BB993" s="1530"/>
      <c r="BC993" s="1530"/>
      <c r="BD993" s="1530"/>
      <c r="BE993" s="1530"/>
      <c r="BF993" s="1530"/>
      <c r="BG993" s="1530"/>
      <c r="BH993" s="1530"/>
      <c r="BI993" s="1530"/>
      <c r="BJ993" s="1530"/>
      <c r="BK993" s="1530"/>
      <c r="BL993" s="1530"/>
      <c r="BM993" s="1530"/>
      <c r="BN993" s="1530"/>
      <c r="BW993" s="1569"/>
      <c r="CO993" s="1530"/>
      <c r="CP993" s="1530"/>
      <c r="CQ993" s="1530"/>
      <c r="CR993" s="1530"/>
      <c r="CS993" s="1530"/>
      <c r="CT993" s="1530"/>
      <c r="CU993" s="1530"/>
      <c r="CV993" s="1530"/>
      <c r="CW993" s="1530"/>
      <c r="CX993" s="1530"/>
      <c r="CY993" s="1530"/>
      <c r="CZ993" s="1530"/>
      <c r="DA993" s="1530"/>
      <c r="DB993" s="1530"/>
      <c r="DC993" s="1530"/>
      <c r="DD993" s="1530"/>
      <c r="DE993" s="1530"/>
      <c r="DF993" s="1530"/>
      <c r="DG993" s="1530"/>
      <c r="DH993" s="1530"/>
      <c r="DI993" s="1530"/>
      <c r="DJ993" s="1530"/>
      <c r="DK993" s="1530"/>
      <c r="DL993" s="1530"/>
      <c r="DM993" s="1530"/>
      <c r="DN993" s="1571"/>
      <c r="DO993" s="1530"/>
      <c r="DP993" s="1530"/>
    </row>
    <row r="994" spans="1:120">
      <c r="A994" s="1451"/>
      <c r="C994" s="1451"/>
      <c r="K994" s="1451"/>
      <c r="L994" s="1451"/>
      <c r="U994" s="1530"/>
      <c r="V994" s="1530"/>
      <c r="W994" s="1530"/>
      <c r="X994" s="1530"/>
      <c r="Y994" s="1530"/>
      <c r="Z994" s="1530"/>
      <c r="AA994" s="1530"/>
      <c r="AB994" s="1530"/>
      <c r="AC994" s="1530"/>
      <c r="AD994" s="1530"/>
      <c r="AE994" s="1530"/>
      <c r="AF994" s="1530"/>
      <c r="AG994" s="1530"/>
      <c r="AH994" s="1530"/>
      <c r="AI994" s="1530"/>
      <c r="AJ994" s="1530"/>
      <c r="AK994" s="1530"/>
      <c r="AL994" s="1530"/>
      <c r="AM994" s="1530"/>
      <c r="AN994" s="1530"/>
      <c r="AO994" s="1530"/>
      <c r="AP994" s="1530"/>
      <c r="AQ994" s="1530"/>
      <c r="AR994" s="1530"/>
      <c r="AS994" s="1530"/>
      <c r="AT994" s="1530"/>
      <c r="AU994" s="1530"/>
      <c r="AV994" s="1530"/>
      <c r="AW994" s="1530"/>
      <c r="AX994" s="1530"/>
      <c r="AY994" s="1530"/>
      <c r="AZ994" s="1530"/>
      <c r="BA994" s="1530"/>
      <c r="BB994" s="1530"/>
      <c r="BC994" s="1530"/>
      <c r="BD994" s="1530"/>
      <c r="BE994" s="1530"/>
      <c r="BF994" s="1530"/>
      <c r="BG994" s="1530"/>
      <c r="BH994" s="1530"/>
      <c r="BI994" s="1530"/>
      <c r="BJ994" s="1530"/>
      <c r="BK994" s="1530"/>
      <c r="BL994" s="1530"/>
      <c r="BM994" s="1530"/>
      <c r="BN994" s="1530"/>
      <c r="BW994" s="1569"/>
      <c r="CO994" s="1530"/>
      <c r="CP994" s="1530"/>
      <c r="CQ994" s="1530"/>
      <c r="CR994" s="1530"/>
      <c r="CS994" s="1530"/>
      <c r="CT994" s="1530"/>
      <c r="CU994" s="1530"/>
      <c r="CV994" s="1530"/>
      <c r="CW994" s="1530"/>
      <c r="CX994" s="1530"/>
      <c r="CY994" s="1530"/>
      <c r="CZ994" s="1530"/>
      <c r="DA994" s="1530"/>
      <c r="DB994" s="1530"/>
      <c r="DC994" s="1530"/>
      <c r="DD994" s="1530"/>
      <c r="DE994" s="1530"/>
      <c r="DF994" s="1530"/>
      <c r="DG994" s="1530"/>
      <c r="DH994" s="1530"/>
      <c r="DI994" s="1530"/>
      <c r="DJ994" s="1530"/>
      <c r="DK994" s="1530"/>
      <c r="DL994" s="1530"/>
      <c r="DM994" s="1530"/>
      <c r="DN994" s="1571"/>
      <c r="DO994" s="1530"/>
      <c r="DP994" s="1530"/>
    </row>
    <row r="995" spans="1:120">
      <c r="A995" s="1451"/>
      <c r="C995" s="1451"/>
      <c r="K995" s="1451"/>
      <c r="L995" s="1451"/>
      <c r="U995" s="1530"/>
      <c r="V995" s="1530"/>
      <c r="W995" s="1530"/>
      <c r="X995" s="1530"/>
      <c r="Y995" s="1530"/>
      <c r="Z995" s="1530"/>
      <c r="AA995" s="1530"/>
      <c r="AB995" s="1530"/>
      <c r="AC995" s="1530"/>
      <c r="AD995" s="1530"/>
      <c r="AE995" s="1530"/>
      <c r="AF995" s="1530"/>
      <c r="AG995" s="1530"/>
      <c r="AH995" s="1530"/>
      <c r="AI995" s="1530"/>
      <c r="AJ995" s="1530"/>
      <c r="AK995" s="1530"/>
      <c r="AL995" s="1530"/>
      <c r="AM995" s="1530"/>
      <c r="AN995" s="1530"/>
      <c r="AO995" s="1530"/>
      <c r="AP995" s="1530"/>
      <c r="AQ995" s="1530"/>
      <c r="AR995" s="1530"/>
      <c r="AS995" s="1530"/>
      <c r="AT995" s="1530"/>
      <c r="AU995" s="1530"/>
      <c r="AV995" s="1530"/>
      <c r="AW995" s="1530"/>
      <c r="AX995" s="1530"/>
      <c r="AY995" s="1530"/>
      <c r="AZ995" s="1530"/>
      <c r="BA995" s="1530"/>
      <c r="BB995" s="1530"/>
      <c r="BC995" s="1530"/>
      <c r="BD995" s="1530"/>
      <c r="BE995" s="1530"/>
      <c r="BF995" s="1530"/>
      <c r="BG995" s="1530"/>
      <c r="BH995" s="1530"/>
      <c r="BI995" s="1530"/>
      <c r="BJ995" s="1530"/>
      <c r="BK995" s="1530"/>
      <c r="BL995" s="1530"/>
      <c r="BM995" s="1530"/>
      <c r="BN995" s="1530"/>
      <c r="BW995" s="1569"/>
      <c r="CO995" s="1530"/>
      <c r="CP995" s="1530"/>
      <c r="CQ995" s="1530"/>
      <c r="CR995" s="1530"/>
      <c r="CS995" s="1530"/>
      <c r="CT995" s="1530"/>
      <c r="CU995" s="1530"/>
      <c r="CV995" s="1530"/>
      <c r="CW995" s="1530"/>
      <c r="CX995" s="1530"/>
      <c r="CY995" s="1530"/>
      <c r="CZ995" s="1530"/>
      <c r="DA995" s="1530"/>
      <c r="DB995" s="1530"/>
      <c r="DC995" s="1530"/>
      <c r="DD995" s="1530"/>
      <c r="DE995" s="1530"/>
      <c r="DF995" s="1530"/>
      <c r="DG995" s="1530"/>
      <c r="DH995" s="1530"/>
      <c r="DI995" s="1530"/>
      <c r="DJ995" s="1530"/>
      <c r="DK995" s="1530"/>
      <c r="DL995" s="1530"/>
      <c r="DM995" s="1530"/>
      <c r="DN995" s="1571"/>
      <c r="DO995" s="1530"/>
      <c r="DP995" s="1530"/>
    </row>
    <row r="996" spans="1:120">
      <c r="A996" s="1451"/>
      <c r="C996" s="1451"/>
      <c r="K996" s="1451"/>
      <c r="L996" s="1451"/>
      <c r="U996" s="1530"/>
      <c r="V996" s="1530"/>
      <c r="W996" s="1530"/>
      <c r="X996" s="1530"/>
      <c r="Y996" s="1530"/>
      <c r="Z996" s="1530"/>
      <c r="AA996" s="1530"/>
      <c r="AB996" s="1530"/>
      <c r="AC996" s="1530"/>
      <c r="AD996" s="1530"/>
      <c r="AE996" s="1530"/>
      <c r="AF996" s="1530"/>
      <c r="AG996" s="1530"/>
      <c r="AH996" s="1530"/>
      <c r="AI996" s="1530"/>
      <c r="AJ996" s="1530"/>
      <c r="AK996" s="1530"/>
      <c r="AL996" s="1530"/>
      <c r="AM996" s="1530"/>
      <c r="AN996" s="1530"/>
      <c r="AO996" s="1530"/>
      <c r="AP996" s="1530"/>
      <c r="AQ996" s="1530"/>
      <c r="AR996" s="1530"/>
      <c r="AS996" s="1530"/>
      <c r="AT996" s="1530"/>
      <c r="AU996" s="1530"/>
      <c r="AV996" s="1530"/>
      <c r="AW996" s="1530"/>
      <c r="AX996" s="1530"/>
      <c r="AY996" s="1530"/>
      <c r="AZ996" s="1530"/>
      <c r="BA996" s="1530"/>
      <c r="BB996" s="1530"/>
      <c r="BC996" s="1530"/>
      <c r="BD996" s="1530"/>
      <c r="BE996" s="1530"/>
      <c r="BF996" s="1530"/>
      <c r="BG996" s="1530"/>
      <c r="BH996" s="1530"/>
      <c r="BI996" s="1530"/>
      <c r="BJ996" s="1530"/>
      <c r="BK996" s="1530"/>
      <c r="BL996" s="1530"/>
      <c r="BM996" s="1530"/>
      <c r="BN996" s="1530"/>
      <c r="BW996" s="1569"/>
      <c r="CO996" s="1530"/>
      <c r="CP996" s="1530"/>
      <c r="CQ996" s="1530"/>
      <c r="CR996" s="1530"/>
      <c r="CS996" s="1530"/>
      <c r="CT996" s="1530"/>
      <c r="CU996" s="1530"/>
      <c r="CV996" s="1530"/>
      <c r="CW996" s="1530"/>
      <c r="CX996" s="1530"/>
      <c r="CY996" s="1530"/>
      <c r="CZ996" s="1530"/>
      <c r="DA996" s="1530"/>
      <c r="DB996" s="1530"/>
      <c r="DC996" s="1530"/>
      <c r="DD996" s="1530"/>
      <c r="DE996" s="1530"/>
      <c r="DF996" s="1530"/>
      <c r="DG996" s="1530"/>
      <c r="DH996" s="1530"/>
      <c r="DI996" s="1530"/>
      <c r="DJ996" s="1530"/>
      <c r="DK996" s="1530"/>
      <c r="DL996" s="1530"/>
      <c r="DM996" s="1530"/>
      <c r="DN996" s="1571"/>
      <c r="DO996" s="1530"/>
      <c r="DP996" s="1530"/>
    </row>
    <row r="997" spans="1:120">
      <c r="A997" s="1451"/>
      <c r="C997" s="1451"/>
      <c r="K997" s="1451"/>
      <c r="L997" s="1451"/>
      <c r="U997" s="1530"/>
      <c r="V997" s="1530"/>
      <c r="W997" s="1530"/>
      <c r="X997" s="1530"/>
      <c r="Y997" s="1530"/>
      <c r="Z997" s="1530"/>
      <c r="AA997" s="1530"/>
      <c r="AB997" s="1530"/>
      <c r="AC997" s="1530"/>
      <c r="AD997" s="1530"/>
      <c r="AE997" s="1530"/>
      <c r="AF997" s="1530"/>
      <c r="AG997" s="1530"/>
      <c r="AH997" s="1530"/>
      <c r="AI997" s="1530"/>
      <c r="AJ997" s="1530"/>
      <c r="AK997" s="1530"/>
      <c r="AL997" s="1530"/>
      <c r="AM997" s="1530"/>
      <c r="AN997" s="1530"/>
      <c r="AO997" s="1530"/>
      <c r="AP997" s="1530"/>
      <c r="AQ997" s="1530"/>
      <c r="AR997" s="1530"/>
      <c r="AS997" s="1530"/>
      <c r="AT997" s="1530"/>
      <c r="AU997" s="1530"/>
      <c r="AV997" s="1530"/>
      <c r="AW997" s="1530"/>
      <c r="AX997" s="1530"/>
      <c r="AY997" s="1530"/>
      <c r="AZ997" s="1530"/>
      <c r="BA997" s="1530"/>
      <c r="BB997" s="1530"/>
      <c r="BC997" s="1530"/>
      <c r="BD997" s="1530"/>
      <c r="BE997" s="1530"/>
      <c r="BF997" s="1530"/>
      <c r="BG997" s="1530"/>
      <c r="BH997" s="1530"/>
      <c r="BI997" s="1530"/>
      <c r="BJ997" s="1530"/>
      <c r="BK997" s="1530"/>
      <c r="BL997" s="1530"/>
      <c r="BM997" s="1530"/>
      <c r="BN997" s="1530"/>
      <c r="BW997" s="1569"/>
      <c r="CO997" s="1530"/>
      <c r="CP997" s="1530"/>
      <c r="CQ997" s="1530"/>
      <c r="CR997" s="1530"/>
      <c r="CS997" s="1530"/>
      <c r="CT997" s="1530"/>
      <c r="CU997" s="1530"/>
      <c r="CV997" s="1530"/>
      <c r="CW997" s="1530"/>
      <c r="CX997" s="1530"/>
      <c r="CY997" s="1530"/>
      <c r="CZ997" s="1530"/>
      <c r="DA997" s="1530"/>
      <c r="DB997" s="1530"/>
      <c r="DC997" s="1530"/>
      <c r="DD997" s="1530"/>
      <c r="DE997" s="1530"/>
      <c r="DF997" s="1530"/>
      <c r="DG997" s="1530"/>
      <c r="DH997" s="1530"/>
      <c r="DI997" s="1530"/>
      <c r="DJ997" s="1530"/>
      <c r="DK997" s="1530"/>
      <c r="DL997" s="1530"/>
      <c r="DM997" s="1530"/>
      <c r="DN997" s="1571"/>
      <c r="DO997" s="1530"/>
      <c r="DP997" s="1530"/>
    </row>
    <row r="998" spans="1:120">
      <c r="A998" s="1451"/>
      <c r="C998" s="1451"/>
      <c r="K998" s="1451"/>
      <c r="L998" s="1451"/>
      <c r="U998" s="1530"/>
      <c r="V998" s="1530"/>
      <c r="W998" s="1530"/>
      <c r="X998" s="1530"/>
      <c r="Y998" s="1530"/>
      <c r="Z998" s="1530"/>
      <c r="AA998" s="1530"/>
      <c r="AB998" s="1530"/>
      <c r="AC998" s="1530"/>
      <c r="AD998" s="1530"/>
      <c r="AE998" s="1530"/>
      <c r="AF998" s="1530"/>
      <c r="AG998" s="1530"/>
      <c r="AH998" s="1530"/>
      <c r="AI998" s="1530"/>
      <c r="AJ998" s="1530"/>
      <c r="AK998" s="1530"/>
      <c r="AL998" s="1530"/>
      <c r="AM998" s="1530"/>
      <c r="AN998" s="1530"/>
      <c r="AO998" s="1530"/>
      <c r="AP998" s="1530"/>
      <c r="AQ998" s="1530"/>
      <c r="AR998" s="1530"/>
      <c r="AS998" s="1530"/>
      <c r="AT998" s="1530"/>
      <c r="AU998" s="1530"/>
      <c r="AV998" s="1530"/>
      <c r="AW998" s="1530"/>
      <c r="AX998" s="1530"/>
      <c r="AY998" s="1530"/>
      <c r="AZ998" s="1530"/>
      <c r="BA998" s="1530"/>
      <c r="BB998" s="1530"/>
      <c r="BC998" s="1530"/>
      <c r="BD998" s="1530"/>
      <c r="BE998" s="1530"/>
      <c r="BF998" s="1530"/>
      <c r="BG998" s="1530"/>
      <c r="BH998" s="1530"/>
      <c r="BI998" s="1530"/>
      <c r="BJ998" s="1530"/>
      <c r="BK998" s="1530"/>
      <c r="BL998" s="1530"/>
      <c r="BM998" s="1530"/>
      <c r="BN998" s="1530"/>
      <c r="BW998" s="1569"/>
      <c r="CO998" s="1530"/>
      <c r="CP998" s="1530"/>
      <c r="CQ998" s="1530"/>
      <c r="CR998" s="1530"/>
      <c r="CS998" s="1530"/>
      <c r="CT998" s="1530"/>
      <c r="CU998" s="1530"/>
      <c r="CV998" s="1530"/>
      <c r="CW998" s="1530"/>
      <c r="CX998" s="1530"/>
      <c r="CY998" s="1530"/>
      <c r="CZ998" s="1530"/>
      <c r="DA998" s="1530"/>
      <c r="DB998" s="1530"/>
      <c r="DC998" s="1530"/>
      <c r="DD998" s="1530"/>
      <c r="DE998" s="1530"/>
      <c r="DF998" s="1530"/>
      <c r="DG998" s="1530"/>
      <c r="DH998" s="1530"/>
      <c r="DI998" s="1530"/>
      <c r="DJ998" s="1530"/>
      <c r="DK998" s="1530"/>
      <c r="DL998" s="1530"/>
      <c r="DM998" s="1530"/>
      <c r="DN998" s="1571"/>
      <c r="DO998" s="1530"/>
      <c r="DP998" s="1530"/>
    </row>
    <row r="999" spans="1:120">
      <c r="A999" s="1451"/>
      <c r="C999" s="1451"/>
      <c r="K999" s="1451"/>
      <c r="L999" s="1451"/>
      <c r="U999" s="1530"/>
      <c r="V999" s="1530"/>
      <c r="W999" s="1530"/>
      <c r="X999" s="1530"/>
      <c r="Y999" s="1530"/>
      <c r="Z999" s="1530"/>
      <c r="AA999" s="1530"/>
      <c r="AB999" s="1530"/>
      <c r="AC999" s="1530"/>
      <c r="AD999" s="1530"/>
      <c r="AE999" s="1530"/>
      <c r="AF999" s="1530"/>
      <c r="AG999" s="1530"/>
      <c r="AH999" s="1530"/>
      <c r="AI999" s="1530"/>
      <c r="AJ999" s="1530"/>
      <c r="AK999" s="1530"/>
      <c r="AL999" s="1530"/>
      <c r="AM999" s="1530"/>
      <c r="AN999" s="1530"/>
      <c r="AO999" s="1530"/>
      <c r="AP999" s="1530"/>
      <c r="AQ999" s="1530"/>
      <c r="AR999" s="1530"/>
      <c r="AS999" s="1530"/>
      <c r="AT999" s="1530"/>
      <c r="AU999" s="1530"/>
      <c r="AV999" s="1530"/>
      <c r="AW999" s="1530"/>
      <c r="AX999" s="1530"/>
      <c r="AY999" s="1530"/>
      <c r="AZ999" s="1530"/>
      <c r="BA999" s="1530"/>
      <c r="BB999" s="1530"/>
      <c r="BC999" s="1530"/>
      <c r="BD999" s="1530"/>
      <c r="BE999" s="1530"/>
      <c r="BF999" s="1530"/>
      <c r="BG999" s="1530"/>
      <c r="BH999" s="1530"/>
      <c r="BI999" s="1530"/>
      <c r="BJ999" s="1530"/>
      <c r="BK999" s="1530"/>
      <c r="BL999" s="1530"/>
      <c r="BM999" s="1530"/>
      <c r="BN999" s="1530"/>
      <c r="BW999" s="1569"/>
      <c r="CO999" s="1530"/>
      <c r="CP999" s="1530"/>
      <c r="CQ999" s="1530"/>
      <c r="CR999" s="1530"/>
      <c r="CS999" s="1530"/>
      <c r="CT999" s="1530"/>
      <c r="CU999" s="1530"/>
      <c r="CV999" s="1530"/>
      <c r="CW999" s="1530"/>
      <c r="CX999" s="1530"/>
      <c r="CY999" s="1530"/>
      <c r="CZ999" s="1530"/>
      <c r="DA999" s="1530"/>
      <c r="DB999" s="1530"/>
      <c r="DC999" s="1530"/>
      <c r="DD999" s="1530"/>
      <c r="DE999" s="1530"/>
      <c r="DF999" s="1530"/>
      <c r="DG999" s="1530"/>
      <c r="DH999" s="1530"/>
      <c r="DI999" s="1530"/>
      <c r="DJ999" s="1530"/>
      <c r="DK999" s="1530"/>
      <c r="DL999" s="1530"/>
      <c r="DM999" s="1530"/>
      <c r="DN999" s="1571"/>
      <c r="DO999" s="1530"/>
      <c r="DP999" s="1530"/>
    </row>
    <row r="1000" spans="1:120">
      <c r="A1000" s="1451"/>
      <c r="C1000" s="1451"/>
      <c r="K1000" s="1451"/>
      <c r="L1000" s="1451"/>
      <c r="U1000" s="1530"/>
      <c r="V1000" s="1530"/>
      <c r="W1000" s="1530"/>
      <c r="X1000" s="1530"/>
      <c r="Y1000" s="1530"/>
      <c r="Z1000" s="1530"/>
      <c r="AA1000" s="1530"/>
      <c r="AB1000" s="1530"/>
      <c r="AC1000" s="1530"/>
      <c r="AD1000" s="1530"/>
      <c r="AE1000" s="1530"/>
      <c r="AF1000" s="1530"/>
      <c r="AG1000" s="1530"/>
      <c r="AH1000" s="1530"/>
      <c r="AI1000" s="1530"/>
      <c r="AJ1000" s="1530"/>
      <c r="AK1000" s="1530"/>
      <c r="AL1000" s="1530"/>
      <c r="AM1000" s="1530"/>
      <c r="AN1000" s="1530"/>
      <c r="AO1000" s="1530"/>
      <c r="AP1000" s="1530"/>
      <c r="AQ1000" s="1530"/>
      <c r="AR1000" s="1530"/>
      <c r="AS1000" s="1530"/>
      <c r="AT1000" s="1530"/>
      <c r="AU1000" s="1530"/>
      <c r="AV1000" s="1530"/>
      <c r="AW1000" s="1530"/>
      <c r="AX1000" s="1530"/>
      <c r="AY1000" s="1530"/>
      <c r="AZ1000" s="1530"/>
      <c r="BA1000" s="1530"/>
      <c r="BB1000" s="1530"/>
      <c r="BC1000" s="1530"/>
      <c r="BD1000" s="1530"/>
      <c r="BE1000" s="1530"/>
      <c r="BF1000" s="1530"/>
      <c r="BG1000" s="1530"/>
      <c r="BH1000" s="1530"/>
      <c r="BI1000" s="1530"/>
      <c r="BJ1000" s="1530"/>
      <c r="BK1000" s="1530"/>
      <c r="BL1000" s="1530"/>
      <c r="BM1000" s="1530"/>
      <c r="BN1000" s="1530"/>
      <c r="BW1000" s="1569"/>
      <c r="CO1000" s="1530"/>
      <c r="CP1000" s="1530"/>
      <c r="CQ1000" s="1530"/>
      <c r="CR1000" s="1530"/>
      <c r="CS1000" s="1530"/>
      <c r="CT1000" s="1530"/>
      <c r="CU1000" s="1530"/>
      <c r="CV1000" s="1530"/>
      <c r="CW1000" s="1530"/>
      <c r="CX1000" s="1530"/>
      <c r="CY1000" s="1530"/>
      <c r="CZ1000" s="1530"/>
      <c r="DA1000" s="1530"/>
      <c r="DB1000" s="1530"/>
      <c r="DC1000" s="1530"/>
      <c r="DD1000" s="1530"/>
      <c r="DE1000" s="1530"/>
      <c r="DF1000" s="1530"/>
      <c r="DG1000" s="1530"/>
      <c r="DH1000" s="1530"/>
      <c r="DI1000" s="1530"/>
      <c r="DJ1000" s="1530"/>
      <c r="DK1000" s="1530"/>
      <c r="DL1000" s="1530"/>
      <c r="DM1000" s="1530"/>
      <c r="DN1000" s="1571"/>
      <c r="DO1000" s="1530"/>
      <c r="DP1000" s="1530"/>
    </row>
    <row r="1001" spans="1:120">
      <c r="A1001" s="1451"/>
      <c r="C1001" s="1451"/>
      <c r="K1001" s="1451"/>
      <c r="L1001" s="1451"/>
      <c r="U1001" s="1530"/>
      <c r="V1001" s="1530"/>
      <c r="W1001" s="1530"/>
      <c r="X1001" s="1530"/>
      <c r="Y1001" s="1530"/>
      <c r="Z1001" s="1530"/>
      <c r="AA1001" s="1530"/>
      <c r="AB1001" s="1530"/>
      <c r="AC1001" s="1530"/>
      <c r="AD1001" s="1530"/>
      <c r="AE1001" s="1530"/>
      <c r="AF1001" s="1530"/>
      <c r="AG1001" s="1530"/>
      <c r="AH1001" s="1530"/>
      <c r="AI1001" s="1530"/>
      <c r="AJ1001" s="1530"/>
      <c r="AK1001" s="1530"/>
      <c r="AL1001" s="1530"/>
      <c r="AM1001" s="1530"/>
      <c r="AN1001" s="1530"/>
      <c r="AO1001" s="1530"/>
      <c r="AP1001" s="1530"/>
      <c r="AQ1001" s="1530"/>
      <c r="AR1001" s="1530"/>
      <c r="AS1001" s="1530"/>
      <c r="AT1001" s="1530"/>
      <c r="AU1001" s="1530"/>
      <c r="AV1001" s="1530"/>
      <c r="AW1001" s="1530"/>
      <c r="AX1001" s="1530"/>
      <c r="AY1001" s="1530"/>
      <c r="AZ1001" s="1530"/>
      <c r="BA1001" s="1530"/>
      <c r="BB1001" s="1530"/>
      <c r="BC1001" s="1530"/>
      <c r="BD1001" s="1530"/>
      <c r="BE1001" s="1530"/>
      <c r="BF1001" s="1530"/>
      <c r="BG1001" s="1530"/>
      <c r="BH1001" s="1530"/>
      <c r="BI1001" s="1530"/>
      <c r="BJ1001" s="1530"/>
      <c r="BK1001" s="1530"/>
      <c r="BL1001" s="1530"/>
      <c r="BM1001" s="1530"/>
      <c r="BN1001" s="1530"/>
      <c r="BW1001" s="1569"/>
      <c r="CO1001" s="1530"/>
      <c r="CP1001" s="1530"/>
      <c r="CQ1001" s="1530"/>
      <c r="CR1001" s="1530"/>
      <c r="CS1001" s="1530"/>
      <c r="CT1001" s="1530"/>
      <c r="CU1001" s="1530"/>
      <c r="CV1001" s="1530"/>
      <c r="CW1001" s="1530"/>
      <c r="CX1001" s="1530"/>
      <c r="CY1001" s="1530"/>
      <c r="CZ1001" s="1530"/>
      <c r="DA1001" s="1530"/>
      <c r="DB1001" s="1530"/>
      <c r="DC1001" s="1530"/>
      <c r="DD1001" s="1530"/>
      <c r="DE1001" s="1530"/>
      <c r="DF1001" s="1530"/>
      <c r="DG1001" s="1530"/>
      <c r="DH1001" s="1530"/>
      <c r="DI1001" s="1530"/>
      <c r="DJ1001" s="1530"/>
      <c r="DK1001" s="1530"/>
      <c r="DL1001" s="1530"/>
      <c r="DM1001" s="1530"/>
      <c r="DN1001" s="1571"/>
      <c r="DO1001" s="1530"/>
      <c r="DP1001" s="1530"/>
    </row>
    <row r="1002" spans="1:120">
      <c r="A1002" s="1451"/>
      <c r="C1002" s="1451"/>
      <c r="K1002" s="1451"/>
      <c r="L1002" s="1451"/>
      <c r="U1002" s="1530"/>
      <c r="V1002" s="1530"/>
      <c r="W1002" s="1530"/>
      <c r="X1002" s="1530"/>
      <c r="Y1002" s="1530"/>
      <c r="Z1002" s="1530"/>
      <c r="AA1002" s="1530"/>
      <c r="AB1002" s="1530"/>
      <c r="AC1002" s="1530"/>
      <c r="AD1002" s="1530"/>
      <c r="AE1002" s="1530"/>
      <c r="AF1002" s="1530"/>
      <c r="AG1002" s="1530"/>
      <c r="AH1002" s="1530"/>
      <c r="AI1002" s="1530"/>
      <c r="AJ1002" s="1530"/>
      <c r="AK1002" s="1530"/>
      <c r="AL1002" s="1530"/>
      <c r="AM1002" s="1530"/>
      <c r="AN1002" s="1530"/>
      <c r="AO1002" s="1530"/>
      <c r="AP1002" s="1530"/>
      <c r="AQ1002" s="1530"/>
      <c r="AR1002" s="1530"/>
      <c r="AS1002" s="1530"/>
      <c r="AT1002" s="1530"/>
      <c r="AU1002" s="1530"/>
      <c r="AV1002" s="1530"/>
      <c r="AW1002" s="1530"/>
      <c r="AX1002" s="1530"/>
      <c r="AY1002" s="1530"/>
      <c r="AZ1002" s="1530"/>
      <c r="BA1002" s="1530"/>
      <c r="BB1002" s="1530"/>
      <c r="BC1002" s="1530"/>
      <c r="BD1002" s="1530"/>
      <c r="BE1002" s="1530"/>
      <c r="BF1002" s="1530"/>
      <c r="BG1002" s="1530"/>
      <c r="BH1002" s="1530"/>
      <c r="BI1002" s="1530"/>
      <c r="BJ1002" s="1530"/>
      <c r="BK1002" s="1530"/>
      <c r="BL1002" s="1530"/>
      <c r="BM1002" s="1530"/>
      <c r="BN1002" s="1530"/>
      <c r="BW1002" s="1569"/>
      <c r="CO1002" s="1530"/>
      <c r="CP1002" s="1530"/>
      <c r="CQ1002" s="1530"/>
      <c r="CR1002" s="1530"/>
      <c r="CS1002" s="1530"/>
      <c r="CT1002" s="1530"/>
      <c r="CU1002" s="1530"/>
      <c r="CV1002" s="1530"/>
      <c r="CW1002" s="1530"/>
      <c r="CX1002" s="1530"/>
      <c r="CY1002" s="1530"/>
      <c r="CZ1002" s="1530"/>
      <c r="DA1002" s="1530"/>
      <c r="DB1002" s="1530"/>
      <c r="DC1002" s="1530"/>
      <c r="DD1002" s="1530"/>
      <c r="DE1002" s="1530"/>
      <c r="DF1002" s="1530"/>
      <c r="DG1002" s="1530"/>
      <c r="DH1002" s="1530"/>
      <c r="DI1002" s="1530"/>
      <c r="DJ1002" s="1530"/>
      <c r="DK1002" s="1530"/>
      <c r="DL1002" s="1530"/>
      <c r="DM1002" s="1530"/>
      <c r="DN1002" s="1571"/>
      <c r="DO1002" s="1530"/>
      <c r="DP1002" s="1530"/>
    </row>
    <row r="1003" spans="1:120">
      <c r="A1003" s="1451"/>
      <c r="C1003" s="1451"/>
      <c r="K1003" s="1451"/>
      <c r="L1003" s="1451"/>
      <c r="U1003" s="1530"/>
      <c r="V1003" s="1530"/>
      <c r="W1003" s="1530"/>
      <c r="X1003" s="1530"/>
      <c r="Y1003" s="1530"/>
      <c r="Z1003" s="1530"/>
      <c r="AA1003" s="1530"/>
      <c r="AB1003" s="1530"/>
      <c r="AC1003" s="1530"/>
      <c r="AD1003" s="1530"/>
      <c r="AE1003" s="1530"/>
      <c r="AF1003" s="1530"/>
      <c r="AG1003" s="1530"/>
      <c r="AH1003" s="1530"/>
      <c r="AI1003" s="1530"/>
      <c r="AJ1003" s="1530"/>
      <c r="AK1003" s="1530"/>
      <c r="AL1003" s="1530"/>
      <c r="AM1003" s="1530"/>
      <c r="AN1003" s="1530"/>
      <c r="AO1003" s="1530"/>
      <c r="AP1003" s="1530"/>
      <c r="AQ1003" s="1530"/>
      <c r="AR1003" s="1530"/>
      <c r="AS1003" s="1530"/>
      <c r="AT1003" s="1530"/>
      <c r="AU1003" s="1530"/>
      <c r="AV1003" s="1530"/>
      <c r="AW1003" s="1530"/>
      <c r="AX1003" s="1530"/>
      <c r="AY1003" s="1530"/>
      <c r="AZ1003" s="1530"/>
      <c r="BA1003" s="1530"/>
      <c r="BB1003" s="1530"/>
      <c r="BC1003" s="1530"/>
      <c r="BD1003" s="1530"/>
      <c r="BE1003" s="1530"/>
      <c r="BF1003" s="1530"/>
      <c r="BG1003" s="1530"/>
      <c r="BH1003" s="1530"/>
      <c r="BI1003" s="1530"/>
      <c r="BJ1003" s="1530"/>
      <c r="BK1003" s="1530"/>
      <c r="BL1003" s="1530"/>
      <c r="BM1003" s="1530"/>
      <c r="BN1003" s="1530"/>
      <c r="BW1003" s="1569"/>
      <c r="CO1003" s="1530"/>
      <c r="CP1003" s="1530"/>
      <c r="CQ1003" s="1530"/>
      <c r="CR1003" s="1530"/>
      <c r="CS1003" s="1530"/>
      <c r="CT1003" s="1530"/>
      <c r="CU1003" s="1530"/>
      <c r="CV1003" s="1530"/>
      <c r="CW1003" s="1530"/>
      <c r="CX1003" s="1530"/>
      <c r="CY1003" s="1530"/>
      <c r="CZ1003" s="1530"/>
      <c r="DA1003" s="1530"/>
      <c r="DB1003" s="1530"/>
      <c r="DC1003" s="1530"/>
      <c r="DD1003" s="1530"/>
      <c r="DE1003" s="1530"/>
      <c r="DF1003" s="1530"/>
      <c r="DG1003" s="1530"/>
      <c r="DH1003" s="1530"/>
      <c r="DI1003" s="1530"/>
      <c r="DJ1003" s="1530"/>
      <c r="DK1003" s="1530"/>
      <c r="DL1003" s="1530"/>
      <c r="DM1003" s="1530"/>
      <c r="DN1003" s="1571"/>
      <c r="DO1003" s="1530"/>
      <c r="DP1003" s="1530"/>
    </row>
    <row r="1004" spans="1:120">
      <c r="A1004" s="1451"/>
      <c r="C1004" s="1451"/>
      <c r="K1004" s="1451"/>
      <c r="L1004" s="1451"/>
      <c r="U1004" s="1530"/>
      <c r="V1004" s="1530"/>
      <c r="W1004" s="1530"/>
      <c r="X1004" s="1530"/>
      <c r="Y1004" s="1530"/>
      <c r="Z1004" s="1530"/>
      <c r="AA1004" s="1530"/>
      <c r="AB1004" s="1530"/>
      <c r="AC1004" s="1530"/>
      <c r="AD1004" s="1530"/>
      <c r="AE1004" s="1530"/>
      <c r="AF1004" s="1530"/>
      <c r="AG1004" s="1530"/>
      <c r="AH1004" s="1530"/>
      <c r="AI1004" s="1530"/>
      <c r="AJ1004" s="1530"/>
      <c r="AK1004" s="1530"/>
      <c r="AL1004" s="1530"/>
      <c r="AM1004" s="1530"/>
      <c r="AN1004" s="1530"/>
      <c r="AO1004" s="1530"/>
      <c r="AP1004" s="1530"/>
      <c r="AQ1004" s="1530"/>
      <c r="AR1004" s="1530"/>
      <c r="AS1004" s="1530"/>
      <c r="AT1004" s="1530"/>
      <c r="AU1004" s="1530"/>
      <c r="AV1004" s="1530"/>
      <c r="AW1004" s="1530"/>
      <c r="AX1004" s="1530"/>
      <c r="AY1004" s="1530"/>
      <c r="AZ1004" s="1530"/>
      <c r="BA1004" s="1530"/>
      <c r="BB1004" s="1530"/>
      <c r="BC1004" s="1530"/>
      <c r="BD1004" s="1530"/>
      <c r="BE1004" s="1530"/>
      <c r="BF1004" s="1530"/>
      <c r="BG1004" s="1530"/>
      <c r="BH1004" s="1530"/>
      <c r="BI1004" s="1530"/>
      <c r="BJ1004" s="1530"/>
      <c r="BK1004" s="1530"/>
      <c r="BL1004" s="1530"/>
      <c r="BM1004" s="1530"/>
      <c r="BN1004" s="1530"/>
      <c r="BW1004" s="1569"/>
      <c r="CO1004" s="1530"/>
      <c r="CP1004" s="1530"/>
      <c r="CQ1004" s="1530"/>
      <c r="CR1004" s="1530"/>
      <c r="CS1004" s="1530"/>
      <c r="CT1004" s="1530"/>
      <c r="CU1004" s="1530"/>
      <c r="CV1004" s="1530"/>
      <c r="CW1004" s="1530"/>
      <c r="CX1004" s="1530"/>
      <c r="CY1004" s="1530"/>
      <c r="CZ1004" s="1530"/>
      <c r="DA1004" s="1530"/>
      <c r="DB1004" s="1530"/>
      <c r="DC1004" s="1530"/>
      <c r="DD1004" s="1530"/>
      <c r="DE1004" s="1530"/>
      <c r="DF1004" s="1530"/>
      <c r="DG1004" s="1530"/>
      <c r="DH1004" s="1530"/>
      <c r="DI1004" s="1530"/>
      <c r="DJ1004" s="1530"/>
      <c r="DK1004" s="1530"/>
      <c r="DL1004" s="1530"/>
      <c r="DM1004" s="1530"/>
      <c r="DN1004" s="1571"/>
      <c r="DO1004" s="1530"/>
      <c r="DP1004" s="1530"/>
    </row>
    <row r="1005" spans="1:120">
      <c r="A1005" s="1451"/>
      <c r="C1005" s="1451"/>
      <c r="K1005" s="1451"/>
      <c r="L1005" s="1451"/>
      <c r="U1005" s="1530"/>
      <c r="V1005" s="1530"/>
      <c r="W1005" s="1530"/>
      <c r="X1005" s="1530"/>
      <c r="Y1005" s="1530"/>
      <c r="Z1005" s="1530"/>
      <c r="AA1005" s="1530"/>
      <c r="AB1005" s="1530"/>
      <c r="AC1005" s="1530"/>
      <c r="AD1005" s="1530"/>
      <c r="AE1005" s="1530"/>
      <c r="AF1005" s="1530"/>
      <c r="AG1005" s="1530"/>
      <c r="AH1005" s="1530"/>
      <c r="AI1005" s="1530"/>
      <c r="AJ1005" s="1530"/>
      <c r="AK1005" s="1530"/>
      <c r="AL1005" s="1530"/>
      <c r="AM1005" s="1530"/>
      <c r="AN1005" s="1530"/>
      <c r="AO1005" s="1530"/>
      <c r="AP1005" s="1530"/>
      <c r="AQ1005" s="1530"/>
      <c r="AR1005" s="1530"/>
      <c r="AS1005" s="1530"/>
      <c r="AT1005" s="1530"/>
      <c r="AU1005" s="1530"/>
      <c r="AV1005" s="1530"/>
      <c r="AW1005" s="1530"/>
      <c r="AX1005" s="1530"/>
      <c r="AY1005" s="1530"/>
      <c r="AZ1005" s="1530"/>
      <c r="BA1005" s="1530"/>
      <c r="BB1005" s="1530"/>
      <c r="BC1005" s="1530"/>
      <c r="BD1005" s="1530"/>
      <c r="BE1005" s="1530"/>
      <c r="BF1005" s="1530"/>
      <c r="BG1005" s="1530"/>
      <c r="BH1005" s="1530"/>
      <c r="BI1005" s="1530"/>
      <c r="BJ1005" s="1530"/>
      <c r="BK1005" s="1530"/>
      <c r="BL1005" s="1530"/>
      <c r="BM1005" s="1530"/>
      <c r="BN1005" s="1530"/>
      <c r="BW1005" s="1569"/>
      <c r="CO1005" s="1530"/>
      <c r="CP1005" s="1530"/>
      <c r="CQ1005" s="1530"/>
      <c r="CR1005" s="1530"/>
      <c r="CS1005" s="1530"/>
      <c r="CT1005" s="1530"/>
      <c r="CU1005" s="1530"/>
      <c r="CV1005" s="1530"/>
      <c r="CW1005" s="1530"/>
      <c r="CX1005" s="1530"/>
      <c r="CY1005" s="1530"/>
      <c r="CZ1005" s="1530"/>
      <c r="DA1005" s="1530"/>
      <c r="DB1005" s="1530"/>
      <c r="DC1005" s="1530"/>
      <c r="DD1005" s="1530"/>
      <c r="DE1005" s="1530"/>
      <c r="DF1005" s="1530"/>
      <c r="DG1005" s="1530"/>
      <c r="DH1005" s="1530"/>
      <c r="DI1005" s="1530"/>
      <c r="DJ1005" s="1530"/>
      <c r="DK1005" s="1530"/>
      <c r="DL1005" s="1530"/>
      <c r="DM1005" s="1530"/>
      <c r="DN1005" s="1571"/>
      <c r="DO1005" s="1530"/>
      <c r="DP1005" s="1530"/>
    </row>
    <row r="1006" spans="1:120">
      <c r="A1006" s="1451"/>
      <c r="C1006" s="1451"/>
      <c r="K1006" s="1451"/>
      <c r="L1006" s="1451"/>
      <c r="U1006" s="1530"/>
      <c r="V1006" s="1530"/>
      <c r="W1006" s="1530"/>
      <c r="X1006" s="1530"/>
      <c r="Y1006" s="1530"/>
      <c r="Z1006" s="1530"/>
      <c r="AA1006" s="1530"/>
      <c r="AB1006" s="1530"/>
      <c r="AC1006" s="1530"/>
      <c r="AD1006" s="1530"/>
      <c r="AE1006" s="1530"/>
      <c r="AF1006" s="1530"/>
      <c r="AG1006" s="1530"/>
      <c r="AH1006" s="1530"/>
      <c r="AI1006" s="1530"/>
      <c r="AJ1006" s="1530"/>
      <c r="AK1006" s="1530"/>
      <c r="AL1006" s="1530"/>
      <c r="AM1006" s="1530"/>
      <c r="AN1006" s="1530"/>
      <c r="AO1006" s="1530"/>
      <c r="AP1006" s="1530"/>
      <c r="AQ1006" s="1530"/>
      <c r="AR1006" s="1530"/>
      <c r="AS1006" s="1530"/>
      <c r="AT1006" s="1530"/>
      <c r="AU1006" s="1530"/>
      <c r="AV1006" s="1530"/>
      <c r="AW1006" s="1530"/>
      <c r="AX1006" s="1530"/>
      <c r="AY1006" s="1530"/>
      <c r="AZ1006" s="1530"/>
      <c r="BA1006" s="1530"/>
      <c r="BB1006" s="1530"/>
      <c r="BC1006" s="1530"/>
      <c r="BD1006" s="1530"/>
      <c r="BE1006" s="1530"/>
      <c r="BF1006" s="1530"/>
      <c r="BG1006" s="1530"/>
      <c r="BH1006" s="1530"/>
      <c r="BI1006" s="1530"/>
      <c r="BJ1006" s="1530"/>
      <c r="BK1006" s="1530"/>
      <c r="BL1006" s="1530"/>
      <c r="BM1006" s="1530"/>
      <c r="BN1006" s="1530"/>
      <c r="BW1006" s="1569"/>
      <c r="CO1006" s="1530"/>
      <c r="CP1006" s="1530"/>
      <c r="CQ1006" s="1530"/>
      <c r="CR1006" s="1530"/>
      <c r="CS1006" s="1530"/>
      <c r="CT1006" s="1530"/>
      <c r="CU1006" s="1530"/>
      <c r="CV1006" s="1530"/>
      <c r="CW1006" s="1530"/>
      <c r="CX1006" s="1530"/>
      <c r="CY1006" s="1530"/>
      <c r="CZ1006" s="1530"/>
      <c r="DA1006" s="1530"/>
      <c r="DB1006" s="1530"/>
      <c r="DC1006" s="1530"/>
      <c r="DD1006" s="1530"/>
      <c r="DE1006" s="1530"/>
      <c r="DF1006" s="1530"/>
      <c r="DG1006" s="1530"/>
      <c r="DH1006" s="1530"/>
      <c r="DI1006" s="1530"/>
      <c r="DJ1006" s="1530"/>
      <c r="DK1006" s="1530"/>
      <c r="DL1006" s="1530"/>
      <c r="DM1006" s="1530"/>
      <c r="DN1006" s="1571"/>
      <c r="DO1006" s="1530"/>
      <c r="DP1006" s="1530"/>
    </row>
    <row r="1007" spans="1:120">
      <c r="A1007" s="1451"/>
      <c r="C1007" s="1451"/>
      <c r="K1007" s="1451"/>
      <c r="L1007" s="1451"/>
      <c r="U1007" s="1530"/>
      <c r="V1007" s="1530"/>
      <c r="W1007" s="1530"/>
      <c r="X1007" s="1530"/>
      <c r="Y1007" s="1530"/>
      <c r="Z1007" s="1530"/>
      <c r="AA1007" s="1530"/>
      <c r="AB1007" s="1530"/>
      <c r="AC1007" s="1530"/>
      <c r="AD1007" s="1530"/>
      <c r="AE1007" s="1530"/>
      <c r="AF1007" s="1530"/>
      <c r="AG1007" s="1530"/>
      <c r="AH1007" s="1530"/>
      <c r="AI1007" s="1530"/>
      <c r="AJ1007" s="1530"/>
      <c r="AK1007" s="1530"/>
      <c r="AL1007" s="1530"/>
      <c r="AM1007" s="1530"/>
      <c r="AN1007" s="1530"/>
      <c r="AO1007" s="1530"/>
      <c r="AP1007" s="1530"/>
      <c r="AQ1007" s="1530"/>
      <c r="AR1007" s="1530"/>
      <c r="AS1007" s="1530"/>
      <c r="AT1007" s="1530"/>
      <c r="AU1007" s="1530"/>
      <c r="AV1007" s="1530"/>
      <c r="AW1007" s="1530"/>
      <c r="AX1007" s="1530"/>
      <c r="AY1007" s="1530"/>
      <c r="AZ1007" s="1530"/>
      <c r="BA1007" s="1530"/>
      <c r="BB1007" s="1530"/>
      <c r="BC1007" s="1530"/>
      <c r="BD1007" s="1530"/>
      <c r="BE1007" s="1530"/>
      <c r="BF1007" s="1530"/>
      <c r="BG1007" s="1530"/>
      <c r="BH1007" s="1530"/>
      <c r="BI1007" s="1530"/>
      <c r="BJ1007" s="1530"/>
      <c r="BK1007" s="1530"/>
      <c r="BL1007" s="1530"/>
      <c r="BM1007" s="1530"/>
      <c r="BN1007" s="1530"/>
      <c r="BW1007" s="1569"/>
      <c r="CO1007" s="1530"/>
      <c r="CP1007" s="1530"/>
      <c r="CQ1007" s="1530"/>
      <c r="CR1007" s="1530"/>
      <c r="CS1007" s="1530"/>
      <c r="CT1007" s="1530"/>
      <c r="CU1007" s="1530"/>
      <c r="CV1007" s="1530"/>
      <c r="CW1007" s="1530"/>
      <c r="CX1007" s="1530"/>
      <c r="CY1007" s="1530"/>
      <c r="CZ1007" s="1530"/>
      <c r="DA1007" s="1530"/>
      <c r="DB1007" s="1530"/>
      <c r="DC1007" s="1530"/>
      <c r="DD1007" s="1530"/>
      <c r="DE1007" s="1530"/>
      <c r="DF1007" s="1530"/>
      <c r="DG1007" s="1530"/>
      <c r="DH1007" s="1530"/>
      <c r="DI1007" s="1530"/>
      <c r="DJ1007" s="1530"/>
      <c r="DK1007" s="1530"/>
      <c r="DL1007" s="1530"/>
      <c r="DM1007" s="1530"/>
      <c r="DN1007" s="1571"/>
      <c r="DO1007" s="1530"/>
      <c r="DP1007" s="1530"/>
    </row>
    <row r="1008" spans="1:120">
      <c r="A1008" s="1451"/>
      <c r="C1008" s="1451"/>
      <c r="K1008" s="1451"/>
      <c r="L1008" s="1451"/>
      <c r="U1008" s="1530"/>
      <c r="V1008" s="1530"/>
      <c r="W1008" s="1530"/>
      <c r="X1008" s="1530"/>
      <c r="Y1008" s="1530"/>
      <c r="Z1008" s="1530"/>
      <c r="AA1008" s="1530"/>
      <c r="AB1008" s="1530"/>
      <c r="AC1008" s="1530"/>
      <c r="AD1008" s="1530"/>
      <c r="AE1008" s="1530"/>
      <c r="AF1008" s="1530"/>
      <c r="AG1008" s="1530"/>
      <c r="AH1008" s="1530"/>
      <c r="AI1008" s="1530"/>
      <c r="AJ1008" s="1530"/>
      <c r="AK1008" s="1530"/>
      <c r="AL1008" s="1530"/>
      <c r="AM1008" s="1530"/>
      <c r="AN1008" s="1530"/>
      <c r="AO1008" s="1530"/>
      <c r="AP1008" s="1530"/>
      <c r="AQ1008" s="1530"/>
      <c r="AR1008" s="1530"/>
      <c r="AS1008" s="1530"/>
      <c r="AT1008" s="1530"/>
      <c r="AU1008" s="1530"/>
      <c r="AV1008" s="1530"/>
      <c r="AW1008" s="1530"/>
      <c r="AX1008" s="1530"/>
      <c r="AY1008" s="1530"/>
      <c r="AZ1008" s="1530"/>
      <c r="BA1008" s="1530"/>
      <c r="BB1008" s="1530"/>
      <c r="BC1008" s="1530"/>
      <c r="BD1008" s="1530"/>
      <c r="BE1008" s="1530"/>
      <c r="BF1008" s="1530"/>
      <c r="BG1008" s="1530"/>
      <c r="BH1008" s="1530"/>
      <c r="BI1008" s="1530"/>
      <c r="BJ1008" s="1530"/>
      <c r="BK1008" s="1530"/>
      <c r="BL1008" s="1530"/>
      <c r="BM1008" s="1530"/>
      <c r="BN1008" s="1530"/>
      <c r="BW1008" s="1569"/>
      <c r="CO1008" s="1530"/>
      <c r="CP1008" s="1530"/>
      <c r="CQ1008" s="1530"/>
      <c r="CR1008" s="1530"/>
      <c r="CS1008" s="1530"/>
      <c r="CT1008" s="1530"/>
      <c r="CU1008" s="1530"/>
      <c r="CV1008" s="1530"/>
      <c r="CW1008" s="1530"/>
      <c r="CX1008" s="1530"/>
      <c r="CY1008" s="1530"/>
      <c r="CZ1008" s="1530"/>
      <c r="DA1008" s="1530"/>
      <c r="DB1008" s="1530"/>
      <c r="DC1008" s="1530"/>
      <c r="DD1008" s="1530"/>
      <c r="DE1008" s="1530"/>
      <c r="DF1008" s="1530"/>
      <c r="DG1008" s="1530"/>
      <c r="DH1008" s="1530"/>
      <c r="DI1008" s="1530"/>
      <c r="DJ1008" s="1530"/>
      <c r="DK1008" s="1530"/>
      <c r="DL1008" s="1530"/>
      <c r="DM1008" s="1530"/>
      <c r="DN1008" s="1571"/>
      <c r="DO1008" s="1530"/>
      <c r="DP1008" s="1530"/>
    </row>
    <row r="1009" spans="1:120">
      <c r="A1009" s="1451"/>
      <c r="C1009" s="1451"/>
      <c r="K1009" s="1451"/>
      <c r="L1009" s="1451"/>
      <c r="U1009" s="1530"/>
      <c r="V1009" s="1530"/>
      <c r="W1009" s="1530"/>
      <c r="X1009" s="1530"/>
      <c r="Y1009" s="1530"/>
      <c r="Z1009" s="1530"/>
      <c r="AA1009" s="1530"/>
      <c r="AB1009" s="1530"/>
      <c r="AC1009" s="1530"/>
      <c r="AD1009" s="1530"/>
      <c r="AE1009" s="1530"/>
      <c r="AF1009" s="1530"/>
      <c r="AG1009" s="1530"/>
      <c r="AH1009" s="1530"/>
      <c r="AI1009" s="1530"/>
      <c r="AJ1009" s="1530"/>
      <c r="AK1009" s="1530"/>
      <c r="AL1009" s="1530"/>
      <c r="AM1009" s="1530"/>
      <c r="AN1009" s="1530"/>
      <c r="AO1009" s="1530"/>
      <c r="AP1009" s="1530"/>
      <c r="AQ1009" s="1530"/>
      <c r="AR1009" s="1530"/>
      <c r="AS1009" s="1530"/>
      <c r="AT1009" s="1530"/>
      <c r="AU1009" s="1530"/>
      <c r="AV1009" s="1530"/>
      <c r="AW1009" s="1530"/>
      <c r="AX1009" s="1530"/>
      <c r="AY1009" s="1530"/>
      <c r="AZ1009" s="1530"/>
      <c r="BA1009" s="1530"/>
      <c r="BB1009" s="1530"/>
      <c r="BC1009" s="1530"/>
      <c r="BD1009" s="1530"/>
      <c r="BE1009" s="1530"/>
      <c r="BF1009" s="1530"/>
      <c r="BG1009" s="1530"/>
      <c r="BH1009" s="1530"/>
      <c r="BI1009" s="1530"/>
      <c r="BJ1009" s="1530"/>
      <c r="BK1009" s="1530"/>
      <c r="BL1009" s="1530"/>
      <c r="BM1009" s="1530"/>
      <c r="BN1009" s="1530"/>
      <c r="BW1009" s="1569"/>
      <c r="CO1009" s="1530"/>
      <c r="CP1009" s="1530"/>
      <c r="CQ1009" s="1530"/>
      <c r="CR1009" s="1530"/>
      <c r="CS1009" s="1530"/>
      <c r="CT1009" s="1530"/>
      <c r="CU1009" s="1530"/>
      <c r="CV1009" s="1530"/>
      <c r="CW1009" s="1530"/>
      <c r="CX1009" s="1530"/>
      <c r="CY1009" s="1530"/>
      <c r="CZ1009" s="1530"/>
      <c r="DA1009" s="1530"/>
      <c r="DB1009" s="1530"/>
      <c r="DC1009" s="1530"/>
      <c r="DD1009" s="1530"/>
      <c r="DE1009" s="1530"/>
      <c r="DF1009" s="1530"/>
      <c r="DG1009" s="1530"/>
      <c r="DH1009" s="1530"/>
      <c r="DI1009" s="1530"/>
      <c r="DJ1009" s="1530"/>
      <c r="DK1009" s="1530"/>
      <c r="DL1009" s="1530"/>
      <c r="DM1009" s="1530"/>
      <c r="DN1009" s="1571"/>
      <c r="DO1009" s="1530"/>
      <c r="DP1009" s="1530"/>
    </row>
    <row r="1010" spans="1:120">
      <c r="A1010" s="1451"/>
      <c r="C1010" s="1451"/>
      <c r="K1010" s="1451"/>
      <c r="L1010" s="1451"/>
      <c r="U1010" s="1530"/>
      <c r="V1010" s="1530"/>
      <c r="W1010" s="1530"/>
      <c r="X1010" s="1530"/>
      <c r="Y1010" s="1530"/>
      <c r="Z1010" s="1530"/>
      <c r="AA1010" s="1530"/>
      <c r="AB1010" s="1530"/>
      <c r="AC1010" s="1530"/>
      <c r="AD1010" s="1530"/>
      <c r="AE1010" s="1530"/>
      <c r="AF1010" s="1530"/>
      <c r="AG1010" s="1530"/>
      <c r="AH1010" s="1530"/>
      <c r="AI1010" s="1530"/>
      <c r="AJ1010" s="1530"/>
      <c r="AK1010" s="1530"/>
      <c r="AL1010" s="1530"/>
      <c r="AM1010" s="1530"/>
      <c r="AN1010" s="1530"/>
      <c r="AO1010" s="1530"/>
      <c r="AP1010" s="1530"/>
      <c r="AQ1010" s="1530"/>
      <c r="AR1010" s="1530"/>
      <c r="AS1010" s="1530"/>
      <c r="AT1010" s="1530"/>
      <c r="AU1010" s="1530"/>
      <c r="AV1010" s="1530"/>
      <c r="AW1010" s="1530"/>
      <c r="AX1010" s="1530"/>
      <c r="AY1010" s="1530"/>
      <c r="AZ1010" s="1530"/>
      <c r="BA1010" s="1530"/>
      <c r="BB1010" s="1530"/>
      <c r="BC1010" s="1530"/>
      <c r="BD1010" s="1530"/>
      <c r="BE1010" s="1530"/>
      <c r="BF1010" s="1530"/>
      <c r="BG1010" s="1530"/>
      <c r="BH1010" s="1530"/>
      <c r="BI1010" s="1530"/>
      <c r="BJ1010" s="1530"/>
      <c r="BK1010" s="1530"/>
      <c r="BL1010" s="1530"/>
      <c r="BM1010" s="1530"/>
      <c r="BN1010" s="1530"/>
      <c r="BW1010" s="1569"/>
      <c r="CO1010" s="1530"/>
      <c r="CP1010" s="1530"/>
      <c r="CQ1010" s="1530"/>
      <c r="CR1010" s="1530"/>
      <c r="CS1010" s="1530"/>
      <c r="CT1010" s="1530"/>
      <c r="CU1010" s="1530"/>
      <c r="CV1010" s="1530"/>
      <c r="CW1010" s="1530"/>
      <c r="CX1010" s="1530"/>
      <c r="CY1010" s="1530"/>
      <c r="CZ1010" s="1530"/>
      <c r="DA1010" s="1530"/>
      <c r="DB1010" s="1530"/>
      <c r="DC1010" s="1530"/>
      <c r="DD1010" s="1530"/>
      <c r="DE1010" s="1530"/>
      <c r="DF1010" s="1530"/>
      <c r="DG1010" s="1530"/>
      <c r="DH1010" s="1530"/>
      <c r="DI1010" s="1530"/>
      <c r="DJ1010" s="1530"/>
      <c r="DK1010" s="1530"/>
      <c r="DL1010" s="1530"/>
      <c r="DM1010" s="1530"/>
      <c r="DN1010" s="1571"/>
      <c r="DO1010" s="1530"/>
      <c r="DP1010" s="1530"/>
    </row>
    <row r="1011" spans="1:120">
      <c r="A1011" s="1451"/>
      <c r="C1011" s="1451"/>
      <c r="K1011" s="1451"/>
      <c r="L1011" s="1451"/>
      <c r="U1011" s="1530"/>
      <c r="V1011" s="1530"/>
      <c r="W1011" s="1530"/>
      <c r="X1011" s="1530"/>
      <c r="Y1011" s="1530"/>
      <c r="Z1011" s="1530"/>
      <c r="AA1011" s="1530"/>
      <c r="AB1011" s="1530"/>
      <c r="AC1011" s="1530"/>
      <c r="AD1011" s="1530"/>
      <c r="AE1011" s="1530"/>
      <c r="AF1011" s="1530"/>
      <c r="AG1011" s="1530"/>
      <c r="AH1011" s="1530"/>
      <c r="AI1011" s="1530"/>
      <c r="AJ1011" s="1530"/>
      <c r="AK1011" s="1530"/>
      <c r="AL1011" s="1530"/>
      <c r="AM1011" s="1530"/>
      <c r="AN1011" s="1530"/>
      <c r="AO1011" s="1530"/>
      <c r="AP1011" s="1530"/>
      <c r="AQ1011" s="1530"/>
      <c r="AR1011" s="1530"/>
      <c r="AS1011" s="1530"/>
      <c r="AT1011" s="1530"/>
      <c r="AU1011" s="1530"/>
      <c r="AV1011" s="1530"/>
      <c r="AW1011" s="1530"/>
      <c r="AX1011" s="1530"/>
      <c r="AY1011" s="1530"/>
      <c r="AZ1011" s="1530"/>
      <c r="BA1011" s="1530"/>
      <c r="BB1011" s="1530"/>
      <c r="BC1011" s="1530"/>
      <c r="BD1011" s="1530"/>
      <c r="BE1011" s="1530"/>
      <c r="BF1011" s="1530"/>
      <c r="BG1011" s="1530"/>
      <c r="BH1011" s="1530"/>
      <c r="BI1011" s="1530"/>
      <c r="BJ1011" s="1530"/>
      <c r="BK1011" s="1530"/>
      <c r="BL1011" s="1530"/>
      <c r="BM1011" s="1530"/>
      <c r="BN1011" s="1530"/>
      <c r="BW1011" s="1569"/>
      <c r="CO1011" s="1530"/>
      <c r="CP1011" s="1530"/>
      <c r="CQ1011" s="1530"/>
      <c r="CR1011" s="1530"/>
      <c r="CS1011" s="1530"/>
      <c r="CT1011" s="1530"/>
      <c r="CU1011" s="1530"/>
      <c r="CV1011" s="1530"/>
      <c r="CW1011" s="1530"/>
      <c r="CX1011" s="1530"/>
      <c r="CY1011" s="1530"/>
      <c r="CZ1011" s="1530"/>
      <c r="DA1011" s="1530"/>
      <c r="DB1011" s="1530"/>
      <c r="DC1011" s="1530"/>
      <c r="DD1011" s="1530"/>
      <c r="DE1011" s="1530"/>
      <c r="DF1011" s="1530"/>
      <c r="DG1011" s="1530"/>
      <c r="DH1011" s="1530"/>
      <c r="DI1011" s="1530"/>
      <c r="DJ1011" s="1530"/>
      <c r="DK1011" s="1530"/>
      <c r="DL1011" s="1530"/>
      <c r="DM1011" s="1530"/>
      <c r="DN1011" s="1571"/>
      <c r="DO1011" s="1530"/>
      <c r="DP1011" s="1530"/>
    </row>
    <row r="1012" spans="1:120">
      <c r="A1012" s="1451"/>
      <c r="C1012" s="1451"/>
      <c r="K1012" s="1451"/>
      <c r="L1012" s="1451"/>
      <c r="U1012" s="1530"/>
      <c r="V1012" s="1530"/>
      <c r="W1012" s="1530"/>
      <c r="X1012" s="1530"/>
      <c r="Y1012" s="1530"/>
      <c r="Z1012" s="1530"/>
      <c r="AA1012" s="1530"/>
      <c r="AB1012" s="1530"/>
      <c r="AC1012" s="1530"/>
      <c r="AD1012" s="1530"/>
      <c r="AE1012" s="1530"/>
      <c r="AF1012" s="1530"/>
      <c r="AG1012" s="1530"/>
      <c r="AH1012" s="1530"/>
      <c r="AI1012" s="1530"/>
      <c r="AJ1012" s="1530"/>
      <c r="AK1012" s="1530"/>
      <c r="AL1012" s="1530"/>
      <c r="AM1012" s="1530"/>
      <c r="AN1012" s="1530"/>
      <c r="AO1012" s="1530"/>
      <c r="AP1012" s="1530"/>
      <c r="AQ1012" s="1530"/>
      <c r="AR1012" s="1530"/>
      <c r="AS1012" s="1530"/>
      <c r="AT1012" s="1530"/>
      <c r="AU1012" s="1530"/>
      <c r="AV1012" s="1530"/>
      <c r="AW1012" s="1530"/>
      <c r="AX1012" s="1530"/>
      <c r="AY1012" s="1530"/>
      <c r="AZ1012" s="1530"/>
      <c r="BA1012" s="1530"/>
      <c r="BB1012" s="1530"/>
      <c r="BC1012" s="1530"/>
      <c r="BD1012" s="1530"/>
      <c r="BE1012" s="1530"/>
      <c r="BF1012" s="1530"/>
      <c r="BG1012" s="1530"/>
      <c r="BH1012" s="1530"/>
      <c r="BI1012" s="1530"/>
      <c r="BJ1012" s="1530"/>
      <c r="BK1012" s="1530"/>
      <c r="BL1012" s="1530"/>
      <c r="BM1012" s="1530"/>
      <c r="BN1012" s="1530"/>
      <c r="BW1012" s="1569"/>
      <c r="CO1012" s="1530"/>
      <c r="CP1012" s="1530"/>
      <c r="CQ1012" s="1530"/>
      <c r="CR1012" s="1530"/>
      <c r="CS1012" s="1530"/>
      <c r="CT1012" s="1530"/>
      <c r="CU1012" s="1530"/>
      <c r="CV1012" s="1530"/>
      <c r="CW1012" s="1530"/>
      <c r="CX1012" s="1530"/>
      <c r="CY1012" s="1530"/>
      <c r="CZ1012" s="1530"/>
      <c r="DA1012" s="1530"/>
      <c r="DB1012" s="1530"/>
      <c r="DC1012" s="1530"/>
      <c r="DD1012" s="1530"/>
      <c r="DE1012" s="1530"/>
      <c r="DF1012" s="1530"/>
      <c r="DG1012" s="1530"/>
      <c r="DH1012" s="1530"/>
      <c r="DI1012" s="1530"/>
      <c r="DJ1012" s="1530"/>
      <c r="DK1012" s="1530"/>
      <c r="DL1012" s="1530"/>
      <c r="DM1012" s="1530"/>
      <c r="DN1012" s="1571"/>
      <c r="DO1012" s="1530"/>
      <c r="DP1012" s="1530"/>
    </row>
    <row r="1013" spans="1:120">
      <c r="A1013" s="1451"/>
      <c r="C1013" s="1451"/>
      <c r="K1013" s="1451"/>
      <c r="L1013" s="1451"/>
      <c r="U1013" s="1530"/>
      <c r="V1013" s="1530"/>
      <c r="W1013" s="1530"/>
      <c r="X1013" s="1530"/>
      <c r="Y1013" s="1530"/>
      <c r="Z1013" s="1530"/>
      <c r="AA1013" s="1530"/>
      <c r="AB1013" s="1530"/>
      <c r="AC1013" s="1530"/>
      <c r="AD1013" s="1530"/>
      <c r="AE1013" s="1530"/>
      <c r="AF1013" s="1530"/>
      <c r="AG1013" s="1530"/>
      <c r="AH1013" s="1530"/>
      <c r="AI1013" s="1530"/>
      <c r="AJ1013" s="1530"/>
      <c r="AK1013" s="1530"/>
      <c r="AL1013" s="1530"/>
      <c r="AM1013" s="1530"/>
      <c r="AN1013" s="1530"/>
      <c r="AO1013" s="1530"/>
      <c r="AP1013" s="1530"/>
      <c r="AQ1013" s="1530"/>
      <c r="AR1013" s="1530"/>
      <c r="AS1013" s="1530"/>
      <c r="AT1013" s="1530"/>
      <c r="AU1013" s="1530"/>
      <c r="AV1013" s="1530"/>
      <c r="AW1013" s="1530"/>
      <c r="AX1013" s="1530"/>
      <c r="AY1013" s="1530"/>
      <c r="AZ1013" s="1530"/>
      <c r="BA1013" s="1530"/>
      <c r="BB1013" s="1530"/>
      <c r="BC1013" s="1530"/>
      <c r="BD1013" s="1530"/>
      <c r="BE1013" s="1530"/>
      <c r="BF1013" s="1530"/>
      <c r="BG1013" s="1530"/>
      <c r="BH1013" s="1530"/>
      <c r="BI1013" s="1530"/>
      <c r="BJ1013" s="1530"/>
      <c r="BK1013" s="1530"/>
      <c r="BL1013" s="1530"/>
      <c r="BM1013" s="1530"/>
      <c r="BN1013" s="1530"/>
      <c r="BW1013" s="1569"/>
      <c r="CO1013" s="1530"/>
      <c r="CP1013" s="1530"/>
      <c r="CQ1013" s="1530"/>
      <c r="CR1013" s="1530"/>
      <c r="CS1013" s="1530"/>
      <c r="CT1013" s="1530"/>
      <c r="CU1013" s="1530"/>
      <c r="CV1013" s="1530"/>
      <c r="CW1013" s="1530"/>
      <c r="CX1013" s="1530"/>
      <c r="CY1013" s="1530"/>
      <c r="CZ1013" s="1530"/>
      <c r="DA1013" s="1530"/>
      <c r="DB1013" s="1530"/>
      <c r="DC1013" s="1530"/>
      <c r="DD1013" s="1530"/>
      <c r="DE1013" s="1530"/>
      <c r="DF1013" s="1530"/>
      <c r="DG1013" s="1530"/>
      <c r="DH1013" s="1530"/>
      <c r="DI1013" s="1530"/>
      <c r="DJ1013" s="1530"/>
      <c r="DK1013" s="1530"/>
      <c r="DL1013" s="1530"/>
      <c r="DM1013" s="1530"/>
      <c r="DN1013" s="1571"/>
      <c r="DO1013" s="1530"/>
      <c r="DP1013" s="1530"/>
    </row>
    <row r="1014" spans="1:120">
      <c r="A1014" s="1451"/>
      <c r="C1014" s="1451"/>
      <c r="K1014" s="1451"/>
      <c r="L1014" s="1451"/>
      <c r="U1014" s="1530"/>
      <c r="V1014" s="1530"/>
      <c r="W1014" s="1530"/>
      <c r="X1014" s="1530"/>
      <c r="Y1014" s="1530"/>
      <c r="Z1014" s="1530"/>
      <c r="AA1014" s="1530"/>
      <c r="AB1014" s="1530"/>
      <c r="AC1014" s="1530"/>
      <c r="AD1014" s="1530"/>
      <c r="AE1014" s="1530"/>
      <c r="AF1014" s="1530"/>
      <c r="AG1014" s="1530"/>
      <c r="AH1014" s="1530"/>
      <c r="AI1014" s="1530"/>
      <c r="AJ1014" s="1530"/>
      <c r="AK1014" s="1530"/>
      <c r="AL1014" s="1530"/>
      <c r="AM1014" s="1530"/>
      <c r="AN1014" s="1530"/>
      <c r="AO1014" s="1530"/>
      <c r="AP1014" s="1530"/>
      <c r="AQ1014" s="1530"/>
      <c r="AR1014" s="1530"/>
      <c r="AS1014" s="1530"/>
      <c r="AT1014" s="1530"/>
      <c r="AU1014" s="1530"/>
      <c r="AV1014" s="1530"/>
      <c r="AW1014" s="1530"/>
      <c r="AX1014" s="1530"/>
      <c r="AY1014" s="1530"/>
      <c r="AZ1014" s="1530"/>
      <c r="BA1014" s="1530"/>
      <c r="BB1014" s="1530"/>
      <c r="BC1014" s="1530"/>
      <c r="BD1014" s="1530"/>
      <c r="BE1014" s="1530"/>
      <c r="BF1014" s="1530"/>
      <c r="BG1014" s="1530"/>
      <c r="BH1014" s="1530"/>
      <c r="BI1014" s="1530"/>
      <c r="BJ1014" s="1530"/>
      <c r="BK1014" s="1530"/>
      <c r="BL1014" s="1530"/>
      <c r="BM1014" s="1530"/>
      <c r="BN1014" s="1530"/>
      <c r="BW1014" s="1569"/>
      <c r="CO1014" s="1530"/>
      <c r="CP1014" s="1530"/>
      <c r="CQ1014" s="1530"/>
      <c r="CR1014" s="1530"/>
      <c r="CS1014" s="1530"/>
      <c r="CT1014" s="1530"/>
      <c r="CU1014" s="1530"/>
      <c r="CV1014" s="1530"/>
      <c r="CW1014" s="1530"/>
      <c r="CX1014" s="1530"/>
      <c r="CY1014" s="1530"/>
      <c r="CZ1014" s="1530"/>
      <c r="DA1014" s="1530"/>
      <c r="DB1014" s="1530"/>
      <c r="DC1014" s="1530"/>
      <c r="DD1014" s="1530"/>
      <c r="DE1014" s="1530"/>
      <c r="DF1014" s="1530"/>
      <c r="DG1014" s="1530"/>
      <c r="DH1014" s="1530"/>
      <c r="DI1014" s="1530"/>
      <c r="DJ1014" s="1530"/>
      <c r="DK1014" s="1530"/>
      <c r="DL1014" s="1530"/>
      <c r="DM1014" s="1530"/>
      <c r="DN1014" s="1571"/>
      <c r="DO1014" s="1530"/>
      <c r="DP1014" s="1530"/>
    </row>
    <row r="1015" spans="1:120">
      <c r="A1015" s="1451"/>
      <c r="C1015" s="1451"/>
      <c r="K1015" s="1451"/>
      <c r="L1015" s="1451"/>
      <c r="U1015" s="1530"/>
      <c r="V1015" s="1530"/>
      <c r="W1015" s="1530"/>
      <c r="X1015" s="1530"/>
      <c r="Y1015" s="1530"/>
      <c r="Z1015" s="1530"/>
      <c r="AA1015" s="1530"/>
      <c r="AB1015" s="1530"/>
      <c r="AC1015" s="1530"/>
      <c r="AD1015" s="1530"/>
      <c r="AE1015" s="1530"/>
      <c r="AF1015" s="1530"/>
      <c r="AG1015" s="1530"/>
      <c r="AH1015" s="1530"/>
      <c r="AI1015" s="1530"/>
      <c r="AJ1015" s="1530"/>
      <c r="AK1015" s="1530"/>
      <c r="AL1015" s="1530"/>
      <c r="AM1015" s="1530"/>
      <c r="AN1015" s="1530"/>
      <c r="AO1015" s="1530"/>
      <c r="AP1015" s="1530"/>
      <c r="AQ1015" s="1530"/>
      <c r="AR1015" s="1530"/>
      <c r="AS1015" s="1530"/>
      <c r="AT1015" s="1530"/>
      <c r="AU1015" s="1530"/>
      <c r="AV1015" s="1530"/>
      <c r="AW1015" s="1530"/>
      <c r="AX1015" s="1530"/>
      <c r="AY1015" s="1530"/>
      <c r="AZ1015" s="1530"/>
      <c r="BA1015" s="1530"/>
      <c r="BB1015" s="1530"/>
      <c r="BC1015" s="1530"/>
      <c r="BD1015" s="1530"/>
      <c r="BE1015" s="1530"/>
      <c r="BF1015" s="1530"/>
      <c r="BG1015" s="1530"/>
      <c r="BH1015" s="1530"/>
      <c r="BI1015" s="1530"/>
      <c r="BJ1015" s="1530"/>
      <c r="BK1015" s="1530"/>
      <c r="BL1015" s="1530"/>
      <c r="BM1015" s="1530"/>
      <c r="BN1015" s="1530"/>
      <c r="BW1015" s="1569"/>
      <c r="CO1015" s="1530"/>
      <c r="CP1015" s="1530"/>
      <c r="CQ1015" s="1530"/>
      <c r="CR1015" s="1530"/>
      <c r="CS1015" s="1530"/>
      <c r="CT1015" s="1530"/>
      <c r="CU1015" s="1530"/>
      <c r="CV1015" s="1530"/>
      <c r="CW1015" s="1530"/>
      <c r="CX1015" s="1530"/>
      <c r="CY1015" s="1530"/>
      <c r="CZ1015" s="1530"/>
      <c r="DA1015" s="1530"/>
      <c r="DB1015" s="1530"/>
      <c r="DC1015" s="1530"/>
      <c r="DD1015" s="1530"/>
      <c r="DE1015" s="1530"/>
      <c r="DF1015" s="1530"/>
      <c r="DG1015" s="1530"/>
      <c r="DH1015" s="1530"/>
      <c r="DI1015" s="1530"/>
      <c r="DJ1015" s="1530"/>
      <c r="DK1015" s="1530"/>
      <c r="DL1015" s="1530"/>
      <c r="DM1015" s="1530"/>
      <c r="DN1015" s="1571"/>
      <c r="DO1015" s="1530"/>
      <c r="DP1015" s="1530"/>
    </row>
    <row r="1016" spans="1:120">
      <c r="A1016" s="1451"/>
      <c r="C1016" s="1451"/>
      <c r="K1016" s="1451"/>
      <c r="L1016" s="1451"/>
      <c r="U1016" s="1530"/>
      <c r="V1016" s="1530"/>
      <c r="W1016" s="1530"/>
      <c r="X1016" s="1530"/>
      <c r="Y1016" s="1530"/>
      <c r="Z1016" s="1530"/>
      <c r="AA1016" s="1530"/>
      <c r="AB1016" s="1530"/>
      <c r="AC1016" s="1530"/>
      <c r="AD1016" s="1530"/>
      <c r="AE1016" s="1530"/>
      <c r="AF1016" s="1530"/>
      <c r="AG1016" s="1530"/>
      <c r="AH1016" s="1530"/>
      <c r="AI1016" s="1530"/>
      <c r="AJ1016" s="1530"/>
      <c r="AK1016" s="1530"/>
      <c r="AL1016" s="1530"/>
      <c r="AM1016" s="1530"/>
      <c r="AN1016" s="1530"/>
      <c r="AO1016" s="1530"/>
      <c r="AP1016" s="1530"/>
      <c r="AQ1016" s="1530"/>
      <c r="AR1016" s="1530"/>
      <c r="AS1016" s="1530"/>
      <c r="AT1016" s="1530"/>
      <c r="AU1016" s="1530"/>
      <c r="AV1016" s="1530"/>
      <c r="AW1016" s="1530"/>
      <c r="AX1016" s="1530"/>
      <c r="AY1016" s="1530"/>
      <c r="AZ1016" s="1530"/>
      <c r="BA1016" s="1530"/>
      <c r="BB1016" s="1530"/>
      <c r="BC1016" s="1530"/>
      <c r="BD1016" s="1530"/>
      <c r="BE1016" s="1530"/>
      <c r="BF1016" s="1530"/>
      <c r="BG1016" s="1530"/>
      <c r="BH1016" s="1530"/>
      <c r="BI1016" s="1530"/>
      <c r="BJ1016" s="1530"/>
      <c r="BK1016" s="1530"/>
      <c r="BL1016" s="1530"/>
      <c r="BM1016" s="1530"/>
      <c r="BN1016" s="1530"/>
      <c r="BW1016" s="1569"/>
      <c r="CO1016" s="1530"/>
      <c r="CP1016" s="1530"/>
      <c r="CQ1016" s="1530"/>
      <c r="CR1016" s="1530"/>
      <c r="CS1016" s="1530"/>
      <c r="CT1016" s="1530"/>
      <c r="CU1016" s="1530"/>
      <c r="CV1016" s="1530"/>
      <c r="CW1016" s="1530"/>
      <c r="CX1016" s="1530"/>
      <c r="CY1016" s="1530"/>
      <c r="CZ1016" s="1530"/>
      <c r="DA1016" s="1530"/>
      <c r="DB1016" s="1530"/>
      <c r="DC1016" s="1530"/>
      <c r="DD1016" s="1530"/>
      <c r="DE1016" s="1530"/>
      <c r="DF1016" s="1530"/>
      <c r="DG1016" s="1530"/>
      <c r="DH1016" s="1530"/>
      <c r="DI1016" s="1530"/>
      <c r="DJ1016" s="1530"/>
      <c r="DK1016" s="1530"/>
      <c r="DL1016" s="1530"/>
      <c r="DM1016" s="1530"/>
      <c r="DN1016" s="1571"/>
      <c r="DO1016" s="1530"/>
      <c r="DP1016" s="1530"/>
    </row>
    <row r="1017" spans="1:120">
      <c r="A1017" s="1451"/>
      <c r="C1017" s="1451"/>
      <c r="K1017" s="1451"/>
      <c r="L1017" s="1451"/>
      <c r="U1017" s="1530"/>
      <c r="V1017" s="1530"/>
      <c r="W1017" s="1530"/>
      <c r="X1017" s="1530"/>
      <c r="Y1017" s="1530"/>
      <c r="Z1017" s="1530"/>
      <c r="AA1017" s="1530"/>
      <c r="AB1017" s="1530"/>
      <c r="AC1017" s="1530"/>
      <c r="AD1017" s="1530"/>
      <c r="AE1017" s="1530"/>
      <c r="AF1017" s="1530"/>
      <c r="AG1017" s="1530"/>
      <c r="AH1017" s="1530"/>
      <c r="AI1017" s="1530"/>
      <c r="AJ1017" s="1530"/>
      <c r="AK1017" s="1530"/>
      <c r="AL1017" s="1530"/>
      <c r="AM1017" s="1530"/>
      <c r="AN1017" s="1530"/>
      <c r="AO1017" s="1530"/>
      <c r="AP1017" s="1530"/>
      <c r="AQ1017" s="1530"/>
      <c r="AR1017" s="1530"/>
      <c r="AS1017" s="1530"/>
      <c r="AT1017" s="1530"/>
      <c r="AU1017" s="1530"/>
      <c r="AV1017" s="1530"/>
      <c r="AW1017" s="1530"/>
      <c r="AX1017" s="1530"/>
      <c r="AY1017" s="1530"/>
      <c r="AZ1017" s="1530"/>
      <c r="BA1017" s="1530"/>
      <c r="BB1017" s="1530"/>
      <c r="BC1017" s="1530"/>
      <c r="BD1017" s="1530"/>
      <c r="BE1017" s="1530"/>
      <c r="BF1017" s="1530"/>
      <c r="BG1017" s="1530"/>
      <c r="BH1017" s="1530"/>
      <c r="BI1017" s="1530"/>
      <c r="BJ1017" s="1530"/>
      <c r="BK1017" s="1530"/>
      <c r="BL1017" s="1530"/>
      <c r="BM1017" s="1530"/>
      <c r="BN1017" s="1530"/>
      <c r="BW1017" s="1569"/>
      <c r="CO1017" s="1530"/>
      <c r="CP1017" s="1530"/>
      <c r="CQ1017" s="1530"/>
      <c r="CR1017" s="1530"/>
      <c r="CS1017" s="1530"/>
      <c r="CT1017" s="1530"/>
      <c r="CU1017" s="1530"/>
      <c r="CV1017" s="1530"/>
      <c r="CW1017" s="1530"/>
      <c r="CX1017" s="1530"/>
      <c r="CY1017" s="1530"/>
      <c r="CZ1017" s="1530"/>
      <c r="DA1017" s="1530"/>
      <c r="DB1017" s="1530"/>
      <c r="DC1017" s="1530"/>
      <c r="DD1017" s="1530"/>
      <c r="DE1017" s="1530"/>
      <c r="DF1017" s="1530"/>
      <c r="DG1017" s="1530"/>
      <c r="DH1017" s="1530"/>
      <c r="DI1017" s="1530"/>
      <c r="DJ1017" s="1530"/>
      <c r="DK1017" s="1530"/>
      <c r="DL1017" s="1530"/>
      <c r="DM1017" s="1530"/>
      <c r="DN1017" s="1571"/>
      <c r="DO1017" s="1530"/>
      <c r="DP1017" s="1530"/>
    </row>
    <row r="1018" spans="1:120">
      <c r="A1018" s="1451"/>
      <c r="C1018" s="1451"/>
      <c r="K1018" s="1451"/>
      <c r="L1018" s="1451"/>
      <c r="U1018" s="1530"/>
      <c r="V1018" s="1530"/>
      <c r="W1018" s="1530"/>
      <c r="X1018" s="1530"/>
      <c r="Y1018" s="1530"/>
      <c r="Z1018" s="1530"/>
      <c r="AA1018" s="1530"/>
      <c r="AB1018" s="1530"/>
      <c r="AC1018" s="1530"/>
      <c r="AD1018" s="1530"/>
      <c r="AE1018" s="1530"/>
      <c r="AF1018" s="1530"/>
      <c r="AG1018" s="1530"/>
      <c r="AH1018" s="1530"/>
      <c r="AI1018" s="1530"/>
      <c r="AJ1018" s="1530"/>
      <c r="AK1018" s="1530"/>
      <c r="AL1018" s="1530"/>
      <c r="AM1018" s="1530"/>
      <c r="AN1018" s="1530"/>
      <c r="AO1018" s="1530"/>
      <c r="AP1018" s="1530"/>
      <c r="AQ1018" s="1530"/>
      <c r="AR1018" s="1530"/>
      <c r="AS1018" s="1530"/>
      <c r="AT1018" s="1530"/>
      <c r="AU1018" s="1530"/>
      <c r="AV1018" s="1530"/>
      <c r="AW1018" s="1530"/>
      <c r="AX1018" s="1530"/>
      <c r="AY1018" s="1530"/>
      <c r="AZ1018" s="1530"/>
      <c r="BA1018" s="1530"/>
      <c r="BB1018" s="1530"/>
      <c r="BC1018" s="1530"/>
      <c r="BD1018" s="1530"/>
      <c r="BE1018" s="1530"/>
      <c r="BF1018" s="1530"/>
      <c r="BG1018" s="1530"/>
      <c r="BH1018" s="1530"/>
      <c r="BI1018" s="1530"/>
      <c r="BJ1018" s="1530"/>
      <c r="BK1018" s="1530"/>
      <c r="BL1018" s="1530"/>
      <c r="BM1018" s="1530"/>
      <c r="BN1018" s="1530"/>
      <c r="BW1018" s="1569"/>
      <c r="CO1018" s="1530"/>
      <c r="CP1018" s="1530"/>
      <c r="CQ1018" s="1530"/>
      <c r="CR1018" s="1530"/>
      <c r="CS1018" s="1530"/>
      <c r="CT1018" s="1530"/>
      <c r="CU1018" s="1530"/>
      <c r="CV1018" s="1530"/>
      <c r="CW1018" s="1530"/>
      <c r="CX1018" s="1530"/>
      <c r="CY1018" s="1530"/>
      <c r="CZ1018" s="1530"/>
      <c r="DA1018" s="1530"/>
      <c r="DB1018" s="1530"/>
      <c r="DC1018" s="1530"/>
      <c r="DD1018" s="1530"/>
      <c r="DE1018" s="1530"/>
      <c r="DF1018" s="1530"/>
      <c r="DG1018" s="1530"/>
      <c r="DH1018" s="1530"/>
      <c r="DI1018" s="1530"/>
      <c r="DJ1018" s="1530"/>
      <c r="DK1018" s="1530"/>
      <c r="DL1018" s="1530"/>
      <c r="DM1018" s="1530"/>
      <c r="DN1018" s="1571"/>
      <c r="DO1018" s="1530"/>
      <c r="DP1018" s="1530"/>
    </row>
    <row r="1019" spans="1:120">
      <c r="A1019" s="1451"/>
      <c r="C1019" s="1451"/>
      <c r="K1019" s="1451"/>
      <c r="L1019" s="1451"/>
      <c r="U1019" s="1530"/>
      <c r="V1019" s="1530"/>
      <c r="W1019" s="1530"/>
      <c r="X1019" s="1530"/>
      <c r="Y1019" s="1530"/>
      <c r="Z1019" s="1530"/>
      <c r="AA1019" s="1530"/>
      <c r="AB1019" s="1530"/>
      <c r="AC1019" s="1530"/>
      <c r="AD1019" s="1530"/>
      <c r="AE1019" s="1530"/>
      <c r="AF1019" s="1530"/>
      <c r="AG1019" s="1530"/>
      <c r="AH1019" s="1530"/>
      <c r="AI1019" s="1530"/>
      <c r="AJ1019" s="1530"/>
      <c r="AK1019" s="1530"/>
      <c r="AL1019" s="1530"/>
      <c r="AM1019" s="1530"/>
      <c r="AN1019" s="1530"/>
      <c r="AO1019" s="1530"/>
      <c r="AP1019" s="1530"/>
      <c r="AQ1019" s="1530"/>
      <c r="AR1019" s="1530"/>
      <c r="AS1019" s="1530"/>
      <c r="AT1019" s="1530"/>
      <c r="AU1019" s="1530"/>
      <c r="AV1019" s="1530"/>
      <c r="AW1019" s="1530"/>
      <c r="AX1019" s="1530"/>
      <c r="AY1019" s="1530"/>
      <c r="AZ1019" s="1530"/>
      <c r="BA1019" s="1530"/>
      <c r="BB1019" s="1530"/>
      <c r="BC1019" s="1530"/>
      <c r="BD1019" s="1530"/>
      <c r="BE1019" s="1530"/>
      <c r="BF1019" s="1530"/>
      <c r="BG1019" s="1530"/>
      <c r="BH1019" s="1530"/>
      <c r="BI1019" s="1530"/>
      <c r="BJ1019" s="1530"/>
      <c r="BK1019" s="1530"/>
      <c r="BL1019" s="1530"/>
      <c r="BM1019" s="1530"/>
      <c r="BN1019" s="1530"/>
      <c r="BW1019" s="1569"/>
      <c r="CO1019" s="1530"/>
      <c r="CP1019" s="1530"/>
      <c r="CQ1019" s="1530"/>
      <c r="CR1019" s="1530"/>
      <c r="CS1019" s="1530"/>
      <c r="CT1019" s="1530"/>
      <c r="CU1019" s="1530"/>
      <c r="CV1019" s="1530"/>
      <c r="CW1019" s="1530"/>
      <c r="CX1019" s="1530"/>
      <c r="CY1019" s="1530"/>
      <c r="CZ1019" s="1530"/>
      <c r="DA1019" s="1530"/>
      <c r="DB1019" s="1530"/>
      <c r="DC1019" s="1530"/>
      <c r="DD1019" s="1530"/>
      <c r="DE1019" s="1530"/>
      <c r="DF1019" s="1530"/>
      <c r="DG1019" s="1530"/>
      <c r="DH1019" s="1530"/>
      <c r="DI1019" s="1530"/>
      <c r="DJ1019" s="1530"/>
      <c r="DK1019" s="1530"/>
      <c r="DL1019" s="1530"/>
      <c r="DM1019" s="1530"/>
      <c r="DN1019" s="1571"/>
      <c r="DO1019" s="1530"/>
      <c r="DP1019" s="1530"/>
    </row>
    <row r="1020" spans="1:120">
      <c r="A1020" s="1451"/>
      <c r="C1020" s="1451"/>
      <c r="K1020" s="1451"/>
      <c r="L1020" s="1451"/>
      <c r="U1020" s="1530"/>
      <c r="V1020" s="1530"/>
      <c r="W1020" s="1530"/>
      <c r="X1020" s="1530"/>
      <c r="Y1020" s="1530"/>
      <c r="Z1020" s="1530"/>
      <c r="AA1020" s="1530"/>
      <c r="AB1020" s="1530"/>
      <c r="AC1020" s="1530"/>
      <c r="AD1020" s="1530"/>
      <c r="AE1020" s="1530"/>
      <c r="AF1020" s="1530"/>
      <c r="AG1020" s="1530"/>
      <c r="AH1020" s="1530"/>
      <c r="AI1020" s="1530"/>
      <c r="AJ1020" s="1530"/>
      <c r="AK1020" s="1530"/>
      <c r="AL1020" s="1530"/>
      <c r="AM1020" s="1530"/>
      <c r="AN1020" s="1530"/>
      <c r="AO1020" s="1530"/>
      <c r="AP1020" s="1530"/>
      <c r="AQ1020" s="1530"/>
      <c r="AR1020" s="1530"/>
      <c r="AS1020" s="1530"/>
      <c r="AT1020" s="1530"/>
      <c r="AU1020" s="1530"/>
      <c r="AV1020" s="1530"/>
      <c r="AW1020" s="1530"/>
      <c r="AX1020" s="1530"/>
      <c r="AY1020" s="1530"/>
      <c r="AZ1020" s="1530"/>
      <c r="BA1020" s="1530"/>
      <c r="BB1020" s="1530"/>
      <c r="BC1020" s="1530"/>
      <c r="BD1020" s="1530"/>
      <c r="BE1020" s="1530"/>
      <c r="BF1020" s="1530"/>
      <c r="BG1020" s="1530"/>
      <c r="BH1020" s="1530"/>
      <c r="BI1020" s="1530"/>
      <c r="BJ1020" s="1530"/>
      <c r="BK1020" s="1530"/>
      <c r="BL1020" s="1530"/>
      <c r="BM1020" s="1530"/>
      <c r="BN1020" s="1530"/>
      <c r="BW1020" s="1569"/>
      <c r="CO1020" s="1530"/>
      <c r="CP1020" s="1530"/>
      <c r="CQ1020" s="1530"/>
      <c r="CR1020" s="1530"/>
      <c r="CS1020" s="1530"/>
      <c r="CT1020" s="1530"/>
      <c r="CU1020" s="1530"/>
      <c r="CV1020" s="1530"/>
      <c r="CW1020" s="1530"/>
      <c r="CX1020" s="1530"/>
      <c r="CY1020" s="1530"/>
      <c r="CZ1020" s="1530"/>
      <c r="DA1020" s="1530"/>
      <c r="DB1020" s="1530"/>
      <c r="DC1020" s="1530"/>
      <c r="DD1020" s="1530"/>
      <c r="DE1020" s="1530"/>
      <c r="DF1020" s="1530"/>
      <c r="DG1020" s="1530"/>
      <c r="DH1020" s="1530"/>
      <c r="DI1020" s="1530"/>
      <c r="DJ1020" s="1530"/>
      <c r="DK1020" s="1530"/>
      <c r="DL1020" s="1530"/>
      <c r="DM1020" s="1530"/>
      <c r="DN1020" s="1571"/>
      <c r="DO1020" s="1530"/>
      <c r="DP1020" s="1530"/>
    </row>
    <row r="1021" spans="1:120">
      <c r="A1021" s="1451"/>
      <c r="C1021" s="1451"/>
      <c r="K1021" s="1451"/>
      <c r="L1021" s="1451"/>
      <c r="U1021" s="1530"/>
      <c r="V1021" s="1530"/>
      <c r="W1021" s="1530"/>
      <c r="X1021" s="1530"/>
      <c r="Y1021" s="1530"/>
      <c r="Z1021" s="1530"/>
      <c r="AA1021" s="1530"/>
      <c r="AB1021" s="1530"/>
      <c r="AC1021" s="1530"/>
      <c r="AD1021" s="1530"/>
      <c r="AE1021" s="1530"/>
      <c r="AF1021" s="1530"/>
      <c r="AG1021" s="1530"/>
      <c r="AH1021" s="1530"/>
      <c r="AI1021" s="1530"/>
      <c r="AJ1021" s="1530"/>
      <c r="AK1021" s="1530"/>
      <c r="AL1021" s="1530"/>
      <c r="AM1021" s="1530"/>
      <c r="AN1021" s="1530"/>
      <c r="AO1021" s="1530"/>
      <c r="AP1021" s="1530"/>
      <c r="AQ1021" s="1530"/>
      <c r="AR1021" s="1530"/>
      <c r="AS1021" s="1530"/>
      <c r="AT1021" s="1530"/>
      <c r="AU1021" s="1530"/>
      <c r="AV1021" s="1530"/>
      <c r="AW1021" s="1530"/>
      <c r="AX1021" s="1530"/>
      <c r="AY1021" s="1530"/>
      <c r="AZ1021" s="1530"/>
      <c r="BA1021" s="1530"/>
      <c r="BB1021" s="1530"/>
      <c r="BC1021" s="1530"/>
      <c r="BD1021" s="1530"/>
      <c r="BE1021" s="1530"/>
      <c r="BF1021" s="1530"/>
      <c r="BG1021" s="1530"/>
      <c r="BH1021" s="1530"/>
      <c r="BI1021" s="1530"/>
      <c r="BJ1021" s="1530"/>
      <c r="BK1021" s="1530"/>
      <c r="BL1021" s="1530"/>
      <c r="BM1021" s="1530"/>
      <c r="BN1021" s="1530"/>
      <c r="BW1021" s="1569"/>
      <c r="CO1021" s="1530"/>
      <c r="CP1021" s="1530"/>
      <c r="CQ1021" s="1530"/>
      <c r="CR1021" s="1530"/>
      <c r="CS1021" s="1530"/>
      <c r="CT1021" s="1530"/>
      <c r="CU1021" s="1530"/>
      <c r="CV1021" s="1530"/>
      <c r="CW1021" s="1530"/>
      <c r="CX1021" s="1530"/>
      <c r="CY1021" s="1530"/>
      <c r="CZ1021" s="1530"/>
      <c r="DA1021" s="1530"/>
      <c r="DB1021" s="1530"/>
      <c r="DC1021" s="1530"/>
      <c r="DD1021" s="1530"/>
      <c r="DE1021" s="1530"/>
      <c r="DF1021" s="1530"/>
      <c r="DG1021" s="1530"/>
      <c r="DH1021" s="1530"/>
      <c r="DI1021" s="1530"/>
      <c r="DJ1021" s="1530"/>
      <c r="DK1021" s="1530"/>
      <c r="DL1021" s="1530"/>
      <c r="DM1021" s="1530"/>
      <c r="DN1021" s="1571"/>
      <c r="DO1021" s="1530"/>
      <c r="DP1021" s="1530"/>
    </row>
    <row r="1022" spans="1:120">
      <c r="A1022" s="1451"/>
      <c r="C1022" s="1451"/>
      <c r="K1022" s="1451"/>
      <c r="L1022" s="1451"/>
      <c r="U1022" s="1530"/>
      <c r="V1022" s="1530"/>
      <c r="W1022" s="1530"/>
      <c r="X1022" s="1530"/>
      <c r="Y1022" s="1530"/>
      <c r="Z1022" s="1530"/>
      <c r="AA1022" s="1530"/>
      <c r="AB1022" s="1530"/>
      <c r="AC1022" s="1530"/>
      <c r="AD1022" s="1530"/>
      <c r="AE1022" s="1530"/>
      <c r="AF1022" s="1530"/>
      <c r="AG1022" s="1530"/>
      <c r="AH1022" s="1530"/>
      <c r="AI1022" s="1530"/>
      <c r="AJ1022" s="1530"/>
      <c r="AK1022" s="1530"/>
      <c r="AL1022" s="1530"/>
      <c r="AM1022" s="1530"/>
      <c r="AN1022" s="1530"/>
      <c r="AO1022" s="1530"/>
      <c r="AP1022" s="1530"/>
      <c r="AQ1022" s="1530"/>
      <c r="AR1022" s="1530"/>
      <c r="AS1022" s="1530"/>
      <c r="AT1022" s="1530"/>
      <c r="AU1022" s="1530"/>
      <c r="AV1022" s="1530"/>
      <c r="AW1022" s="1530"/>
      <c r="AX1022" s="1530"/>
      <c r="AY1022" s="1530"/>
      <c r="AZ1022" s="1530"/>
      <c r="BA1022" s="1530"/>
      <c r="BB1022" s="1530"/>
      <c r="BC1022" s="1530"/>
      <c r="BD1022" s="1530"/>
      <c r="BE1022" s="1530"/>
      <c r="BF1022" s="1530"/>
      <c r="BG1022" s="1530"/>
      <c r="BH1022" s="1530"/>
      <c r="BI1022" s="1530"/>
      <c r="BJ1022" s="1530"/>
      <c r="BK1022" s="1530"/>
      <c r="BL1022" s="1530"/>
      <c r="BM1022" s="1530"/>
      <c r="BN1022" s="1530"/>
      <c r="BW1022" s="1569"/>
      <c r="CO1022" s="1530"/>
      <c r="CP1022" s="1530"/>
      <c r="CQ1022" s="1530"/>
      <c r="CR1022" s="1530"/>
      <c r="CS1022" s="1530"/>
      <c r="CT1022" s="1530"/>
      <c r="CU1022" s="1530"/>
      <c r="CV1022" s="1530"/>
      <c r="CW1022" s="1530"/>
      <c r="CX1022" s="1530"/>
      <c r="CY1022" s="1530"/>
      <c r="CZ1022" s="1530"/>
      <c r="DA1022" s="1530"/>
      <c r="DB1022" s="1530"/>
      <c r="DC1022" s="1530"/>
      <c r="DD1022" s="1530"/>
      <c r="DE1022" s="1530"/>
      <c r="DF1022" s="1530"/>
      <c r="DG1022" s="1530"/>
      <c r="DH1022" s="1530"/>
      <c r="DI1022" s="1530"/>
      <c r="DJ1022" s="1530"/>
      <c r="DK1022" s="1530"/>
      <c r="DL1022" s="1530"/>
      <c r="DM1022" s="1530"/>
      <c r="DN1022" s="1571"/>
      <c r="DO1022" s="1530"/>
      <c r="DP1022" s="1530"/>
    </row>
    <row r="1023" spans="1:120">
      <c r="A1023" s="1451"/>
      <c r="C1023" s="1451"/>
      <c r="K1023" s="1451"/>
      <c r="L1023" s="1451"/>
      <c r="U1023" s="1530"/>
      <c r="V1023" s="1530"/>
      <c r="W1023" s="1530"/>
      <c r="X1023" s="1530"/>
      <c r="Y1023" s="1530"/>
      <c r="Z1023" s="1530"/>
      <c r="AA1023" s="1530"/>
      <c r="AB1023" s="1530"/>
      <c r="AC1023" s="1530"/>
      <c r="AD1023" s="1530"/>
      <c r="AE1023" s="1530"/>
      <c r="AF1023" s="1530"/>
      <c r="AG1023" s="1530"/>
      <c r="AH1023" s="1530"/>
      <c r="AI1023" s="1530"/>
      <c r="AJ1023" s="1530"/>
      <c r="AK1023" s="1530"/>
      <c r="AL1023" s="1530"/>
      <c r="AM1023" s="1530"/>
      <c r="AN1023" s="1530"/>
      <c r="AO1023" s="1530"/>
      <c r="AP1023" s="1530"/>
      <c r="AQ1023" s="1530"/>
      <c r="AR1023" s="1530"/>
      <c r="AS1023" s="1530"/>
      <c r="AT1023" s="1530"/>
      <c r="AU1023" s="1530"/>
      <c r="AV1023" s="1530"/>
      <c r="AW1023" s="1530"/>
      <c r="AX1023" s="1530"/>
      <c r="AY1023" s="1530"/>
      <c r="AZ1023" s="1530"/>
      <c r="BA1023" s="1530"/>
      <c r="BB1023" s="1530"/>
      <c r="BC1023" s="1530"/>
      <c r="BD1023" s="1530"/>
      <c r="BE1023" s="1530"/>
      <c r="BF1023" s="1530"/>
      <c r="BG1023" s="1530"/>
      <c r="BH1023" s="1530"/>
      <c r="BI1023" s="1530"/>
      <c r="BJ1023" s="1530"/>
      <c r="BK1023" s="1530"/>
      <c r="BL1023" s="1530"/>
      <c r="BM1023" s="1530"/>
      <c r="BN1023" s="1530"/>
      <c r="BW1023" s="1569"/>
      <c r="CO1023" s="1530"/>
      <c r="CP1023" s="1530"/>
      <c r="CQ1023" s="1530"/>
      <c r="CR1023" s="1530"/>
      <c r="CS1023" s="1530"/>
      <c r="CT1023" s="1530"/>
      <c r="CU1023" s="1530"/>
      <c r="CV1023" s="1530"/>
      <c r="CW1023" s="1530"/>
      <c r="CX1023" s="1530"/>
      <c r="CY1023" s="1530"/>
      <c r="CZ1023" s="1530"/>
      <c r="DA1023" s="1530"/>
      <c r="DB1023" s="1530"/>
      <c r="DC1023" s="1530"/>
      <c r="DD1023" s="1530"/>
      <c r="DE1023" s="1530"/>
      <c r="DF1023" s="1530"/>
      <c r="DG1023" s="1530"/>
      <c r="DH1023" s="1530"/>
      <c r="DI1023" s="1530"/>
      <c r="DJ1023" s="1530"/>
      <c r="DK1023" s="1530"/>
      <c r="DL1023" s="1530"/>
      <c r="DM1023" s="1530"/>
      <c r="DN1023" s="1571"/>
      <c r="DO1023" s="1530"/>
      <c r="DP1023" s="1530"/>
    </row>
    <row r="1024" spans="1:120">
      <c r="A1024" s="1451"/>
      <c r="C1024" s="1451"/>
      <c r="K1024" s="1451"/>
      <c r="L1024" s="1451"/>
      <c r="U1024" s="1530"/>
      <c r="V1024" s="1530"/>
      <c r="W1024" s="1530"/>
      <c r="X1024" s="1530"/>
      <c r="Y1024" s="1530"/>
      <c r="Z1024" s="1530"/>
      <c r="AA1024" s="1530"/>
      <c r="AB1024" s="1530"/>
      <c r="AC1024" s="1530"/>
      <c r="AD1024" s="1530"/>
      <c r="AE1024" s="1530"/>
      <c r="AF1024" s="1530"/>
      <c r="AG1024" s="1530"/>
      <c r="AH1024" s="1530"/>
      <c r="AI1024" s="1530"/>
      <c r="AJ1024" s="1530"/>
      <c r="AK1024" s="1530"/>
      <c r="AL1024" s="1530"/>
      <c r="AM1024" s="1530"/>
      <c r="AN1024" s="1530"/>
      <c r="AO1024" s="1530"/>
      <c r="AP1024" s="1530"/>
      <c r="AQ1024" s="1530"/>
      <c r="AR1024" s="1530"/>
      <c r="AS1024" s="1530"/>
      <c r="AT1024" s="1530"/>
      <c r="AU1024" s="1530"/>
      <c r="AV1024" s="1530"/>
      <c r="AW1024" s="1530"/>
      <c r="AX1024" s="1530"/>
      <c r="AY1024" s="1530"/>
      <c r="AZ1024" s="1530"/>
      <c r="BA1024" s="1530"/>
      <c r="BB1024" s="1530"/>
      <c r="BC1024" s="1530"/>
      <c r="BD1024" s="1530"/>
      <c r="BE1024" s="1530"/>
      <c r="BF1024" s="1530"/>
      <c r="BG1024" s="1530"/>
      <c r="BH1024" s="1530"/>
      <c r="BI1024" s="1530"/>
      <c r="BJ1024" s="1530"/>
      <c r="BK1024" s="1530"/>
      <c r="BL1024" s="1530"/>
      <c r="BM1024" s="1530"/>
      <c r="BN1024" s="1530"/>
      <c r="BW1024" s="1569"/>
      <c r="CO1024" s="1530"/>
      <c r="CP1024" s="1530"/>
      <c r="CQ1024" s="1530"/>
      <c r="CR1024" s="1530"/>
      <c r="CS1024" s="1530"/>
      <c r="CT1024" s="1530"/>
      <c r="CU1024" s="1530"/>
      <c r="CV1024" s="1530"/>
      <c r="CW1024" s="1530"/>
      <c r="CX1024" s="1530"/>
      <c r="CY1024" s="1530"/>
      <c r="CZ1024" s="1530"/>
      <c r="DA1024" s="1530"/>
      <c r="DB1024" s="1530"/>
      <c r="DC1024" s="1530"/>
      <c r="DD1024" s="1530"/>
      <c r="DE1024" s="1530"/>
      <c r="DF1024" s="1530"/>
      <c r="DG1024" s="1530"/>
      <c r="DH1024" s="1530"/>
      <c r="DI1024" s="1530"/>
      <c r="DJ1024" s="1530"/>
      <c r="DK1024" s="1530"/>
      <c r="DL1024" s="1530"/>
      <c r="DM1024" s="1530"/>
      <c r="DN1024" s="1571"/>
      <c r="DO1024" s="1530"/>
      <c r="DP1024" s="1530"/>
    </row>
    <row r="1025" spans="1:120">
      <c r="A1025" s="1451"/>
      <c r="C1025" s="1451"/>
      <c r="K1025" s="1451"/>
      <c r="L1025" s="1451"/>
      <c r="U1025" s="1530"/>
      <c r="V1025" s="1530"/>
      <c r="W1025" s="1530"/>
      <c r="X1025" s="1530"/>
      <c r="Y1025" s="1530"/>
      <c r="Z1025" s="1530"/>
      <c r="AA1025" s="1530"/>
      <c r="AB1025" s="1530"/>
      <c r="AC1025" s="1530"/>
      <c r="AD1025" s="1530"/>
      <c r="AE1025" s="1530"/>
      <c r="AF1025" s="1530"/>
      <c r="AG1025" s="1530"/>
      <c r="AH1025" s="1530"/>
      <c r="AI1025" s="1530"/>
      <c r="AJ1025" s="1530"/>
      <c r="AK1025" s="1530"/>
      <c r="AL1025" s="1530"/>
      <c r="AM1025" s="1530"/>
      <c r="AN1025" s="1530"/>
      <c r="AO1025" s="1530"/>
      <c r="AP1025" s="1530"/>
      <c r="AQ1025" s="1530"/>
      <c r="AR1025" s="1530"/>
      <c r="AS1025" s="1530"/>
      <c r="AT1025" s="1530"/>
      <c r="AU1025" s="1530"/>
      <c r="AV1025" s="1530"/>
      <c r="AW1025" s="1530"/>
      <c r="AX1025" s="1530"/>
      <c r="AY1025" s="1530"/>
      <c r="AZ1025" s="1530"/>
      <c r="BA1025" s="1530"/>
      <c r="BB1025" s="1530"/>
      <c r="BC1025" s="1530"/>
      <c r="BD1025" s="1530"/>
      <c r="BE1025" s="1530"/>
      <c r="BF1025" s="1530"/>
      <c r="BG1025" s="1530"/>
      <c r="BH1025" s="1530"/>
      <c r="BI1025" s="1530"/>
      <c r="BJ1025" s="1530"/>
      <c r="BK1025" s="1530"/>
      <c r="BL1025" s="1530"/>
      <c r="BM1025" s="1530"/>
      <c r="BN1025" s="1530"/>
      <c r="BW1025" s="1569"/>
      <c r="CO1025" s="1530"/>
      <c r="CP1025" s="1530"/>
      <c r="CQ1025" s="1530"/>
      <c r="CR1025" s="1530"/>
      <c r="CS1025" s="1530"/>
      <c r="CT1025" s="1530"/>
      <c r="CU1025" s="1530"/>
      <c r="CV1025" s="1530"/>
      <c r="CW1025" s="1530"/>
      <c r="CX1025" s="1530"/>
      <c r="CY1025" s="1530"/>
      <c r="CZ1025" s="1530"/>
      <c r="DA1025" s="1530"/>
      <c r="DB1025" s="1530"/>
      <c r="DC1025" s="1530"/>
      <c r="DD1025" s="1530"/>
      <c r="DE1025" s="1530"/>
      <c r="DF1025" s="1530"/>
      <c r="DG1025" s="1530"/>
      <c r="DH1025" s="1530"/>
      <c r="DI1025" s="1530"/>
      <c r="DJ1025" s="1530"/>
      <c r="DK1025" s="1530"/>
      <c r="DL1025" s="1530"/>
      <c r="DM1025" s="1530"/>
      <c r="DN1025" s="1571"/>
      <c r="DO1025" s="1530"/>
      <c r="DP1025" s="1530"/>
    </row>
    <row r="1026" spans="1:120">
      <c r="A1026" s="1451"/>
      <c r="C1026" s="1451"/>
      <c r="K1026" s="1451"/>
      <c r="L1026" s="1451"/>
      <c r="U1026" s="1530"/>
      <c r="V1026" s="1530"/>
      <c r="W1026" s="1530"/>
      <c r="X1026" s="1530"/>
      <c r="Y1026" s="1530"/>
      <c r="Z1026" s="1530"/>
      <c r="AA1026" s="1530"/>
      <c r="AB1026" s="1530"/>
      <c r="AC1026" s="1530"/>
      <c r="AD1026" s="1530"/>
      <c r="AE1026" s="1530"/>
      <c r="AF1026" s="1530"/>
      <c r="AG1026" s="1530"/>
      <c r="AH1026" s="1530"/>
      <c r="AI1026" s="1530"/>
      <c r="AJ1026" s="1530"/>
      <c r="AK1026" s="1530"/>
      <c r="AL1026" s="1530"/>
      <c r="AM1026" s="1530"/>
      <c r="AN1026" s="1530"/>
      <c r="AO1026" s="1530"/>
      <c r="AP1026" s="1530"/>
      <c r="AQ1026" s="1530"/>
      <c r="AR1026" s="1530"/>
      <c r="AS1026" s="1530"/>
      <c r="AT1026" s="1530"/>
      <c r="AU1026" s="1530"/>
      <c r="AV1026" s="1530"/>
      <c r="AW1026" s="1530"/>
      <c r="AX1026" s="1530"/>
      <c r="AY1026" s="1530"/>
      <c r="AZ1026" s="1530"/>
      <c r="BA1026" s="1530"/>
      <c r="BB1026" s="1530"/>
      <c r="BC1026" s="1530"/>
      <c r="BD1026" s="1530"/>
      <c r="BE1026" s="1530"/>
      <c r="BF1026" s="1530"/>
      <c r="BG1026" s="1530"/>
      <c r="BH1026" s="1530"/>
      <c r="BI1026" s="1530"/>
      <c r="BJ1026" s="1530"/>
      <c r="BK1026" s="1530"/>
      <c r="BL1026" s="1530"/>
      <c r="BM1026" s="1530"/>
      <c r="BN1026" s="1530"/>
      <c r="BW1026" s="1569"/>
      <c r="CO1026" s="1530"/>
      <c r="CP1026" s="1530"/>
      <c r="CQ1026" s="1530"/>
      <c r="CR1026" s="1530"/>
      <c r="CS1026" s="1530"/>
      <c r="CT1026" s="1530"/>
      <c r="CU1026" s="1530"/>
      <c r="CV1026" s="1530"/>
      <c r="CW1026" s="1530"/>
      <c r="CX1026" s="1530"/>
      <c r="CY1026" s="1530"/>
      <c r="CZ1026" s="1530"/>
      <c r="DA1026" s="1530"/>
      <c r="DB1026" s="1530"/>
      <c r="DC1026" s="1530"/>
      <c r="DD1026" s="1530"/>
      <c r="DE1026" s="1530"/>
      <c r="DF1026" s="1530"/>
      <c r="DG1026" s="1530"/>
      <c r="DH1026" s="1530"/>
      <c r="DI1026" s="1530"/>
      <c r="DJ1026" s="1530"/>
      <c r="DK1026" s="1530"/>
      <c r="DL1026" s="1530"/>
      <c r="DM1026" s="1530"/>
      <c r="DN1026" s="1571"/>
      <c r="DO1026" s="1530"/>
      <c r="DP1026" s="1530"/>
    </row>
    <row r="1027" spans="1:120">
      <c r="A1027" s="1451"/>
      <c r="C1027" s="1451"/>
      <c r="K1027" s="1451"/>
      <c r="L1027" s="1451"/>
      <c r="U1027" s="1530"/>
      <c r="V1027" s="1530"/>
      <c r="W1027" s="1530"/>
      <c r="X1027" s="1530"/>
      <c r="Y1027" s="1530"/>
      <c r="Z1027" s="1530"/>
      <c r="AA1027" s="1530"/>
      <c r="AB1027" s="1530"/>
      <c r="AC1027" s="1530"/>
      <c r="AD1027" s="1530"/>
      <c r="AE1027" s="1530"/>
      <c r="AF1027" s="1530"/>
      <c r="AG1027" s="1530"/>
      <c r="AH1027" s="1530"/>
      <c r="AI1027" s="1530"/>
      <c r="AJ1027" s="1530"/>
      <c r="AK1027" s="1530"/>
      <c r="AL1027" s="1530"/>
      <c r="AM1027" s="1530"/>
      <c r="AN1027" s="1530"/>
      <c r="AO1027" s="1530"/>
      <c r="AP1027" s="1530"/>
      <c r="AQ1027" s="1530"/>
      <c r="AR1027" s="1530"/>
      <c r="AS1027" s="1530"/>
      <c r="AT1027" s="1530"/>
      <c r="AU1027" s="1530"/>
      <c r="AV1027" s="1530"/>
      <c r="AW1027" s="1530"/>
      <c r="AX1027" s="1530"/>
      <c r="AY1027" s="1530"/>
      <c r="AZ1027" s="1530"/>
      <c r="BA1027" s="1530"/>
      <c r="BB1027" s="1530"/>
      <c r="BC1027" s="1530"/>
      <c r="BD1027" s="1530"/>
      <c r="BE1027" s="1530"/>
      <c r="BF1027" s="1530"/>
      <c r="BG1027" s="1530"/>
      <c r="BH1027" s="1530"/>
      <c r="BI1027" s="1530"/>
      <c r="BJ1027" s="1530"/>
      <c r="BK1027" s="1530"/>
      <c r="BL1027" s="1530"/>
      <c r="BM1027" s="1530"/>
      <c r="BN1027" s="1530"/>
      <c r="BW1027" s="1569"/>
      <c r="CO1027" s="1530"/>
      <c r="CP1027" s="1530"/>
      <c r="CQ1027" s="1530"/>
      <c r="CR1027" s="1530"/>
      <c r="CS1027" s="1530"/>
      <c r="CT1027" s="1530"/>
      <c r="CU1027" s="1530"/>
      <c r="CV1027" s="1530"/>
      <c r="CW1027" s="1530"/>
      <c r="CX1027" s="1530"/>
      <c r="CY1027" s="1530"/>
      <c r="CZ1027" s="1530"/>
      <c r="DA1027" s="1530"/>
      <c r="DB1027" s="1530"/>
      <c r="DC1027" s="1530"/>
      <c r="DD1027" s="1530"/>
      <c r="DE1027" s="1530"/>
      <c r="DF1027" s="1530"/>
      <c r="DG1027" s="1530"/>
      <c r="DH1027" s="1530"/>
      <c r="DI1027" s="1530"/>
      <c r="DJ1027" s="1530"/>
      <c r="DK1027" s="1530"/>
      <c r="DL1027" s="1530"/>
      <c r="DM1027" s="1530"/>
      <c r="DN1027" s="1571"/>
      <c r="DO1027" s="1530"/>
      <c r="DP1027" s="1530"/>
    </row>
    <row r="1028" spans="1:120">
      <c r="A1028" s="1451"/>
      <c r="C1028" s="1451"/>
      <c r="K1028" s="1451"/>
      <c r="L1028" s="1451"/>
      <c r="U1028" s="1530"/>
      <c r="V1028" s="1530"/>
      <c r="W1028" s="1530"/>
      <c r="X1028" s="1530"/>
      <c r="Y1028" s="1530"/>
      <c r="Z1028" s="1530"/>
      <c r="AA1028" s="1530"/>
      <c r="AB1028" s="1530"/>
      <c r="AC1028" s="1530"/>
      <c r="AD1028" s="1530"/>
      <c r="AE1028" s="1530"/>
      <c r="AF1028" s="1530"/>
      <c r="AG1028" s="1530"/>
      <c r="AH1028" s="1530"/>
      <c r="AI1028" s="1530"/>
      <c r="AJ1028" s="1530"/>
      <c r="AK1028" s="1530"/>
      <c r="AL1028" s="1530"/>
      <c r="AM1028" s="1530"/>
      <c r="AN1028" s="1530"/>
      <c r="AO1028" s="1530"/>
      <c r="AP1028" s="1530"/>
      <c r="AQ1028" s="1530"/>
      <c r="AR1028" s="1530"/>
      <c r="AS1028" s="1530"/>
      <c r="AT1028" s="1530"/>
      <c r="AU1028" s="1530"/>
      <c r="AV1028" s="1530"/>
      <c r="AW1028" s="1530"/>
      <c r="AX1028" s="1530"/>
      <c r="AY1028" s="1530"/>
      <c r="AZ1028" s="1530"/>
      <c r="BA1028" s="1530"/>
      <c r="BB1028" s="1530"/>
      <c r="BC1028" s="1530"/>
      <c r="BD1028" s="1530"/>
      <c r="BE1028" s="1530"/>
      <c r="BF1028" s="1530"/>
      <c r="BG1028" s="1530"/>
      <c r="BH1028" s="1530"/>
      <c r="BI1028" s="1530"/>
      <c r="BJ1028" s="1530"/>
      <c r="BK1028" s="1530"/>
      <c r="BL1028" s="1530"/>
      <c r="BM1028" s="1530"/>
      <c r="BN1028" s="1530"/>
      <c r="BW1028" s="1569"/>
      <c r="CO1028" s="1530"/>
      <c r="CP1028" s="1530"/>
      <c r="CQ1028" s="1530"/>
      <c r="CR1028" s="1530"/>
      <c r="CS1028" s="1530"/>
      <c r="CT1028" s="1530"/>
      <c r="CU1028" s="1530"/>
      <c r="CV1028" s="1530"/>
      <c r="CW1028" s="1530"/>
      <c r="CX1028" s="1530"/>
      <c r="CY1028" s="1530"/>
      <c r="CZ1028" s="1530"/>
      <c r="DA1028" s="1530"/>
      <c r="DB1028" s="1530"/>
      <c r="DC1028" s="1530"/>
      <c r="DD1028" s="1530"/>
      <c r="DE1028" s="1530"/>
      <c r="DF1028" s="1530"/>
      <c r="DG1028" s="1530"/>
      <c r="DH1028" s="1530"/>
      <c r="DI1028" s="1530"/>
      <c r="DJ1028" s="1530"/>
      <c r="DK1028" s="1530"/>
      <c r="DL1028" s="1530"/>
      <c r="DM1028" s="1530"/>
      <c r="DN1028" s="1571"/>
      <c r="DO1028" s="1530"/>
      <c r="DP1028" s="1530"/>
    </row>
    <row r="1029" spans="1:120">
      <c r="A1029" s="1451"/>
      <c r="C1029" s="1451"/>
      <c r="K1029" s="1451"/>
      <c r="L1029" s="1451"/>
      <c r="U1029" s="1530"/>
      <c r="V1029" s="1530"/>
      <c r="W1029" s="1530"/>
      <c r="X1029" s="1530"/>
      <c r="Y1029" s="1530"/>
      <c r="Z1029" s="1530"/>
      <c r="AA1029" s="1530"/>
      <c r="AB1029" s="1530"/>
      <c r="AC1029" s="1530"/>
      <c r="AD1029" s="1530"/>
      <c r="AE1029" s="1530"/>
      <c r="AF1029" s="1530"/>
      <c r="AG1029" s="1530"/>
      <c r="AH1029" s="1530"/>
      <c r="AI1029" s="1530"/>
      <c r="AJ1029" s="1530"/>
      <c r="AK1029" s="1530"/>
      <c r="AL1029" s="1530"/>
      <c r="AM1029" s="1530"/>
      <c r="AN1029" s="1530"/>
      <c r="AO1029" s="1530"/>
      <c r="AP1029" s="1530"/>
      <c r="AQ1029" s="1530"/>
      <c r="AR1029" s="1530"/>
      <c r="AS1029" s="1530"/>
      <c r="AT1029" s="1530"/>
      <c r="AU1029" s="1530"/>
      <c r="AV1029" s="1530"/>
      <c r="AW1029" s="1530"/>
      <c r="AX1029" s="1530"/>
      <c r="AY1029" s="1530"/>
      <c r="AZ1029" s="1530"/>
      <c r="BA1029" s="1530"/>
      <c r="BB1029" s="1530"/>
      <c r="BC1029" s="1530"/>
      <c r="BD1029" s="1530"/>
      <c r="BE1029" s="1530"/>
      <c r="BF1029" s="1530"/>
      <c r="BG1029" s="1530"/>
      <c r="BH1029" s="1530"/>
      <c r="BI1029" s="1530"/>
      <c r="BJ1029" s="1530"/>
      <c r="BK1029" s="1530"/>
      <c r="BL1029" s="1530"/>
      <c r="BM1029" s="1530"/>
      <c r="BN1029" s="1530"/>
      <c r="BW1029" s="1569"/>
      <c r="CO1029" s="1530"/>
      <c r="CP1029" s="1530"/>
      <c r="CQ1029" s="1530"/>
      <c r="CR1029" s="1530"/>
      <c r="CS1029" s="1530"/>
      <c r="CT1029" s="1530"/>
      <c r="CU1029" s="1530"/>
      <c r="CV1029" s="1530"/>
      <c r="CW1029" s="1530"/>
      <c r="CX1029" s="1530"/>
      <c r="CY1029" s="1530"/>
      <c r="CZ1029" s="1530"/>
      <c r="DA1029" s="1530"/>
      <c r="DB1029" s="1530"/>
      <c r="DC1029" s="1530"/>
      <c r="DD1029" s="1530"/>
      <c r="DE1029" s="1530"/>
      <c r="DF1029" s="1530"/>
      <c r="DG1029" s="1530"/>
      <c r="DH1029" s="1530"/>
      <c r="DI1029" s="1530"/>
      <c r="DJ1029" s="1530"/>
      <c r="DK1029" s="1530"/>
      <c r="DL1029" s="1530"/>
      <c r="DM1029" s="1530"/>
      <c r="DN1029" s="1571"/>
      <c r="DO1029" s="1530"/>
      <c r="DP1029" s="1530"/>
    </row>
    <row r="1030" spans="1:120">
      <c r="A1030" s="1451"/>
      <c r="C1030" s="1451"/>
      <c r="K1030" s="1451"/>
      <c r="L1030" s="1451"/>
      <c r="U1030" s="1530"/>
      <c r="V1030" s="1530"/>
      <c r="W1030" s="1530"/>
      <c r="X1030" s="1530"/>
      <c r="Y1030" s="1530"/>
      <c r="Z1030" s="1530"/>
      <c r="AA1030" s="1530"/>
      <c r="AB1030" s="1530"/>
      <c r="AC1030" s="1530"/>
      <c r="AD1030" s="1530"/>
      <c r="AE1030" s="1530"/>
      <c r="AF1030" s="1530"/>
      <c r="AG1030" s="1530"/>
      <c r="AH1030" s="1530"/>
      <c r="AI1030" s="1530"/>
      <c r="AJ1030" s="1530"/>
      <c r="AK1030" s="1530"/>
      <c r="AL1030" s="1530"/>
      <c r="AM1030" s="1530"/>
      <c r="AN1030" s="1530"/>
      <c r="AO1030" s="1530"/>
      <c r="AP1030" s="1530"/>
      <c r="AQ1030" s="1530"/>
      <c r="AR1030" s="1530"/>
      <c r="AS1030" s="1530"/>
      <c r="AT1030" s="1530"/>
      <c r="AU1030" s="1530"/>
      <c r="AV1030" s="1530"/>
      <c r="AW1030" s="1530"/>
      <c r="AX1030" s="1530"/>
      <c r="AY1030" s="1530"/>
      <c r="AZ1030" s="1530"/>
      <c r="BA1030" s="1530"/>
      <c r="BB1030" s="1530"/>
      <c r="BC1030" s="1530"/>
      <c r="BD1030" s="1530"/>
      <c r="BE1030" s="1530"/>
      <c r="BF1030" s="1530"/>
      <c r="BG1030" s="1530"/>
      <c r="BH1030" s="1530"/>
      <c r="BI1030" s="1530"/>
      <c r="BJ1030" s="1530"/>
      <c r="BK1030" s="1530"/>
      <c r="BL1030" s="1530"/>
      <c r="BM1030" s="1530"/>
      <c r="BN1030" s="1530"/>
      <c r="BW1030" s="1569"/>
      <c r="CO1030" s="1530"/>
      <c r="CP1030" s="1530"/>
      <c r="CQ1030" s="1530"/>
      <c r="CR1030" s="1530"/>
      <c r="CS1030" s="1530"/>
      <c r="CT1030" s="1530"/>
      <c r="CU1030" s="1530"/>
      <c r="CV1030" s="1530"/>
      <c r="CW1030" s="1530"/>
      <c r="CX1030" s="1530"/>
      <c r="CY1030" s="1530"/>
      <c r="CZ1030" s="1530"/>
      <c r="DA1030" s="1530"/>
      <c r="DB1030" s="1530"/>
      <c r="DC1030" s="1530"/>
      <c r="DD1030" s="1530"/>
      <c r="DE1030" s="1530"/>
      <c r="DF1030" s="1530"/>
      <c r="DG1030" s="1530"/>
      <c r="DH1030" s="1530"/>
      <c r="DI1030" s="1530"/>
      <c r="DJ1030" s="1530"/>
      <c r="DK1030" s="1530"/>
      <c r="DL1030" s="1530"/>
      <c r="DM1030" s="1530"/>
      <c r="DN1030" s="1571"/>
      <c r="DO1030" s="1530"/>
      <c r="DP1030" s="1530"/>
    </row>
    <row r="1031" spans="1:120">
      <c r="A1031" s="1451"/>
      <c r="C1031" s="1451"/>
      <c r="K1031" s="1451"/>
      <c r="L1031" s="1451"/>
      <c r="U1031" s="1530"/>
      <c r="V1031" s="1530"/>
      <c r="W1031" s="1530"/>
      <c r="X1031" s="1530"/>
      <c r="Y1031" s="1530"/>
      <c r="Z1031" s="1530"/>
      <c r="AA1031" s="1530"/>
      <c r="AB1031" s="1530"/>
      <c r="AC1031" s="1530"/>
      <c r="AD1031" s="1530"/>
      <c r="AE1031" s="1530"/>
      <c r="AF1031" s="1530"/>
      <c r="AG1031" s="1530"/>
      <c r="AH1031" s="1530"/>
      <c r="AI1031" s="1530"/>
      <c r="AJ1031" s="1530"/>
      <c r="AK1031" s="1530"/>
      <c r="AL1031" s="1530"/>
      <c r="AM1031" s="1530"/>
      <c r="AN1031" s="1530"/>
      <c r="AO1031" s="1530"/>
      <c r="AP1031" s="1530"/>
      <c r="AQ1031" s="1530"/>
      <c r="AR1031" s="1530"/>
      <c r="AS1031" s="1530"/>
      <c r="AT1031" s="1530"/>
      <c r="AU1031" s="1530"/>
      <c r="AV1031" s="1530"/>
      <c r="AW1031" s="1530"/>
      <c r="AX1031" s="1530"/>
      <c r="AY1031" s="1530"/>
      <c r="AZ1031" s="1530"/>
      <c r="BA1031" s="1530"/>
      <c r="BB1031" s="1530"/>
      <c r="BC1031" s="1530"/>
      <c r="BD1031" s="1530"/>
      <c r="BE1031" s="1530"/>
      <c r="BF1031" s="1530"/>
      <c r="BG1031" s="1530"/>
      <c r="BH1031" s="1530"/>
      <c r="BI1031" s="1530"/>
      <c r="BJ1031" s="1530"/>
      <c r="BK1031" s="1530"/>
      <c r="BL1031" s="1530"/>
      <c r="BM1031" s="1530"/>
      <c r="BN1031" s="1530"/>
      <c r="BW1031" s="1569"/>
      <c r="CO1031" s="1530"/>
      <c r="CP1031" s="1530"/>
      <c r="CQ1031" s="1530"/>
      <c r="CR1031" s="1530"/>
      <c r="CS1031" s="1530"/>
      <c r="CT1031" s="1530"/>
      <c r="CU1031" s="1530"/>
      <c r="CV1031" s="1530"/>
      <c r="CW1031" s="1530"/>
      <c r="CX1031" s="1530"/>
      <c r="CY1031" s="1530"/>
      <c r="CZ1031" s="1530"/>
      <c r="DA1031" s="1530"/>
      <c r="DB1031" s="1530"/>
      <c r="DC1031" s="1530"/>
      <c r="DD1031" s="1530"/>
      <c r="DE1031" s="1530"/>
      <c r="DF1031" s="1530"/>
      <c r="DG1031" s="1530"/>
      <c r="DH1031" s="1530"/>
      <c r="DI1031" s="1530"/>
      <c r="DJ1031" s="1530"/>
      <c r="DK1031" s="1530"/>
      <c r="DL1031" s="1530"/>
      <c r="DM1031" s="1530"/>
      <c r="DN1031" s="1571"/>
      <c r="DO1031" s="1530"/>
      <c r="DP1031" s="1530"/>
    </row>
    <row r="1032" spans="1:120">
      <c r="A1032" s="1451"/>
      <c r="C1032" s="1451"/>
      <c r="K1032" s="1451"/>
      <c r="L1032" s="1451"/>
      <c r="U1032" s="1530"/>
      <c r="V1032" s="1530"/>
      <c r="W1032" s="1530"/>
      <c r="X1032" s="1530"/>
      <c r="Y1032" s="1530"/>
      <c r="Z1032" s="1530"/>
      <c r="AA1032" s="1530"/>
      <c r="AB1032" s="1530"/>
      <c r="AC1032" s="1530"/>
      <c r="AD1032" s="1530"/>
      <c r="AE1032" s="1530"/>
      <c r="AF1032" s="1530"/>
      <c r="AG1032" s="1530"/>
      <c r="AH1032" s="1530"/>
      <c r="AI1032" s="1530"/>
      <c r="AJ1032" s="1530"/>
      <c r="AK1032" s="1530"/>
      <c r="AL1032" s="1530"/>
      <c r="AM1032" s="1530"/>
      <c r="AN1032" s="1530"/>
      <c r="AO1032" s="1530"/>
      <c r="AP1032" s="1530"/>
      <c r="AQ1032" s="1530"/>
      <c r="AR1032" s="1530"/>
      <c r="AS1032" s="1530"/>
      <c r="AT1032" s="1530"/>
      <c r="AU1032" s="1530"/>
      <c r="AV1032" s="1530"/>
      <c r="AW1032" s="1530"/>
      <c r="AX1032" s="1530"/>
      <c r="AY1032" s="1530"/>
      <c r="AZ1032" s="1530"/>
      <c r="BA1032" s="1530"/>
      <c r="BB1032" s="1530"/>
      <c r="BC1032" s="1530"/>
      <c r="BD1032" s="1530"/>
      <c r="BE1032" s="1530"/>
      <c r="BF1032" s="1530"/>
      <c r="BG1032" s="1530"/>
      <c r="BH1032" s="1530"/>
      <c r="BI1032" s="1530"/>
      <c r="BJ1032" s="1530"/>
      <c r="BK1032" s="1530"/>
      <c r="BL1032" s="1530"/>
      <c r="BM1032" s="1530"/>
      <c r="BN1032" s="1530"/>
      <c r="BW1032" s="1569"/>
      <c r="CO1032" s="1530"/>
      <c r="CP1032" s="1530"/>
      <c r="CQ1032" s="1530"/>
      <c r="CR1032" s="1530"/>
      <c r="CS1032" s="1530"/>
      <c r="CT1032" s="1530"/>
      <c r="CU1032" s="1530"/>
      <c r="CV1032" s="1530"/>
      <c r="CW1032" s="1530"/>
      <c r="CX1032" s="1530"/>
      <c r="CY1032" s="1530"/>
      <c r="CZ1032" s="1530"/>
      <c r="DA1032" s="1530"/>
      <c r="DB1032" s="1530"/>
      <c r="DC1032" s="1530"/>
      <c r="DD1032" s="1530"/>
      <c r="DE1032" s="1530"/>
      <c r="DF1032" s="1530"/>
      <c r="DG1032" s="1530"/>
      <c r="DH1032" s="1530"/>
      <c r="DI1032" s="1530"/>
      <c r="DJ1032" s="1530"/>
      <c r="DK1032" s="1530"/>
      <c r="DL1032" s="1530"/>
      <c r="DM1032" s="1530"/>
      <c r="DN1032" s="1571"/>
      <c r="DO1032" s="1530"/>
      <c r="DP1032" s="1530"/>
    </row>
    <row r="1033" spans="1:120">
      <c r="A1033" s="1451"/>
      <c r="C1033" s="1451"/>
      <c r="K1033" s="1451"/>
      <c r="L1033" s="1451"/>
      <c r="U1033" s="1530"/>
      <c r="V1033" s="1530"/>
      <c r="W1033" s="1530"/>
      <c r="X1033" s="1530"/>
      <c r="Y1033" s="1530"/>
      <c r="Z1033" s="1530"/>
      <c r="AA1033" s="1530"/>
      <c r="AB1033" s="1530"/>
      <c r="AC1033" s="1530"/>
      <c r="AD1033" s="1530"/>
      <c r="AE1033" s="1530"/>
      <c r="AF1033" s="1530"/>
      <c r="AG1033" s="1530"/>
      <c r="AH1033" s="1530"/>
      <c r="AI1033" s="1530"/>
      <c r="AJ1033" s="1530"/>
      <c r="AK1033" s="1530"/>
      <c r="AL1033" s="1530"/>
      <c r="AM1033" s="1530"/>
      <c r="AN1033" s="1530"/>
      <c r="AO1033" s="1530"/>
      <c r="AP1033" s="1530"/>
      <c r="AQ1033" s="1530"/>
      <c r="AR1033" s="1530"/>
      <c r="AS1033" s="1530"/>
      <c r="AT1033" s="1530"/>
      <c r="AU1033" s="1530"/>
      <c r="AV1033" s="1530"/>
      <c r="AW1033" s="1530"/>
      <c r="AX1033" s="1530"/>
      <c r="AY1033" s="1530"/>
      <c r="AZ1033" s="1530"/>
      <c r="BA1033" s="1530"/>
      <c r="BB1033" s="1530"/>
      <c r="BC1033" s="1530"/>
      <c r="BD1033" s="1530"/>
      <c r="BE1033" s="1530"/>
      <c r="BF1033" s="1530"/>
      <c r="BG1033" s="1530"/>
      <c r="BH1033" s="1530"/>
      <c r="BI1033" s="1530"/>
      <c r="BJ1033" s="1530"/>
      <c r="BK1033" s="1530"/>
      <c r="BL1033" s="1530"/>
      <c r="BM1033" s="1530"/>
      <c r="BN1033" s="1530"/>
      <c r="BW1033" s="1569"/>
      <c r="CO1033" s="1530"/>
      <c r="CP1033" s="1530"/>
      <c r="CQ1033" s="1530"/>
      <c r="CR1033" s="1530"/>
      <c r="CS1033" s="1530"/>
      <c r="CT1033" s="1530"/>
      <c r="CU1033" s="1530"/>
      <c r="CV1033" s="1530"/>
      <c r="CW1033" s="1530"/>
      <c r="CX1033" s="1530"/>
      <c r="CY1033" s="1530"/>
      <c r="CZ1033" s="1530"/>
      <c r="DA1033" s="1530"/>
      <c r="DB1033" s="1530"/>
      <c r="DC1033" s="1530"/>
      <c r="DD1033" s="1530"/>
      <c r="DE1033" s="1530"/>
      <c r="DF1033" s="1530"/>
      <c r="DG1033" s="1530"/>
      <c r="DH1033" s="1530"/>
      <c r="DI1033" s="1530"/>
      <c r="DJ1033" s="1530"/>
      <c r="DK1033" s="1530"/>
      <c r="DL1033" s="1530"/>
      <c r="DM1033" s="1530"/>
      <c r="DN1033" s="1571"/>
      <c r="DO1033" s="1530"/>
      <c r="DP1033" s="1530"/>
    </row>
    <row r="1034" spans="1:120">
      <c r="A1034" s="1451"/>
      <c r="C1034" s="1451"/>
      <c r="K1034" s="1451"/>
      <c r="L1034" s="1451"/>
      <c r="U1034" s="1530"/>
      <c r="V1034" s="1530"/>
      <c r="W1034" s="1530"/>
      <c r="X1034" s="1530"/>
      <c r="Y1034" s="1530"/>
      <c r="Z1034" s="1530"/>
      <c r="AA1034" s="1530"/>
      <c r="AB1034" s="1530"/>
      <c r="AC1034" s="1530"/>
      <c r="AD1034" s="1530"/>
      <c r="AE1034" s="1530"/>
      <c r="AF1034" s="1530"/>
      <c r="AG1034" s="1530"/>
      <c r="AH1034" s="1530"/>
      <c r="AI1034" s="1530"/>
      <c r="AJ1034" s="1530"/>
      <c r="AK1034" s="1530"/>
      <c r="AL1034" s="1530"/>
      <c r="AM1034" s="1530"/>
      <c r="AN1034" s="1530"/>
      <c r="AO1034" s="1530"/>
      <c r="AP1034" s="1530"/>
      <c r="AQ1034" s="1530"/>
      <c r="AR1034" s="1530"/>
      <c r="AS1034" s="1530"/>
      <c r="AT1034" s="1530"/>
      <c r="AU1034" s="1530"/>
      <c r="AV1034" s="1530"/>
      <c r="AW1034" s="1530"/>
      <c r="AX1034" s="1530"/>
      <c r="AY1034" s="1530"/>
      <c r="AZ1034" s="1530"/>
      <c r="BA1034" s="1530"/>
      <c r="BB1034" s="1530"/>
      <c r="BC1034" s="1530"/>
      <c r="BD1034" s="1530"/>
      <c r="BE1034" s="1530"/>
      <c r="BF1034" s="1530"/>
      <c r="BG1034" s="1530"/>
      <c r="BH1034" s="1530"/>
      <c r="BI1034" s="1530"/>
      <c r="BJ1034" s="1530"/>
      <c r="BK1034" s="1530"/>
      <c r="BL1034" s="1530"/>
      <c r="BM1034" s="1530"/>
      <c r="BN1034" s="1530"/>
      <c r="BW1034" s="1569"/>
      <c r="CO1034" s="1530"/>
      <c r="CP1034" s="1530"/>
      <c r="CQ1034" s="1530"/>
      <c r="CR1034" s="1530"/>
      <c r="CS1034" s="1530"/>
      <c r="CT1034" s="1530"/>
      <c r="CU1034" s="1530"/>
      <c r="CV1034" s="1530"/>
      <c r="CW1034" s="1530"/>
      <c r="CX1034" s="1530"/>
      <c r="CY1034" s="1530"/>
      <c r="CZ1034" s="1530"/>
      <c r="DA1034" s="1530"/>
      <c r="DB1034" s="1530"/>
      <c r="DC1034" s="1530"/>
      <c r="DD1034" s="1530"/>
      <c r="DE1034" s="1530"/>
      <c r="DF1034" s="1530"/>
      <c r="DG1034" s="1530"/>
      <c r="DH1034" s="1530"/>
      <c r="DI1034" s="1530"/>
      <c r="DJ1034" s="1530"/>
      <c r="DK1034" s="1530"/>
      <c r="DL1034" s="1530"/>
      <c r="DM1034" s="1530"/>
      <c r="DN1034" s="1571"/>
      <c r="DO1034" s="1530"/>
      <c r="DP1034" s="1530"/>
    </row>
    <row r="1035" spans="1:120">
      <c r="A1035" s="1451"/>
      <c r="C1035" s="1451"/>
      <c r="K1035" s="1451"/>
      <c r="L1035" s="1451"/>
      <c r="U1035" s="1530"/>
      <c r="V1035" s="1530"/>
      <c r="W1035" s="1530"/>
      <c r="X1035" s="1530"/>
      <c r="Y1035" s="1530"/>
      <c r="Z1035" s="1530"/>
      <c r="AA1035" s="1530"/>
      <c r="AB1035" s="1530"/>
      <c r="AC1035" s="1530"/>
      <c r="AD1035" s="1530"/>
      <c r="AE1035" s="1530"/>
      <c r="AF1035" s="1530"/>
      <c r="AG1035" s="1530"/>
      <c r="AH1035" s="1530"/>
      <c r="AI1035" s="1530"/>
      <c r="AJ1035" s="1530"/>
      <c r="AK1035" s="1530"/>
      <c r="AL1035" s="1530"/>
      <c r="AM1035" s="1530"/>
      <c r="AN1035" s="1530"/>
      <c r="AO1035" s="1530"/>
      <c r="AP1035" s="1530"/>
      <c r="AQ1035" s="1530"/>
      <c r="AR1035" s="1530"/>
      <c r="AS1035" s="1530"/>
      <c r="AT1035" s="1530"/>
      <c r="AU1035" s="1530"/>
      <c r="AV1035" s="1530"/>
      <c r="AW1035" s="1530"/>
      <c r="AX1035" s="1530"/>
      <c r="AY1035" s="1530"/>
      <c r="AZ1035" s="1530"/>
      <c r="BA1035" s="1530"/>
      <c r="BB1035" s="1530"/>
      <c r="BC1035" s="1530"/>
      <c r="BD1035" s="1530"/>
      <c r="BE1035" s="1530"/>
      <c r="BF1035" s="1530"/>
      <c r="BG1035" s="1530"/>
      <c r="BH1035" s="1530"/>
      <c r="BI1035" s="1530"/>
      <c r="BJ1035" s="1530"/>
      <c r="BK1035" s="1530"/>
      <c r="BL1035" s="1530"/>
      <c r="BM1035" s="1530"/>
      <c r="BN1035" s="1530"/>
      <c r="BW1035" s="1569"/>
      <c r="CO1035" s="1530"/>
      <c r="CP1035" s="1530"/>
      <c r="CQ1035" s="1530"/>
      <c r="CR1035" s="1530"/>
      <c r="CS1035" s="1530"/>
      <c r="CT1035" s="1530"/>
      <c r="CU1035" s="1530"/>
      <c r="CV1035" s="1530"/>
      <c r="CW1035" s="1530"/>
      <c r="CX1035" s="1530"/>
      <c r="CY1035" s="1530"/>
      <c r="CZ1035" s="1530"/>
      <c r="DA1035" s="1530"/>
      <c r="DB1035" s="1530"/>
      <c r="DC1035" s="1530"/>
      <c r="DD1035" s="1530"/>
      <c r="DE1035" s="1530"/>
      <c r="DF1035" s="1530"/>
      <c r="DG1035" s="1530"/>
      <c r="DH1035" s="1530"/>
      <c r="DI1035" s="1530"/>
      <c r="DJ1035" s="1530"/>
      <c r="DK1035" s="1530"/>
      <c r="DL1035" s="1530"/>
      <c r="DM1035" s="1530"/>
      <c r="DN1035" s="1571"/>
      <c r="DO1035" s="1530"/>
      <c r="DP1035" s="1530"/>
    </row>
    <row r="1036" spans="1:120">
      <c r="A1036" s="1451"/>
      <c r="C1036" s="1451"/>
      <c r="K1036" s="1451"/>
      <c r="L1036" s="1451"/>
      <c r="U1036" s="1530"/>
      <c r="V1036" s="1530"/>
      <c r="W1036" s="1530"/>
      <c r="X1036" s="1530"/>
      <c r="Y1036" s="1530"/>
      <c r="Z1036" s="1530"/>
      <c r="AA1036" s="1530"/>
      <c r="AB1036" s="1530"/>
      <c r="AC1036" s="1530"/>
      <c r="AD1036" s="1530"/>
      <c r="AE1036" s="1530"/>
      <c r="AF1036" s="1530"/>
      <c r="AG1036" s="1530"/>
      <c r="AH1036" s="1530"/>
      <c r="AI1036" s="1530"/>
      <c r="AJ1036" s="1530"/>
      <c r="AK1036" s="1530"/>
      <c r="AL1036" s="1530"/>
      <c r="AM1036" s="1530"/>
      <c r="AN1036" s="1530"/>
      <c r="AO1036" s="1530"/>
      <c r="AP1036" s="1530"/>
      <c r="AQ1036" s="1530"/>
      <c r="AR1036" s="1530"/>
      <c r="AS1036" s="1530"/>
      <c r="AT1036" s="1530"/>
      <c r="AU1036" s="1530"/>
      <c r="AV1036" s="1530"/>
      <c r="AW1036" s="1530"/>
      <c r="AX1036" s="1530"/>
      <c r="AY1036" s="1530"/>
      <c r="AZ1036" s="1530"/>
      <c r="BA1036" s="1530"/>
      <c r="BB1036" s="1530"/>
      <c r="BC1036" s="1530"/>
      <c r="BD1036" s="1530"/>
      <c r="BE1036" s="1530"/>
      <c r="BF1036" s="1530"/>
      <c r="BG1036" s="1530"/>
      <c r="BH1036" s="1530"/>
      <c r="BI1036" s="1530"/>
      <c r="BJ1036" s="1530"/>
      <c r="BK1036" s="1530"/>
      <c r="BL1036" s="1530"/>
      <c r="BM1036" s="1530"/>
      <c r="BN1036" s="1530"/>
      <c r="BW1036" s="1569"/>
      <c r="CO1036" s="1530"/>
      <c r="CP1036" s="1530"/>
      <c r="CQ1036" s="1530"/>
      <c r="CR1036" s="1530"/>
      <c r="CS1036" s="1530"/>
      <c r="CT1036" s="1530"/>
      <c r="CU1036" s="1530"/>
      <c r="CV1036" s="1530"/>
      <c r="CW1036" s="1530"/>
      <c r="CX1036" s="1530"/>
      <c r="CY1036" s="1530"/>
      <c r="CZ1036" s="1530"/>
      <c r="DA1036" s="1530"/>
      <c r="DB1036" s="1530"/>
      <c r="DC1036" s="1530"/>
      <c r="DD1036" s="1530"/>
      <c r="DE1036" s="1530"/>
      <c r="DF1036" s="1530"/>
      <c r="DG1036" s="1530"/>
      <c r="DH1036" s="1530"/>
      <c r="DI1036" s="1530"/>
      <c r="DJ1036" s="1530"/>
      <c r="DK1036" s="1530"/>
      <c r="DL1036" s="1530"/>
      <c r="DM1036" s="1530"/>
      <c r="DN1036" s="1571"/>
      <c r="DO1036" s="1530"/>
      <c r="DP1036" s="1530"/>
    </row>
    <row r="1037" spans="1:120">
      <c r="A1037" s="1451"/>
      <c r="C1037" s="1451"/>
      <c r="K1037" s="1451"/>
      <c r="L1037" s="1451"/>
      <c r="U1037" s="1530"/>
      <c r="V1037" s="1530"/>
      <c r="W1037" s="1530"/>
      <c r="X1037" s="1530"/>
      <c r="Y1037" s="1530"/>
      <c r="Z1037" s="1530"/>
      <c r="AA1037" s="1530"/>
      <c r="AB1037" s="1530"/>
      <c r="AC1037" s="1530"/>
      <c r="AD1037" s="1530"/>
      <c r="AE1037" s="1530"/>
      <c r="AF1037" s="1530"/>
      <c r="AG1037" s="1530"/>
      <c r="AH1037" s="1530"/>
      <c r="AI1037" s="1530"/>
      <c r="AJ1037" s="1530"/>
      <c r="AK1037" s="1530"/>
      <c r="AL1037" s="1530"/>
      <c r="AM1037" s="1530"/>
      <c r="AN1037" s="1530"/>
      <c r="AO1037" s="1530"/>
      <c r="AP1037" s="1530"/>
      <c r="AQ1037" s="1530"/>
      <c r="AR1037" s="1530"/>
      <c r="AS1037" s="1530"/>
      <c r="AT1037" s="1530"/>
      <c r="AU1037" s="1530"/>
      <c r="AV1037" s="1530"/>
      <c r="AW1037" s="1530"/>
      <c r="AX1037" s="1530"/>
      <c r="AY1037" s="1530"/>
      <c r="AZ1037" s="1530"/>
      <c r="BA1037" s="1530"/>
      <c r="BB1037" s="1530"/>
      <c r="BC1037" s="1530"/>
      <c r="BD1037" s="1530"/>
      <c r="BE1037" s="1530"/>
      <c r="BF1037" s="1530"/>
      <c r="BG1037" s="1530"/>
      <c r="BH1037" s="1530"/>
      <c r="BI1037" s="1530"/>
      <c r="BJ1037" s="1530"/>
      <c r="BK1037" s="1530"/>
      <c r="BL1037" s="1530"/>
      <c r="BM1037" s="1530"/>
      <c r="BN1037" s="1530"/>
      <c r="BW1037" s="1569"/>
      <c r="CO1037" s="1530"/>
      <c r="CP1037" s="1530"/>
      <c r="CQ1037" s="1530"/>
      <c r="CR1037" s="1530"/>
      <c r="CS1037" s="1530"/>
      <c r="CT1037" s="1530"/>
      <c r="CU1037" s="1530"/>
      <c r="CV1037" s="1530"/>
      <c r="CW1037" s="1530"/>
      <c r="CX1037" s="1530"/>
      <c r="CY1037" s="1530"/>
      <c r="CZ1037" s="1530"/>
      <c r="DA1037" s="1530"/>
      <c r="DB1037" s="1530"/>
      <c r="DC1037" s="1530"/>
      <c r="DD1037" s="1530"/>
      <c r="DE1037" s="1530"/>
      <c r="DF1037" s="1530"/>
      <c r="DG1037" s="1530"/>
      <c r="DH1037" s="1530"/>
      <c r="DI1037" s="1530"/>
      <c r="DJ1037" s="1530"/>
      <c r="DK1037" s="1530"/>
      <c r="DL1037" s="1530"/>
      <c r="DM1037" s="1530"/>
      <c r="DN1037" s="1571"/>
      <c r="DO1037" s="1530"/>
      <c r="DP1037" s="1530"/>
    </row>
    <row r="1038" spans="1:120">
      <c r="A1038" s="1451"/>
      <c r="C1038" s="1451"/>
      <c r="K1038" s="1451"/>
      <c r="L1038" s="1451"/>
      <c r="U1038" s="1530"/>
      <c r="V1038" s="1530"/>
      <c r="W1038" s="1530"/>
      <c r="X1038" s="1530"/>
      <c r="Y1038" s="1530"/>
      <c r="Z1038" s="1530"/>
      <c r="AA1038" s="1530"/>
      <c r="AB1038" s="1530"/>
      <c r="AC1038" s="1530"/>
      <c r="AD1038" s="1530"/>
      <c r="AE1038" s="1530"/>
      <c r="AF1038" s="1530"/>
      <c r="AG1038" s="1530"/>
      <c r="AH1038" s="1530"/>
      <c r="AI1038" s="1530"/>
      <c r="AJ1038" s="1530"/>
      <c r="AK1038" s="1530"/>
      <c r="AL1038" s="1530"/>
      <c r="AM1038" s="1530"/>
      <c r="AN1038" s="1530"/>
      <c r="AO1038" s="1530"/>
      <c r="AP1038" s="1530"/>
      <c r="AQ1038" s="1530"/>
      <c r="AR1038" s="1530"/>
      <c r="AS1038" s="1530"/>
      <c r="AT1038" s="1530"/>
      <c r="AU1038" s="1530"/>
      <c r="AV1038" s="1530"/>
      <c r="AW1038" s="1530"/>
      <c r="AX1038" s="1530"/>
      <c r="AY1038" s="1530"/>
      <c r="AZ1038" s="1530"/>
      <c r="BA1038" s="1530"/>
      <c r="BB1038" s="1530"/>
      <c r="BC1038" s="1530"/>
      <c r="BD1038" s="1530"/>
      <c r="BE1038" s="1530"/>
      <c r="BF1038" s="1530"/>
      <c r="BG1038" s="1530"/>
      <c r="BH1038" s="1530"/>
      <c r="BI1038" s="1530"/>
      <c r="BJ1038" s="1530"/>
      <c r="BK1038" s="1530"/>
      <c r="BL1038" s="1530"/>
      <c r="BM1038" s="1530"/>
      <c r="BN1038" s="1530"/>
      <c r="BW1038" s="1569"/>
      <c r="CO1038" s="1530"/>
      <c r="CP1038" s="1530"/>
      <c r="CQ1038" s="1530"/>
      <c r="CR1038" s="1530"/>
      <c r="CS1038" s="1530"/>
      <c r="CT1038" s="1530"/>
      <c r="CU1038" s="1530"/>
      <c r="CV1038" s="1530"/>
      <c r="CW1038" s="1530"/>
      <c r="CX1038" s="1530"/>
      <c r="CY1038" s="1530"/>
      <c r="CZ1038" s="1530"/>
      <c r="DA1038" s="1530"/>
      <c r="DB1038" s="1530"/>
      <c r="DC1038" s="1530"/>
      <c r="DD1038" s="1530"/>
      <c r="DE1038" s="1530"/>
      <c r="DF1038" s="1530"/>
      <c r="DG1038" s="1530"/>
      <c r="DH1038" s="1530"/>
      <c r="DI1038" s="1530"/>
      <c r="DJ1038" s="1530"/>
      <c r="DK1038" s="1530"/>
      <c r="DL1038" s="1530"/>
      <c r="DM1038" s="1530"/>
      <c r="DN1038" s="1571"/>
      <c r="DO1038" s="1530"/>
      <c r="DP1038" s="1530"/>
    </row>
    <row r="1039" spans="1:120">
      <c r="A1039" s="1451"/>
      <c r="C1039" s="1451"/>
      <c r="K1039" s="1451"/>
      <c r="L1039" s="1451"/>
      <c r="U1039" s="1530"/>
      <c r="V1039" s="1530"/>
      <c r="W1039" s="1530"/>
      <c r="X1039" s="1530"/>
      <c r="Y1039" s="1530"/>
      <c r="Z1039" s="1530"/>
      <c r="AA1039" s="1530"/>
      <c r="AB1039" s="1530"/>
      <c r="AC1039" s="1530"/>
      <c r="AD1039" s="1530"/>
      <c r="AE1039" s="1530"/>
      <c r="AF1039" s="1530"/>
      <c r="AG1039" s="1530"/>
      <c r="AH1039" s="1530"/>
      <c r="AI1039" s="1530"/>
      <c r="AJ1039" s="1530"/>
      <c r="AK1039" s="1530"/>
      <c r="AL1039" s="1530"/>
      <c r="AM1039" s="1530"/>
      <c r="AN1039" s="1530"/>
      <c r="AO1039" s="1530"/>
      <c r="AP1039" s="1530"/>
      <c r="AQ1039" s="1530"/>
      <c r="AR1039" s="1530"/>
      <c r="AS1039" s="1530"/>
      <c r="AT1039" s="1530"/>
      <c r="AU1039" s="1530"/>
      <c r="AV1039" s="1530"/>
      <c r="AW1039" s="1530"/>
      <c r="AX1039" s="1530"/>
      <c r="AY1039" s="1530"/>
      <c r="AZ1039" s="1530"/>
      <c r="BA1039" s="1530"/>
      <c r="BB1039" s="1530"/>
      <c r="BC1039" s="1530"/>
      <c r="BD1039" s="1530"/>
      <c r="BE1039" s="1530"/>
      <c r="BF1039" s="1530"/>
      <c r="BG1039" s="1530"/>
      <c r="BH1039" s="1530"/>
      <c r="BI1039" s="1530"/>
      <c r="BJ1039" s="1530"/>
      <c r="BK1039" s="1530"/>
      <c r="BL1039" s="1530"/>
      <c r="BM1039" s="1530"/>
      <c r="BN1039" s="1530"/>
      <c r="BW1039" s="1569"/>
      <c r="CO1039" s="1530"/>
      <c r="CP1039" s="1530"/>
      <c r="CQ1039" s="1530"/>
      <c r="CR1039" s="1530"/>
      <c r="CS1039" s="1530"/>
      <c r="CT1039" s="1530"/>
      <c r="CU1039" s="1530"/>
      <c r="CV1039" s="1530"/>
      <c r="CW1039" s="1530"/>
      <c r="CX1039" s="1530"/>
      <c r="CY1039" s="1530"/>
      <c r="CZ1039" s="1530"/>
      <c r="DA1039" s="1530"/>
      <c r="DB1039" s="1530"/>
      <c r="DC1039" s="1530"/>
      <c r="DD1039" s="1530"/>
      <c r="DE1039" s="1530"/>
      <c r="DF1039" s="1530"/>
      <c r="DG1039" s="1530"/>
      <c r="DH1039" s="1530"/>
      <c r="DI1039" s="1530"/>
      <c r="DJ1039" s="1530"/>
      <c r="DK1039" s="1530"/>
      <c r="DL1039" s="1530"/>
      <c r="DM1039" s="1530"/>
      <c r="DN1039" s="1571"/>
      <c r="DO1039" s="1530"/>
      <c r="DP1039" s="1530"/>
    </row>
    <row r="1040" spans="1:120">
      <c r="A1040" s="1451"/>
      <c r="C1040" s="1451"/>
      <c r="K1040" s="1451"/>
      <c r="L1040" s="1451"/>
      <c r="U1040" s="1530"/>
      <c r="V1040" s="1530"/>
      <c r="W1040" s="1530"/>
      <c r="X1040" s="1530"/>
      <c r="Y1040" s="1530"/>
      <c r="Z1040" s="1530"/>
      <c r="AA1040" s="1530"/>
      <c r="AB1040" s="1530"/>
      <c r="AC1040" s="1530"/>
      <c r="AD1040" s="1530"/>
      <c r="AE1040" s="1530"/>
      <c r="AF1040" s="1530"/>
      <c r="AG1040" s="1530"/>
      <c r="AH1040" s="1530"/>
      <c r="AI1040" s="1530"/>
      <c r="AJ1040" s="1530"/>
      <c r="AK1040" s="1530"/>
      <c r="AL1040" s="1530"/>
      <c r="AM1040" s="1530"/>
      <c r="AN1040" s="1530"/>
      <c r="AO1040" s="1530"/>
      <c r="AP1040" s="1530"/>
      <c r="AQ1040" s="1530"/>
      <c r="AR1040" s="1530"/>
      <c r="AS1040" s="1530"/>
      <c r="AT1040" s="1530"/>
      <c r="AU1040" s="1530"/>
      <c r="AV1040" s="1530"/>
      <c r="AW1040" s="1530"/>
      <c r="AX1040" s="1530"/>
      <c r="AY1040" s="1530"/>
      <c r="AZ1040" s="1530"/>
      <c r="BA1040" s="1530"/>
      <c r="BB1040" s="1530"/>
      <c r="BC1040" s="1530"/>
      <c r="BD1040" s="1530"/>
      <c r="BE1040" s="1530"/>
      <c r="BF1040" s="1530"/>
      <c r="BG1040" s="1530"/>
      <c r="BH1040" s="1530"/>
      <c r="BI1040" s="1530"/>
      <c r="BJ1040" s="1530"/>
      <c r="BK1040" s="1530"/>
      <c r="BL1040" s="1530"/>
      <c r="BM1040" s="1530"/>
      <c r="BN1040" s="1530"/>
      <c r="BW1040" s="1569"/>
      <c r="CO1040" s="1530"/>
      <c r="CP1040" s="1530"/>
      <c r="CQ1040" s="1530"/>
      <c r="CR1040" s="1530"/>
      <c r="CS1040" s="1530"/>
      <c r="CT1040" s="1530"/>
      <c r="CU1040" s="1530"/>
      <c r="CV1040" s="1530"/>
      <c r="CW1040" s="1530"/>
      <c r="CX1040" s="1530"/>
      <c r="CY1040" s="1530"/>
      <c r="CZ1040" s="1530"/>
      <c r="DA1040" s="1530"/>
      <c r="DB1040" s="1530"/>
      <c r="DC1040" s="1530"/>
      <c r="DD1040" s="1530"/>
      <c r="DE1040" s="1530"/>
      <c r="DF1040" s="1530"/>
      <c r="DG1040" s="1530"/>
      <c r="DH1040" s="1530"/>
      <c r="DI1040" s="1530"/>
      <c r="DJ1040" s="1530"/>
      <c r="DK1040" s="1530"/>
      <c r="DL1040" s="1530"/>
      <c r="DM1040" s="1530"/>
      <c r="DN1040" s="1571"/>
      <c r="DO1040" s="1530"/>
      <c r="DP1040" s="1530"/>
    </row>
    <row r="1041" spans="1:120">
      <c r="A1041" s="1451"/>
      <c r="C1041" s="1451"/>
      <c r="K1041" s="1451"/>
      <c r="L1041" s="1451"/>
      <c r="U1041" s="1530"/>
      <c r="V1041" s="1530"/>
      <c r="W1041" s="1530"/>
      <c r="X1041" s="1530"/>
      <c r="Y1041" s="1530"/>
      <c r="Z1041" s="1530"/>
      <c r="AA1041" s="1530"/>
      <c r="AB1041" s="1530"/>
      <c r="AC1041" s="1530"/>
      <c r="AD1041" s="1530"/>
      <c r="AE1041" s="1530"/>
      <c r="AF1041" s="1530"/>
      <c r="AG1041" s="1530"/>
      <c r="AH1041" s="1530"/>
      <c r="AI1041" s="1530"/>
      <c r="AJ1041" s="1530"/>
      <c r="AK1041" s="1530"/>
      <c r="AL1041" s="1530"/>
      <c r="AM1041" s="1530"/>
      <c r="AN1041" s="1530"/>
      <c r="AO1041" s="1530"/>
      <c r="AP1041" s="1530"/>
      <c r="AQ1041" s="1530"/>
      <c r="AR1041" s="1530"/>
      <c r="AS1041" s="1530"/>
      <c r="AT1041" s="1530"/>
      <c r="AU1041" s="1530"/>
      <c r="AV1041" s="1530"/>
      <c r="AW1041" s="1530"/>
      <c r="AX1041" s="1530"/>
      <c r="AY1041" s="1530"/>
      <c r="AZ1041" s="1530"/>
      <c r="BA1041" s="1530"/>
      <c r="BB1041" s="1530"/>
      <c r="BC1041" s="1530"/>
      <c r="BD1041" s="1530"/>
      <c r="BE1041" s="1530"/>
      <c r="BF1041" s="1530"/>
      <c r="BG1041" s="1530"/>
      <c r="BH1041" s="1530"/>
      <c r="BI1041" s="1530"/>
      <c r="BJ1041" s="1530"/>
      <c r="BK1041" s="1530"/>
      <c r="BL1041" s="1530"/>
      <c r="BM1041" s="1530"/>
      <c r="BN1041" s="1530"/>
      <c r="BW1041" s="1569"/>
      <c r="CO1041" s="1530"/>
      <c r="CP1041" s="1530"/>
      <c r="CQ1041" s="1530"/>
      <c r="CR1041" s="1530"/>
      <c r="CS1041" s="1530"/>
      <c r="CT1041" s="1530"/>
      <c r="CU1041" s="1530"/>
      <c r="CV1041" s="1530"/>
      <c r="CW1041" s="1530"/>
      <c r="CX1041" s="1530"/>
      <c r="CY1041" s="1530"/>
      <c r="CZ1041" s="1530"/>
      <c r="DA1041" s="1530"/>
      <c r="DB1041" s="1530"/>
      <c r="DC1041" s="1530"/>
      <c r="DD1041" s="1530"/>
      <c r="DE1041" s="1530"/>
      <c r="DF1041" s="1530"/>
      <c r="DG1041" s="1530"/>
      <c r="DH1041" s="1530"/>
      <c r="DI1041" s="1530"/>
      <c r="DJ1041" s="1530"/>
      <c r="DK1041" s="1530"/>
      <c r="DL1041" s="1530"/>
      <c r="DM1041" s="1530"/>
      <c r="DN1041" s="1571"/>
      <c r="DO1041" s="1530"/>
      <c r="DP1041" s="1530"/>
    </row>
    <row r="1042" spans="1:120">
      <c r="A1042" s="1451"/>
      <c r="C1042" s="1451"/>
      <c r="K1042" s="1451"/>
      <c r="L1042" s="1451"/>
      <c r="U1042" s="1530"/>
      <c r="V1042" s="1530"/>
      <c r="W1042" s="1530"/>
      <c r="X1042" s="1530"/>
      <c r="Y1042" s="1530"/>
      <c r="Z1042" s="1530"/>
      <c r="AA1042" s="1530"/>
      <c r="AB1042" s="1530"/>
      <c r="AC1042" s="1530"/>
      <c r="AD1042" s="1530"/>
      <c r="AE1042" s="1530"/>
      <c r="AF1042" s="1530"/>
      <c r="AG1042" s="1530"/>
      <c r="AH1042" s="1530"/>
      <c r="AI1042" s="1530"/>
      <c r="AJ1042" s="1530"/>
      <c r="AK1042" s="1530"/>
      <c r="AL1042" s="1530"/>
      <c r="AM1042" s="1530"/>
      <c r="AN1042" s="1530"/>
      <c r="AO1042" s="1530"/>
      <c r="AP1042" s="1530"/>
      <c r="AQ1042" s="1530"/>
      <c r="AR1042" s="1530"/>
      <c r="AS1042" s="1530"/>
      <c r="AT1042" s="1530"/>
      <c r="AU1042" s="1530"/>
      <c r="AV1042" s="1530"/>
      <c r="AW1042" s="1530"/>
      <c r="AX1042" s="1530"/>
      <c r="AY1042" s="1530"/>
      <c r="AZ1042" s="1530"/>
      <c r="BA1042" s="1530"/>
      <c r="BB1042" s="1530"/>
      <c r="BC1042" s="1530"/>
      <c r="BD1042" s="1530"/>
      <c r="BE1042" s="1530"/>
      <c r="BF1042" s="1530"/>
      <c r="BG1042" s="1530"/>
      <c r="BH1042" s="1530"/>
      <c r="BI1042" s="1530"/>
      <c r="BJ1042" s="1530"/>
      <c r="BK1042" s="1530"/>
      <c r="BL1042" s="1530"/>
      <c r="BM1042" s="1530"/>
      <c r="BN1042" s="1530"/>
      <c r="BW1042" s="1569"/>
      <c r="CO1042" s="1530"/>
      <c r="CP1042" s="1530"/>
      <c r="CQ1042" s="1530"/>
      <c r="CR1042" s="1530"/>
      <c r="CS1042" s="1530"/>
      <c r="CT1042" s="1530"/>
      <c r="CU1042" s="1530"/>
      <c r="CV1042" s="1530"/>
      <c r="CW1042" s="1530"/>
      <c r="CX1042" s="1530"/>
      <c r="CY1042" s="1530"/>
      <c r="CZ1042" s="1530"/>
      <c r="DA1042" s="1530"/>
      <c r="DB1042" s="1530"/>
      <c r="DC1042" s="1530"/>
      <c r="DD1042" s="1530"/>
      <c r="DE1042" s="1530"/>
      <c r="DF1042" s="1530"/>
      <c r="DG1042" s="1530"/>
      <c r="DH1042" s="1530"/>
      <c r="DI1042" s="1530"/>
      <c r="DJ1042" s="1530"/>
      <c r="DK1042" s="1530"/>
      <c r="DL1042" s="1530"/>
      <c r="DM1042" s="1530"/>
      <c r="DN1042" s="1571"/>
      <c r="DO1042" s="1530"/>
      <c r="DP1042" s="1530"/>
    </row>
    <row r="1043" spans="1:120">
      <c r="A1043" s="1451"/>
      <c r="C1043" s="1451"/>
      <c r="K1043" s="1451"/>
      <c r="L1043" s="1451"/>
      <c r="U1043" s="1530"/>
      <c r="V1043" s="1530"/>
      <c r="W1043" s="1530"/>
      <c r="X1043" s="1530"/>
      <c r="Y1043" s="1530"/>
      <c r="Z1043" s="1530"/>
      <c r="AA1043" s="1530"/>
      <c r="AB1043" s="1530"/>
      <c r="AC1043" s="1530"/>
      <c r="AD1043" s="1530"/>
      <c r="AE1043" s="1530"/>
      <c r="AF1043" s="1530"/>
      <c r="AG1043" s="1530"/>
      <c r="AH1043" s="1530"/>
      <c r="AI1043" s="1530"/>
      <c r="AJ1043" s="1530"/>
      <c r="AK1043" s="1530"/>
      <c r="AL1043" s="1530"/>
      <c r="AM1043" s="1530"/>
      <c r="AN1043" s="1530"/>
      <c r="AO1043" s="1530"/>
      <c r="AP1043" s="1530"/>
      <c r="AQ1043" s="1530"/>
      <c r="AR1043" s="1530"/>
      <c r="AS1043" s="1530"/>
      <c r="AT1043" s="1530"/>
      <c r="AU1043" s="1530"/>
      <c r="AV1043" s="1530"/>
      <c r="AW1043" s="1530"/>
      <c r="AX1043" s="1530"/>
      <c r="AY1043" s="1530"/>
      <c r="AZ1043" s="1530"/>
      <c r="BA1043" s="1530"/>
      <c r="BB1043" s="1530"/>
      <c r="BC1043" s="1530"/>
      <c r="BD1043" s="1530"/>
      <c r="BE1043" s="1530"/>
      <c r="BF1043" s="1530"/>
      <c r="BG1043" s="1530"/>
      <c r="BH1043" s="1530"/>
      <c r="BI1043" s="1530"/>
      <c r="BJ1043" s="1530"/>
      <c r="BK1043" s="1530"/>
      <c r="BL1043" s="1530"/>
      <c r="BM1043" s="1530"/>
      <c r="BN1043" s="1530"/>
      <c r="BW1043" s="1569"/>
      <c r="CO1043" s="1530"/>
      <c r="CP1043" s="1530"/>
      <c r="CQ1043" s="1530"/>
      <c r="CR1043" s="1530"/>
      <c r="CS1043" s="1530"/>
      <c r="CT1043" s="1530"/>
      <c r="CU1043" s="1530"/>
      <c r="CV1043" s="1530"/>
      <c r="CW1043" s="1530"/>
      <c r="CX1043" s="1530"/>
      <c r="CY1043" s="1530"/>
      <c r="CZ1043" s="1530"/>
      <c r="DA1043" s="1530"/>
      <c r="DB1043" s="1530"/>
      <c r="DC1043" s="1530"/>
      <c r="DD1043" s="1530"/>
      <c r="DE1043" s="1530"/>
      <c r="DF1043" s="1530"/>
      <c r="DG1043" s="1530"/>
      <c r="DH1043" s="1530"/>
      <c r="DI1043" s="1530"/>
      <c r="DJ1043" s="1530"/>
      <c r="DK1043" s="1530"/>
      <c r="DL1043" s="1530"/>
      <c r="DM1043" s="1530"/>
      <c r="DN1043" s="1571"/>
      <c r="DO1043" s="1530"/>
      <c r="DP1043" s="1530"/>
    </row>
    <row r="1044" spans="1:120">
      <c r="A1044" s="1451"/>
      <c r="C1044" s="1451"/>
      <c r="K1044" s="1451"/>
      <c r="L1044" s="1451"/>
      <c r="U1044" s="1530"/>
      <c r="V1044" s="1530"/>
      <c r="W1044" s="1530"/>
      <c r="X1044" s="1530"/>
      <c r="Y1044" s="1530"/>
      <c r="Z1044" s="1530"/>
      <c r="AA1044" s="1530"/>
      <c r="AB1044" s="1530"/>
      <c r="AC1044" s="1530"/>
      <c r="AD1044" s="1530"/>
      <c r="AE1044" s="1530"/>
      <c r="AF1044" s="1530"/>
      <c r="AG1044" s="1530"/>
      <c r="AH1044" s="1530"/>
      <c r="AI1044" s="1530"/>
      <c r="AJ1044" s="1530"/>
      <c r="AK1044" s="1530"/>
      <c r="AL1044" s="1530"/>
      <c r="AM1044" s="1530"/>
      <c r="AN1044" s="1530"/>
      <c r="AO1044" s="1530"/>
      <c r="AP1044" s="1530"/>
      <c r="AQ1044" s="1530"/>
      <c r="AR1044" s="1530"/>
      <c r="AS1044" s="1530"/>
      <c r="AT1044" s="1530"/>
      <c r="AU1044" s="1530"/>
      <c r="AV1044" s="1530"/>
      <c r="AW1044" s="1530"/>
      <c r="AX1044" s="1530"/>
      <c r="AY1044" s="1530"/>
      <c r="AZ1044" s="1530"/>
      <c r="BA1044" s="1530"/>
      <c r="BB1044" s="1530"/>
      <c r="BC1044" s="1530"/>
      <c r="BD1044" s="1530"/>
      <c r="BE1044" s="1530"/>
      <c r="BF1044" s="1530"/>
      <c r="BG1044" s="1530"/>
      <c r="BH1044" s="1530"/>
      <c r="BI1044" s="1530"/>
      <c r="BJ1044" s="1530"/>
      <c r="BK1044" s="1530"/>
      <c r="BL1044" s="1530"/>
      <c r="BM1044" s="1530"/>
      <c r="BN1044" s="1530"/>
      <c r="BW1044" s="1569"/>
      <c r="CO1044" s="1530"/>
      <c r="CP1044" s="1530"/>
      <c r="CQ1044" s="1530"/>
      <c r="CR1044" s="1530"/>
      <c r="CS1044" s="1530"/>
      <c r="CT1044" s="1530"/>
      <c r="CU1044" s="1530"/>
      <c r="CV1044" s="1530"/>
      <c r="CW1044" s="1530"/>
      <c r="CX1044" s="1530"/>
      <c r="CY1044" s="1530"/>
      <c r="CZ1044" s="1530"/>
      <c r="DA1044" s="1530"/>
      <c r="DB1044" s="1530"/>
      <c r="DC1044" s="1530"/>
      <c r="DD1044" s="1530"/>
      <c r="DE1044" s="1530"/>
      <c r="DF1044" s="1530"/>
      <c r="DG1044" s="1530"/>
      <c r="DH1044" s="1530"/>
      <c r="DI1044" s="1530"/>
      <c r="DJ1044" s="1530"/>
      <c r="DK1044" s="1530"/>
      <c r="DL1044" s="1530"/>
      <c r="DM1044" s="1530"/>
      <c r="DN1044" s="1571"/>
      <c r="DO1044" s="1530"/>
      <c r="DP1044" s="1530"/>
    </row>
    <row r="1045" spans="1:120">
      <c r="A1045" s="1451"/>
      <c r="C1045" s="1451"/>
      <c r="K1045" s="1451"/>
      <c r="L1045" s="1451"/>
      <c r="U1045" s="1530"/>
      <c r="V1045" s="1530"/>
      <c r="W1045" s="1530"/>
      <c r="X1045" s="1530"/>
      <c r="Y1045" s="1530"/>
      <c r="Z1045" s="1530"/>
      <c r="AA1045" s="1530"/>
      <c r="AB1045" s="1530"/>
      <c r="AC1045" s="1530"/>
      <c r="AD1045" s="1530"/>
      <c r="AE1045" s="1530"/>
      <c r="AF1045" s="1530"/>
      <c r="AG1045" s="1530"/>
      <c r="AH1045" s="1530"/>
      <c r="AI1045" s="1530"/>
      <c r="AJ1045" s="1530"/>
      <c r="AK1045" s="1530"/>
      <c r="AL1045" s="1530"/>
      <c r="AM1045" s="1530"/>
      <c r="AN1045" s="1530"/>
      <c r="AO1045" s="1530"/>
      <c r="AP1045" s="1530"/>
      <c r="AQ1045" s="1530"/>
      <c r="AR1045" s="1530"/>
      <c r="AS1045" s="1530"/>
      <c r="AT1045" s="1530"/>
      <c r="AU1045" s="1530"/>
      <c r="AV1045" s="1530"/>
      <c r="AW1045" s="1530"/>
      <c r="AX1045" s="1530"/>
      <c r="AY1045" s="1530"/>
      <c r="AZ1045" s="1530"/>
      <c r="BA1045" s="1530"/>
      <c r="BB1045" s="1530"/>
      <c r="BC1045" s="1530"/>
      <c r="BD1045" s="1530"/>
      <c r="BE1045" s="1530"/>
      <c r="BF1045" s="1530"/>
      <c r="BG1045" s="1530"/>
      <c r="BH1045" s="1530"/>
      <c r="BI1045" s="1530"/>
      <c r="BJ1045" s="1530"/>
      <c r="BK1045" s="1530"/>
      <c r="BL1045" s="1530"/>
      <c r="BM1045" s="1530"/>
      <c r="BN1045" s="1530"/>
      <c r="BW1045" s="1569"/>
      <c r="CO1045" s="1530"/>
      <c r="CP1045" s="1530"/>
      <c r="CQ1045" s="1530"/>
      <c r="CR1045" s="1530"/>
      <c r="CS1045" s="1530"/>
      <c r="CT1045" s="1530"/>
      <c r="CU1045" s="1530"/>
      <c r="CV1045" s="1530"/>
      <c r="CW1045" s="1530"/>
      <c r="CX1045" s="1530"/>
      <c r="CY1045" s="1530"/>
      <c r="CZ1045" s="1530"/>
      <c r="DA1045" s="1530"/>
      <c r="DB1045" s="1530"/>
      <c r="DC1045" s="1530"/>
      <c r="DD1045" s="1530"/>
      <c r="DE1045" s="1530"/>
      <c r="DF1045" s="1530"/>
      <c r="DG1045" s="1530"/>
      <c r="DH1045" s="1530"/>
      <c r="DI1045" s="1530"/>
      <c r="DJ1045" s="1530"/>
      <c r="DK1045" s="1530"/>
      <c r="DL1045" s="1530"/>
      <c r="DM1045" s="1530"/>
      <c r="DN1045" s="1571"/>
      <c r="DO1045" s="1530"/>
      <c r="DP1045" s="1530"/>
    </row>
    <row r="1046" spans="1:120">
      <c r="A1046" s="1451"/>
      <c r="C1046" s="1451"/>
      <c r="K1046" s="1451"/>
      <c r="L1046" s="1451"/>
      <c r="U1046" s="1530"/>
      <c r="V1046" s="1530"/>
      <c r="W1046" s="1530"/>
      <c r="X1046" s="1530"/>
      <c r="Y1046" s="1530"/>
      <c r="Z1046" s="1530"/>
      <c r="AA1046" s="1530"/>
      <c r="AB1046" s="1530"/>
      <c r="AC1046" s="1530"/>
      <c r="AD1046" s="1530"/>
      <c r="AE1046" s="1530"/>
      <c r="AF1046" s="1530"/>
      <c r="AG1046" s="1530"/>
      <c r="AH1046" s="1530"/>
      <c r="AI1046" s="1530"/>
      <c r="AJ1046" s="1530"/>
      <c r="AK1046" s="1530"/>
      <c r="AL1046" s="1530"/>
      <c r="AM1046" s="1530"/>
      <c r="AN1046" s="1530"/>
      <c r="AO1046" s="1530"/>
      <c r="AP1046" s="1530"/>
      <c r="AQ1046" s="1530"/>
      <c r="AR1046" s="1530"/>
      <c r="AS1046" s="1530"/>
      <c r="AT1046" s="1530"/>
      <c r="AU1046" s="1530"/>
      <c r="AV1046" s="1530"/>
      <c r="AW1046" s="1530"/>
      <c r="AX1046" s="1530"/>
      <c r="AY1046" s="1530"/>
      <c r="AZ1046" s="1530"/>
      <c r="BA1046" s="1530"/>
      <c r="BB1046" s="1530"/>
      <c r="BC1046" s="1530"/>
      <c r="BD1046" s="1530"/>
      <c r="BE1046" s="1530"/>
      <c r="BF1046" s="1530"/>
      <c r="BG1046" s="1530"/>
      <c r="BH1046" s="1530"/>
      <c r="BI1046" s="1530"/>
      <c r="BJ1046" s="1530"/>
      <c r="BK1046" s="1530"/>
      <c r="BL1046" s="1530"/>
      <c r="BM1046" s="1530"/>
      <c r="BN1046" s="1530"/>
      <c r="BW1046" s="1569"/>
      <c r="CO1046" s="1530"/>
      <c r="CP1046" s="1530"/>
      <c r="CQ1046" s="1530"/>
      <c r="CR1046" s="1530"/>
      <c r="CS1046" s="1530"/>
      <c r="CT1046" s="1530"/>
      <c r="CU1046" s="1530"/>
      <c r="CV1046" s="1530"/>
      <c r="CW1046" s="1530"/>
      <c r="CX1046" s="1530"/>
      <c r="CY1046" s="1530"/>
      <c r="CZ1046" s="1530"/>
      <c r="DA1046" s="1530"/>
      <c r="DB1046" s="1530"/>
      <c r="DC1046" s="1530"/>
      <c r="DD1046" s="1530"/>
      <c r="DE1046" s="1530"/>
      <c r="DF1046" s="1530"/>
      <c r="DG1046" s="1530"/>
      <c r="DH1046" s="1530"/>
      <c r="DI1046" s="1530"/>
      <c r="DJ1046" s="1530"/>
      <c r="DK1046" s="1530"/>
      <c r="DL1046" s="1530"/>
      <c r="DM1046" s="1530"/>
      <c r="DN1046" s="1571"/>
      <c r="DO1046" s="1530"/>
      <c r="DP1046" s="1530"/>
    </row>
    <row r="1047" spans="1:120">
      <c r="A1047" s="1451"/>
      <c r="C1047" s="1451"/>
      <c r="K1047" s="1451"/>
      <c r="L1047" s="1451"/>
      <c r="U1047" s="1530"/>
      <c r="V1047" s="1530"/>
      <c r="W1047" s="1530"/>
      <c r="X1047" s="1530"/>
      <c r="Y1047" s="1530"/>
      <c r="Z1047" s="1530"/>
      <c r="AA1047" s="1530"/>
      <c r="AB1047" s="1530"/>
      <c r="AC1047" s="1530"/>
      <c r="AD1047" s="1530"/>
      <c r="AE1047" s="1530"/>
      <c r="AF1047" s="1530"/>
      <c r="AG1047" s="1530"/>
      <c r="AH1047" s="1530"/>
      <c r="AI1047" s="1530"/>
      <c r="AJ1047" s="1530"/>
      <c r="AK1047" s="1530"/>
      <c r="AL1047" s="1530"/>
      <c r="AM1047" s="1530"/>
      <c r="AN1047" s="1530"/>
      <c r="AO1047" s="1530"/>
      <c r="AP1047" s="1530"/>
      <c r="AQ1047" s="1530"/>
      <c r="AR1047" s="1530"/>
      <c r="AS1047" s="1530"/>
      <c r="AT1047" s="1530"/>
      <c r="AU1047" s="1530"/>
      <c r="AV1047" s="1530"/>
      <c r="AW1047" s="1530"/>
      <c r="AX1047" s="1530"/>
      <c r="AY1047" s="1530"/>
      <c r="AZ1047" s="1530"/>
      <c r="BA1047" s="1530"/>
      <c r="BB1047" s="1530"/>
      <c r="BC1047" s="1530"/>
      <c r="BD1047" s="1530"/>
      <c r="BE1047" s="1530"/>
      <c r="BF1047" s="1530"/>
      <c r="BG1047" s="1530"/>
      <c r="BH1047" s="1530"/>
      <c r="BI1047" s="1530"/>
      <c r="BJ1047" s="1530"/>
      <c r="BK1047" s="1530"/>
      <c r="BL1047" s="1530"/>
      <c r="BM1047" s="1530"/>
      <c r="BN1047" s="1530"/>
      <c r="BW1047" s="1569"/>
      <c r="CO1047" s="1530"/>
      <c r="CP1047" s="1530"/>
      <c r="CQ1047" s="1530"/>
      <c r="CR1047" s="1530"/>
      <c r="CS1047" s="1530"/>
      <c r="CT1047" s="1530"/>
      <c r="CU1047" s="1530"/>
      <c r="CV1047" s="1530"/>
      <c r="CW1047" s="1530"/>
      <c r="CX1047" s="1530"/>
      <c r="CY1047" s="1530"/>
      <c r="CZ1047" s="1530"/>
      <c r="DA1047" s="1530"/>
      <c r="DB1047" s="1530"/>
      <c r="DC1047" s="1530"/>
      <c r="DD1047" s="1530"/>
      <c r="DE1047" s="1530"/>
      <c r="DF1047" s="1530"/>
      <c r="DG1047" s="1530"/>
      <c r="DH1047" s="1530"/>
      <c r="DI1047" s="1530"/>
      <c r="DJ1047" s="1530"/>
      <c r="DK1047" s="1530"/>
      <c r="DL1047" s="1530"/>
      <c r="DM1047" s="1530"/>
      <c r="DN1047" s="1571"/>
      <c r="DO1047" s="1530"/>
      <c r="DP1047" s="1530"/>
    </row>
    <row r="1048" spans="1:120">
      <c r="A1048" s="1451"/>
      <c r="C1048" s="1451"/>
      <c r="K1048" s="1451"/>
      <c r="L1048" s="1451"/>
      <c r="U1048" s="1530"/>
      <c r="V1048" s="1530"/>
      <c r="W1048" s="1530"/>
      <c r="X1048" s="1530"/>
      <c r="Y1048" s="1530"/>
      <c r="Z1048" s="1530"/>
      <c r="AA1048" s="1530"/>
      <c r="AB1048" s="1530"/>
      <c r="AC1048" s="1530"/>
      <c r="AD1048" s="1530"/>
      <c r="AE1048" s="1530"/>
      <c r="AF1048" s="1530"/>
      <c r="AG1048" s="1530"/>
      <c r="AH1048" s="1530"/>
      <c r="AI1048" s="1530"/>
      <c r="AJ1048" s="1530"/>
      <c r="AK1048" s="1530"/>
      <c r="AL1048" s="1530"/>
      <c r="AM1048" s="1530"/>
      <c r="AN1048" s="1530"/>
      <c r="AO1048" s="1530"/>
      <c r="AP1048" s="1530"/>
      <c r="AQ1048" s="1530"/>
      <c r="AR1048" s="1530"/>
      <c r="AS1048" s="1530"/>
      <c r="AT1048" s="1530"/>
      <c r="AU1048" s="1530"/>
      <c r="AV1048" s="1530"/>
      <c r="AW1048" s="1530"/>
      <c r="AX1048" s="1530"/>
      <c r="AY1048" s="1530"/>
      <c r="AZ1048" s="1530"/>
      <c r="BA1048" s="1530"/>
      <c r="BB1048" s="1530"/>
      <c r="BC1048" s="1530"/>
      <c r="BD1048" s="1530"/>
      <c r="BE1048" s="1530"/>
      <c r="BF1048" s="1530"/>
      <c r="BG1048" s="1530"/>
      <c r="BH1048" s="1530"/>
      <c r="BI1048" s="1530"/>
      <c r="BJ1048" s="1530"/>
      <c r="BK1048" s="1530"/>
      <c r="BL1048" s="1530"/>
      <c r="BM1048" s="1530"/>
      <c r="BN1048" s="1530"/>
      <c r="BW1048" s="1569"/>
      <c r="CO1048" s="1530"/>
      <c r="CP1048" s="1530"/>
      <c r="CQ1048" s="1530"/>
      <c r="CR1048" s="1530"/>
      <c r="CS1048" s="1530"/>
      <c r="CT1048" s="1530"/>
      <c r="CU1048" s="1530"/>
      <c r="CV1048" s="1530"/>
      <c r="CW1048" s="1530"/>
      <c r="CX1048" s="1530"/>
      <c r="CY1048" s="1530"/>
      <c r="CZ1048" s="1530"/>
      <c r="DA1048" s="1530"/>
      <c r="DB1048" s="1530"/>
      <c r="DC1048" s="1530"/>
      <c r="DD1048" s="1530"/>
      <c r="DE1048" s="1530"/>
      <c r="DF1048" s="1530"/>
      <c r="DG1048" s="1530"/>
      <c r="DH1048" s="1530"/>
      <c r="DI1048" s="1530"/>
      <c r="DJ1048" s="1530"/>
      <c r="DK1048" s="1530"/>
      <c r="DL1048" s="1530"/>
      <c r="DM1048" s="1530"/>
      <c r="DN1048" s="1571"/>
      <c r="DO1048" s="1530"/>
      <c r="DP1048" s="1530"/>
    </row>
    <row r="1049" spans="1:120">
      <c r="A1049" s="1451"/>
      <c r="C1049" s="1451"/>
      <c r="K1049" s="1451"/>
      <c r="L1049" s="1451"/>
      <c r="U1049" s="1530"/>
      <c r="V1049" s="1530"/>
      <c r="W1049" s="1530"/>
      <c r="X1049" s="1530"/>
      <c r="Y1049" s="1530"/>
      <c r="Z1049" s="1530"/>
      <c r="AA1049" s="1530"/>
      <c r="AB1049" s="1530"/>
      <c r="AC1049" s="1530"/>
      <c r="AD1049" s="1530"/>
      <c r="AE1049" s="1530"/>
      <c r="AF1049" s="1530"/>
      <c r="AG1049" s="1530"/>
      <c r="AH1049" s="1530"/>
      <c r="AI1049" s="1530"/>
      <c r="AJ1049" s="1530"/>
      <c r="AK1049" s="1530"/>
      <c r="AL1049" s="1530"/>
      <c r="AM1049" s="1530"/>
      <c r="AN1049" s="1530"/>
      <c r="AO1049" s="1530"/>
      <c r="AP1049" s="1530"/>
      <c r="AQ1049" s="1530"/>
      <c r="AR1049" s="1530"/>
      <c r="AS1049" s="1530"/>
      <c r="AT1049" s="1530"/>
      <c r="AU1049" s="1530"/>
      <c r="AV1049" s="1530"/>
      <c r="AW1049" s="1530"/>
      <c r="AX1049" s="1530"/>
      <c r="AY1049" s="1530"/>
      <c r="AZ1049" s="1530"/>
      <c r="BA1049" s="1530"/>
      <c r="BB1049" s="1530"/>
      <c r="BC1049" s="1530"/>
      <c r="BD1049" s="1530"/>
      <c r="BE1049" s="1530"/>
      <c r="BF1049" s="1530"/>
      <c r="BG1049" s="1530"/>
      <c r="BH1049" s="1530"/>
      <c r="BI1049" s="1530"/>
      <c r="BJ1049" s="1530"/>
      <c r="BK1049" s="1530"/>
      <c r="BL1049" s="1530"/>
      <c r="BM1049" s="1530"/>
      <c r="BN1049" s="1530"/>
      <c r="BW1049" s="1569"/>
      <c r="CO1049" s="1530"/>
      <c r="CP1049" s="1530"/>
      <c r="CQ1049" s="1530"/>
      <c r="CR1049" s="1530"/>
      <c r="CS1049" s="1530"/>
      <c r="CT1049" s="1530"/>
      <c r="CU1049" s="1530"/>
      <c r="CV1049" s="1530"/>
      <c r="CW1049" s="1530"/>
      <c r="CX1049" s="1530"/>
      <c r="CY1049" s="1530"/>
      <c r="CZ1049" s="1530"/>
      <c r="DA1049" s="1530"/>
      <c r="DB1049" s="1530"/>
      <c r="DC1049" s="1530"/>
      <c r="DD1049" s="1530"/>
      <c r="DE1049" s="1530"/>
      <c r="DF1049" s="1530"/>
      <c r="DG1049" s="1530"/>
      <c r="DH1049" s="1530"/>
      <c r="DI1049" s="1530"/>
      <c r="DJ1049" s="1530"/>
      <c r="DK1049" s="1530"/>
      <c r="DL1049" s="1530"/>
      <c r="DM1049" s="1530"/>
      <c r="DN1049" s="1571"/>
      <c r="DO1049" s="1530"/>
      <c r="DP1049" s="1530"/>
    </row>
    <row r="1050" spans="1:120">
      <c r="A1050" s="1451"/>
      <c r="C1050" s="1451"/>
      <c r="K1050" s="1451"/>
      <c r="L1050" s="1451"/>
      <c r="U1050" s="1530"/>
      <c r="V1050" s="1530"/>
      <c r="W1050" s="1530"/>
      <c r="X1050" s="1530"/>
      <c r="Y1050" s="1530"/>
      <c r="Z1050" s="1530"/>
      <c r="AA1050" s="1530"/>
      <c r="AB1050" s="1530"/>
      <c r="AC1050" s="1530"/>
      <c r="AD1050" s="1530"/>
      <c r="AE1050" s="1530"/>
      <c r="AF1050" s="1530"/>
      <c r="AG1050" s="1530"/>
      <c r="AH1050" s="1530"/>
      <c r="AI1050" s="1530"/>
      <c r="AJ1050" s="1530"/>
      <c r="AK1050" s="1530"/>
      <c r="AL1050" s="1530"/>
      <c r="AM1050" s="1530"/>
      <c r="AN1050" s="1530"/>
      <c r="AO1050" s="1530"/>
      <c r="AP1050" s="1530"/>
      <c r="AQ1050" s="1530"/>
      <c r="AR1050" s="1530"/>
      <c r="AS1050" s="1530"/>
      <c r="AT1050" s="1530"/>
      <c r="AU1050" s="1530"/>
      <c r="AV1050" s="1530"/>
      <c r="AW1050" s="1530"/>
      <c r="AX1050" s="1530"/>
      <c r="AY1050" s="1530"/>
      <c r="AZ1050" s="1530"/>
      <c r="BA1050" s="1530"/>
      <c r="BB1050" s="1530"/>
      <c r="BC1050" s="1530"/>
      <c r="BD1050" s="1530"/>
      <c r="BE1050" s="1530"/>
      <c r="BF1050" s="1530"/>
      <c r="BG1050" s="1530"/>
      <c r="BH1050" s="1530"/>
      <c r="BI1050" s="1530"/>
      <c r="BJ1050" s="1530"/>
      <c r="BK1050" s="1530"/>
      <c r="BL1050" s="1530"/>
      <c r="BM1050" s="1530"/>
      <c r="BN1050" s="1530"/>
      <c r="BW1050" s="1569"/>
      <c r="CO1050" s="1530"/>
      <c r="CP1050" s="1530"/>
      <c r="CQ1050" s="1530"/>
      <c r="CR1050" s="1530"/>
      <c r="CS1050" s="1530"/>
      <c r="CT1050" s="1530"/>
      <c r="CU1050" s="1530"/>
      <c r="CV1050" s="1530"/>
      <c r="CW1050" s="1530"/>
      <c r="CX1050" s="1530"/>
      <c r="CY1050" s="1530"/>
      <c r="CZ1050" s="1530"/>
      <c r="DA1050" s="1530"/>
      <c r="DB1050" s="1530"/>
      <c r="DC1050" s="1530"/>
      <c r="DD1050" s="1530"/>
      <c r="DE1050" s="1530"/>
      <c r="DF1050" s="1530"/>
      <c r="DG1050" s="1530"/>
      <c r="DH1050" s="1530"/>
      <c r="DI1050" s="1530"/>
      <c r="DJ1050" s="1530"/>
      <c r="DK1050" s="1530"/>
      <c r="DL1050" s="1530"/>
      <c r="DM1050" s="1530"/>
      <c r="DN1050" s="1571"/>
      <c r="DO1050" s="1530"/>
      <c r="DP1050" s="1530"/>
    </row>
    <row r="1051" spans="1:120">
      <c r="A1051" s="1451"/>
      <c r="C1051" s="1451"/>
      <c r="K1051" s="1451"/>
      <c r="L1051" s="1451"/>
      <c r="U1051" s="1530"/>
      <c r="V1051" s="1530"/>
      <c r="W1051" s="1530"/>
      <c r="X1051" s="1530"/>
      <c r="Y1051" s="1530"/>
      <c r="Z1051" s="1530"/>
      <c r="AA1051" s="1530"/>
      <c r="AB1051" s="1530"/>
      <c r="AC1051" s="1530"/>
      <c r="AD1051" s="1530"/>
      <c r="AE1051" s="1530"/>
      <c r="AF1051" s="1530"/>
      <c r="AG1051" s="1530"/>
      <c r="AH1051" s="1530"/>
      <c r="AI1051" s="1530"/>
      <c r="AJ1051" s="1530"/>
      <c r="AK1051" s="1530"/>
      <c r="AL1051" s="1530"/>
      <c r="AM1051" s="1530"/>
      <c r="AN1051" s="1530"/>
      <c r="AO1051" s="1530"/>
      <c r="AP1051" s="1530"/>
      <c r="AQ1051" s="1530"/>
      <c r="AR1051" s="1530"/>
      <c r="AS1051" s="1530"/>
      <c r="AT1051" s="1530"/>
      <c r="AU1051" s="1530"/>
      <c r="AV1051" s="1530"/>
      <c r="AW1051" s="1530"/>
      <c r="AX1051" s="1530"/>
      <c r="AY1051" s="1530"/>
      <c r="AZ1051" s="1530"/>
      <c r="BA1051" s="1530"/>
      <c r="BB1051" s="1530"/>
      <c r="BC1051" s="1530"/>
      <c r="BD1051" s="1530"/>
      <c r="BE1051" s="1530"/>
      <c r="BF1051" s="1530"/>
      <c r="BG1051" s="1530"/>
      <c r="BH1051" s="1530"/>
      <c r="BI1051" s="1530"/>
      <c r="BJ1051" s="1530"/>
      <c r="BK1051" s="1530"/>
      <c r="BL1051" s="1530"/>
      <c r="BM1051" s="1530"/>
      <c r="BN1051" s="1530"/>
      <c r="BW1051" s="1569"/>
      <c r="CO1051" s="1530"/>
      <c r="CP1051" s="1530"/>
      <c r="CQ1051" s="1530"/>
      <c r="CR1051" s="1530"/>
      <c r="CS1051" s="1530"/>
      <c r="CT1051" s="1530"/>
      <c r="CU1051" s="1530"/>
      <c r="CV1051" s="1530"/>
      <c r="CW1051" s="1530"/>
      <c r="CX1051" s="1530"/>
      <c r="CY1051" s="1530"/>
      <c r="CZ1051" s="1530"/>
      <c r="DA1051" s="1530"/>
      <c r="DB1051" s="1530"/>
      <c r="DC1051" s="1530"/>
      <c r="DD1051" s="1530"/>
      <c r="DE1051" s="1530"/>
      <c r="DF1051" s="1530"/>
      <c r="DG1051" s="1530"/>
      <c r="DH1051" s="1530"/>
      <c r="DI1051" s="1530"/>
      <c r="DJ1051" s="1530"/>
      <c r="DK1051" s="1530"/>
      <c r="DL1051" s="1530"/>
      <c r="DM1051" s="1530"/>
      <c r="DN1051" s="1571"/>
      <c r="DO1051" s="1530"/>
      <c r="DP1051" s="1530"/>
    </row>
    <row r="1052" spans="1:120">
      <c r="A1052" s="1451"/>
      <c r="C1052" s="1451"/>
      <c r="K1052" s="1451"/>
      <c r="L1052" s="1451"/>
      <c r="U1052" s="1530"/>
      <c r="V1052" s="1530"/>
      <c r="W1052" s="1530"/>
      <c r="X1052" s="1530"/>
      <c r="Y1052" s="1530"/>
      <c r="Z1052" s="1530"/>
      <c r="AA1052" s="1530"/>
      <c r="AB1052" s="1530"/>
      <c r="AC1052" s="1530"/>
      <c r="AD1052" s="1530"/>
      <c r="AE1052" s="1530"/>
      <c r="AF1052" s="1530"/>
      <c r="AG1052" s="1530"/>
      <c r="AH1052" s="1530"/>
      <c r="AI1052" s="1530"/>
      <c r="AJ1052" s="1530"/>
      <c r="AK1052" s="1530"/>
      <c r="AL1052" s="1530"/>
      <c r="AM1052" s="1530"/>
      <c r="AN1052" s="1530"/>
      <c r="AO1052" s="1530"/>
      <c r="AP1052" s="1530"/>
      <c r="AQ1052" s="1530"/>
      <c r="AR1052" s="1530"/>
      <c r="AS1052" s="1530"/>
      <c r="AT1052" s="1530"/>
      <c r="AU1052" s="1530"/>
      <c r="AV1052" s="1530"/>
      <c r="AW1052" s="1530"/>
      <c r="AX1052" s="1530"/>
      <c r="AY1052" s="1530"/>
      <c r="AZ1052" s="1530"/>
      <c r="BA1052" s="1530"/>
      <c r="BB1052" s="1530"/>
      <c r="BC1052" s="1530"/>
      <c r="BD1052" s="1530"/>
      <c r="BE1052" s="1530"/>
      <c r="BF1052" s="1530"/>
      <c r="BG1052" s="1530"/>
      <c r="BH1052" s="1530"/>
      <c r="BI1052" s="1530"/>
      <c r="BJ1052" s="1530"/>
      <c r="BK1052" s="1530"/>
      <c r="BL1052" s="1530"/>
      <c r="BM1052" s="1530"/>
      <c r="BN1052" s="1530"/>
      <c r="BW1052" s="1569"/>
      <c r="CO1052" s="1530"/>
      <c r="CP1052" s="1530"/>
      <c r="CQ1052" s="1530"/>
      <c r="CR1052" s="1530"/>
      <c r="CS1052" s="1530"/>
      <c r="CT1052" s="1530"/>
      <c r="CU1052" s="1530"/>
      <c r="CV1052" s="1530"/>
      <c r="CW1052" s="1530"/>
      <c r="CX1052" s="1530"/>
      <c r="CY1052" s="1530"/>
      <c r="CZ1052" s="1530"/>
      <c r="DA1052" s="1530"/>
      <c r="DB1052" s="1530"/>
      <c r="DC1052" s="1530"/>
      <c r="DD1052" s="1530"/>
      <c r="DE1052" s="1530"/>
      <c r="DF1052" s="1530"/>
      <c r="DG1052" s="1530"/>
      <c r="DH1052" s="1530"/>
      <c r="DI1052" s="1530"/>
      <c r="DJ1052" s="1530"/>
      <c r="DK1052" s="1530"/>
      <c r="DL1052" s="1530"/>
      <c r="DM1052" s="1530"/>
      <c r="DN1052" s="1571"/>
      <c r="DO1052" s="1530"/>
      <c r="DP1052" s="1530"/>
    </row>
    <row r="1053" spans="1:120">
      <c r="A1053" s="1451"/>
      <c r="C1053" s="1451"/>
      <c r="K1053" s="1451"/>
      <c r="L1053" s="1451"/>
      <c r="U1053" s="1530"/>
      <c r="V1053" s="1530"/>
      <c r="W1053" s="1530"/>
      <c r="X1053" s="1530"/>
      <c r="Y1053" s="1530"/>
      <c r="Z1053" s="1530"/>
      <c r="AA1053" s="1530"/>
      <c r="AB1053" s="1530"/>
      <c r="AC1053" s="1530"/>
      <c r="AD1053" s="1530"/>
      <c r="AE1053" s="1530"/>
      <c r="AF1053" s="1530"/>
      <c r="AG1053" s="1530"/>
      <c r="AH1053" s="1530"/>
      <c r="AI1053" s="1530"/>
      <c r="AJ1053" s="1530"/>
      <c r="AK1053" s="1530"/>
      <c r="AL1053" s="1530"/>
      <c r="AM1053" s="1530"/>
      <c r="AN1053" s="1530"/>
      <c r="AO1053" s="1530"/>
      <c r="AP1053" s="1530"/>
      <c r="AQ1053" s="1530"/>
      <c r="AR1053" s="1530"/>
      <c r="AS1053" s="1530"/>
      <c r="AT1053" s="1530"/>
      <c r="AU1053" s="1530"/>
      <c r="AV1053" s="1530"/>
      <c r="AW1053" s="1530"/>
      <c r="AX1053" s="1530"/>
      <c r="AY1053" s="1530"/>
      <c r="AZ1053" s="1530"/>
      <c r="BA1053" s="1530"/>
      <c r="BB1053" s="1530"/>
      <c r="BC1053" s="1530"/>
      <c r="BD1053" s="1530"/>
      <c r="BE1053" s="1530"/>
      <c r="BF1053" s="1530"/>
      <c r="BG1053" s="1530"/>
      <c r="BH1053" s="1530"/>
      <c r="BI1053" s="1530"/>
      <c r="BJ1053" s="1530"/>
      <c r="BK1053" s="1530"/>
      <c r="BL1053" s="1530"/>
      <c r="BM1053" s="1530"/>
      <c r="BN1053" s="1530"/>
      <c r="BW1053" s="1569"/>
      <c r="CO1053" s="1530"/>
      <c r="CP1053" s="1530"/>
      <c r="CQ1053" s="1530"/>
      <c r="CR1053" s="1530"/>
      <c r="CS1053" s="1530"/>
      <c r="CT1053" s="1530"/>
      <c r="CU1053" s="1530"/>
      <c r="CV1053" s="1530"/>
      <c r="CW1053" s="1530"/>
      <c r="CX1053" s="1530"/>
      <c r="CY1053" s="1530"/>
      <c r="CZ1053" s="1530"/>
      <c r="DA1053" s="1530"/>
      <c r="DB1053" s="1530"/>
      <c r="DC1053" s="1530"/>
      <c r="DD1053" s="1530"/>
      <c r="DE1053" s="1530"/>
      <c r="DF1053" s="1530"/>
      <c r="DG1053" s="1530"/>
      <c r="DH1053" s="1530"/>
      <c r="DI1053" s="1530"/>
      <c r="DJ1053" s="1530"/>
      <c r="DK1053" s="1530"/>
      <c r="DL1053" s="1530"/>
      <c r="DM1053" s="1530"/>
      <c r="DN1053" s="1571"/>
      <c r="DO1053" s="1530"/>
      <c r="DP1053" s="1530"/>
    </row>
    <row r="1054" spans="1:120">
      <c r="A1054" s="1451"/>
      <c r="C1054" s="1451"/>
      <c r="K1054" s="1451"/>
      <c r="L1054" s="1451"/>
      <c r="U1054" s="1530"/>
      <c r="V1054" s="1530"/>
      <c r="W1054" s="1530"/>
      <c r="X1054" s="1530"/>
      <c r="Y1054" s="1530"/>
      <c r="Z1054" s="1530"/>
      <c r="AA1054" s="1530"/>
      <c r="AB1054" s="1530"/>
      <c r="AC1054" s="1530"/>
      <c r="AD1054" s="1530"/>
      <c r="AE1054" s="1530"/>
      <c r="AF1054" s="1530"/>
      <c r="AG1054" s="1530"/>
      <c r="AH1054" s="1530"/>
      <c r="AI1054" s="1530"/>
      <c r="AJ1054" s="1530"/>
      <c r="AK1054" s="1530"/>
      <c r="AL1054" s="1530"/>
      <c r="AM1054" s="1530"/>
      <c r="AN1054" s="1530"/>
      <c r="AO1054" s="1530"/>
      <c r="AP1054" s="1530"/>
      <c r="AQ1054" s="1530"/>
      <c r="AR1054" s="1530"/>
      <c r="AS1054" s="1530"/>
      <c r="AT1054" s="1530"/>
      <c r="AU1054" s="1530"/>
      <c r="AV1054" s="1530"/>
      <c r="AW1054" s="1530"/>
      <c r="AX1054" s="1530"/>
      <c r="AY1054" s="1530"/>
      <c r="AZ1054" s="1530"/>
      <c r="BA1054" s="1530"/>
      <c r="BB1054" s="1530"/>
      <c r="BC1054" s="1530"/>
      <c r="BD1054" s="1530"/>
      <c r="BE1054" s="1530"/>
      <c r="BF1054" s="1530"/>
      <c r="BG1054" s="1530"/>
      <c r="BH1054" s="1530"/>
      <c r="BI1054" s="1530"/>
      <c r="BJ1054" s="1530"/>
      <c r="BK1054" s="1530"/>
      <c r="BL1054" s="1530"/>
      <c r="BM1054" s="1530"/>
      <c r="BN1054" s="1530"/>
      <c r="BW1054" s="1569"/>
      <c r="CO1054" s="1530"/>
      <c r="CP1054" s="1530"/>
      <c r="CQ1054" s="1530"/>
      <c r="CR1054" s="1530"/>
      <c r="CS1054" s="1530"/>
      <c r="CT1054" s="1530"/>
      <c r="CU1054" s="1530"/>
      <c r="CV1054" s="1530"/>
      <c r="CW1054" s="1530"/>
      <c r="CX1054" s="1530"/>
      <c r="CY1054" s="1530"/>
      <c r="CZ1054" s="1530"/>
      <c r="DA1054" s="1530"/>
      <c r="DB1054" s="1530"/>
      <c r="DC1054" s="1530"/>
      <c r="DD1054" s="1530"/>
      <c r="DE1054" s="1530"/>
      <c r="DF1054" s="1530"/>
      <c r="DG1054" s="1530"/>
      <c r="DH1054" s="1530"/>
      <c r="DI1054" s="1530"/>
      <c r="DJ1054" s="1530"/>
      <c r="DK1054" s="1530"/>
      <c r="DL1054" s="1530"/>
      <c r="DM1054" s="1530"/>
      <c r="DN1054" s="1571"/>
      <c r="DO1054" s="1530"/>
      <c r="DP1054" s="1530"/>
    </row>
    <row r="1055" spans="1:120">
      <c r="A1055" s="1451"/>
      <c r="C1055" s="1451"/>
      <c r="K1055" s="1451"/>
      <c r="L1055" s="1451"/>
      <c r="U1055" s="1530"/>
      <c r="V1055" s="1530"/>
      <c r="W1055" s="1530"/>
      <c r="X1055" s="1530"/>
      <c r="Y1055" s="1530"/>
      <c r="Z1055" s="1530"/>
      <c r="AA1055" s="1530"/>
      <c r="AB1055" s="1530"/>
      <c r="AC1055" s="1530"/>
      <c r="AD1055" s="1530"/>
      <c r="AE1055" s="1530"/>
      <c r="AF1055" s="1530"/>
      <c r="AG1055" s="1530"/>
      <c r="AH1055" s="1530"/>
      <c r="AI1055" s="1530"/>
      <c r="AJ1055" s="1530"/>
      <c r="AK1055" s="1530"/>
      <c r="AL1055" s="1530"/>
      <c r="AM1055" s="1530"/>
      <c r="AN1055" s="1530"/>
      <c r="AO1055" s="1530"/>
      <c r="AP1055" s="1530"/>
      <c r="AQ1055" s="1530"/>
      <c r="AR1055" s="1530"/>
      <c r="AS1055" s="1530"/>
      <c r="AT1055" s="1530"/>
      <c r="AU1055" s="1530"/>
      <c r="AV1055" s="1530"/>
      <c r="AW1055" s="1530"/>
      <c r="AX1055" s="1530"/>
      <c r="AY1055" s="1530"/>
      <c r="AZ1055" s="1530"/>
      <c r="BA1055" s="1530"/>
      <c r="BB1055" s="1530"/>
      <c r="BC1055" s="1530"/>
      <c r="BD1055" s="1530"/>
      <c r="BE1055" s="1530"/>
      <c r="BF1055" s="1530"/>
      <c r="BG1055" s="1530"/>
      <c r="BH1055" s="1530"/>
      <c r="BI1055" s="1530"/>
      <c r="BJ1055" s="1530"/>
      <c r="BK1055" s="1530"/>
      <c r="BL1055" s="1530"/>
      <c r="BM1055" s="1530"/>
      <c r="BN1055" s="1530"/>
      <c r="BW1055" s="1569"/>
      <c r="CO1055" s="1530"/>
      <c r="CP1055" s="1530"/>
      <c r="CQ1055" s="1530"/>
      <c r="CR1055" s="1530"/>
      <c r="CS1055" s="1530"/>
      <c r="CT1055" s="1530"/>
      <c r="CU1055" s="1530"/>
      <c r="CV1055" s="1530"/>
      <c r="CW1055" s="1530"/>
      <c r="CX1055" s="1530"/>
      <c r="CY1055" s="1530"/>
      <c r="CZ1055" s="1530"/>
      <c r="DA1055" s="1530"/>
      <c r="DB1055" s="1530"/>
      <c r="DC1055" s="1530"/>
      <c r="DD1055" s="1530"/>
      <c r="DE1055" s="1530"/>
      <c r="DF1055" s="1530"/>
      <c r="DG1055" s="1530"/>
      <c r="DH1055" s="1530"/>
      <c r="DI1055" s="1530"/>
      <c r="DJ1055" s="1530"/>
      <c r="DK1055" s="1530"/>
      <c r="DL1055" s="1530"/>
      <c r="DM1055" s="1530"/>
      <c r="DN1055" s="1571"/>
      <c r="DO1055" s="1530"/>
      <c r="DP1055" s="1530"/>
    </row>
    <row r="1056" spans="1:120">
      <c r="A1056" s="1451"/>
      <c r="C1056" s="1451"/>
      <c r="K1056" s="1451"/>
      <c r="L1056" s="1451"/>
      <c r="U1056" s="1530"/>
      <c r="V1056" s="1530"/>
      <c r="W1056" s="1530"/>
      <c r="X1056" s="1530"/>
      <c r="Y1056" s="1530"/>
      <c r="Z1056" s="1530"/>
      <c r="AA1056" s="1530"/>
      <c r="AB1056" s="1530"/>
      <c r="AC1056" s="1530"/>
      <c r="AD1056" s="1530"/>
      <c r="AE1056" s="1530"/>
      <c r="AF1056" s="1530"/>
      <c r="AG1056" s="1530"/>
      <c r="AH1056" s="1530"/>
      <c r="AI1056" s="1530"/>
      <c r="AJ1056" s="1530"/>
      <c r="AK1056" s="1530"/>
      <c r="AL1056" s="1530"/>
      <c r="AM1056" s="1530"/>
      <c r="AN1056" s="1530"/>
      <c r="AO1056" s="1530"/>
      <c r="AP1056" s="1530"/>
      <c r="AQ1056" s="1530"/>
      <c r="AR1056" s="1530"/>
      <c r="AS1056" s="1530"/>
      <c r="AT1056" s="1530"/>
      <c r="AU1056" s="1530"/>
      <c r="AV1056" s="1530"/>
      <c r="AW1056" s="1530"/>
      <c r="AX1056" s="1530"/>
      <c r="AY1056" s="1530"/>
      <c r="AZ1056" s="1530"/>
      <c r="BA1056" s="1530"/>
      <c r="BB1056" s="1530"/>
      <c r="BC1056" s="1530"/>
      <c r="BD1056" s="1530"/>
      <c r="BE1056" s="1530"/>
      <c r="BF1056" s="1530"/>
      <c r="BG1056" s="1530"/>
      <c r="BH1056" s="1530"/>
      <c r="BI1056" s="1530"/>
      <c r="BJ1056" s="1530"/>
      <c r="BK1056" s="1530"/>
      <c r="BL1056" s="1530"/>
      <c r="BM1056" s="1530"/>
      <c r="BN1056" s="1530"/>
      <c r="BW1056" s="1569"/>
      <c r="CO1056" s="1530"/>
      <c r="CP1056" s="1530"/>
      <c r="CQ1056" s="1530"/>
      <c r="CR1056" s="1530"/>
      <c r="CS1056" s="1530"/>
      <c r="CT1056" s="1530"/>
      <c r="CU1056" s="1530"/>
      <c r="CV1056" s="1530"/>
      <c r="CW1056" s="1530"/>
      <c r="CX1056" s="1530"/>
      <c r="CY1056" s="1530"/>
      <c r="CZ1056" s="1530"/>
      <c r="DA1056" s="1530"/>
      <c r="DB1056" s="1530"/>
      <c r="DC1056" s="1530"/>
      <c r="DD1056" s="1530"/>
      <c r="DE1056" s="1530"/>
      <c r="DF1056" s="1530"/>
      <c r="DG1056" s="1530"/>
      <c r="DH1056" s="1530"/>
      <c r="DI1056" s="1530"/>
      <c r="DJ1056" s="1530"/>
      <c r="DK1056" s="1530"/>
      <c r="DL1056" s="1530"/>
      <c r="DM1056" s="1530"/>
      <c r="DN1056" s="1571"/>
      <c r="DO1056" s="1530"/>
      <c r="DP1056" s="1530"/>
    </row>
    <row r="1057" spans="1:120">
      <c r="A1057" s="1451"/>
      <c r="C1057" s="1451"/>
      <c r="K1057" s="1451"/>
      <c r="L1057" s="1451"/>
      <c r="U1057" s="1530"/>
      <c r="V1057" s="1530"/>
      <c r="W1057" s="1530"/>
      <c r="X1057" s="1530"/>
      <c r="Y1057" s="1530"/>
      <c r="Z1057" s="1530"/>
      <c r="AA1057" s="1530"/>
      <c r="AB1057" s="1530"/>
      <c r="AC1057" s="1530"/>
      <c r="AD1057" s="1530"/>
      <c r="AE1057" s="1530"/>
      <c r="AF1057" s="1530"/>
      <c r="AG1057" s="1530"/>
      <c r="AH1057" s="1530"/>
      <c r="AI1057" s="1530"/>
      <c r="AJ1057" s="1530"/>
      <c r="AK1057" s="1530"/>
      <c r="AL1057" s="1530"/>
      <c r="AM1057" s="1530"/>
      <c r="AN1057" s="1530"/>
      <c r="AO1057" s="1530"/>
      <c r="AP1057" s="1530"/>
      <c r="AQ1057" s="1530"/>
      <c r="AR1057" s="1530"/>
      <c r="AS1057" s="1530"/>
      <c r="AT1057" s="1530"/>
      <c r="AU1057" s="1530"/>
      <c r="AV1057" s="1530"/>
      <c r="AW1057" s="1530"/>
      <c r="AX1057" s="1530"/>
      <c r="AY1057" s="1530"/>
      <c r="AZ1057" s="1530"/>
      <c r="BA1057" s="1530"/>
      <c r="BB1057" s="1530"/>
      <c r="BC1057" s="1530"/>
      <c r="BD1057" s="1530"/>
      <c r="BE1057" s="1530"/>
      <c r="BF1057" s="1530"/>
      <c r="BG1057" s="1530"/>
      <c r="BH1057" s="1530"/>
      <c r="BI1057" s="1530"/>
      <c r="BJ1057" s="1530"/>
      <c r="BK1057" s="1530"/>
      <c r="BL1057" s="1530"/>
      <c r="BM1057" s="1530"/>
      <c r="BN1057" s="1530"/>
      <c r="BW1057" s="1569"/>
      <c r="CO1057" s="1530"/>
      <c r="CP1057" s="1530"/>
      <c r="CQ1057" s="1530"/>
      <c r="CR1057" s="1530"/>
      <c r="CS1057" s="1530"/>
      <c r="CT1057" s="1530"/>
      <c r="CU1057" s="1530"/>
      <c r="CV1057" s="1530"/>
      <c r="CW1057" s="1530"/>
      <c r="CX1057" s="1530"/>
      <c r="CY1057" s="1530"/>
      <c r="CZ1057" s="1530"/>
      <c r="DA1057" s="1530"/>
      <c r="DB1057" s="1530"/>
      <c r="DC1057" s="1530"/>
      <c r="DD1057" s="1530"/>
      <c r="DE1057" s="1530"/>
      <c r="DF1057" s="1530"/>
      <c r="DG1057" s="1530"/>
      <c r="DH1057" s="1530"/>
      <c r="DI1057" s="1530"/>
      <c r="DJ1057" s="1530"/>
      <c r="DK1057" s="1530"/>
      <c r="DL1057" s="1530"/>
      <c r="DM1057" s="1530"/>
      <c r="DN1057" s="1571"/>
      <c r="DO1057" s="1530"/>
      <c r="DP1057" s="1530"/>
    </row>
    <row r="1058" spans="1:120">
      <c r="A1058" s="1451"/>
      <c r="C1058" s="1451"/>
      <c r="K1058" s="1451"/>
      <c r="L1058" s="1451"/>
      <c r="U1058" s="1530"/>
      <c r="V1058" s="1530"/>
      <c r="W1058" s="1530"/>
      <c r="X1058" s="1530"/>
      <c r="Y1058" s="1530"/>
      <c r="Z1058" s="1530"/>
      <c r="AA1058" s="1530"/>
      <c r="AB1058" s="1530"/>
      <c r="AC1058" s="1530"/>
      <c r="AD1058" s="1530"/>
      <c r="AE1058" s="1530"/>
      <c r="AF1058" s="1530"/>
      <c r="AG1058" s="1530"/>
      <c r="AH1058" s="1530"/>
      <c r="AI1058" s="1530"/>
      <c r="AJ1058" s="1530"/>
      <c r="AK1058" s="1530"/>
      <c r="AL1058" s="1530"/>
      <c r="AM1058" s="1530"/>
      <c r="AN1058" s="1530"/>
      <c r="AO1058" s="1530"/>
      <c r="AP1058" s="1530"/>
      <c r="AQ1058" s="1530"/>
      <c r="AR1058" s="1530"/>
      <c r="AS1058" s="1530"/>
      <c r="AT1058" s="1530"/>
      <c r="AU1058" s="1530"/>
      <c r="AV1058" s="1530"/>
      <c r="AW1058" s="1530"/>
      <c r="AX1058" s="1530"/>
      <c r="AY1058" s="1530"/>
      <c r="AZ1058" s="1530"/>
      <c r="BA1058" s="1530"/>
      <c r="BB1058" s="1530"/>
      <c r="BC1058" s="1530"/>
      <c r="BD1058" s="1530"/>
      <c r="BE1058" s="1530"/>
      <c r="BF1058" s="1530"/>
      <c r="BG1058" s="1530"/>
      <c r="BH1058" s="1530"/>
      <c r="BI1058" s="1530"/>
      <c r="BJ1058" s="1530"/>
      <c r="BK1058" s="1530"/>
      <c r="BL1058" s="1530"/>
      <c r="BM1058" s="1530"/>
      <c r="BN1058" s="1530"/>
      <c r="BW1058" s="1569"/>
      <c r="CO1058" s="1530"/>
      <c r="CP1058" s="1530"/>
      <c r="CQ1058" s="1530"/>
      <c r="CR1058" s="1530"/>
      <c r="CS1058" s="1530"/>
      <c r="CT1058" s="1530"/>
      <c r="CU1058" s="1530"/>
      <c r="CV1058" s="1530"/>
      <c r="CW1058" s="1530"/>
      <c r="CX1058" s="1530"/>
      <c r="CY1058" s="1530"/>
      <c r="CZ1058" s="1530"/>
      <c r="DA1058" s="1530"/>
      <c r="DB1058" s="1530"/>
      <c r="DC1058" s="1530"/>
      <c r="DD1058" s="1530"/>
      <c r="DE1058" s="1530"/>
      <c r="DF1058" s="1530"/>
      <c r="DG1058" s="1530"/>
      <c r="DH1058" s="1530"/>
      <c r="DI1058" s="1530"/>
      <c r="DJ1058" s="1530"/>
      <c r="DK1058" s="1530"/>
      <c r="DL1058" s="1530"/>
      <c r="DM1058" s="1530"/>
      <c r="DN1058" s="1571"/>
      <c r="DO1058" s="1530"/>
      <c r="DP1058" s="1530"/>
    </row>
    <row r="1059" spans="1:120">
      <c r="A1059" s="1451"/>
      <c r="C1059" s="1451"/>
      <c r="K1059" s="1451"/>
      <c r="L1059" s="1451"/>
      <c r="U1059" s="1530"/>
      <c r="V1059" s="1530"/>
      <c r="W1059" s="1530"/>
      <c r="X1059" s="1530"/>
      <c r="Y1059" s="1530"/>
      <c r="Z1059" s="1530"/>
      <c r="AA1059" s="1530"/>
      <c r="AB1059" s="1530"/>
      <c r="AC1059" s="1530"/>
      <c r="AD1059" s="1530"/>
      <c r="AE1059" s="1530"/>
      <c r="AF1059" s="1530"/>
      <c r="AG1059" s="1530"/>
      <c r="AH1059" s="1530"/>
      <c r="AI1059" s="1530"/>
      <c r="AJ1059" s="1530"/>
      <c r="AK1059" s="1530"/>
      <c r="AL1059" s="1530"/>
      <c r="AM1059" s="1530"/>
      <c r="AN1059" s="1530"/>
      <c r="AO1059" s="1530"/>
      <c r="AP1059" s="1530"/>
      <c r="AQ1059" s="1530"/>
      <c r="AR1059" s="1530"/>
      <c r="AS1059" s="1530"/>
      <c r="AT1059" s="1530"/>
      <c r="AU1059" s="1530"/>
      <c r="AV1059" s="1530"/>
      <c r="AW1059" s="1530"/>
      <c r="AX1059" s="1530"/>
      <c r="AY1059" s="1530"/>
      <c r="AZ1059" s="1530"/>
      <c r="BA1059" s="1530"/>
      <c r="BB1059" s="1530"/>
      <c r="BC1059" s="1530"/>
      <c r="BD1059" s="1530"/>
      <c r="BE1059" s="1530"/>
      <c r="BF1059" s="1530"/>
      <c r="BG1059" s="1530"/>
      <c r="BH1059" s="1530"/>
      <c r="BI1059" s="1530"/>
      <c r="BJ1059" s="1530"/>
      <c r="BK1059" s="1530"/>
      <c r="BL1059" s="1530"/>
      <c r="BM1059" s="1530"/>
      <c r="BN1059" s="1530"/>
      <c r="BW1059" s="1569"/>
      <c r="CO1059" s="1530"/>
      <c r="CP1059" s="1530"/>
      <c r="CQ1059" s="1530"/>
      <c r="CR1059" s="1530"/>
      <c r="CS1059" s="1530"/>
      <c r="CT1059" s="1530"/>
      <c r="CU1059" s="1530"/>
      <c r="CV1059" s="1530"/>
      <c r="CW1059" s="1530"/>
      <c r="CX1059" s="1530"/>
      <c r="CY1059" s="1530"/>
      <c r="CZ1059" s="1530"/>
      <c r="DA1059" s="1530"/>
      <c r="DB1059" s="1530"/>
      <c r="DC1059" s="1530"/>
      <c r="DD1059" s="1530"/>
      <c r="DE1059" s="1530"/>
      <c r="DF1059" s="1530"/>
      <c r="DG1059" s="1530"/>
      <c r="DH1059" s="1530"/>
      <c r="DI1059" s="1530"/>
      <c r="DJ1059" s="1530"/>
      <c r="DK1059" s="1530"/>
      <c r="DL1059" s="1530"/>
      <c r="DM1059" s="1530"/>
      <c r="DN1059" s="1571"/>
      <c r="DO1059" s="1530"/>
      <c r="DP1059" s="1530"/>
    </row>
    <row r="1060" spans="1:120">
      <c r="A1060" s="1451"/>
      <c r="C1060" s="1451"/>
      <c r="K1060" s="1451"/>
      <c r="L1060" s="1451"/>
      <c r="U1060" s="1530"/>
      <c r="V1060" s="1530"/>
      <c r="W1060" s="1530"/>
      <c r="X1060" s="1530"/>
      <c r="Y1060" s="1530"/>
      <c r="Z1060" s="1530"/>
      <c r="AA1060" s="1530"/>
      <c r="AB1060" s="1530"/>
      <c r="AC1060" s="1530"/>
      <c r="AD1060" s="1530"/>
      <c r="AE1060" s="1530"/>
      <c r="AF1060" s="1530"/>
      <c r="AG1060" s="1530"/>
      <c r="AH1060" s="1530"/>
      <c r="AI1060" s="1530"/>
      <c r="AJ1060" s="1530"/>
      <c r="AK1060" s="1530"/>
      <c r="AL1060" s="1530"/>
      <c r="AM1060" s="1530"/>
      <c r="AN1060" s="1530"/>
      <c r="AO1060" s="1530"/>
      <c r="AP1060" s="1530"/>
      <c r="AQ1060" s="1530"/>
      <c r="AR1060" s="1530"/>
      <c r="AS1060" s="1530"/>
      <c r="AT1060" s="1530"/>
      <c r="AU1060" s="1530"/>
      <c r="AV1060" s="1530"/>
      <c r="AW1060" s="1530"/>
      <c r="AX1060" s="1530"/>
      <c r="AY1060" s="1530"/>
      <c r="AZ1060" s="1530"/>
      <c r="BA1060" s="1530"/>
      <c r="BB1060" s="1530"/>
      <c r="BC1060" s="1530"/>
      <c r="BD1060" s="1530"/>
      <c r="BE1060" s="1530"/>
      <c r="BF1060" s="1530"/>
      <c r="BG1060" s="1530"/>
      <c r="BH1060" s="1530"/>
      <c r="BI1060" s="1530"/>
      <c r="BJ1060" s="1530"/>
      <c r="BK1060" s="1530"/>
      <c r="BL1060" s="1530"/>
      <c r="BM1060" s="1530"/>
      <c r="BN1060" s="1530"/>
      <c r="BW1060" s="1569"/>
      <c r="CO1060" s="1530"/>
      <c r="CP1060" s="1530"/>
      <c r="CQ1060" s="1530"/>
      <c r="CR1060" s="1530"/>
      <c r="CS1060" s="1530"/>
      <c r="CT1060" s="1530"/>
      <c r="CU1060" s="1530"/>
      <c r="CV1060" s="1530"/>
      <c r="CW1060" s="1530"/>
      <c r="CX1060" s="1530"/>
      <c r="CY1060" s="1530"/>
      <c r="CZ1060" s="1530"/>
      <c r="DA1060" s="1530"/>
      <c r="DB1060" s="1530"/>
      <c r="DC1060" s="1530"/>
      <c r="DD1060" s="1530"/>
      <c r="DE1060" s="1530"/>
      <c r="DF1060" s="1530"/>
      <c r="DG1060" s="1530"/>
      <c r="DH1060" s="1530"/>
      <c r="DI1060" s="1530"/>
      <c r="DJ1060" s="1530"/>
      <c r="DK1060" s="1530"/>
      <c r="DL1060" s="1530"/>
      <c r="DM1060" s="1530"/>
      <c r="DN1060" s="1571"/>
      <c r="DO1060" s="1530"/>
      <c r="DP1060" s="1530"/>
    </row>
    <row r="1061" spans="1:120">
      <c r="A1061" s="1451"/>
      <c r="C1061" s="1451"/>
      <c r="K1061" s="1451"/>
      <c r="L1061" s="1451"/>
      <c r="U1061" s="1530"/>
      <c r="V1061" s="1530"/>
      <c r="W1061" s="1530"/>
      <c r="X1061" s="1530"/>
      <c r="Y1061" s="1530"/>
      <c r="Z1061" s="1530"/>
      <c r="AA1061" s="1530"/>
      <c r="AB1061" s="1530"/>
      <c r="AC1061" s="1530"/>
      <c r="AD1061" s="1530"/>
      <c r="AE1061" s="1530"/>
      <c r="AF1061" s="1530"/>
      <c r="AG1061" s="1530"/>
      <c r="AH1061" s="1530"/>
      <c r="AI1061" s="1530"/>
      <c r="AJ1061" s="1530"/>
      <c r="AK1061" s="1530"/>
      <c r="AL1061" s="1530"/>
      <c r="AM1061" s="1530"/>
      <c r="AN1061" s="1530"/>
      <c r="AO1061" s="1530"/>
      <c r="AP1061" s="1530"/>
      <c r="AQ1061" s="1530"/>
      <c r="AR1061" s="1530"/>
      <c r="AS1061" s="1530"/>
      <c r="AT1061" s="1530"/>
      <c r="AU1061" s="1530"/>
      <c r="AV1061" s="1530"/>
      <c r="AW1061" s="1530"/>
      <c r="AX1061" s="1530"/>
      <c r="AY1061" s="1530"/>
      <c r="AZ1061" s="1530"/>
      <c r="BA1061" s="1530"/>
      <c r="BB1061" s="1530"/>
      <c r="BC1061" s="1530"/>
      <c r="BD1061" s="1530"/>
      <c r="BE1061" s="1530"/>
      <c r="BF1061" s="1530"/>
      <c r="BG1061" s="1530"/>
      <c r="BH1061" s="1530"/>
      <c r="BI1061" s="1530"/>
      <c r="BJ1061" s="1530"/>
      <c r="BK1061" s="1530"/>
      <c r="BL1061" s="1530"/>
      <c r="BM1061" s="1530"/>
      <c r="BN1061" s="1530"/>
      <c r="BW1061" s="1569"/>
      <c r="CO1061" s="1530"/>
      <c r="CP1061" s="1530"/>
      <c r="CQ1061" s="1530"/>
      <c r="CR1061" s="1530"/>
      <c r="CS1061" s="1530"/>
      <c r="CT1061" s="1530"/>
      <c r="CU1061" s="1530"/>
      <c r="CV1061" s="1530"/>
      <c r="CW1061" s="1530"/>
      <c r="CX1061" s="1530"/>
      <c r="CY1061" s="1530"/>
      <c r="CZ1061" s="1530"/>
      <c r="DA1061" s="1530"/>
      <c r="DB1061" s="1530"/>
      <c r="DC1061" s="1530"/>
      <c r="DD1061" s="1530"/>
      <c r="DE1061" s="1530"/>
      <c r="DF1061" s="1530"/>
      <c r="DG1061" s="1530"/>
      <c r="DH1061" s="1530"/>
      <c r="DI1061" s="1530"/>
      <c r="DJ1061" s="1530"/>
      <c r="DK1061" s="1530"/>
      <c r="DL1061" s="1530"/>
      <c r="DM1061" s="1530"/>
      <c r="DN1061" s="1571"/>
      <c r="DO1061" s="1530"/>
      <c r="DP1061" s="1530"/>
    </row>
    <row r="1062" spans="1:120">
      <c r="A1062" s="1451"/>
      <c r="C1062" s="1451"/>
      <c r="K1062" s="1451"/>
      <c r="L1062" s="1451"/>
      <c r="U1062" s="1530"/>
      <c r="V1062" s="1530"/>
      <c r="W1062" s="1530"/>
      <c r="X1062" s="1530"/>
      <c r="Y1062" s="1530"/>
      <c r="Z1062" s="1530"/>
      <c r="AA1062" s="1530"/>
      <c r="AB1062" s="1530"/>
      <c r="AC1062" s="1530"/>
      <c r="AD1062" s="1530"/>
      <c r="AE1062" s="1530"/>
      <c r="AF1062" s="1530"/>
      <c r="AG1062" s="1530"/>
      <c r="AH1062" s="1530"/>
      <c r="AI1062" s="1530"/>
      <c r="AJ1062" s="1530"/>
      <c r="AK1062" s="1530"/>
      <c r="AL1062" s="1530"/>
      <c r="AM1062" s="1530"/>
      <c r="AN1062" s="1530"/>
      <c r="AO1062" s="1530"/>
      <c r="AP1062" s="1530"/>
      <c r="AQ1062" s="1530"/>
      <c r="AR1062" s="1530"/>
      <c r="AS1062" s="1530"/>
      <c r="AT1062" s="1530"/>
      <c r="AU1062" s="1530"/>
      <c r="AV1062" s="1530"/>
      <c r="AW1062" s="1530"/>
      <c r="AX1062" s="1530"/>
      <c r="AY1062" s="1530"/>
      <c r="AZ1062" s="1530"/>
      <c r="BA1062" s="1530"/>
      <c r="BB1062" s="1530"/>
      <c r="BC1062" s="1530"/>
      <c r="BD1062" s="1530"/>
      <c r="BE1062" s="1530"/>
      <c r="BF1062" s="1530"/>
      <c r="BG1062" s="1530"/>
      <c r="BH1062" s="1530"/>
      <c r="BI1062" s="1530"/>
      <c r="BJ1062" s="1530"/>
      <c r="BK1062" s="1530"/>
      <c r="BL1062" s="1530"/>
      <c r="BM1062" s="1530"/>
      <c r="BN1062" s="1530"/>
      <c r="BW1062" s="1569"/>
      <c r="CO1062" s="1530"/>
      <c r="CP1062" s="1530"/>
      <c r="CQ1062" s="1530"/>
      <c r="CR1062" s="1530"/>
      <c r="CS1062" s="1530"/>
      <c r="CT1062" s="1530"/>
      <c r="CU1062" s="1530"/>
      <c r="CV1062" s="1530"/>
      <c r="CW1062" s="1530"/>
      <c r="CX1062" s="1530"/>
      <c r="CY1062" s="1530"/>
      <c r="CZ1062" s="1530"/>
      <c r="DA1062" s="1530"/>
      <c r="DB1062" s="1530"/>
      <c r="DC1062" s="1530"/>
      <c r="DD1062" s="1530"/>
      <c r="DE1062" s="1530"/>
      <c r="DF1062" s="1530"/>
      <c r="DG1062" s="1530"/>
      <c r="DH1062" s="1530"/>
      <c r="DI1062" s="1530"/>
      <c r="DJ1062" s="1530"/>
      <c r="DK1062" s="1530"/>
      <c r="DL1062" s="1530"/>
      <c r="DM1062" s="1530"/>
      <c r="DN1062" s="1571"/>
      <c r="DO1062" s="1530"/>
      <c r="DP1062" s="1530"/>
    </row>
    <row r="1063" spans="1:120">
      <c r="A1063" s="1451"/>
      <c r="C1063" s="1451"/>
      <c r="K1063" s="1451"/>
      <c r="L1063" s="1451"/>
      <c r="U1063" s="1530"/>
      <c r="V1063" s="1530"/>
      <c r="W1063" s="1530"/>
      <c r="X1063" s="1530"/>
      <c r="Y1063" s="1530"/>
      <c r="Z1063" s="1530"/>
      <c r="AA1063" s="1530"/>
      <c r="AB1063" s="1530"/>
      <c r="AC1063" s="1530"/>
      <c r="AD1063" s="1530"/>
      <c r="AE1063" s="1530"/>
      <c r="AF1063" s="1530"/>
      <c r="AG1063" s="1530"/>
      <c r="AH1063" s="1530"/>
      <c r="AI1063" s="1530"/>
      <c r="AJ1063" s="1530"/>
      <c r="AK1063" s="1530"/>
      <c r="AL1063" s="1530"/>
      <c r="AM1063" s="1530"/>
      <c r="AN1063" s="1530"/>
      <c r="AO1063" s="1530"/>
      <c r="AP1063" s="1530"/>
      <c r="AQ1063" s="1530"/>
      <c r="AR1063" s="1530"/>
      <c r="AS1063" s="1530"/>
      <c r="AT1063" s="1530"/>
      <c r="AU1063" s="1530"/>
      <c r="AV1063" s="1530"/>
      <c r="AW1063" s="1530"/>
      <c r="AX1063" s="1530"/>
      <c r="AY1063" s="1530"/>
      <c r="AZ1063" s="1530"/>
      <c r="BA1063" s="1530"/>
      <c r="BB1063" s="1530"/>
      <c r="BC1063" s="1530"/>
      <c r="BD1063" s="1530"/>
      <c r="BE1063" s="1530"/>
      <c r="BF1063" s="1530"/>
      <c r="BG1063" s="1530"/>
      <c r="BH1063" s="1530"/>
      <c r="BI1063" s="1530"/>
      <c r="BJ1063" s="1530"/>
      <c r="BK1063" s="1530"/>
      <c r="BL1063" s="1530"/>
      <c r="BM1063" s="1530"/>
      <c r="BN1063" s="1530"/>
      <c r="BW1063" s="1569"/>
      <c r="CO1063" s="1530"/>
      <c r="CP1063" s="1530"/>
      <c r="CQ1063" s="1530"/>
      <c r="CR1063" s="1530"/>
      <c r="CS1063" s="1530"/>
      <c r="CT1063" s="1530"/>
      <c r="CU1063" s="1530"/>
      <c r="CV1063" s="1530"/>
      <c r="CW1063" s="1530"/>
      <c r="CX1063" s="1530"/>
      <c r="CY1063" s="1530"/>
      <c r="CZ1063" s="1530"/>
      <c r="DA1063" s="1530"/>
      <c r="DB1063" s="1530"/>
      <c r="DC1063" s="1530"/>
      <c r="DD1063" s="1530"/>
      <c r="DE1063" s="1530"/>
      <c r="DF1063" s="1530"/>
      <c r="DG1063" s="1530"/>
      <c r="DH1063" s="1530"/>
      <c r="DI1063" s="1530"/>
      <c r="DJ1063" s="1530"/>
      <c r="DK1063" s="1530"/>
      <c r="DL1063" s="1530"/>
      <c r="DM1063" s="1530"/>
      <c r="DN1063" s="1571"/>
      <c r="DO1063" s="1530"/>
      <c r="DP1063" s="1530"/>
    </row>
    <row r="1064" spans="1:120">
      <c r="A1064" s="1451"/>
      <c r="C1064" s="1451"/>
      <c r="K1064" s="1451"/>
      <c r="L1064" s="1451"/>
      <c r="U1064" s="1530"/>
      <c r="V1064" s="1530"/>
      <c r="W1064" s="1530"/>
      <c r="X1064" s="1530"/>
      <c r="Y1064" s="1530"/>
      <c r="Z1064" s="1530"/>
      <c r="AA1064" s="1530"/>
      <c r="AB1064" s="1530"/>
      <c r="AC1064" s="1530"/>
      <c r="AD1064" s="1530"/>
      <c r="AE1064" s="1530"/>
      <c r="AF1064" s="1530"/>
      <c r="AG1064" s="1530"/>
      <c r="AH1064" s="1530"/>
      <c r="AI1064" s="1530"/>
      <c r="AJ1064" s="1530"/>
      <c r="AK1064" s="1530"/>
      <c r="AL1064" s="1530"/>
      <c r="AM1064" s="1530"/>
      <c r="AN1064" s="1530"/>
      <c r="AO1064" s="1530"/>
      <c r="AP1064" s="1530"/>
      <c r="AQ1064" s="1530"/>
      <c r="AR1064" s="1530"/>
      <c r="AS1064" s="1530"/>
      <c r="AT1064" s="1530"/>
      <c r="AU1064" s="1530"/>
      <c r="AV1064" s="1530"/>
      <c r="AW1064" s="1530"/>
      <c r="AX1064" s="1530"/>
      <c r="AY1064" s="1530"/>
      <c r="AZ1064" s="1530"/>
      <c r="BA1064" s="1530"/>
      <c r="BB1064" s="1530"/>
      <c r="BC1064" s="1530"/>
      <c r="BD1064" s="1530"/>
      <c r="BE1064" s="1530"/>
      <c r="BF1064" s="1530"/>
      <c r="BG1064" s="1530"/>
      <c r="BH1064" s="1530"/>
      <c r="BI1064" s="1530"/>
      <c r="BJ1064" s="1530"/>
      <c r="BK1064" s="1530"/>
      <c r="BL1064" s="1530"/>
      <c r="BM1064" s="1530"/>
      <c r="BN1064" s="1530"/>
      <c r="BW1064" s="1569"/>
      <c r="CO1064" s="1530"/>
      <c r="CP1064" s="1530"/>
      <c r="CQ1064" s="1530"/>
      <c r="CR1064" s="1530"/>
      <c r="CS1064" s="1530"/>
      <c r="CT1064" s="1530"/>
      <c r="CU1064" s="1530"/>
      <c r="CV1064" s="1530"/>
      <c r="CW1064" s="1530"/>
      <c r="CX1064" s="1530"/>
      <c r="CY1064" s="1530"/>
      <c r="CZ1064" s="1530"/>
      <c r="DA1064" s="1530"/>
      <c r="DB1064" s="1530"/>
      <c r="DC1064" s="1530"/>
      <c r="DD1064" s="1530"/>
      <c r="DE1064" s="1530"/>
      <c r="DF1064" s="1530"/>
      <c r="DG1064" s="1530"/>
      <c r="DH1064" s="1530"/>
      <c r="DI1064" s="1530"/>
      <c r="DJ1064" s="1530"/>
      <c r="DK1064" s="1530"/>
      <c r="DL1064" s="1530"/>
      <c r="DM1064" s="1530"/>
      <c r="DN1064" s="1571"/>
      <c r="DO1064" s="1530"/>
      <c r="DP1064" s="1530"/>
    </row>
    <row r="1065" spans="1:120">
      <c r="A1065" s="1451"/>
      <c r="C1065" s="1451"/>
      <c r="K1065" s="1451"/>
      <c r="L1065" s="1451"/>
      <c r="U1065" s="1530"/>
      <c r="V1065" s="1530"/>
      <c r="W1065" s="1530"/>
      <c r="X1065" s="1530"/>
      <c r="Y1065" s="1530"/>
      <c r="Z1065" s="1530"/>
      <c r="AA1065" s="1530"/>
      <c r="AB1065" s="1530"/>
      <c r="AC1065" s="1530"/>
      <c r="AD1065" s="1530"/>
      <c r="AE1065" s="1530"/>
      <c r="AF1065" s="1530"/>
      <c r="AG1065" s="1530"/>
      <c r="AH1065" s="1530"/>
      <c r="AI1065" s="1530"/>
      <c r="AJ1065" s="1530"/>
      <c r="AK1065" s="1530"/>
      <c r="AL1065" s="1530"/>
      <c r="AM1065" s="1530"/>
      <c r="AN1065" s="1530"/>
      <c r="AO1065" s="1530"/>
      <c r="AP1065" s="1530"/>
      <c r="AQ1065" s="1530"/>
      <c r="AR1065" s="1530"/>
      <c r="AS1065" s="1530"/>
      <c r="AT1065" s="1530"/>
      <c r="AU1065" s="1530"/>
      <c r="AV1065" s="1530"/>
      <c r="AW1065" s="1530"/>
      <c r="AX1065" s="1530"/>
      <c r="AY1065" s="1530"/>
      <c r="AZ1065" s="1530"/>
      <c r="BA1065" s="1530"/>
      <c r="BB1065" s="1530"/>
      <c r="BC1065" s="1530"/>
      <c r="BD1065" s="1530"/>
      <c r="BE1065" s="1530"/>
      <c r="BF1065" s="1530"/>
      <c r="BG1065" s="1530"/>
      <c r="BH1065" s="1530"/>
      <c r="BI1065" s="1530"/>
      <c r="BJ1065" s="1530"/>
      <c r="BK1065" s="1530"/>
      <c r="BL1065" s="1530"/>
      <c r="BM1065" s="1530"/>
      <c r="BN1065" s="1530"/>
      <c r="BW1065" s="1569"/>
      <c r="CO1065" s="1530"/>
      <c r="CP1065" s="1530"/>
      <c r="CQ1065" s="1530"/>
      <c r="CR1065" s="1530"/>
      <c r="CS1065" s="1530"/>
      <c r="CT1065" s="1530"/>
      <c r="CU1065" s="1530"/>
      <c r="CV1065" s="1530"/>
      <c r="CW1065" s="1530"/>
      <c r="CX1065" s="1530"/>
      <c r="CY1065" s="1530"/>
      <c r="CZ1065" s="1530"/>
      <c r="DA1065" s="1530"/>
      <c r="DB1065" s="1530"/>
      <c r="DC1065" s="1530"/>
      <c r="DD1065" s="1530"/>
      <c r="DE1065" s="1530"/>
      <c r="DF1065" s="1530"/>
      <c r="DG1065" s="1530"/>
      <c r="DH1065" s="1530"/>
      <c r="DI1065" s="1530"/>
      <c r="DJ1065" s="1530"/>
      <c r="DK1065" s="1530"/>
      <c r="DL1065" s="1530"/>
      <c r="DM1065" s="1530"/>
      <c r="DN1065" s="1571"/>
      <c r="DO1065" s="1530"/>
      <c r="DP1065" s="1530"/>
    </row>
    <row r="1066" spans="1:120">
      <c r="A1066" s="1451"/>
      <c r="C1066" s="1451"/>
      <c r="K1066" s="1451"/>
      <c r="L1066" s="1451"/>
      <c r="U1066" s="1530"/>
      <c r="V1066" s="1530"/>
      <c r="W1066" s="1530"/>
      <c r="X1066" s="1530"/>
      <c r="Y1066" s="1530"/>
      <c r="Z1066" s="1530"/>
      <c r="AA1066" s="1530"/>
      <c r="AB1066" s="1530"/>
      <c r="AC1066" s="1530"/>
      <c r="AD1066" s="1530"/>
      <c r="AE1066" s="1530"/>
      <c r="AF1066" s="1530"/>
      <c r="AG1066" s="1530"/>
      <c r="AH1066" s="1530"/>
      <c r="AI1066" s="1530"/>
      <c r="AJ1066" s="1530"/>
      <c r="AK1066" s="1530"/>
      <c r="AL1066" s="1530"/>
      <c r="AM1066" s="1530"/>
      <c r="AN1066" s="1530"/>
      <c r="AO1066" s="1530"/>
      <c r="AP1066" s="1530"/>
      <c r="AQ1066" s="1530"/>
      <c r="AR1066" s="1530"/>
      <c r="AS1066" s="1530"/>
      <c r="AT1066" s="1530"/>
      <c r="AU1066" s="1530"/>
      <c r="AV1066" s="1530"/>
      <c r="AW1066" s="1530"/>
      <c r="AX1066" s="1530"/>
      <c r="AY1066" s="1530"/>
      <c r="AZ1066" s="1530"/>
      <c r="BA1066" s="1530"/>
      <c r="BB1066" s="1530"/>
      <c r="BC1066" s="1530"/>
      <c r="BD1066" s="1530"/>
      <c r="BE1066" s="1530"/>
      <c r="BF1066" s="1530"/>
      <c r="BG1066" s="1530"/>
      <c r="BH1066" s="1530"/>
      <c r="BI1066" s="1530"/>
      <c r="BJ1066" s="1530"/>
      <c r="BK1066" s="1530"/>
      <c r="BL1066" s="1530"/>
      <c r="BM1066" s="1530"/>
      <c r="BN1066" s="1530"/>
      <c r="BW1066" s="1569"/>
      <c r="CO1066" s="1530"/>
      <c r="CP1066" s="1530"/>
      <c r="CQ1066" s="1530"/>
      <c r="CR1066" s="1530"/>
      <c r="CS1066" s="1530"/>
      <c r="CT1066" s="1530"/>
      <c r="CU1066" s="1530"/>
      <c r="CV1066" s="1530"/>
      <c r="CW1066" s="1530"/>
      <c r="CX1066" s="1530"/>
      <c r="CY1066" s="1530"/>
      <c r="CZ1066" s="1530"/>
      <c r="DA1066" s="1530"/>
      <c r="DB1066" s="1530"/>
      <c r="DC1066" s="1530"/>
      <c r="DD1066" s="1530"/>
      <c r="DE1066" s="1530"/>
      <c r="DF1066" s="1530"/>
      <c r="DG1066" s="1530"/>
      <c r="DH1066" s="1530"/>
      <c r="DI1066" s="1530"/>
      <c r="DJ1066" s="1530"/>
      <c r="DK1066" s="1530"/>
      <c r="DL1066" s="1530"/>
      <c r="DM1066" s="1530"/>
      <c r="DN1066" s="1571"/>
      <c r="DO1066" s="1530"/>
      <c r="DP1066" s="1530"/>
    </row>
    <row r="1067" spans="1:120">
      <c r="A1067" s="1451"/>
      <c r="C1067" s="1451"/>
      <c r="K1067" s="1451"/>
      <c r="L1067" s="1451"/>
      <c r="U1067" s="1530"/>
      <c r="V1067" s="1530"/>
      <c r="W1067" s="1530"/>
      <c r="X1067" s="1530"/>
      <c r="Y1067" s="1530"/>
      <c r="Z1067" s="1530"/>
      <c r="AA1067" s="1530"/>
      <c r="AB1067" s="1530"/>
      <c r="AC1067" s="1530"/>
      <c r="AD1067" s="1530"/>
      <c r="AE1067" s="1530"/>
      <c r="AF1067" s="1530"/>
      <c r="AG1067" s="1530"/>
      <c r="AH1067" s="1530"/>
      <c r="AI1067" s="1530"/>
      <c r="AJ1067" s="1530"/>
      <c r="AK1067" s="1530"/>
      <c r="AL1067" s="1530"/>
      <c r="AM1067" s="1530"/>
      <c r="AN1067" s="1530"/>
      <c r="AO1067" s="1530"/>
      <c r="AP1067" s="1530"/>
      <c r="AQ1067" s="1530"/>
      <c r="AR1067" s="1530"/>
      <c r="AS1067" s="1530"/>
      <c r="AT1067" s="1530"/>
      <c r="AU1067" s="1530"/>
      <c r="AV1067" s="1530"/>
      <c r="AW1067" s="1530"/>
      <c r="AX1067" s="1530"/>
      <c r="AY1067" s="1530"/>
      <c r="AZ1067" s="1530"/>
      <c r="BA1067" s="1530"/>
      <c r="BB1067" s="1530"/>
      <c r="BC1067" s="1530"/>
      <c r="BD1067" s="1530"/>
      <c r="BE1067" s="1530"/>
      <c r="BF1067" s="1530"/>
      <c r="BG1067" s="1530"/>
      <c r="BH1067" s="1530"/>
      <c r="BI1067" s="1530"/>
      <c r="BJ1067" s="1530"/>
      <c r="BK1067" s="1530"/>
      <c r="BL1067" s="1530"/>
      <c r="BM1067" s="1530"/>
      <c r="BN1067" s="1530"/>
      <c r="BW1067" s="1569"/>
      <c r="CO1067" s="1530"/>
      <c r="CP1067" s="1530"/>
      <c r="CQ1067" s="1530"/>
      <c r="CR1067" s="1530"/>
      <c r="CS1067" s="1530"/>
      <c r="CT1067" s="1530"/>
      <c r="CU1067" s="1530"/>
      <c r="CV1067" s="1530"/>
      <c r="CW1067" s="1530"/>
      <c r="CX1067" s="1530"/>
      <c r="CY1067" s="1530"/>
      <c r="CZ1067" s="1530"/>
      <c r="DA1067" s="1530"/>
      <c r="DB1067" s="1530"/>
      <c r="DC1067" s="1530"/>
      <c r="DD1067" s="1530"/>
      <c r="DE1067" s="1530"/>
      <c r="DF1067" s="1530"/>
      <c r="DG1067" s="1530"/>
      <c r="DH1067" s="1530"/>
      <c r="DI1067" s="1530"/>
      <c r="DJ1067" s="1530"/>
      <c r="DK1067" s="1530"/>
      <c r="DL1067" s="1530"/>
      <c r="DM1067" s="1530"/>
      <c r="DN1067" s="1571"/>
      <c r="DO1067" s="1530"/>
      <c r="DP1067" s="1530"/>
    </row>
    <row r="1068" spans="1:120">
      <c r="A1068" s="1451"/>
      <c r="C1068" s="1451"/>
      <c r="K1068" s="1451"/>
      <c r="L1068" s="1451"/>
      <c r="U1068" s="1530"/>
      <c r="V1068" s="1530"/>
      <c r="W1068" s="1530"/>
      <c r="X1068" s="1530"/>
      <c r="Y1068" s="1530"/>
      <c r="Z1068" s="1530"/>
      <c r="AA1068" s="1530"/>
      <c r="AB1068" s="1530"/>
      <c r="AC1068" s="1530"/>
      <c r="AD1068" s="1530"/>
      <c r="AE1068" s="1530"/>
      <c r="AF1068" s="1530"/>
      <c r="AG1068" s="1530"/>
      <c r="AH1068" s="1530"/>
      <c r="AI1068" s="1530"/>
      <c r="AJ1068" s="1530"/>
      <c r="AK1068" s="1530"/>
      <c r="AL1068" s="1530"/>
      <c r="AM1068" s="1530"/>
      <c r="AN1068" s="1530"/>
      <c r="AO1068" s="1530"/>
      <c r="AP1068" s="1530"/>
      <c r="AQ1068" s="1530"/>
      <c r="AR1068" s="1530"/>
      <c r="AS1068" s="1530"/>
      <c r="AT1068" s="1530"/>
      <c r="AU1068" s="1530"/>
      <c r="AV1068" s="1530"/>
      <c r="AW1068" s="1530"/>
      <c r="AX1068" s="1530"/>
      <c r="AY1068" s="1530"/>
      <c r="AZ1068" s="1530"/>
      <c r="BA1068" s="1530"/>
      <c r="BB1068" s="1530"/>
      <c r="BC1068" s="1530"/>
      <c r="BD1068" s="1530"/>
      <c r="BE1068" s="1530"/>
      <c r="BF1068" s="1530"/>
      <c r="BG1068" s="1530"/>
      <c r="BH1068" s="1530"/>
      <c r="BI1068" s="1530"/>
      <c r="BJ1068" s="1530"/>
      <c r="BK1068" s="1530"/>
      <c r="BL1068" s="1530"/>
      <c r="BM1068" s="1530"/>
      <c r="BN1068" s="1530"/>
      <c r="BW1068" s="1569"/>
      <c r="CO1068" s="1530"/>
      <c r="CP1068" s="1530"/>
      <c r="CQ1068" s="1530"/>
      <c r="CR1068" s="1530"/>
      <c r="CS1068" s="1530"/>
      <c r="CT1068" s="1530"/>
      <c r="CU1068" s="1530"/>
      <c r="CV1068" s="1530"/>
      <c r="CW1068" s="1530"/>
      <c r="CX1068" s="1530"/>
      <c r="CY1068" s="1530"/>
      <c r="CZ1068" s="1530"/>
      <c r="DA1068" s="1530"/>
      <c r="DB1068" s="1530"/>
      <c r="DC1068" s="1530"/>
      <c r="DD1068" s="1530"/>
      <c r="DE1068" s="1530"/>
      <c r="DF1068" s="1530"/>
      <c r="DG1068" s="1530"/>
      <c r="DH1068" s="1530"/>
      <c r="DI1068" s="1530"/>
      <c r="DJ1068" s="1530"/>
      <c r="DK1068" s="1530"/>
      <c r="DL1068" s="1530"/>
      <c r="DM1068" s="1530"/>
      <c r="DN1068" s="1571"/>
      <c r="DO1068" s="1530"/>
      <c r="DP1068" s="1530"/>
    </row>
    <row r="1069" spans="1:120">
      <c r="A1069" s="1451"/>
      <c r="C1069" s="1451"/>
      <c r="K1069" s="1451"/>
      <c r="L1069" s="1451"/>
      <c r="U1069" s="1530"/>
      <c r="V1069" s="1530"/>
      <c r="W1069" s="1530"/>
      <c r="X1069" s="1530"/>
      <c r="Y1069" s="1530"/>
      <c r="Z1069" s="1530"/>
      <c r="AA1069" s="1530"/>
      <c r="AB1069" s="1530"/>
      <c r="AC1069" s="1530"/>
      <c r="AD1069" s="1530"/>
      <c r="AE1069" s="1530"/>
      <c r="AF1069" s="1530"/>
      <c r="AG1069" s="1530"/>
      <c r="AH1069" s="1530"/>
      <c r="AI1069" s="1530"/>
      <c r="AJ1069" s="1530"/>
      <c r="AK1069" s="1530"/>
      <c r="AL1069" s="1530"/>
      <c r="AM1069" s="1530"/>
      <c r="AN1069" s="1530"/>
      <c r="AO1069" s="1530"/>
      <c r="AP1069" s="1530"/>
      <c r="AQ1069" s="1530"/>
      <c r="AR1069" s="1530"/>
      <c r="AS1069" s="1530"/>
      <c r="AT1069" s="1530"/>
      <c r="AU1069" s="1530"/>
      <c r="AV1069" s="1530"/>
      <c r="AW1069" s="1530"/>
      <c r="AX1069" s="1530"/>
      <c r="AY1069" s="1530"/>
      <c r="AZ1069" s="1530"/>
      <c r="BA1069" s="1530"/>
      <c r="BB1069" s="1530"/>
      <c r="BC1069" s="1530"/>
      <c r="BD1069" s="1530"/>
      <c r="BE1069" s="1530"/>
      <c r="BF1069" s="1530"/>
      <c r="BG1069" s="1530"/>
      <c r="BH1069" s="1530"/>
      <c r="BI1069" s="1530"/>
      <c r="BJ1069" s="1530"/>
      <c r="BK1069" s="1530"/>
      <c r="BL1069" s="1530"/>
      <c r="BM1069" s="1530"/>
      <c r="BN1069" s="1530"/>
      <c r="BW1069" s="1569"/>
      <c r="CO1069" s="1530"/>
      <c r="CP1069" s="1530"/>
      <c r="CQ1069" s="1530"/>
      <c r="CR1069" s="1530"/>
      <c r="CS1069" s="1530"/>
      <c r="CT1069" s="1530"/>
      <c r="CU1069" s="1530"/>
      <c r="CV1069" s="1530"/>
      <c r="CW1069" s="1530"/>
      <c r="CX1069" s="1530"/>
      <c r="CY1069" s="1530"/>
      <c r="CZ1069" s="1530"/>
      <c r="DA1069" s="1530"/>
      <c r="DB1069" s="1530"/>
      <c r="DC1069" s="1530"/>
      <c r="DD1069" s="1530"/>
      <c r="DE1069" s="1530"/>
      <c r="DF1069" s="1530"/>
      <c r="DG1069" s="1530"/>
      <c r="DH1069" s="1530"/>
      <c r="DI1069" s="1530"/>
      <c r="DJ1069" s="1530"/>
      <c r="DK1069" s="1530"/>
      <c r="DL1069" s="1530"/>
      <c r="DM1069" s="1530"/>
      <c r="DN1069" s="1571"/>
      <c r="DO1069" s="1530"/>
      <c r="DP1069" s="1530"/>
    </row>
    <row r="1070" spans="1:120">
      <c r="A1070" s="1451"/>
      <c r="C1070" s="1451"/>
      <c r="K1070" s="1451"/>
      <c r="L1070" s="1451"/>
      <c r="U1070" s="1530"/>
      <c r="V1070" s="1530"/>
      <c r="W1070" s="1530"/>
      <c r="X1070" s="1530"/>
      <c r="Y1070" s="1530"/>
      <c r="Z1070" s="1530"/>
      <c r="AA1070" s="1530"/>
      <c r="AB1070" s="1530"/>
      <c r="AC1070" s="1530"/>
      <c r="AD1070" s="1530"/>
      <c r="AE1070" s="1530"/>
      <c r="AF1070" s="1530"/>
      <c r="AG1070" s="1530"/>
      <c r="AH1070" s="1530"/>
      <c r="AI1070" s="1530"/>
      <c r="AJ1070" s="1530"/>
      <c r="AK1070" s="1530"/>
      <c r="AL1070" s="1530"/>
      <c r="AM1070" s="1530"/>
      <c r="AN1070" s="1530"/>
      <c r="AO1070" s="1530"/>
      <c r="AP1070" s="1530"/>
      <c r="AQ1070" s="1530"/>
      <c r="AR1070" s="1530"/>
      <c r="AS1070" s="1530"/>
      <c r="AT1070" s="1530"/>
      <c r="AU1070" s="1530"/>
      <c r="AV1070" s="1530"/>
      <c r="AW1070" s="1530"/>
      <c r="AX1070" s="1530"/>
      <c r="AY1070" s="1530"/>
      <c r="AZ1070" s="1530"/>
      <c r="BA1070" s="1530"/>
      <c r="BB1070" s="1530"/>
      <c r="BC1070" s="1530"/>
      <c r="BD1070" s="1530"/>
      <c r="BE1070" s="1530"/>
      <c r="BF1070" s="1530"/>
      <c r="BG1070" s="1530"/>
      <c r="BH1070" s="1530"/>
      <c r="BI1070" s="1530"/>
      <c r="BJ1070" s="1530"/>
      <c r="BK1070" s="1530"/>
      <c r="BL1070" s="1530"/>
      <c r="BM1070" s="1530"/>
      <c r="BN1070" s="1530"/>
      <c r="BW1070" s="1569"/>
      <c r="CO1070" s="1530"/>
      <c r="CP1070" s="1530"/>
      <c r="CQ1070" s="1530"/>
      <c r="CR1070" s="1530"/>
      <c r="CS1070" s="1530"/>
      <c r="CT1070" s="1530"/>
      <c r="CU1070" s="1530"/>
      <c r="CV1070" s="1530"/>
      <c r="CW1070" s="1530"/>
      <c r="CX1070" s="1530"/>
      <c r="CY1070" s="1530"/>
      <c r="CZ1070" s="1530"/>
      <c r="DA1070" s="1530"/>
      <c r="DB1070" s="1530"/>
      <c r="DC1070" s="1530"/>
      <c r="DD1070" s="1530"/>
      <c r="DE1070" s="1530"/>
      <c r="DF1070" s="1530"/>
      <c r="DG1070" s="1530"/>
      <c r="DH1070" s="1530"/>
      <c r="DI1070" s="1530"/>
      <c r="DJ1070" s="1530"/>
      <c r="DK1070" s="1530"/>
      <c r="DL1070" s="1530"/>
      <c r="DM1070" s="1530"/>
      <c r="DN1070" s="1571"/>
      <c r="DO1070" s="1530"/>
      <c r="DP1070" s="1530"/>
    </row>
    <row r="1071" spans="1:120">
      <c r="A1071" s="1451"/>
      <c r="C1071" s="1451"/>
      <c r="K1071" s="1451"/>
      <c r="L1071" s="1451"/>
      <c r="U1071" s="1530"/>
      <c r="V1071" s="1530"/>
      <c r="W1071" s="1530"/>
      <c r="X1071" s="1530"/>
      <c r="Y1071" s="1530"/>
      <c r="Z1071" s="1530"/>
      <c r="AA1071" s="1530"/>
      <c r="AB1071" s="1530"/>
      <c r="AC1071" s="1530"/>
      <c r="AD1071" s="1530"/>
      <c r="AE1071" s="1530"/>
      <c r="AF1071" s="1530"/>
      <c r="AG1071" s="1530"/>
      <c r="AH1071" s="1530"/>
      <c r="AI1071" s="1530"/>
      <c r="AJ1071" s="1530"/>
      <c r="AK1071" s="1530"/>
      <c r="AL1071" s="1530"/>
      <c r="AM1071" s="1530"/>
      <c r="AN1071" s="1530"/>
      <c r="AO1071" s="1530"/>
      <c r="AP1071" s="1530"/>
      <c r="AQ1071" s="1530"/>
      <c r="AR1071" s="1530"/>
      <c r="AS1071" s="1530"/>
      <c r="AT1071" s="1530"/>
      <c r="AU1071" s="1530"/>
      <c r="AV1071" s="1530"/>
      <c r="AW1071" s="1530"/>
      <c r="AX1071" s="1530"/>
      <c r="AY1071" s="1530"/>
      <c r="AZ1071" s="1530"/>
      <c r="BA1071" s="1530"/>
      <c r="BB1071" s="1530"/>
      <c r="BC1071" s="1530"/>
      <c r="BD1071" s="1530"/>
      <c r="BE1071" s="1530"/>
      <c r="BF1071" s="1530"/>
      <c r="BG1071" s="1530"/>
      <c r="BH1071" s="1530"/>
      <c r="BI1071" s="1530"/>
      <c r="BJ1071" s="1530"/>
      <c r="BK1071" s="1530"/>
      <c r="BL1071" s="1530"/>
      <c r="BM1071" s="1530"/>
      <c r="BN1071" s="1530"/>
      <c r="BW1071" s="1569"/>
      <c r="CO1071" s="1530"/>
      <c r="CP1071" s="1530"/>
      <c r="CQ1071" s="1530"/>
      <c r="CR1071" s="1530"/>
      <c r="CS1071" s="1530"/>
      <c r="CT1071" s="1530"/>
      <c r="CU1071" s="1530"/>
      <c r="CV1071" s="1530"/>
      <c r="CW1071" s="1530"/>
      <c r="CX1071" s="1530"/>
      <c r="CY1071" s="1530"/>
      <c r="CZ1071" s="1530"/>
      <c r="DA1071" s="1530"/>
      <c r="DB1071" s="1530"/>
      <c r="DC1071" s="1530"/>
      <c r="DD1071" s="1530"/>
      <c r="DE1071" s="1530"/>
      <c r="DF1071" s="1530"/>
      <c r="DG1071" s="1530"/>
      <c r="DH1071" s="1530"/>
      <c r="DI1071" s="1530"/>
      <c r="DJ1071" s="1530"/>
      <c r="DK1071" s="1530"/>
      <c r="DL1071" s="1530"/>
      <c r="DM1071" s="1530"/>
      <c r="DN1071" s="1571"/>
      <c r="DO1071" s="1530"/>
      <c r="DP1071" s="1530"/>
    </row>
    <row r="1072" spans="1:120">
      <c r="A1072" s="1451"/>
      <c r="C1072" s="1451"/>
      <c r="K1072" s="1451"/>
      <c r="L1072" s="1451"/>
      <c r="U1072" s="1530"/>
      <c r="V1072" s="1530"/>
      <c r="W1072" s="1530"/>
      <c r="X1072" s="1530"/>
      <c r="Y1072" s="1530"/>
      <c r="Z1072" s="1530"/>
      <c r="AA1072" s="1530"/>
      <c r="AB1072" s="1530"/>
      <c r="AC1072" s="1530"/>
      <c r="AD1072" s="1530"/>
      <c r="AE1072" s="1530"/>
      <c r="AF1072" s="1530"/>
      <c r="AG1072" s="1530"/>
      <c r="AH1072" s="1530"/>
      <c r="AI1072" s="1530"/>
      <c r="AJ1072" s="1530"/>
      <c r="AK1072" s="1530"/>
      <c r="AL1072" s="1530"/>
      <c r="AM1072" s="1530"/>
      <c r="AN1072" s="1530"/>
      <c r="AO1072" s="1530"/>
      <c r="AP1072" s="1530"/>
      <c r="AQ1072" s="1530"/>
      <c r="AR1072" s="1530"/>
      <c r="AS1072" s="1530"/>
      <c r="AT1072" s="1530"/>
      <c r="AU1072" s="1530"/>
      <c r="AV1072" s="1530"/>
      <c r="AW1072" s="1530"/>
      <c r="AX1072" s="1530"/>
      <c r="AY1072" s="1530"/>
      <c r="AZ1072" s="1530"/>
      <c r="BA1072" s="1530"/>
      <c r="BB1072" s="1530"/>
      <c r="BC1072" s="1530"/>
      <c r="BD1072" s="1530"/>
      <c r="BE1072" s="1530"/>
      <c r="BF1072" s="1530"/>
      <c r="BG1072" s="1530"/>
      <c r="BH1072" s="1530"/>
      <c r="BI1072" s="1530"/>
      <c r="BJ1072" s="1530"/>
      <c r="BK1072" s="1530"/>
      <c r="BL1072" s="1530"/>
      <c r="BM1072" s="1530"/>
      <c r="BN1072" s="1530"/>
      <c r="BW1072" s="1569"/>
      <c r="CO1072" s="1530"/>
      <c r="CP1072" s="1530"/>
      <c r="CQ1072" s="1530"/>
      <c r="CR1072" s="1530"/>
      <c r="CS1072" s="1530"/>
      <c r="CT1072" s="1530"/>
      <c r="CU1072" s="1530"/>
      <c r="CV1072" s="1530"/>
      <c r="CW1072" s="1530"/>
      <c r="CX1072" s="1530"/>
      <c r="CY1072" s="1530"/>
      <c r="CZ1072" s="1530"/>
      <c r="DA1072" s="1530"/>
      <c r="DB1072" s="1530"/>
      <c r="DC1072" s="1530"/>
      <c r="DD1072" s="1530"/>
      <c r="DE1072" s="1530"/>
      <c r="DF1072" s="1530"/>
      <c r="DG1072" s="1530"/>
      <c r="DH1072" s="1530"/>
      <c r="DI1072" s="1530"/>
      <c r="DJ1072" s="1530"/>
      <c r="DK1072" s="1530"/>
      <c r="DL1072" s="1530"/>
      <c r="DM1072" s="1530"/>
      <c r="DN1072" s="1571"/>
      <c r="DO1072" s="1530"/>
      <c r="DP1072" s="1530"/>
    </row>
    <row r="1073" spans="1:120">
      <c r="A1073" s="1451"/>
      <c r="C1073" s="1451"/>
      <c r="K1073" s="1451"/>
      <c r="L1073" s="1451"/>
      <c r="U1073" s="1530"/>
      <c r="V1073" s="1530"/>
      <c r="W1073" s="1530"/>
      <c r="X1073" s="1530"/>
      <c r="Y1073" s="1530"/>
      <c r="Z1073" s="1530"/>
      <c r="AA1073" s="1530"/>
      <c r="AB1073" s="1530"/>
      <c r="AC1073" s="1530"/>
      <c r="AD1073" s="1530"/>
      <c r="AE1073" s="1530"/>
      <c r="AF1073" s="1530"/>
      <c r="AG1073" s="1530"/>
      <c r="AH1073" s="1530"/>
      <c r="AI1073" s="1530"/>
      <c r="AJ1073" s="1530"/>
      <c r="AK1073" s="1530"/>
      <c r="AL1073" s="1530"/>
      <c r="AM1073" s="1530"/>
      <c r="AN1073" s="1530"/>
      <c r="AO1073" s="1530"/>
      <c r="AP1073" s="1530"/>
      <c r="AQ1073" s="1530"/>
      <c r="AR1073" s="1530"/>
      <c r="AS1073" s="1530"/>
      <c r="AT1073" s="1530"/>
      <c r="AU1073" s="1530"/>
      <c r="AV1073" s="1530"/>
      <c r="AW1073" s="1530"/>
      <c r="AX1073" s="1530"/>
      <c r="AY1073" s="1530"/>
      <c r="AZ1073" s="1530"/>
      <c r="BA1073" s="1530"/>
      <c r="BB1073" s="1530"/>
      <c r="BC1073" s="1530"/>
      <c r="BD1073" s="1530"/>
      <c r="BE1073" s="1530"/>
      <c r="BF1073" s="1530"/>
      <c r="BG1073" s="1530"/>
      <c r="BH1073" s="1530"/>
      <c r="BI1073" s="1530"/>
      <c r="BJ1073" s="1530"/>
      <c r="BK1073" s="1530"/>
      <c r="BL1073" s="1530"/>
      <c r="BM1073" s="1530"/>
      <c r="BN1073" s="1530"/>
      <c r="BW1073" s="1569"/>
      <c r="CO1073" s="1530"/>
      <c r="CP1073" s="1530"/>
      <c r="CQ1073" s="1530"/>
      <c r="CR1073" s="1530"/>
      <c r="CS1073" s="1530"/>
      <c r="CT1073" s="1530"/>
      <c r="CU1073" s="1530"/>
      <c r="CV1073" s="1530"/>
      <c r="CW1073" s="1530"/>
      <c r="CX1073" s="1530"/>
      <c r="CY1073" s="1530"/>
      <c r="CZ1073" s="1530"/>
      <c r="DA1073" s="1530"/>
      <c r="DB1073" s="1530"/>
      <c r="DC1073" s="1530"/>
      <c r="DD1073" s="1530"/>
      <c r="DE1073" s="1530"/>
      <c r="DF1073" s="1530"/>
      <c r="DG1073" s="1530"/>
      <c r="DH1073" s="1530"/>
      <c r="DI1073" s="1530"/>
      <c r="DJ1073" s="1530"/>
      <c r="DK1073" s="1530"/>
      <c r="DL1073" s="1530"/>
      <c r="DM1073" s="1530"/>
      <c r="DN1073" s="1571"/>
      <c r="DO1073" s="1530"/>
      <c r="DP1073" s="1530"/>
    </row>
    <row r="1074" spans="1:120">
      <c r="A1074" s="1451"/>
      <c r="C1074" s="1451"/>
      <c r="K1074" s="1451"/>
      <c r="L1074" s="1451"/>
      <c r="U1074" s="1530"/>
      <c r="V1074" s="1530"/>
      <c r="W1074" s="1530"/>
      <c r="X1074" s="1530"/>
      <c r="Y1074" s="1530"/>
      <c r="Z1074" s="1530"/>
      <c r="AA1074" s="1530"/>
      <c r="AB1074" s="1530"/>
      <c r="AC1074" s="1530"/>
      <c r="AD1074" s="1530"/>
      <c r="AE1074" s="1530"/>
      <c r="AF1074" s="1530"/>
      <c r="AG1074" s="1530"/>
      <c r="AH1074" s="1530"/>
      <c r="AI1074" s="1530"/>
      <c r="AJ1074" s="1530"/>
      <c r="AK1074" s="1530"/>
      <c r="AL1074" s="1530"/>
      <c r="AM1074" s="1530"/>
      <c r="AN1074" s="1530"/>
      <c r="AO1074" s="1530"/>
      <c r="AP1074" s="1530"/>
      <c r="AQ1074" s="1530"/>
      <c r="AR1074" s="1530"/>
      <c r="AS1074" s="1530"/>
      <c r="AT1074" s="1530"/>
      <c r="AU1074" s="1530"/>
      <c r="AV1074" s="1530"/>
      <c r="AW1074" s="1530"/>
      <c r="AX1074" s="1530"/>
      <c r="AY1074" s="1530"/>
      <c r="AZ1074" s="1530"/>
      <c r="BA1074" s="1530"/>
      <c r="BB1074" s="1530"/>
      <c r="BC1074" s="1530"/>
      <c r="BD1074" s="1530"/>
      <c r="BE1074" s="1530"/>
      <c r="BF1074" s="1530"/>
      <c r="BG1074" s="1530"/>
      <c r="BH1074" s="1530"/>
      <c r="BI1074" s="1530"/>
      <c r="BJ1074" s="1530"/>
      <c r="BK1074" s="1530"/>
      <c r="BL1074" s="1530"/>
      <c r="BM1074" s="1530"/>
      <c r="BN1074" s="1530"/>
      <c r="BW1074" s="1569"/>
      <c r="CO1074" s="1530"/>
      <c r="CP1074" s="1530"/>
      <c r="CQ1074" s="1530"/>
      <c r="CR1074" s="1530"/>
      <c r="CS1074" s="1530"/>
      <c r="CT1074" s="1530"/>
      <c r="CU1074" s="1530"/>
      <c r="CV1074" s="1530"/>
      <c r="CW1074" s="1530"/>
      <c r="CX1074" s="1530"/>
      <c r="CY1074" s="1530"/>
      <c r="CZ1074" s="1530"/>
      <c r="DA1074" s="1530"/>
      <c r="DB1074" s="1530"/>
      <c r="DC1074" s="1530"/>
      <c r="DD1074" s="1530"/>
      <c r="DE1074" s="1530"/>
      <c r="DF1074" s="1530"/>
      <c r="DG1074" s="1530"/>
      <c r="DH1074" s="1530"/>
      <c r="DI1074" s="1530"/>
      <c r="DJ1074" s="1530"/>
      <c r="DK1074" s="1530"/>
      <c r="DL1074" s="1530"/>
      <c r="DM1074" s="1530"/>
      <c r="DN1074" s="1571"/>
      <c r="DO1074" s="1530"/>
      <c r="DP1074" s="1530"/>
    </row>
    <row r="1075" spans="1:120">
      <c r="A1075" s="1451"/>
      <c r="C1075" s="1451"/>
      <c r="K1075" s="1451"/>
      <c r="L1075" s="1451"/>
      <c r="U1075" s="1530"/>
      <c r="V1075" s="1530"/>
      <c r="W1075" s="1530"/>
      <c r="X1075" s="1530"/>
      <c r="Y1075" s="1530"/>
      <c r="Z1075" s="1530"/>
      <c r="AA1075" s="1530"/>
      <c r="AB1075" s="1530"/>
      <c r="AC1075" s="1530"/>
      <c r="AD1075" s="1530"/>
      <c r="AE1075" s="1530"/>
      <c r="AF1075" s="1530"/>
      <c r="AG1075" s="1530"/>
      <c r="AH1075" s="1530"/>
      <c r="AI1075" s="1530"/>
      <c r="AJ1075" s="1530"/>
      <c r="AK1075" s="1530"/>
      <c r="AL1075" s="1530"/>
      <c r="AM1075" s="1530"/>
      <c r="AN1075" s="1530"/>
      <c r="AO1075" s="1530"/>
      <c r="AP1075" s="1530"/>
      <c r="AQ1075" s="1530"/>
      <c r="AR1075" s="1530"/>
      <c r="AS1075" s="1530"/>
      <c r="AT1075" s="1530"/>
      <c r="AU1075" s="1530"/>
      <c r="AV1075" s="1530"/>
      <c r="AW1075" s="1530"/>
      <c r="AX1075" s="1530"/>
      <c r="AY1075" s="1530"/>
      <c r="AZ1075" s="1530"/>
      <c r="BA1075" s="1530"/>
      <c r="BB1075" s="1530"/>
      <c r="BC1075" s="1530"/>
      <c r="BD1075" s="1530"/>
      <c r="BE1075" s="1530"/>
      <c r="BF1075" s="1530"/>
      <c r="BG1075" s="1530"/>
      <c r="BH1075" s="1530"/>
      <c r="BI1075" s="1530"/>
      <c r="BJ1075" s="1530"/>
      <c r="BK1075" s="1530"/>
      <c r="BL1075" s="1530"/>
      <c r="BM1075" s="1530"/>
      <c r="BN1075" s="1530"/>
      <c r="BW1075" s="1569"/>
      <c r="CO1075" s="1530"/>
      <c r="CP1075" s="1530"/>
      <c r="CQ1075" s="1530"/>
      <c r="CR1075" s="1530"/>
      <c r="CS1075" s="1530"/>
      <c r="CT1075" s="1530"/>
      <c r="CU1075" s="1530"/>
      <c r="CV1075" s="1530"/>
      <c r="CW1075" s="1530"/>
      <c r="CX1075" s="1530"/>
      <c r="CY1075" s="1530"/>
      <c r="CZ1075" s="1530"/>
      <c r="DA1075" s="1530"/>
      <c r="DB1075" s="1530"/>
      <c r="DC1075" s="1530"/>
      <c r="DD1075" s="1530"/>
      <c r="DE1075" s="1530"/>
      <c r="DF1075" s="1530"/>
      <c r="DG1075" s="1530"/>
      <c r="DH1075" s="1530"/>
      <c r="DI1075" s="1530"/>
      <c r="DJ1075" s="1530"/>
      <c r="DK1075" s="1530"/>
      <c r="DL1075" s="1530"/>
      <c r="DM1075" s="1530"/>
      <c r="DN1075" s="1571"/>
      <c r="DO1075" s="1530"/>
      <c r="DP1075" s="1530"/>
    </row>
    <row r="1076" spans="1:120">
      <c r="A1076" s="1451"/>
      <c r="C1076" s="1451"/>
      <c r="K1076" s="1451"/>
      <c r="L1076" s="1451"/>
      <c r="U1076" s="1530"/>
      <c r="V1076" s="1530"/>
      <c r="W1076" s="1530"/>
      <c r="X1076" s="1530"/>
      <c r="Y1076" s="1530"/>
      <c r="Z1076" s="1530"/>
      <c r="AA1076" s="1530"/>
      <c r="AB1076" s="1530"/>
      <c r="AC1076" s="1530"/>
      <c r="AD1076" s="1530"/>
      <c r="AE1076" s="1530"/>
      <c r="AF1076" s="1530"/>
      <c r="AG1076" s="1530"/>
      <c r="AH1076" s="1530"/>
      <c r="AI1076" s="1530"/>
      <c r="AJ1076" s="1530"/>
      <c r="AK1076" s="1530"/>
      <c r="AL1076" s="1530"/>
      <c r="AM1076" s="1530"/>
      <c r="AN1076" s="1530"/>
      <c r="AO1076" s="1530"/>
      <c r="AP1076" s="1530"/>
      <c r="AQ1076" s="1530"/>
      <c r="AR1076" s="1530"/>
      <c r="AS1076" s="1530"/>
      <c r="AT1076" s="1530"/>
      <c r="AU1076" s="1530"/>
      <c r="AV1076" s="1530"/>
      <c r="AW1076" s="1530"/>
      <c r="AX1076" s="1530"/>
      <c r="AY1076" s="1530"/>
      <c r="AZ1076" s="1530"/>
      <c r="BA1076" s="1530"/>
      <c r="BB1076" s="1530"/>
      <c r="BC1076" s="1530"/>
      <c r="BD1076" s="1530"/>
      <c r="BE1076" s="1530"/>
      <c r="BF1076" s="1530"/>
      <c r="BG1076" s="1530"/>
      <c r="BH1076" s="1530"/>
      <c r="BI1076" s="1530"/>
      <c r="BJ1076" s="1530"/>
      <c r="BK1076" s="1530"/>
      <c r="BL1076" s="1530"/>
      <c r="BM1076" s="1530"/>
      <c r="BN1076" s="1530"/>
      <c r="BW1076" s="1569"/>
      <c r="CO1076" s="1530"/>
      <c r="CP1076" s="1530"/>
      <c r="CQ1076" s="1530"/>
      <c r="CR1076" s="1530"/>
      <c r="CS1076" s="1530"/>
      <c r="CT1076" s="1530"/>
      <c r="CU1076" s="1530"/>
      <c r="CV1076" s="1530"/>
      <c r="CW1076" s="1530"/>
      <c r="CX1076" s="1530"/>
      <c r="CY1076" s="1530"/>
      <c r="CZ1076" s="1530"/>
      <c r="DA1076" s="1530"/>
      <c r="DB1076" s="1530"/>
      <c r="DC1076" s="1530"/>
      <c r="DD1076" s="1530"/>
      <c r="DE1076" s="1530"/>
      <c r="DF1076" s="1530"/>
      <c r="DG1076" s="1530"/>
      <c r="DH1076" s="1530"/>
      <c r="DI1076" s="1530"/>
      <c r="DJ1076" s="1530"/>
      <c r="DK1076" s="1530"/>
      <c r="DL1076" s="1530"/>
      <c r="DM1076" s="1530"/>
      <c r="DN1076" s="1571"/>
      <c r="DO1076" s="1530"/>
      <c r="DP1076" s="1530"/>
    </row>
    <row r="1077" spans="1:120">
      <c r="A1077" s="1451"/>
      <c r="C1077" s="1451"/>
      <c r="K1077" s="1451"/>
      <c r="L1077" s="1451"/>
      <c r="U1077" s="1530"/>
      <c r="V1077" s="1530"/>
      <c r="W1077" s="1530"/>
      <c r="X1077" s="1530"/>
      <c r="Y1077" s="1530"/>
      <c r="Z1077" s="1530"/>
      <c r="AA1077" s="1530"/>
      <c r="AB1077" s="1530"/>
      <c r="AC1077" s="1530"/>
      <c r="AD1077" s="1530"/>
      <c r="AE1077" s="1530"/>
      <c r="AF1077" s="1530"/>
      <c r="AG1077" s="1530"/>
      <c r="AH1077" s="1530"/>
      <c r="AI1077" s="1530"/>
      <c r="AJ1077" s="1530"/>
      <c r="AK1077" s="1530"/>
      <c r="AL1077" s="1530"/>
      <c r="AM1077" s="1530"/>
      <c r="AN1077" s="1530"/>
      <c r="AO1077" s="1530"/>
      <c r="AP1077" s="1530"/>
      <c r="AQ1077" s="1530"/>
      <c r="AR1077" s="1530"/>
      <c r="AS1077" s="1530"/>
      <c r="AT1077" s="1530"/>
      <c r="AU1077" s="1530"/>
      <c r="AV1077" s="1530"/>
      <c r="AW1077" s="1530"/>
      <c r="AX1077" s="1530"/>
      <c r="AY1077" s="1530"/>
      <c r="AZ1077" s="1530"/>
      <c r="BA1077" s="1530"/>
      <c r="BB1077" s="1530"/>
      <c r="BC1077" s="1530"/>
      <c r="BD1077" s="1530"/>
      <c r="BE1077" s="1530"/>
      <c r="BF1077" s="1530"/>
      <c r="BG1077" s="1530"/>
      <c r="BH1077" s="1530"/>
      <c r="BI1077" s="1530"/>
      <c r="BJ1077" s="1530"/>
      <c r="BK1077" s="1530"/>
      <c r="BL1077" s="1530"/>
      <c r="BM1077" s="1530"/>
      <c r="BN1077" s="1530"/>
      <c r="BW1077" s="1569"/>
      <c r="CO1077" s="1530"/>
      <c r="CP1077" s="1530"/>
      <c r="CQ1077" s="1530"/>
      <c r="CR1077" s="1530"/>
      <c r="CS1077" s="1530"/>
      <c r="CT1077" s="1530"/>
      <c r="CU1077" s="1530"/>
      <c r="CV1077" s="1530"/>
      <c r="CW1077" s="1530"/>
      <c r="CX1077" s="1530"/>
      <c r="CY1077" s="1530"/>
      <c r="CZ1077" s="1530"/>
      <c r="DA1077" s="1530"/>
      <c r="DB1077" s="1530"/>
      <c r="DC1077" s="1530"/>
      <c r="DD1077" s="1530"/>
      <c r="DE1077" s="1530"/>
      <c r="DF1077" s="1530"/>
      <c r="DG1077" s="1530"/>
      <c r="DH1077" s="1530"/>
      <c r="DI1077" s="1530"/>
      <c r="DJ1077" s="1530"/>
      <c r="DK1077" s="1530"/>
      <c r="DL1077" s="1530"/>
      <c r="DM1077" s="1530"/>
      <c r="DN1077" s="1571"/>
      <c r="DO1077" s="1530"/>
      <c r="DP1077" s="1530"/>
    </row>
    <row r="1078" spans="1:120">
      <c r="A1078" s="1451"/>
      <c r="C1078" s="1451"/>
      <c r="K1078" s="1451"/>
      <c r="L1078" s="1451"/>
      <c r="U1078" s="1530"/>
      <c r="V1078" s="1530"/>
      <c r="W1078" s="1530"/>
      <c r="X1078" s="1530"/>
      <c r="Y1078" s="1530"/>
      <c r="Z1078" s="1530"/>
      <c r="AA1078" s="1530"/>
      <c r="AB1078" s="1530"/>
      <c r="AC1078" s="1530"/>
      <c r="AD1078" s="1530"/>
      <c r="AE1078" s="1530"/>
      <c r="AF1078" s="1530"/>
      <c r="AG1078" s="1530"/>
      <c r="AH1078" s="1530"/>
      <c r="AI1078" s="1530"/>
      <c r="AJ1078" s="1530"/>
      <c r="AK1078" s="1530"/>
      <c r="AL1078" s="1530"/>
      <c r="AM1078" s="1530"/>
      <c r="AN1078" s="1530"/>
      <c r="AO1078" s="1530"/>
      <c r="AP1078" s="1530"/>
      <c r="AQ1078" s="1530"/>
      <c r="AR1078" s="1530"/>
      <c r="AS1078" s="1530"/>
      <c r="AT1078" s="1530"/>
      <c r="AU1078" s="1530"/>
      <c r="AV1078" s="1530"/>
      <c r="AW1078" s="1530"/>
      <c r="AX1078" s="1530"/>
      <c r="AY1078" s="1530"/>
      <c r="AZ1078" s="1530"/>
      <c r="BA1078" s="1530"/>
      <c r="BB1078" s="1530"/>
      <c r="BC1078" s="1530"/>
      <c r="BD1078" s="1530"/>
      <c r="BE1078" s="1530"/>
      <c r="BF1078" s="1530"/>
      <c r="BG1078" s="1530"/>
      <c r="BH1078" s="1530"/>
      <c r="BI1078" s="1530"/>
      <c r="BJ1078" s="1530"/>
      <c r="BK1078" s="1530"/>
      <c r="BL1078" s="1530"/>
      <c r="BM1078" s="1530"/>
      <c r="BN1078" s="1530"/>
      <c r="BW1078" s="1569"/>
      <c r="CO1078" s="1530"/>
      <c r="CP1078" s="1530"/>
      <c r="CQ1078" s="1530"/>
      <c r="CR1078" s="1530"/>
      <c r="CS1078" s="1530"/>
      <c r="CT1078" s="1530"/>
      <c r="CU1078" s="1530"/>
      <c r="CV1078" s="1530"/>
      <c r="CW1078" s="1530"/>
      <c r="CX1078" s="1530"/>
      <c r="CY1078" s="1530"/>
      <c r="CZ1078" s="1530"/>
      <c r="DA1078" s="1530"/>
      <c r="DB1078" s="1530"/>
      <c r="DC1078" s="1530"/>
      <c r="DD1078" s="1530"/>
      <c r="DE1078" s="1530"/>
      <c r="DF1078" s="1530"/>
      <c r="DG1078" s="1530"/>
      <c r="DH1078" s="1530"/>
      <c r="DI1078" s="1530"/>
      <c r="DJ1078" s="1530"/>
      <c r="DK1078" s="1530"/>
      <c r="DL1078" s="1530"/>
      <c r="DM1078" s="1530"/>
      <c r="DN1078" s="1571"/>
      <c r="DO1078" s="1530"/>
      <c r="DP1078" s="1530"/>
    </row>
    <row r="1079" spans="1:120">
      <c r="A1079" s="1451"/>
      <c r="C1079" s="1451"/>
      <c r="K1079" s="1451"/>
      <c r="L1079" s="1451"/>
      <c r="U1079" s="1530"/>
      <c r="V1079" s="1530"/>
      <c r="W1079" s="1530"/>
      <c r="X1079" s="1530"/>
      <c r="Y1079" s="1530"/>
      <c r="Z1079" s="1530"/>
      <c r="AA1079" s="1530"/>
      <c r="AB1079" s="1530"/>
      <c r="AC1079" s="1530"/>
      <c r="AD1079" s="1530"/>
      <c r="AE1079" s="1530"/>
      <c r="AF1079" s="1530"/>
      <c r="AG1079" s="1530"/>
      <c r="AH1079" s="1530"/>
      <c r="AI1079" s="1530"/>
      <c r="AJ1079" s="1530"/>
      <c r="AK1079" s="1530"/>
      <c r="AL1079" s="1530"/>
      <c r="AM1079" s="1530"/>
      <c r="AN1079" s="1530"/>
      <c r="AO1079" s="1530"/>
      <c r="AP1079" s="1530"/>
      <c r="AQ1079" s="1530"/>
      <c r="AR1079" s="1530"/>
      <c r="AS1079" s="1530"/>
      <c r="AT1079" s="1530"/>
      <c r="AU1079" s="1530"/>
      <c r="AV1079" s="1530"/>
      <c r="AW1079" s="1530"/>
      <c r="AX1079" s="1530"/>
      <c r="AY1079" s="1530"/>
      <c r="AZ1079" s="1530"/>
      <c r="BA1079" s="1530"/>
      <c r="BB1079" s="1530"/>
      <c r="BC1079" s="1530"/>
      <c r="BD1079" s="1530"/>
      <c r="BE1079" s="1530"/>
      <c r="BF1079" s="1530"/>
      <c r="BG1079" s="1530"/>
      <c r="BH1079" s="1530"/>
      <c r="BI1079" s="1530"/>
      <c r="BJ1079" s="1530"/>
      <c r="BK1079" s="1530"/>
      <c r="BL1079" s="1530"/>
      <c r="BM1079" s="1530"/>
      <c r="BN1079" s="1530"/>
      <c r="BW1079" s="1569"/>
      <c r="CO1079" s="1530"/>
      <c r="CP1079" s="1530"/>
      <c r="CQ1079" s="1530"/>
      <c r="CR1079" s="1530"/>
      <c r="CS1079" s="1530"/>
      <c r="CT1079" s="1530"/>
      <c r="CU1079" s="1530"/>
      <c r="CV1079" s="1530"/>
      <c r="CW1079" s="1530"/>
      <c r="CX1079" s="1530"/>
      <c r="CY1079" s="1530"/>
      <c r="CZ1079" s="1530"/>
      <c r="DA1079" s="1530"/>
      <c r="DB1079" s="1530"/>
      <c r="DC1079" s="1530"/>
      <c r="DD1079" s="1530"/>
      <c r="DE1079" s="1530"/>
      <c r="DF1079" s="1530"/>
      <c r="DG1079" s="1530"/>
      <c r="DH1079" s="1530"/>
      <c r="DI1079" s="1530"/>
      <c r="DJ1079" s="1530"/>
      <c r="DK1079" s="1530"/>
      <c r="DL1079" s="1530"/>
      <c r="DM1079" s="1530"/>
      <c r="DN1079" s="1571"/>
      <c r="DO1079" s="1530"/>
      <c r="DP1079" s="1530"/>
    </row>
    <row r="1080" spans="1:120">
      <c r="A1080" s="1451"/>
      <c r="C1080" s="1451"/>
      <c r="K1080" s="1451"/>
      <c r="L1080" s="1451"/>
      <c r="U1080" s="1530"/>
      <c r="V1080" s="1530"/>
      <c r="W1080" s="1530"/>
      <c r="X1080" s="1530"/>
      <c r="Y1080" s="1530"/>
      <c r="Z1080" s="1530"/>
      <c r="AA1080" s="1530"/>
      <c r="AB1080" s="1530"/>
      <c r="AC1080" s="1530"/>
      <c r="AD1080" s="1530"/>
      <c r="AE1080" s="1530"/>
      <c r="AF1080" s="1530"/>
      <c r="AG1080" s="1530"/>
      <c r="AH1080" s="1530"/>
      <c r="AI1080" s="1530"/>
      <c r="AJ1080" s="1530"/>
      <c r="AK1080" s="1530"/>
      <c r="AL1080" s="1530"/>
      <c r="AM1080" s="1530"/>
      <c r="AN1080" s="1530"/>
      <c r="AO1080" s="1530"/>
      <c r="AP1080" s="1530"/>
      <c r="AQ1080" s="1530"/>
      <c r="AR1080" s="1530"/>
      <c r="AS1080" s="1530"/>
      <c r="AT1080" s="1530"/>
      <c r="AU1080" s="1530"/>
      <c r="AV1080" s="1530"/>
      <c r="AW1080" s="1530"/>
      <c r="AX1080" s="1530"/>
      <c r="AY1080" s="1530"/>
      <c r="AZ1080" s="1530"/>
      <c r="BA1080" s="1530"/>
      <c r="BB1080" s="1530"/>
      <c r="BC1080" s="1530"/>
      <c r="BD1080" s="1530"/>
      <c r="BE1080" s="1530"/>
      <c r="BF1080" s="1530"/>
      <c r="BG1080" s="1530"/>
      <c r="BH1080" s="1530"/>
      <c r="BI1080" s="1530"/>
      <c r="BJ1080" s="1530"/>
      <c r="BK1080" s="1530"/>
      <c r="BL1080" s="1530"/>
      <c r="BM1080" s="1530"/>
      <c r="BN1080" s="1530"/>
      <c r="BW1080" s="1569"/>
      <c r="CO1080" s="1530"/>
      <c r="CP1080" s="1530"/>
      <c r="CQ1080" s="1530"/>
      <c r="CR1080" s="1530"/>
      <c r="CS1080" s="1530"/>
      <c r="CT1080" s="1530"/>
      <c r="CU1080" s="1530"/>
      <c r="CV1080" s="1530"/>
      <c r="CW1080" s="1530"/>
      <c r="CX1080" s="1530"/>
      <c r="CY1080" s="1530"/>
      <c r="CZ1080" s="1530"/>
      <c r="DA1080" s="1530"/>
      <c r="DB1080" s="1530"/>
      <c r="DC1080" s="1530"/>
      <c r="DD1080" s="1530"/>
      <c r="DE1080" s="1530"/>
      <c r="DF1080" s="1530"/>
      <c r="DG1080" s="1530"/>
      <c r="DH1080" s="1530"/>
      <c r="DI1080" s="1530"/>
      <c r="DJ1080" s="1530"/>
      <c r="DK1080" s="1530"/>
      <c r="DL1080" s="1530"/>
      <c r="DM1080" s="1530"/>
      <c r="DN1080" s="1571"/>
      <c r="DO1080" s="1530"/>
      <c r="DP1080" s="1530"/>
    </row>
    <row r="1081" spans="1:120">
      <c r="A1081" s="1451"/>
      <c r="C1081" s="1451"/>
      <c r="K1081" s="1451"/>
      <c r="L1081" s="1451"/>
      <c r="U1081" s="1530"/>
      <c r="V1081" s="1530"/>
      <c r="W1081" s="1530"/>
      <c r="X1081" s="1530"/>
      <c r="Y1081" s="1530"/>
      <c r="Z1081" s="1530"/>
      <c r="AA1081" s="1530"/>
      <c r="AB1081" s="1530"/>
      <c r="AC1081" s="1530"/>
      <c r="AD1081" s="1530"/>
      <c r="AE1081" s="1530"/>
      <c r="AF1081" s="1530"/>
      <c r="AG1081" s="1530"/>
      <c r="AH1081" s="1530"/>
      <c r="AI1081" s="1530"/>
      <c r="AJ1081" s="1530"/>
      <c r="AK1081" s="1530"/>
      <c r="AL1081" s="1530"/>
      <c r="AM1081" s="1530"/>
      <c r="AN1081" s="1530"/>
      <c r="AO1081" s="1530"/>
      <c r="AP1081" s="1530"/>
      <c r="AQ1081" s="1530"/>
      <c r="AR1081" s="1530"/>
      <c r="AS1081" s="1530"/>
      <c r="AT1081" s="1530"/>
      <c r="AU1081" s="1530"/>
      <c r="AV1081" s="1530"/>
      <c r="AW1081" s="1530"/>
      <c r="AX1081" s="1530"/>
      <c r="AY1081" s="1530"/>
      <c r="AZ1081" s="1530"/>
      <c r="BA1081" s="1530"/>
      <c r="BB1081" s="1530"/>
      <c r="BC1081" s="1530"/>
      <c r="BD1081" s="1530"/>
      <c r="BE1081" s="1530"/>
      <c r="BF1081" s="1530"/>
      <c r="BG1081" s="1530"/>
      <c r="BH1081" s="1530"/>
      <c r="BI1081" s="1530"/>
      <c r="BJ1081" s="1530"/>
      <c r="BK1081" s="1530"/>
      <c r="BL1081" s="1530"/>
      <c r="BM1081" s="1530"/>
      <c r="BN1081" s="1530"/>
      <c r="BW1081" s="1569"/>
      <c r="CO1081" s="1530"/>
      <c r="CP1081" s="1530"/>
      <c r="CQ1081" s="1530"/>
      <c r="CR1081" s="1530"/>
      <c r="CS1081" s="1530"/>
      <c r="CT1081" s="1530"/>
      <c r="CU1081" s="1530"/>
      <c r="CV1081" s="1530"/>
      <c r="CW1081" s="1530"/>
      <c r="CX1081" s="1530"/>
      <c r="CY1081" s="1530"/>
      <c r="CZ1081" s="1530"/>
      <c r="DA1081" s="1530"/>
      <c r="DB1081" s="1530"/>
      <c r="DC1081" s="1530"/>
      <c r="DD1081" s="1530"/>
      <c r="DE1081" s="1530"/>
      <c r="DF1081" s="1530"/>
      <c r="DG1081" s="1530"/>
      <c r="DH1081" s="1530"/>
      <c r="DI1081" s="1530"/>
      <c r="DJ1081" s="1530"/>
      <c r="DK1081" s="1530"/>
      <c r="DL1081" s="1530"/>
      <c r="DM1081" s="1530"/>
      <c r="DN1081" s="1571"/>
      <c r="DO1081" s="1530"/>
      <c r="DP1081" s="1530"/>
    </row>
    <row r="1082" spans="1:120">
      <c r="A1082" s="1451"/>
      <c r="C1082" s="1451"/>
      <c r="K1082" s="1451"/>
      <c r="L1082" s="1451"/>
      <c r="U1082" s="1530"/>
      <c r="V1082" s="1530"/>
      <c r="W1082" s="1530"/>
      <c r="X1082" s="1530"/>
      <c r="Y1082" s="1530"/>
      <c r="Z1082" s="1530"/>
      <c r="AA1082" s="1530"/>
      <c r="AB1082" s="1530"/>
      <c r="AC1082" s="1530"/>
      <c r="AD1082" s="1530"/>
      <c r="AE1082" s="1530"/>
      <c r="AF1082" s="1530"/>
      <c r="AG1082" s="1530"/>
      <c r="AH1082" s="1530"/>
      <c r="AI1082" s="1530"/>
      <c r="AJ1082" s="1530"/>
      <c r="AK1082" s="1530"/>
      <c r="AL1082" s="1530"/>
      <c r="AM1082" s="1530"/>
      <c r="AN1082" s="1530"/>
      <c r="AO1082" s="1530"/>
      <c r="AP1082" s="1530"/>
      <c r="AQ1082" s="1530"/>
      <c r="AR1082" s="1530"/>
      <c r="AS1082" s="1530"/>
      <c r="AT1082" s="1530"/>
      <c r="AU1082" s="1530"/>
      <c r="AV1082" s="1530"/>
      <c r="AW1082" s="1530"/>
      <c r="AX1082" s="1530"/>
      <c r="AY1082" s="1530"/>
      <c r="AZ1082" s="1530"/>
      <c r="BA1082" s="1530"/>
      <c r="BB1082" s="1530"/>
      <c r="BC1082" s="1530"/>
      <c r="BD1082" s="1530"/>
      <c r="BE1082" s="1530"/>
      <c r="BF1082" s="1530"/>
      <c r="BG1082" s="1530"/>
      <c r="BH1082" s="1530"/>
      <c r="BI1082" s="1530"/>
      <c r="BJ1082" s="1530"/>
      <c r="BK1082" s="1530"/>
      <c r="BL1082" s="1530"/>
      <c r="BM1082" s="1530"/>
      <c r="BN1082" s="1530"/>
      <c r="BW1082" s="1569"/>
      <c r="CO1082" s="1530"/>
      <c r="CP1082" s="1530"/>
      <c r="CQ1082" s="1530"/>
      <c r="CR1082" s="1530"/>
      <c r="CS1082" s="1530"/>
      <c r="CT1082" s="1530"/>
      <c r="CU1082" s="1530"/>
      <c r="CV1082" s="1530"/>
      <c r="CW1082" s="1530"/>
      <c r="CX1082" s="1530"/>
      <c r="CY1082" s="1530"/>
      <c r="CZ1082" s="1530"/>
      <c r="DA1082" s="1530"/>
      <c r="DB1082" s="1530"/>
      <c r="DC1082" s="1530"/>
      <c r="DD1082" s="1530"/>
      <c r="DE1082" s="1530"/>
      <c r="DF1082" s="1530"/>
      <c r="DG1082" s="1530"/>
      <c r="DH1082" s="1530"/>
      <c r="DI1082" s="1530"/>
      <c r="DJ1082" s="1530"/>
      <c r="DK1082" s="1530"/>
      <c r="DL1082" s="1530"/>
      <c r="DM1082" s="1530"/>
      <c r="DN1082" s="1571"/>
      <c r="DO1082" s="1530"/>
      <c r="DP1082" s="1530"/>
    </row>
    <row r="1083" spans="1:120">
      <c r="A1083" s="1451"/>
      <c r="C1083" s="1451"/>
      <c r="K1083" s="1451"/>
      <c r="L1083" s="1451"/>
      <c r="U1083" s="1530"/>
      <c r="V1083" s="1530"/>
      <c r="W1083" s="1530"/>
      <c r="X1083" s="1530"/>
      <c r="Y1083" s="1530"/>
      <c r="Z1083" s="1530"/>
      <c r="AA1083" s="1530"/>
      <c r="AB1083" s="1530"/>
      <c r="AC1083" s="1530"/>
      <c r="AD1083" s="1530"/>
      <c r="AE1083" s="1530"/>
      <c r="AF1083" s="1530"/>
      <c r="AG1083" s="1530"/>
      <c r="AH1083" s="1530"/>
      <c r="AI1083" s="1530"/>
      <c r="AJ1083" s="1530"/>
      <c r="AK1083" s="1530"/>
      <c r="AL1083" s="1530"/>
      <c r="AM1083" s="1530"/>
      <c r="AN1083" s="1530"/>
      <c r="AO1083" s="1530"/>
      <c r="AP1083" s="1530"/>
      <c r="AQ1083" s="1530"/>
      <c r="AR1083" s="1530"/>
      <c r="AS1083" s="1530"/>
      <c r="AT1083" s="1530"/>
      <c r="AU1083" s="1530"/>
      <c r="AV1083" s="1530"/>
      <c r="AW1083" s="1530"/>
      <c r="AX1083" s="1530"/>
      <c r="AY1083" s="1530"/>
      <c r="AZ1083" s="1530"/>
      <c r="BA1083" s="1530"/>
      <c r="BB1083" s="1530"/>
      <c r="BC1083" s="1530"/>
      <c r="BD1083" s="1530"/>
      <c r="BE1083" s="1530"/>
      <c r="BF1083" s="1530"/>
      <c r="BG1083" s="1530"/>
      <c r="BH1083" s="1530"/>
      <c r="BI1083" s="1530"/>
      <c r="BJ1083" s="1530"/>
      <c r="BK1083" s="1530"/>
      <c r="BL1083" s="1530"/>
      <c r="BM1083" s="1530"/>
      <c r="BN1083" s="1530"/>
      <c r="BW1083" s="1569"/>
      <c r="CO1083" s="1530"/>
      <c r="CP1083" s="1530"/>
      <c r="CQ1083" s="1530"/>
      <c r="CR1083" s="1530"/>
      <c r="CS1083" s="1530"/>
      <c r="CT1083" s="1530"/>
      <c r="CU1083" s="1530"/>
      <c r="CV1083" s="1530"/>
      <c r="CW1083" s="1530"/>
      <c r="CX1083" s="1530"/>
      <c r="CY1083" s="1530"/>
      <c r="CZ1083" s="1530"/>
      <c r="DA1083" s="1530"/>
      <c r="DB1083" s="1530"/>
      <c r="DC1083" s="1530"/>
      <c r="DD1083" s="1530"/>
      <c r="DE1083" s="1530"/>
      <c r="DF1083" s="1530"/>
      <c r="DG1083" s="1530"/>
      <c r="DH1083" s="1530"/>
      <c r="DI1083" s="1530"/>
      <c r="DJ1083" s="1530"/>
      <c r="DK1083" s="1530"/>
      <c r="DL1083" s="1530"/>
      <c r="DM1083" s="1530"/>
      <c r="DN1083" s="1571"/>
      <c r="DO1083" s="1530"/>
      <c r="DP1083" s="1530"/>
    </row>
    <row r="1084" spans="1:120">
      <c r="A1084" s="1451"/>
      <c r="C1084" s="1451"/>
      <c r="K1084" s="1451"/>
      <c r="L1084" s="1451"/>
      <c r="U1084" s="1530"/>
      <c r="V1084" s="1530"/>
      <c r="W1084" s="1530"/>
      <c r="X1084" s="1530"/>
      <c r="Y1084" s="1530"/>
      <c r="Z1084" s="1530"/>
      <c r="AA1084" s="1530"/>
      <c r="AB1084" s="1530"/>
      <c r="AC1084" s="1530"/>
      <c r="AD1084" s="1530"/>
      <c r="AE1084" s="1530"/>
      <c r="AF1084" s="1530"/>
      <c r="AG1084" s="1530"/>
      <c r="AH1084" s="1530"/>
      <c r="AI1084" s="1530"/>
      <c r="AJ1084" s="1530"/>
      <c r="AK1084" s="1530"/>
      <c r="AL1084" s="1530"/>
      <c r="AM1084" s="1530"/>
      <c r="AN1084" s="1530"/>
      <c r="AO1084" s="1530"/>
      <c r="AP1084" s="1530"/>
      <c r="AQ1084" s="1530"/>
      <c r="AR1084" s="1530"/>
      <c r="AS1084" s="1530"/>
      <c r="AT1084" s="1530"/>
      <c r="AU1084" s="1530"/>
      <c r="AV1084" s="1530"/>
      <c r="AW1084" s="1530"/>
      <c r="AX1084" s="1530"/>
      <c r="AY1084" s="1530"/>
      <c r="AZ1084" s="1530"/>
      <c r="BA1084" s="1530"/>
      <c r="BB1084" s="1530"/>
      <c r="BC1084" s="1530"/>
      <c r="BD1084" s="1530"/>
      <c r="BE1084" s="1530"/>
      <c r="BF1084" s="1530"/>
      <c r="BG1084" s="1530"/>
      <c r="BH1084" s="1530"/>
      <c r="BI1084" s="1530"/>
      <c r="BJ1084" s="1530"/>
      <c r="BK1084" s="1530"/>
      <c r="BL1084" s="1530"/>
      <c r="BM1084" s="1530"/>
      <c r="BN1084" s="1530"/>
      <c r="BW1084" s="1569"/>
      <c r="CO1084" s="1530"/>
      <c r="CP1084" s="1530"/>
      <c r="CQ1084" s="1530"/>
      <c r="CR1084" s="1530"/>
      <c r="CS1084" s="1530"/>
      <c r="CT1084" s="1530"/>
      <c r="CU1084" s="1530"/>
      <c r="CV1084" s="1530"/>
      <c r="CW1084" s="1530"/>
      <c r="CX1084" s="1530"/>
      <c r="CY1084" s="1530"/>
      <c r="CZ1084" s="1530"/>
      <c r="DA1084" s="1530"/>
      <c r="DB1084" s="1530"/>
      <c r="DC1084" s="1530"/>
      <c r="DD1084" s="1530"/>
      <c r="DE1084" s="1530"/>
      <c r="DF1084" s="1530"/>
      <c r="DG1084" s="1530"/>
      <c r="DH1084" s="1530"/>
      <c r="DI1084" s="1530"/>
      <c r="DJ1084" s="1530"/>
      <c r="DK1084" s="1530"/>
      <c r="DL1084" s="1530"/>
      <c r="DM1084" s="1530"/>
      <c r="DN1084" s="1571"/>
      <c r="DO1084" s="1530"/>
      <c r="DP1084" s="1530"/>
    </row>
    <row r="1085" spans="1:120">
      <c r="A1085" s="1451"/>
      <c r="C1085" s="1451"/>
      <c r="K1085" s="1451"/>
      <c r="L1085" s="1451"/>
      <c r="U1085" s="1530"/>
      <c r="V1085" s="1530"/>
      <c r="W1085" s="1530"/>
      <c r="X1085" s="1530"/>
      <c r="Y1085" s="1530"/>
      <c r="Z1085" s="1530"/>
      <c r="AA1085" s="1530"/>
      <c r="AB1085" s="1530"/>
      <c r="AC1085" s="1530"/>
      <c r="AD1085" s="1530"/>
      <c r="AE1085" s="1530"/>
      <c r="AF1085" s="1530"/>
      <c r="AG1085" s="1530"/>
      <c r="AH1085" s="1530"/>
      <c r="AI1085" s="1530"/>
      <c r="AJ1085" s="1530"/>
      <c r="AK1085" s="1530"/>
      <c r="AL1085" s="1530"/>
      <c r="AM1085" s="1530"/>
      <c r="AN1085" s="1530"/>
      <c r="AO1085" s="1530"/>
      <c r="AP1085" s="1530"/>
      <c r="AQ1085" s="1530"/>
      <c r="AR1085" s="1530"/>
      <c r="AS1085" s="1530"/>
      <c r="AT1085" s="1530"/>
      <c r="AU1085" s="1530"/>
      <c r="AV1085" s="1530"/>
      <c r="AW1085" s="1530"/>
      <c r="AX1085" s="1530"/>
      <c r="AY1085" s="1530"/>
      <c r="AZ1085" s="1530"/>
      <c r="BA1085" s="1530"/>
      <c r="BB1085" s="1530"/>
      <c r="BC1085" s="1530"/>
      <c r="BD1085" s="1530"/>
      <c r="BE1085" s="1530"/>
      <c r="BF1085" s="1530"/>
      <c r="BG1085" s="1530"/>
      <c r="BH1085" s="1530"/>
      <c r="BI1085" s="1530"/>
      <c r="BJ1085" s="1530"/>
      <c r="BK1085" s="1530"/>
      <c r="BL1085" s="1530"/>
      <c r="BM1085" s="1530"/>
      <c r="BN1085" s="1530"/>
      <c r="BW1085" s="1569"/>
      <c r="CO1085" s="1530"/>
      <c r="CP1085" s="1530"/>
      <c r="CQ1085" s="1530"/>
      <c r="CR1085" s="1530"/>
      <c r="CS1085" s="1530"/>
      <c r="CT1085" s="1530"/>
      <c r="CU1085" s="1530"/>
      <c r="CV1085" s="1530"/>
      <c r="CW1085" s="1530"/>
      <c r="CX1085" s="1530"/>
      <c r="CY1085" s="1530"/>
      <c r="CZ1085" s="1530"/>
      <c r="DA1085" s="1530"/>
      <c r="DB1085" s="1530"/>
      <c r="DC1085" s="1530"/>
      <c r="DD1085" s="1530"/>
      <c r="DE1085" s="1530"/>
      <c r="DF1085" s="1530"/>
      <c r="DG1085" s="1530"/>
      <c r="DH1085" s="1530"/>
      <c r="DI1085" s="1530"/>
      <c r="DJ1085" s="1530"/>
      <c r="DK1085" s="1530"/>
      <c r="DL1085" s="1530"/>
      <c r="DM1085" s="1530"/>
      <c r="DN1085" s="1571"/>
      <c r="DO1085" s="1530"/>
      <c r="DP1085" s="1530"/>
    </row>
    <row r="1086" spans="1:120">
      <c r="A1086" s="1451"/>
      <c r="C1086" s="1451"/>
      <c r="K1086" s="1451"/>
      <c r="L1086" s="1451"/>
      <c r="U1086" s="1530"/>
      <c r="V1086" s="1530"/>
      <c r="W1086" s="1530"/>
      <c r="X1086" s="1530"/>
      <c r="Y1086" s="1530"/>
      <c r="Z1086" s="1530"/>
      <c r="AA1086" s="1530"/>
      <c r="AB1086" s="1530"/>
      <c r="AC1086" s="1530"/>
      <c r="AD1086" s="1530"/>
      <c r="AE1086" s="1530"/>
      <c r="AF1086" s="1530"/>
      <c r="AG1086" s="1530"/>
      <c r="AH1086" s="1530"/>
      <c r="AI1086" s="1530"/>
      <c r="AJ1086" s="1530"/>
      <c r="AK1086" s="1530"/>
      <c r="AL1086" s="1530"/>
      <c r="AM1086" s="1530"/>
      <c r="AN1086" s="1530"/>
      <c r="AO1086" s="1530"/>
      <c r="AP1086" s="1530"/>
      <c r="AQ1086" s="1530"/>
      <c r="AR1086" s="1530"/>
      <c r="AS1086" s="1530"/>
      <c r="AT1086" s="1530"/>
      <c r="AU1086" s="1530"/>
      <c r="AV1086" s="1530"/>
      <c r="AW1086" s="1530"/>
      <c r="AX1086" s="1530"/>
      <c r="AY1086" s="1530"/>
      <c r="AZ1086" s="1530"/>
      <c r="BA1086" s="1530"/>
      <c r="BB1086" s="1530"/>
      <c r="BC1086" s="1530"/>
      <c r="BD1086" s="1530"/>
      <c r="BE1086" s="1530"/>
      <c r="BF1086" s="1530"/>
      <c r="BG1086" s="1530"/>
      <c r="BH1086" s="1530"/>
      <c r="BI1086" s="1530"/>
      <c r="BJ1086" s="1530"/>
      <c r="BK1086" s="1530"/>
      <c r="BL1086" s="1530"/>
      <c r="BM1086" s="1530"/>
      <c r="BN1086" s="1530"/>
      <c r="BW1086" s="1569"/>
      <c r="CO1086" s="1530"/>
      <c r="CP1086" s="1530"/>
      <c r="CQ1086" s="1530"/>
      <c r="CR1086" s="1530"/>
      <c r="CS1086" s="1530"/>
      <c r="CT1086" s="1530"/>
      <c r="CU1086" s="1530"/>
      <c r="CV1086" s="1530"/>
      <c r="CW1086" s="1530"/>
      <c r="CX1086" s="1530"/>
      <c r="CY1086" s="1530"/>
      <c r="CZ1086" s="1530"/>
      <c r="DA1086" s="1530"/>
      <c r="DB1086" s="1530"/>
      <c r="DC1086" s="1530"/>
      <c r="DD1086" s="1530"/>
      <c r="DE1086" s="1530"/>
      <c r="DF1086" s="1530"/>
      <c r="DG1086" s="1530"/>
      <c r="DH1086" s="1530"/>
      <c r="DI1086" s="1530"/>
      <c r="DJ1086" s="1530"/>
      <c r="DK1086" s="1530"/>
      <c r="DL1086" s="1530"/>
      <c r="DM1086" s="1530"/>
      <c r="DN1086" s="1571"/>
      <c r="DO1086" s="1530"/>
      <c r="DP1086" s="1530"/>
    </row>
    <row r="1087" spans="1:120">
      <c r="A1087" s="1451"/>
      <c r="C1087" s="1451"/>
      <c r="K1087" s="1451"/>
      <c r="L1087" s="1451"/>
      <c r="U1087" s="1530"/>
      <c r="V1087" s="1530"/>
      <c r="W1087" s="1530"/>
      <c r="X1087" s="1530"/>
      <c r="Y1087" s="1530"/>
      <c r="Z1087" s="1530"/>
      <c r="AA1087" s="1530"/>
      <c r="AB1087" s="1530"/>
      <c r="AC1087" s="1530"/>
      <c r="AD1087" s="1530"/>
      <c r="AE1087" s="1530"/>
      <c r="AF1087" s="1530"/>
      <c r="AG1087" s="1530"/>
      <c r="AH1087" s="1530"/>
      <c r="AI1087" s="1530"/>
      <c r="AJ1087" s="1530"/>
      <c r="AK1087" s="1530"/>
      <c r="AL1087" s="1530"/>
      <c r="AM1087" s="1530"/>
      <c r="AN1087" s="1530"/>
      <c r="AO1087" s="1530"/>
      <c r="AP1087" s="1530"/>
      <c r="AQ1087" s="1530"/>
      <c r="AR1087" s="1530"/>
      <c r="AS1087" s="1530"/>
      <c r="AT1087" s="1530"/>
      <c r="AU1087" s="1530"/>
      <c r="AV1087" s="1530"/>
      <c r="AW1087" s="1530"/>
      <c r="AX1087" s="1530"/>
      <c r="AY1087" s="1530"/>
      <c r="AZ1087" s="1530"/>
      <c r="BA1087" s="1530"/>
      <c r="BB1087" s="1530"/>
      <c r="BC1087" s="1530"/>
      <c r="BD1087" s="1530"/>
      <c r="BE1087" s="1530"/>
      <c r="BF1087" s="1530"/>
      <c r="BG1087" s="1530"/>
      <c r="BH1087" s="1530"/>
      <c r="BI1087" s="1530"/>
      <c r="BJ1087" s="1530"/>
      <c r="BK1087" s="1530"/>
      <c r="BL1087" s="1530"/>
      <c r="BM1087" s="1530"/>
      <c r="BN1087" s="1530"/>
      <c r="BW1087" s="1569"/>
      <c r="CO1087" s="1530"/>
      <c r="CP1087" s="1530"/>
      <c r="CQ1087" s="1530"/>
      <c r="CR1087" s="1530"/>
      <c r="CS1087" s="1530"/>
      <c r="CT1087" s="1530"/>
      <c r="CU1087" s="1530"/>
      <c r="CV1087" s="1530"/>
      <c r="CW1087" s="1530"/>
      <c r="CX1087" s="1530"/>
      <c r="CY1087" s="1530"/>
      <c r="CZ1087" s="1530"/>
      <c r="DA1087" s="1530"/>
      <c r="DB1087" s="1530"/>
      <c r="DC1087" s="1530"/>
      <c r="DD1087" s="1530"/>
      <c r="DE1087" s="1530"/>
      <c r="DF1087" s="1530"/>
      <c r="DG1087" s="1530"/>
      <c r="DH1087" s="1530"/>
      <c r="DI1087" s="1530"/>
      <c r="DJ1087" s="1530"/>
      <c r="DK1087" s="1530"/>
      <c r="DL1087" s="1530"/>
      <c r="DM1087" s="1530"/>
      <c r="DN1087" s="1571"/>
      <c r="DO1087" s="1530"/>
      <c r="DP1087" s="1530"/>
    </row>
    <row r="1088" spans="1:120">
      <c r="A1088" s="1451"/>
      <c r="C1088" s="1451"/>
      <c r="K1088" s="1451"/>
      <c r="L1088" s="1451"/>
      <c r="U1088" s="1530"/>
      <c r="V1088" s="1530"/>
      <c r="W1088" s="1530"/>
      <c r="X1088" s="1530"/>
      <c r="Y1088" s="1530"/>
      <c r="Z1088" s="1530"/>
      <c r="AA1088" s="1530"/>
      <c r="AB1088" s="1530"/>
      <c r="AC1088" s="1530"/>
      <c r="AD1088" s="1530"/>
      <c r="AE1088" s="1530"/>
      <c r="AF1088" s="1530"/>
      <c r="AG1088" s="1530"/>
      <c r="AH1088" s="1530"/>
      <c r="AI1088" s="1530"/>
      <c r="AJ1088" s="1530"/>
      <c r="AK1088" s="1530"/>
      <c r="AL1088" s="1530"/>
      <c r="AM1088" s="1530"/>
      <c r="AN1088" s="1530"/>
      <c r="AO1088" s="1530"/>
      <c r="AP1088" s="1530"/>
      <c r="AQ1088" s="1530"/>
      <c r="AR1088" s="1530"/>
      <c r="AS1088" s="1530"/>
      <c r="AT1088" s="1530"/>
      <c r="AU1088" s="1530"/>
      <c r="AV1088" s="1530"/>
      <c r="AW1088" s="1530"/>
      <c r="AX1088" s="1530"/>
      <c r="AY1088" s="1530"/>
      <c r="AZ1088" s="1530"/>
      <c r="BA1088" s="1530"/>
      <c r="BB1088" s="1530"/>
      <c r="BC1088" s="1530"/>
      <c r="BD1088" s="1530"/>
      <c r="BE1088" s="1530"/>
      <c r="BF1088" s="1530"/>
      <c r="BG1088" s="1530"/>
      <c r="BH1088" s="1530"/>
      <c r="BI1088" s="1530"/>
      <c r="BJ1088" s="1530"/>
      <c r="BK1088" s="1530"/>
      <c r="BL1088" s="1530"/>
      <c r="BM1088" s="1530"/>
      <c r="BN1088" s="1530"/>
      <c r="BW1088" s="1569"/>
      <c r="CO1088" s="1530"/>
      <c r="CP1088" s="1530"/>
      <c r="CQ1088" s="1530"/>
      <c r="CR1088" s="1530"/>
      <c r="CS1088" s="1530"/>
      <c r="CT1088" s="1530"/>
      <c r="CU1088" s="1530"/>
      <c r="CV1088" s="1530"/>
      <c r="CW1088" s="1530"/>
      <c r="CX1088" s="1530"/>
      <c r="CY1088" s="1530"/>
      <c r="CZ1088" s="1530"/>
      <c r="DA1088" s="1530"/>
      <c r="DB1088" s="1530"/>
      <c r="DC1088" s="1530"/>
      <c r="DD1088" s="1530"/>
      <c r="DE1088" s="1530"/>
      <c r="DF1088" s="1530"/>
      <c r="DG1088" s="1530"/>
      <c r="DH1088" s="1530"/>
      <c r="DI1088" s="1530"/>
      <c r="DJ1088" s="1530"/>
      <c r="DK1088" s="1530"/>
      <c r="DL1088" s="1530"/>
      <c r="DM1088" s="1530"/>
      <c r="DN1088" s="1571"/>
      <c r="DO1088" s="1530"/>
      <c r="DP1088" s="1530"/>
    </row>
    <row r="1089" spans="1:120">
      <c r="A1089" s="1451"/>
      <c r="C1089" s="1451"/>
      <c r="K1089" s="1451"/>
      <c r="L1089" s="1451"/>
      <c r="U1089" s="1530"/>
      <c r="V1089" s="1530"/>
      <c r="W1089" s="1530"/>
      <c r="X1089" s="1530"/>
      <c r="Y1089" s="1530"/>
      <c r="Z1089" s="1530"/>
      <c r="AA1089" s="1530"/>
      <c r="AB1089" s="1530"/>
      <c r="AC1089" s="1530"/>
      <c r="AD1089" s="1530"/>
      <c r="AE1089" s="1530"/>
      <c r="AF1089" s="1530"/>
      <c r="AG1089" s="1530"/>
      <c r="AH1089" s="1530"/>
      <c r="AI1089" s="1530"/>
      <c r="AJ1089" s="1530"/>
      <c r="AK1089" s="1530"/>
      <c r="AL1089" s="1530"/>
      <c r="AM1089" s="1530"/>
      <c r="AN1089" s="1530"/>
      <c r="AO1089" s="1530"/>
      <c r="AP1089" s="1530"/>
      <c r="AQ1089" s="1530"/>
      <c r="AR1089" s="1530"/>
      <c r="AS1089" s="1530"/>
      <c r="AT1089" s="1530"/>
      <c r="AU1089" s="1530"/>
      <c r="AV1089" s="1530"/>
      <c r="AW1089" s="1530"/>
      <c r="AX1089" s="1530"/>
      <c r="AY1089" s="1530"/>
      <c r="AZ1089" s="1530"/>
      <c r="BA1089" s="1530"/>
      <c r="BB1089" s="1530"/>
      <c r="BC1089" s="1530"/>
      <c r="BD1089" s="1530"/>
      <c r="BE1089" s="1530"/>
      <c r="BF1089" s="1530"/>
      <c r="BG1089" s="1530"/>
      <c r="BH1089" s="1530"/>
      <c r="BI1089" s="1530"/>
      <c r="BJ1089" s="1530"/>
      <c r="BK1089" s="1530"/>
      <c r="BL1089" s="1530"/>
      <c r="BM1089" s="1530"/>
      <c r="BN1089" s="1530"/>
      <c r="BW1089" s="1569"/>
      <c r="CO1089" s="1530"/>
      <c r="CP1089" s="1530"/>
      <c r="CQ1089" s="1530"/>
      <c r="CR1089" s="1530"/>
      <c r="CS1089" s="1530"/>
      <c r="CT1089" s="1530"/>
      <c r="CU1089" s="1530"/>
      <c r="CV1089" s="1530"/>
      <c r="CW1089" s="1530"/>
      <c r="CX1089" s="1530"/>
      <c r="CY1089" s="1530"/>
      <c r="CZ1089" s="1530"/>
      <c r="DA1089" s="1530"/>
      <c r="DB1089" s="1530"/>
      <c r="DC1089" s="1530"/>
      <c r="DD1089" s="1530"/>
      <c r="DE1089" s="1530"/>
      <c r="DF1089" s="1530"/>
      <c r="DG1089" s="1530"/>
      <c r="DH1089" s="1530"/>
      <c r="DI1089" s="1530"/>
      <c r="DJ1089" s="1530"/>
      <c r="DK1089" s="1530"/>
      <c r="DL1089" s="1530"/>
      <c r="DM1089" s="1530"/>
      <c r="DN1089" s="1571"/>
      <c r="DO1089" s="1530"/>
      <c r="DP1089" s="1530"/>
    </row>
    <row r="1090" spans="1:120">
      <c r="A1090" s="1451"/>
      <c r="C1090" s="1451"/>
      <c r="K1090" s="1451"/>
      <c r="L1090" s="1451"/>
      <c r="U1090" s="1530"/>
      <c r="V1090" s="1530"/>
      <c r="W1090" s="1530"/>
      <c r="X1090" s="1530"/>
      <c r="Y1090" s="1530"/>
      <c r="Z1090" s="1530"/>
      <c r="AA1090" s="1530"/>
      <c r="AB1090" s="1530"/>
      <c r="AC1090" s="1530"/>
      <c r="AD1090" s="1530"/>
      <c r="AE1090" s="1530"/>
      <c r="AF1090" s="1530"/>
      <c r="AG1090" s="1530"/>
      <c r="AH1090" s="1530"/>
      <c r="AI1090" s="1530"/>
      <c r="AJ1090" s="1530"/>
      <c r="AK1090" s="1530"/>
      <c r="AL1090" s="1530"/>
      <c r="AM1090" s="1530"/>
      <c r="AN1090" s="1530"/>
      <c r="AO1090" s="1530"/>
      <c r="AP1090" s="1530"/>
      <c r="AQ1090" s="1530"/>
      <c r="AR1090" s="1530"/>
      <c r="AS1090" s="1530"/>
      <c r="AT1090" s="1530"/>
      <c r="AU1090" s="1530"/>
      <c r="AV1090" s="1530"/>
      <c r="AW1090" s="1530"/>
      <c r="AX1090" s="1530"/>
      <c r="AY1090" s="1530"/>
      <c r="AZ1090" s="1530"/>
      <c r="BA1090" s="1530"/>
      <c r="BB1090" s="1530"/>
      <c r="BC1090" s="1530"/>
      <c r="BD1090" s="1530"/>
      <c r="BE1090" s="1530"/>
      <c r="BF1090" s="1530"/>
      <c r="BG1090" s="1530"/>
      <c r="BH1090" s="1530"/>
      <c r="BI1090" s="1530"/>
      <c r="BJ1090" s="1530"/>
      <c r="BK1090" s="1530"/>
      <c r="BL1090" s="1530"/>
      <c r="BM1090" s="1530"/>
      <c r="BN1090" s="1530"/>
      <c r="BW1090" s="1569"/>
      <c r="CO1090" s="1530"/>
      <c r="CP1090" s="1530"/>
      <c r="CQ1090" s="1530"/>
      <c r="CR1090" s="1530"/>
      <c r="CS1090" s="1530"/>
      <c r="CT1090" s="1530"/>
      <c r="CU1090" s="1530"/>
      <c r="CV1090" s="1530"/>
      <c r="CW1090" s="1530"/>
      <c r="CX1090" s="1530"/>
      <c r="CY1090" s="1530"/>
      <c r="CZ1090" s="1530"/>
      <c r="DA1090" s="1530"/>
      <c r="DB1090" s="1530"/>
      <c r="DC1090" s="1530"/>
      <c r="DD1090" s="1530"/>
      <c r="DE1090" s="1530"/>
      <c r="DF1090" s="1530"/>
      <c r="DG1090" s="1530"/>
      <c r="DH1090" s="1530"/>
      <c r="DI1090" s="1530"/>
      <c r="DJ1090" s="1530"/>
      <c r="DK1090" s="1530"/>
      <c r="DL1090" s="1530"/>
      <c r="DM1090" s="1530"/>
      <c r="DN1090" s="1571"/>
      <c r="DO1090" s="1530"/>
      <c r="DP1090" s="1530"/>
    </row>
    <row r="1091" spans="1:120">
      <c r="A1091" s="1451"/>
      <c r="C1091" s="1451"/>
      <c r="K1091" s="1451"/>
      <c r="L1091" s="1451"/>
      <c r="U1091" s="1530"/>
      <c r="V1091" s="1530"/>
      <c r="W1091" s="1530"/>
      <c r="X1091" s="1530"/>
      <c r="Y1091" s="1530"/>
      <c r="Z1091" s="1530"/>
      <c r="AA1091" s="1530"/>
      <c r="AB1091" s="1530"/>
      <c r="AC1091" s="1530"/>
      <c r="AD1091" s="1530"/>
      <c r="AE1091" s="1530"/>
      <c r="AF1091" s="1530"/>
      <c r="AG1091" s="1530"/>
      <c r="AH1091" s="1530"/>
      <c r="AI1091" s="1530"/>
      <c r="AJ1091" s="1530"/>
      <c r="AK1091" s="1530"/>
      <c r="AL1091" s="1530"/>
      <c r="AM1091" s="1530"/>
      <c r="AN1091" s="1530"/>
      <c r="AO1091" s="1530"/>
      <c r="AP1091" s="1530"/>
      <c r="AQ1091" s="1530"/>
      <c r="AR1091" s="1530"/>
      <c r="AS1091" s="1530"/>
      <c r="AT1091" s="1530"/>
      <c r="AU1091" s="1530"/>
      <c r="AV1091" s="1530"/>
      <c r="AW1091" s="1530"/>
      <c r="AX1091" s="1530"/>
      <c r="AY1091" s="1530"/>
      <c r="AZ1091" s="1530"/>
      <c r="BA1091" s="1530"/>
      <c r="BB1091" s="1530"/>
      <c r="BC1091" s="1530"/>
      <c r="BD1091" s="1530"/>
      <c r="BE1091" s="1530"/>
      <c r="BF1091" s="1530"/>
      <c r="BG1091" s="1530"/>
      <c r="BH1091" s="1530"/>
      <c r="BI1091" s="1530"/>
      <c r="BJ1091" s="1530"/>
      <c r="BK1091" s="1530"/>
      <c r="BL1091" s="1530"/>
      <c r="BM1091" s="1530"/>
      <c r="BN1091" s="1530"/>
      <c r="BW1091" s="1569"/>
      <c r="CO1091" s="1530"/>
      <c r="CP1091" s="1530"/>
      <c r="CQ1091" s="1530"/>
      <c r="CR1091" s="1530"/>
      <c r="CS1091" s="1530"/>
      <c r="CT1091" s="1530"/>
      <c r="CU1091" s="1530"/>
      <c r="CV1091" s="1530"/>
      <c r="CW1091" s="1530"/>
      <c r="CX1091" s="1530"/>
      <c r="CY1091" s="1530"/>
      <c r="CZ1091" s="1530"/>
      <c r="DA1091" s="1530"/>
      <c r="DB1091" s="1530"/>
      <c r="DC1091" s="1530"/>
      <c r="DD1091" s="1530"/>
      <c r="DE1091" s="1530"/>
      <c r="DF1091" s="1530"/>
      <c r="DG1091" s="1530"/>
      <c r="DH1091" s="1530"/>
      <c r="DI1091" s="1530"/>
      <c r="DJ1091" s="1530"/>
      <c r="DK1091" s="1530"/>
      <c r="DL1091" s="1530"/>
      <c r="DM1091" s="1530"/>
      <c r="DN1091" s="1571"/>
      <c r="DO1091" s="1530"/>
      <c r="DP1091" s="1530"/>
    </row>
    <row r="1092" spans="1:120">
      <c r="A1092" s="1451"/>
      <c r="C1092" s="1451"/>
      <c r="K1092" s="1451"/>
      <c r="L1092" s="1451"/>
      <c r="U1092" s="1530"/>
      <c r="V1092" s="1530"/>
      <c r="W1092" s="1530"/>
      <c r="X1092" s="1530"/>
      <c r="Y1092" s="1530"/>
      <c r="Z1092" s="1530"/>
      <c r="AA1092" s="1530"/>
      <c r="AB1092" s="1530"/>
      <c r="AC1092" s="1530"/>
      <c r="AD1092" s="1530"/>
      <c r="AE1092" s="1530"/>
      <c r="AF1092" s="1530"/>
      <c r="AG1092" s="1530"/>
      <c r="AH1092" s="1530"/>
      <c r="AI1092" s="1530"/>
      <c r="AJ1092" s="1530"/>
      <c r="AK1092" s="1530"/>
      <c r="AL1092" s="1530"/>
      <c r="AM1092" s="1530"/>
      <c r="AN1092" s="1530"/>
      <c r="AO1092" s="1530"/>
      <c r="AP1092" s="1530"/>
      <c r="AQ1092" s="1530"/>
      <c r="AR1092" s="1530"/>
      <c r="AS1092" s="1530"/>
      <c r="AT1092" s="1530"/>
      <c r="AU1092" s="1530"/>
      <c r="AV1092" s="1530"/>
      <c r="AW1092" s="1530"/>
      <c r="AX1092" s="1530"/>
      <c r="AY1092" s="1530"/>
      <c r="AZ1092" s="1530"/>
      <c r="BA1092" s="1530"/>
      <c r="BB1092" s="1530"/>
      <c r="BC1092" s="1530"/>
      <c r="BD1092" s="1530"/>
      <c r="BE1092" s="1530"/>
      <c r="BF1092" s="1530"/>
      <c r="BG1092" s="1530"/>
      <c r="BH1092" s="1530"/>
      <c r="BI1092" s="1530"/>
      <c r="BJ1092" s="1530"/>
      <c r="BK1092" s="1530"/>
      <c r="BL1092" s="1530"/>
      <c r="BM1092" s="1530"/>
      <c r="BN1092" s="1530"/>
      <c r="BW1092" s="1569"/>
      <c r="CO1092" s="1530"/>
      <c r="CP1092" s="1530"/>
      <c r="CQ1092" s="1530"/>
      <c r="CR1092" s="1530"/>
      <c r="CS1092" s="1530"/>
      <c r="CT1092" s="1530"/>
      <c r="CU1092" s="1530"/>
      <c r="CV1092" s="1530"/>
      <c r="CW1092" s="1530"/>
      <c r="CX1092" s="1530"/>
      <c r="CY1092" s="1530"/>
      <c r="CZ1092" s="1530"/>
      <c r="DA1092" s="1530"/>
      <c r="DB1092" s="1530"/>
      <c r="DC1092" s="1530"/>
      <c r="DD1092" s="1530"/>
      <c r="DE1092" s="1530"/>
      <c r="DF1092" s="1530"/>
      <c r="DG1092" s="1530"/>
      <c r="DH1092" s="1530"/>
      <c r="DI1092" s="1530"/>
      <c r="DJ1092" s="1530"/>
      <c r="DK1092" s="1530"/>
      <c r="DL1092" s="1530"/>
      <c r="DM1092" s="1530"/>
      <c r="DN1092" s="1571"/>
      <c r="DO1092" s="1530"/>
      <c r="DP1092" s="1530"/>
    </row>
    <row r="1093" spans="1:120">
      <c r="A1093" s="1451"/>
      <c r="C1093" s="1451"/>
      <c r="K1093" s="1451"/>
      <c r="L1093" s="1451"/>
      <c r="U1093" s="1530"/>
      <c r="V1093" s="1530"/>
      <c r="W1093" s="1530"/>
      <c r="X1093" s="1530"/>
      <c r="Y1093" s="1530"/>
      <c r="Z1093" s="1530"/>
      <c r="AA1093" s="1530"/>
      <c r="AB1093" s="1530"/>
      <c r="AC1093" s="1530"/>
      <c r="AD1093" s="1530"/>
      <c r="AE1093" s="1530"/>
      <c r="AF1093" s="1530"/>
      <c r="AG1093" s="1530"/>
      <c r="AH1093" s="1530"/>
      <c r="AI1093" s="1530"/>
      <c r="AJ1093" s="1530"/>
      <c r="AK1093" s="1530"/>
      <c r="AL1093" s="1530"/>
      <c r="AM1093" s="1530"/>
      <c r="AN1093" s="1530"/>
      <c r="AO1093" s="1530"/>
      <c r="AP1093" s="1530"/>
      <c r="AQ1093" s="1530"/>
      <c r="AR1093" s="1530"/>
      <c r="AS1093" s="1530"/>
      <c r="AT1093" s="1530"/>
      <c r="AU1093" s="1530"/>
      <c r="AV1093" s="1530"/>
      <c r="AW1093" s="1530"/>
      <c r="AX1093" s="1530"/>
      <c r="AY1093" s="1530"/>
      <c r="AZ1093" s="1530"/>
      <c r="BA1093" s="1530"/>
      <c r="BB1093" s="1530"/>
      <c r="BC1093" s="1530"/>
      <c r="BD1093" s="1530"/>
      <c r="BE1093" s="1530"/>
      <c r="BF1093" s="1530"/>
      <c r="BG1093" s="1530"/>
      <c r="BH1093" s="1530"/>
      <c r="BI1093" s="1530"/>
      <c r="BJ1093" s="1530"/>
      <c r="BK1093" s="1530"/>
      <c r="BL1093" s="1530"/>
      <c r="BM1093" s="1530"/>
      <c r="BN1093" s="1530"/>
      <c r="BW1093" s="1569"/>
      <c r="CO1093" s="1530"/>
      <c r="CP1093" s="1530"/>
      <c r="CQ1093" s="1530"/>
      <c r="CR1093" s="1530"/>
      <c r="CS1093" s="1530"/>
      <c r="CT1093" s="1530"/>
      <c r="CU1093" s="1530"/>
      <c r="CV1093" s="1530"/>
      <c r="CW1093" s="1530"/>
      <c r="CX1093" s="1530"/>
      <c r="CY1093" s="1530"/>
      <c r="CZ1093" s="1530"/>
      <c r="DA1093" s="1530"/>
      <c r="DB1093" s="1530"/>
      <c r="DC1093" s="1530"/>
      <c r="DD1093" s="1530"/>
      <c r="DE1093" s="1530"/>
      <c r="DF1093" s="1530"/>
      <c r="DG1093" s="1530"/>
      <c r="DH1093" s="1530"/>
      <c r="DI1093" s="1530"/>
      <c r="DJ1093" s="1530"/>
      <c r="DK1093" s="1530"/>
      <c r="DL1093" s="1530"/>
      <c r="DM1093" s="1530"/>
      <c r="DN1093" s="1571"/>
      <c r="DO1093" s="1530"/>
      <c r="DP1093" s="1530"/>
    </row>
    <row r="1094" spans="1:120">
      <c r="A1094" s="1451"/>
      <c r="C1094" s="1451"/>
      <c r="K1094" s="1451"/>
      <c r="L1094" s="1451"/>
      <c r="U1094" s="1530"/>
      <c r="V1094" s="1530"/>
      <c r="W1094" s="1530"/>
      <c r="X1094" s="1530"/>
      <c r="Y1094" s="1530"/>
      <c r="Z1094" s="1530"/>
      <c r="AA1094" s="1530"/>
      <c r="AB1094" s="1530"/>
      <c r="AC1094" s="1530"/>
      <c r="AD1094" s="1530"/>
      <c r="AE1094" s="1530"/>
      <c r="AF1094" s="1530"/>
      <c r="AG1094" s="1530"/>
      <c r="AH1094" s="1530"/>
      <c r="AI1094" s="1530"/>
      <c r="AJ1094" s="1530"/>
      <c r="AK1094" s="1530"/>
      <c r="AL1094" s="1530"/>
      <c r="AM1094" s="1530"/>
      <c r="AN1094" s="1530"/>
      <c r="AO1094" s="1530"/>
      <c r="AP1094" s="1530"/>
      <c r="AQ1094" s="1530"/>
      <c r="AR1094" s="1530"/>
      <c r="AS1094" s="1530"/>
      <c r="AT1094" s="1530"/>
      <c r="AU1094" s="1530"/>
      <c r="AV1094" s="1530"/>
      <c r="AW1094" s="1530"/>
      <c r="AX1094" s="1530"/>
      <c r="AY1094" s="1530"/>
      <c r="AZ1094" s="1530"/>
      <c r="BA1094" s="1530"/>
      <c r="BB1094" s="1530"/>
      <c r="BC1094" s="1530"/>
      <c r="BD1094" s="1530"/>
      <c r="BE1094" s="1530"/>
      <c r="BF1094" s="1530"/>
      <c r="BG1094" s="1530"/>
      <c r="BH1094" s="1530"/>
      <c r="BI1094" s="1530"/>
      <c r="BJ1094" s="1530"/>
      <c r="BK1094" s="1530"/>
      <c r="BL1094" s="1530"/>
      <c r="BM1094" s="1530"/>
      <c r="BN1094" s="1530"/>
      <c r="BW1094" s="1569"/>
      <c r="CO1094" s="1530"/>
      <c r="CP1094" s="1530"/>
      <c r="CQ1094" s="1530"/>
      <c r="CR1094" s="1530"/>
      <c r="CS1094" s="1530"/>
      <c r="CT1094" s="1530"/>
      <c r="CU1094" s="1530"/>
      <c r="CV1094" s="1530"/>
      <c r="CW1094" s="1530"/>
      <c r="CX1094" s="1530"/>
      <c r="CY1094" s="1530"/>
      <c r="CZ1094" s="1530"/>
      <c r="DA1094" s="1530"/>
      <c r="DB1094" s="1530"/>
      <c r="DC1094" s="1530"/>
      <c r="DD1094" s="1530"/>
      <c r="DE1094" s="1530"/>
      <c r="DF1094" s="1530"/>
      <c r="DG1094" s="1530"/>
      <c r="DH1094" s="1530"/>
      <c r="DI1094" s="1530"/>
      <c r="DJ1094" s="1530"/>
      <c r="DK1094" s="1530"/>
      <c r="DL1094" s="1530"/>
      <c r="DM1094" s="1530"/>
      <c r="DN1094" s="1571"/>
      <c r="DO1094" s="1530"/>
      <c r="DP1094" s="1530"/>
    </row>
    <row r="1095" spans="1:120">
      <c r="A1095" s="1451"/>
      <c r="C1095" s="1451"/>
      <c r="K1095" s="1451"/>
      <c r="L1095" s="1451"/>
      <c r="U1095" s="1530"/>
      <c r="V1095" s="1530"/>
      <c r="W1095" s="1530"/>
      <c r="X1095" s="1530"/>
      <c r="Y1095" s="1530"/>
      <c r="Z1095" s="1530"/>
      <c r="AA1095" s="1530"/>
      <c r="AB1095" s="1530"/>
      <c r="AC1095" s="1530"/>
      <c r="AD1095" s="1530"/>
      <c r="AE1095" s="1530"/>
      <c r="AF1095" s="1530"/>
      <c r="AG1095" s="1530"/>
      <c r="AH1095" s="1530"/>
      <c r="AI1095" s="1530"/>
      <c r="AJ1095" s="1530"/>
      <c r="AK1095" s="1530"/>
      <c r="AL1095" s="1530"/>
      <c r="AM1095" s="1530"/>
      <c r="AN1095" s="1530"/>
      <c r="AO1095" s="1530"/>
      <c r="AP1095" s="1530"/>
      <c r="AQ1095" s="1530"/>
      <c r="AR1095" s="1530"/>
      <c r="AS1095" s="1530"/>
      <c r="AT1095" s="1530"/>
      <c r="AU1095" s="1530"/>
      <c r="AV1095" s="1530"/>
      <c r="AW1095" s="1530"/>
      <c r="AX1095" s="1530"/>
      <c r="AY1095" s="1530"/>
      <c r="AZ1095" s="1530"/>
      <c r="BA1095" s="1530"/>
      <c r="BB1095" s="1530"/>
      <c r="BC1095" s="1530"/>
      <c r="BD1095" s="1530"/>
      <c r="BE1095" s="1530"/>
      <c r="BF1095" s="1530"/>
      <c r="BG1095" s="1530"/>
      <c r="BH1095" s="1530"/>
      <c r="BI1095" s="1530"/>
      <c r="BJ1095" s="1530"/>
      <c r="BK1095" s="1530"/>
      <c r="BL1095" s="1530"/>
      <c r="BM1095" s="1530"/>
      <c r="BN1095" s="1530"/>
      <c r="BW1095" s="1569"/>
      <c r="CO1095" s="1530"/>
      <c r="CP1095" s="1530"/>
      <c r="CQ1095" s="1530"/>
      <c r="CR1095" s="1530"/>
      <c r="CS1095" s="1530"/>
      <c r="CT1095" s="1530"/>
      <c r="CU1095" s="1530"/>
      <c r="CV1095" s="1530"/>
      <c r="CW1095" s="1530"/>
      <c r="CX1095" s="1530"/>
      <c r="CY1095" s="1530"/>
      <c r="CZ1095" s="1530"/>
      <c r="DA1095" s="1530"/>
      <c r="DB1095" s="1530"/>
      <c r="DC1095" s="1530"/>
      <c r="DD1095" s="1530"/>
      <c r="DE1095" s="1530"/>
      <c r="DF1095" s="1530"/>
      <c r="DG1095" s="1530"/>
      <c r="DH1095" s="1530"/>
      <c r="DI1095" s="1530"/>
      <c r="DJ1095" s="1530"/>
      <c r="DK1095" s="1530"/>
      <c r="DL1095" s="1530"/>
      <c r="DM1095" s="1530"/>
      <c r="DN1095" s="1571"/>
      <c r="DO1095" s="1530"/>
      <c r="DP1095" s="1530"/>
    </row>
    <row r="1096" spans="1:120">
      <c r="A1096" s="1451"/>
      <c r="C1096" s="1451"/>
      <c r="K1096" s="1451"/>
      <c r="L1096" s="1451"/>
      <c r="U1096" s="1530"/>
      <c r="V1096" s="1530"/>
      <c r="W1096" s="1530"/>
      <c r="X1096" s="1530"/>
      <c r="Y1096" s="1530"/>
      <c r="Z1096" s="1530"/>
      <c r="AA1096" s="1530"/>
      <c r="AB1096" s="1530"/>
      <c r="AC1096" s="1530"/>
      <c r="AD1096" s="1530"/>
      <c r="AE1096" s="1530"/>
      <c r="AF1096" s="1530"/>
      <c r="AG1096" s="1530"/>
      <c r="AH1096" s="1530"/>
      <c r="AI1096" s="1530"/>
      <c r="AJ1096" s="1530"/>
      <c r="AK1096" s="1530"/>
      <c r="AL1096" s="1530"/>
      <c r="AM1096" s="1530"/>
      <c r="AN1096" s="1530"/>
      <c r="AO1096" s="1530"/>
      <c r="AP1096" s="1530"/>
      <c r="AQ1096" s="1530"/>
      <c r="AR1096" s="1530"/>
      <c r="AS1096" s="1530"/>
      <c r="AT1096" s="1530"/>
      <c r="AU1096" s="1530"/>
      <c r="AV1096" s="1530"/>
      <c r="AW1096" s="1530"/>
      <c r="AX1096" s="1530"/>
      <c r="AY1096" s="1530"/>
      <c r="AZ1096" s="1530"/>
      <c r="BA1096" s="1530"/>
      <c r="BB1096" s="1530"/>
      <c r="BC1096" s="1530"/>
      <c r="BD1096" s="1530"/>
      <c r="BE1096" s="1530"/>
      <c r="BF1096" s="1530"/>
      <c r="BG1096" s="1530"/>
      <c r="BH1096" s="1530"/>
      <c r="BI1096" s="1530"/>
      <c r="BJ1096" s="1530"/>
      <c r="BK1096" s="1530"/>
      <c r="BL1096" s="1530"/>
      <c r="BM1096" s="1530"/>
      <c r="BN1096" s="1530"/>
      <c r="BW1096" s="1569"/>
      <c r="CO1096" s="1530"/>
      <c r="CP1096" s="1530"/>
      <c r="CQ1096" s="1530"/>
      <c r="CR1096" s="1530"/>
      <c r="CS1096" s="1530"/>
      <c r="CT1096" s="1530"/>
      <c r="CU1096" s="1530"/>
      <c r="CV1096" s="1530"/>
      <c r="CW1096" s="1530"/>
      <c r="CX1096" s="1530"/>
      <c r="CY1096" s="1530"/>
      <c r="CZ1096" s="1530"/>
      <c r="DA1096" s="1530"/>
      <c r="DB1096" s="1530"/>
      <c r="DC1096" s="1530"/>
      <c r="DD1096" s="1530"/>
      <c r="DE1096" s="1530"/>
      <c r="DF1096" s="1530"/>
      <c r="DG1096" s="1530"/>
      <c r="DH1096" s="1530"/>
      <c r="DI1096" s="1530"/>
      <c r="DJ1096" s="1530"/>
      <c r="DK1096" s="1530"/>
      <c r="DL1096" s="1530"/>
      <c r="DM1096" s="1530"/>
      <c r="DN1096" s="1571"/>
      <c r="DO1096" s="1530"/>
      <c r="DP1096" s="1530"/>
    </row>
    <row r="1097" spans="1:120">
      <c r="A1097" s="1451"/>
      <c r="C1097" s="1451"/>
      <c r="K1097" s="1451"/>
      <c r="L1097" s="1451"/>
      <c r="U1097" s="1530"/>
      <c r="V1097" s="1530"/>
      <c r="W1097" s="1530"/>
      <c r="X1097" s="1530"/>
      <c r="Y1097" s="1530"/>
      <c r="Z1097" s="1530"/>
      <c r="AA1097" s="1530"/>
      <c r="AB1097" s="1530"/>
      <c r="AC1097" s="1530"/>
      <c r="AD1097" s="1530"/>
      <c r="AE1097" s="1530"/>
      <c r="AF1097" s="1530"/>
      <c r="AG1097" s="1530"/>
      <c r="AH1097" s="1530"/>
      <c r="AI1097" s="1530"/>
      <c r="AJ1097" s="1530"/>
      <c r="AK1097" s="1530"/>
      <c r="AL1097" s="1530"/>
      <c r="AM1097" s="1530"/>
      <c r="AN1097" s="1530"/>
      <c r="AO1097" s="1530"/>
      <c r="AP1097" s="1530"/>
      <c r="AQ1097" s="1530"/>
      <c r="AR1097" s="1530"/>
      <c r="AS1097" s="1530"/>
      <c r="AT1097" s="1530"/>
      <c r="AU1097" s="1530"/>
      <c r="AV1097" s="1530"/>
      <c r="AW1097" s="1530"/>
      <c r="AX1097" s="1530"/>
      <c r="AY1097" s="1530"/>
      <c r="AZ1097" s="1530"/>
      <c r="BA1097" s="1530"/>
      <c r="BB1097" s="1530"/>
      <c r="BC1097" s="1530"/>
      <c r="BD1097" s="1530"/>
      <c r="BE1097" s="1530"/>
      <c r="BF1097" s="1530"/>
      <c r="BG1097" s="1530"/>
      <c r="BH1097" s="1530"/>
      <c r="BI1097" s="1530"/>
      <c r="BJ1097" s="1530"/>
      <c r="BK1097" s="1530"/>
      <c r="BL1097" s="1530"/>
      <c r="BM1097" s="1530"/>
      <c r="BN1097" s="1530"/>
      <c r="BW1097" s="1569"/>
      <c r="CO1097" s="1530"/>
      <c r="CP1097" s="1530"/>
      <c r="CQ1097" s="1530"/>
      <c r="CR1097" s="1530"/>
      <c r="CS1097" s="1530"/>
      <c r="CT1097" s="1530"/>
      <c r="CU1097" s="1530"/>
      <c r="CV1097" s="1530"/>
      <c r="CW1097" s="1530"/>
      <c r="CX1097" s="1530"/>
      <c r="CY1097" s="1530"/>
      <c r="CZ1097" s="1530"/>
      <c r="DA1097" s="1530"/>
      <c r="DB1097" s="1530"/>
      <c r="DC1097" s="1530"/>
      <c r="DD1097" s="1530"/>
      <c r="DE1097" s="1530"/>
      <c r="DF1097" s="1530"/>
      <c r="DG1097" s="1530"/>
      <c r="DH1097" s="1530"/>
      <c r="DI1097" s="1530"/>
      <c r="DJ1097" s="1530"/>
      <c r="DK1097" s="1530"/>
      <c r="DL1097" s="1530"/>
      <c r="DM1097" s="1530"/>
      <c r="DN1097" s="1571"/>
      <c r="DO1097" s="1530"/>
      <c r="DP1097" s="1530"/>
    </row>
    <row r="1098" spans="1:120">
      <c r="A1098" s="1451"/>
      <c r="C1098" s="1451"/>
      <c r="K1098" s="1451"/>
      <c r="L1098" s="1451"/>
      <c r="U1098" s="1530"/>
      <c r="V1098" s="1530"/>
      <c r="W1098" s="1530"/>
      <c r="X1098" s="1530"/>
      <c r="Y1098" s="1530"/>
      <c r="Z1098" s="1530"/>
      <c r="AA1098" s="1530"/>
      <c r="AB1098" s="1530"/>
      <c r="AC1098" s="1530"/>
      <c r="AD1098" s="1530"/>
      <c r="AE1098" s="1530"/>
      <c r="AF1098" s="1530"/>
      <c r="AG1098" s="1530"/>
      <c r="AH1098" s="1530"/>
      <c r="AI1098" s="1530"/>
      <c r="AJ1098" s="1530"/>
      <c r="AK1098" s="1530"/>
      <c r="AL1098" s="1530"/>
      <c r="AM1098" s="1530"/>
      <c r="AN1098" s="1530"/>
      <c r="AO1098" s="1530"/>
      <c r="AP1098" s="1530"/>
      <c r="AQ1098" s="1530"/>
      <c r="AR1098" s="1530"/>
      <c r="AS1098" s="1530"/>
      <c r="AT1098" s="1530"/>
      <c r="AU1098" s="1530"/>
      <c r="AV1098" s="1530"/>
      <c r="AW1098" s="1530"/>
      <c r="AX1098" s="1530"/>
      <c r="AY1098" s="1530"/>
      <c r="AZ1098" s="1530"/>
      <c r="BA1098" s="1530"/>
      <c r="BB1098" s="1530"/>
      <c r="BC1098" s="1530"/>
      <c r="BD1098" s="1530"/>
      <c r="BE1098" s="1530"/>
      <c r="BF1098" s="1530"/>
      <c r="BG1098" s="1530"/>
      <c r="BH1098" s="1530"/>
      <c r="BI1098" s="1530"/>
      <c r="BJ1098" s="1530"/>
      <c r="BK1098" s="1530"/>
      <c r="BL1098" s="1530"/>
      <c r="BM1098" s="1530"/>
      <c r="BN1098" s="1530"/>
      <c r="BW1098" s="1569"/>
      <c r="CO1098" s="1530"/>
      <c r="CP1098" s="1530"/>
      <c r="CQ1098" s="1530"/>
      <c r="CR1098" s="1530"/>
      <c r="CS1098" s="1530"/>
      <c r="CT1098" s="1530"/>
      <c r="CU1098" s="1530"/>
      <c r="CV1098" s="1530"/>
      <c r="CW1098" s="1530"/>
      <c r="CX1098" s="1530"/>
      <c r="CY1098" s="1530"/>
      <c r="CZ1098" s="1530"/>
      <c r="DA1098" s="1530"/>
      <c r="DB1098" s="1530"/>
      <c r="DC1098" s="1530"/>
      <c r="DD1098" s="1530"/>
      <c r="DE1098" s="1530"/>
      <c r="DF1098" s="1530"/>
      <c r="DG1098" s="1530"/>
      <c r="DH1098" s="1530"/>
      <c r="DI1098" s="1530"/>
      <c r="DJ1098" s="1530"/>
      <c r="DK1098" s="1530"/>
      <c r="DL1098" s="1530"/>
      <c r="DM1098" s="1530"/>
      <c r="DN1098" s="1571"/>
      <c r="DO1098" s="1530"/>
      <c r="DP1098" s="1530"/>
    </row>
    <row r="1099" spans="1:120">
      <c r="A1099" s="1451"/>
      <c r="C1099" s="1451"/>
      <c r="K1099" s="1451"/>
      <c r="L1099" s="1451"/>
      <c r="U1099" s="1530"/>
      <c r="V1099" s="1530"/>
      <c r="W1099" s="1530"/>
      <c r="X1099" s="1530"/>
      <c r="Y1099" s="1530"/>
      <c r="Z1099" s="1530"/>
      <c r="AA1099" s="1530"/>
      <c r="AB1099" s="1530"/>
      <c r="AC1099" s="1530"/>
      <c r="AD1099" s="1530"/>
      <c r="AE1099" s="1530"/>
      <c r="AF1099" s="1530"/>
      <c r="AG1099" s="1530"/>
      <c r="AH1099" s="1530"/>
      <c r="AI1099" s="1530"/>
      <c r="AJ1099" s="1530"/>
      <c r="AK1099" s="1530"/>
      <c r="AL1099" s="1530"/>
      <c r="AM1099" s="1530"/>
      <c r="AN1099" s="1530"/>
      <c r="AO1099" s="1530"/>
      <c r="AP1099" s="1530"/>
      <c r="AQ1099" s="1530"/>
      <c r="AR1099" s="1530"/>
      <c r="AS1099" s="1530"/>
      <c r="AT1099" s="1530"/>
      <c r="AU1099" s="1530"/>
      <c r="AV1099" s="1530"/>
      <c r="AW1099" s="1530"/>
      <c r="AX1099" s="1530"/>
      <c r="AY1099" s="1530"/>
      <c r="AZ1099" s="1530"/>
      <c r="BA1099" s="1530"/>
      <c r="BB1099" s="1530"/>
      <c r="BC1099" s="1530"/>
      <c r="BD1099" s="1530"/>
      <c r="BE1099" s="1530"/>
      <c r="BF1099" s="1530"/>
      <c r="BG1099" s="1530"/>
      <c r="BH1099" s="1530"/>
      <c r="BI1099" s="1530"/>
      <c r="BJ1099" s="1530"/>
      <c r="BK1099" s="1530"/>
      <c r="BL1099" s="1530"/>
      <c r="BM1099" s="1530"/>
      <c r="BN1099" s="1530"/>
      <c r="BW1099" s="1569"/>
      <c r="CO1099" s="1530"/>
      <c r="CP1099" s="1530"/>
      <c r="CQ1099" s="1530"/>
      <c r="CR1099" s="1530"/>
      <c r="CS1099" s="1530"/>
      <c r="CT1099" s="1530"/>
      <c r="CU1099" s="1530"/>
      <c r="CV1099" s="1530"/>
      <c r="CW1099" s="1530"/>
      <c r="CX1099" s="1530"/>
      <c r="CY1099" s="1530"/>
      <c r="CZ1099" s="1530"/>
      <c r="DA1099" s="1530"/>
      <c r="DB1099" s="1530"/>
      <c r="DC1099" s="1530"/>
      <c r="DD1099" s="1530"/>
      <c r="DE1099" s="1530"/>
      <c r="DF1099" s="1530"/>
      <c r="DG1099" s="1530"/>
      <c r="DH1099" s="1530"/>
      <c r="DI1099" s="1530"/>
      <c r="DJ1099" s="1530"/>
      <c r="DK1099" s="1530"/>
      <c r="DL1099" s="1530"/>
      <c r="DM1099" s="1530"/>
      <c r="DN1099" s="1571"/>
      <c r="DO1099" s="1530"/>
      <c r="DP1099" s="1530"/>
    </row>
    <row r="1100" spans="1:120">
      <c r="A1100" s="1451"/>
      <c r="C1100" s="1451"/>
      <c r="K1100" s="1451"/>
      <c r="L1100" s="1451"/>
      <c r="U1100" s="1530"/>
      <c r="V1100" s="1530"/>
      <c r="W1100" s="1530"/>
      <c r="X1100" s="1530"/>
      <c r="Y1100" s="1530"/>
      <c r="Z1100" s="1530"/>
      <c r="AA1100" s="1530"/>
      <c r="AB1100" s="1530"/>
      <c r="AC1100" s="1530"/>
      <c r="AD1100" s="1530"/>
      <c r="AE1100" s="1530"/>
      <c r="AF1100" s="1530"/>
      <c r="AG1100" s="1530"/>
      <c r="AH1100" s="1530"/>
      <c r="AI1100" s="1530"/>
      <c r="AJ1100" s="1530"/>
      <c r="AK1100" s="1530"/>
      <c r="AL1100" s="1530"/>
      <c r="AM1100" s="1530"/>
      <c r="AN1100" s="1530"/>
      <c r="AO1100" s="1530"/>
      <c r="AP1100" s="1530"/>
      <c r="AQ1100" s="1530"/>
      <c r="AR1100" s="1530"/>
      <c r="AS1100" s="1530"/>
      <c r="AT1100" s="1530"/>
      <c r="AU1100" s="1530"/>
      <c r="AV1100" s="1530"/>
      <c r="AW1100" s="1530"/>
      <c r="AX1100" s="1530"/>
      <c r="AY1100" s="1530"/>
      <c r="AZ1100" s="1530"/>
      <c r="BA1100" s="1530"/>
      <c r="BB1100" s="1530"/>
      <c r="BC1100" s="1530"/>
      <c r="BD1100" s="1530"/>
      <c r="BE1100" s="1530"/>
      <c r="BF1100" s="1530"/>
      <c r="BG1100" s="1530"/>
      <c r="BH1100" s="1530"/>
      <c r="BI1100" s="1530"/>
      <c r="BJ1100" s="1530"/>
      <c r="BK1100" s="1530"/>
      <c r="BL1100" s="1530"/>
      <c r="BM1100" s="1530"/>
      <c r="BN1100" s="1530"/>
      <c r="BW1100" s="1569"/>
      <c r="CO1100" s="1530"/>
      <c r="CP1100" s="1530"/>
      <c r="CQ1100" s="1530"/>
      <c r="CR1100" s="1530"/>
      <c r="CS1100" s="1530"/>
      <c r="CT1100" s="1530"/>
      <c r="CU1100" s="1530"/>
      <c r="CV1100" s="1530"/>
      <c r="CW1100" s="1530"/>
      <c r="CX1100" s="1530"/>
      <c r="CY1100" s="1530"/>
      <c r="CZ1100" s="1530"/>
      <c r="DA1100" s="1530"/>
      <c r="DB1100" s="1530"/>
      <c r="DC1100" s="1530"/>
      <c r="DD1100" s="1530"/>
      <c r="DE1100" s="1530"/>
      <c r="DF1100" s="1530"/>
      <c r="DG1100" s="1530"/>
      <c r="DH1100" s="1530"/>
      <c r="DI1100" s="1530"/>
      <c r="DJ1100" s="1530"/>
      <c r="DK1100" s="1530"/>
      <c r="DL1100" s="1530"/>
      <c r="DM1100" s="1530"/>
      <c r="DN1100" s="1571"/>
      <c r="DO1100" s="1530"/>
      <c r="DP1100" s="1530"/>
    </row>
    <row r="1101" spans="1:120">
      <c r="A1101" s="1451"/>
      <c r="C1101" s="1451"/>
      <c r="K1101" s="1451"/>
      <c r="L1101" s="1451"/>
      <c r="U1101" s="1530"/>
      <c r="V1101" s="1530"/>
      <c r="W1101" s="1530"/>
      <c r="X1101" s="1530"/>
      <c r="Y1101" s="1530"/>
      <c r="Z1101" s="1530"/>
      <c r="AA1101" s="1530"/>
      <c r="AB1101" s="1530"/>
      <c r="AC1101" s="1530"/>
      <c r="AD1101" s="1530"/>
      <c r="AE1101" s="1530"/>
      <c r="AF1101" s="1530"/>
      <c r="AG1101" s="1530"/>
      <c r="AH1101" s="1530"/>
      <c r="AI1101" s="1530"/>
      <c r="AJ1101" s="1530"/>
      <c r="AK1101" s="1530"/>
      <c r="AL1101" s="1530"/>
      <c r="AM1101" s="1530"/>
      <c r="AN1101" s="1530"/>
      <c r="AO1101" s="1530"/>
      <c r="AP1101" s="1530"/>
      <c r="AQ1101" s="1530"/>
      <c r="AR1101" s="1530"/>
      <c r="AS1101" s="1530"/>
      <c r="AT1101" s="1530"/>
      <c r="AU1101" s="1530"/>
      <c r="AV1101" s="1530"/>
      <c r="AW1101" s="1530"/>
      <c r="AX1101" s="1530"/>
      <c r="AY1101" s="1530"/>
      <c r="AZ1101" s="1530"/>
      <c r="BA1101" s="1530"/>
      <c r="BB1101" s="1530"/>
      <c r="BC1101" s="1530"/>
      <c r="BD1101" s="1530"/>
      <c r="BE1101" s="1530"/>
      <c r="BF1101" s="1530"/>
      <c r="BG1101" s="1530"/>
      <c r="BH1101" s="1530"/>
      <c r="BI1101" s="1530"/>
      <c r="BJ1101" s="1530"/>
      <c r="BK1101" s="1530"/>
      <c r="BL1101" s="1530"/>
      <c r="BM1101" s="1530"/>
      <c r="BN1101" s="1530"/>
      <c r="BW1101" s="1569"/>
      <c r="CO1101" s="1530"/>
      <c r="CP1101" s="1530"/>
      <c r="CQ1101" s="1530"/>
      <c r="CR1101" s="1530"/>
      <c r="CS1101" s="1530"/>
      <c r="CT1101" s="1530"/>
      <c r="CU1101" s="1530"/>
      <c r="CV1101" s="1530"/>
      <c r="CW1101" s="1530"/>
      <c r="CX1101" s="1530"/>
      <c r="CY1101" s="1530"/>
      <c r="CZ1101" s="1530"/>
      <c r="DA1101" s="1530"/>
      <c r="DB1101" s="1530"/>
      <c r="DC1101" s="1530"/>
      <c r="DD1101" s="1530"/>
      <c r="DE1101" s="1530"/>
      <c r="DF1101" s="1530"/>
      <c r="DG1101" s="1530"/>
      <c r="DH1101" s="1530"/>
      <c r="DI1101" s="1530"/>
      <c r="DJ1101" s="1530"/>
      <c r="DK1101" s="1530"/>
      <c r="DL1101" s="1530"/>
      <c r="DM1101" s="1530"/>
      <c r="DN1101" s="1571"/>
      <c r="DO1101" s="1530"/>
      <c r="DP1101" s="1530"/>
    </row>
    <row r="1102" spans="1:120">
      <c r="A1102" s="1451"/>
      <c r="C1102" s="1451"/>
      <c r="K1102" s="1451"/>
      <c r="L1102" s="1451"/>
      <c r="U1102" s="1530"/>
      <c r="V1102" s="1530"/>
      <c r="W1102" s="1530"/>
      <c r="X1102" s="1530"/>
      <c r="Y1102" s="1530"/>
      <c r="Z1102" s="1530"/>
      <c r="AA1102" s="1530"/>
      <c r="AB1102" s="1530"/>
      <c r="AC1102" s="1530"/>
      <c r="AD1102" s="1530"/>
      <c r="AE1102" s="1530"/>
      <c r="AF1102" s="1530"/>
      <c r="AG1102" s="1530"/>
      <c r="AH1102" s="1530"/>
      <c r="AI1102" s="1530"/>
      <c r="AJ1102" s="1530"/>
      <c r="AK1102" s="1530"/>
      <c r="AL1102" s="1530"/>
      <c r="AM1102" s="1530"/>
      <c r="AN1102" s="1530"/>
      <c r="AO1102" s="1530"/>
      <c r="AP1102" s="1530"/>
      <c r="AQ1102" s="1530"/>
      <c r="AR1102" s="1530"/>
      <c r="AS1102" s="1530"/>
      <c r="AT1102" s="1530"/>
      <c r="AU1102" s="1530"/>
      <c r="AV1102" s="1530"/>
      <c r="AW1102" s="1530"/>
      <c r="AX1102" s="1530"/>
      <c r="AY1102" s="1530"/>
      <c r="AZ1102" s="1530"/>
      <c r="BA1102" s="1530"/>
      <c r="BB1102" s="1530"/>
      <c r="BC1102" s="1530"/>
      <c r="BD1102" s="1530"/>
      <c r="BE1102" s="1530"/>
      <c r="BF1102" s="1530"/>
      <c r="BG1102" s="1530"/>
      <c r="BH1102" s="1530"/>
      <c r="BI1102" s="1530"/>
      <c r="BJ1102" s="1530"/>
      <c r="BK1102" s="1530"/>
      <c r="BL1102" s="1530"/>
      <c r="BM1102" s="1530"/>
      <c r="BN1102" s="1530"/>
      <c r="BW1102" s="1569"/>
      <c r="CO1102" s="1530"/>
      <c r="CP1102" s="1530"/>
      <c r="CQ1102" s="1530"/>
      <c r="CR1102" s="1530"/>
      <c r="CS1102" s="1530"/>
      <c r="CT1102" s="1530"/>
      <c r="CU1102" s="1530"/>
      <c r="CV1102" s="1530"/>
      <c r="CW1102" s="1530"/>
      <c r="CX1102" s="1530"/>
      <c r="CY1102" s="1530"/>
      <c r="CZ1102" s="1530"/>
      <c r="DA1102" s="1530"/>
      <c r="DB1102" s="1530"/>
      <c r="DC1102" s="1530"/>
      <c r="DD1102" s="1530"/>
      <c r="DE1102" s="1530"/>
      <c r="DF1102" s="1530"/>
      <c r="DG1102" s="1530"/>
      <c r="DH1102" s="1530"/>
      <c r="DI1102" s="1530"/>
      <c r="DJ1102" s="1530"/>
      <c r="DK1102" s="1530"/>
      <c r="DL1102" s="1530"/>
      <c r="DM1102" s="1530"/>
      <c r="DN1102" s="1571"/>
      <c r="DO1102" s="1530"/>
      <c r="DP1102" s="1530"/>
    </row>
    <row r="1103" spans="1:120">
      <c r="A1103" s="1451"/>
      <c r="C1103" s="1451"/>
      <c r="K1103" s="1451"/>
      <c r="L1103" s="1451"/>
      <c r="U1103" s="1530"/>
      <c r="V1103" s="1530"/>
      <c r="W1103" s="1530"/>
      <c r="X1103" s="1530"/>
      <c r="Y1103" s="1530"/>
      <c r="Z1103" s="1530"/>
      <c r="AA1103" s="1530"/>
      <c r="AB1103" s="1530"/>
      <c r="AC1103" s="1530"/>
      <c r="AD1103" s="1530"/>
      <c r="AE1103" s="1530"/>
      <c r="AF1103" s="1530"/>
      <c r="AG1103" s="1530"/>
      <c r="AH1103" s="1530"/>
      <c r="AI1103" s="1530"/>
      <c r="AJ1103" s="1530"/>
      <c r="AK1103" s="1530"/>
      <c r="AL1103" s="1530"/>
      <c r="AM1103" s="1530"/>
      <c r="AN1103" s="1530"/>
      <c r="AO1103" s="1530"/>
      <c r="AP1103" s="1530"/>
      <c r="AQ1103" s="1530"/>
      <c r="AR1103" s="1530"/>
      <c r="AS1103" s="1530"/>
      <c r="AT1103" s="1530"/>
      <c r="AU1103" s="1530"/>
      <c r="AV1103" s="1530"/>
      <c r="AW1103" s="1530"/>
      <c r="AX1103" s="1530"/>
      <c r="AY1103" s="1530"/>
      <c r="AZ1103" s="1530"/>
      <c r="BA1103" s="1530"/>
      <c r="BB1103" s="1530"/>
      <c r="BC1103" s="1530"/>
      <c r="BD1103" s="1530"/>
      <c r="BE1103" s="1530"/>
      <c r="BF1103" s="1530"/>
      <c r="BG1103" s="1530"/>
      <c r="BH1103" s="1530"/>
      <c r="BI1103" s="1530"/>
      <c r="BJ1103" s="1530"/>
      <c r="BK1103" s="1530"/>
      <c r="BL1103" s="1530"/>
      <c r="BM1103" s="1530"/>
      <c r="BN1103" s="1530"/>
      <c r="BW1103" s="1569"/>
      <c r="CO1103" s="1530"/>
      <c r="CP1103" s="1530"/>
      <c r="CQ1103" s="1530"/>
      <c r="CR1103" s="1530"/>
      <c r="CS1103" s="1530"/>
      <c r="CT1103" s="1530"/>
      <c r="CU1103" s="1530"/>
      <c r="CV1103" s="1530"/>
      <c r="CW1103" s="1530"/>
      <c r="CX1103" s="1530"/>
      <c r="CY1103" s="1530"/>
      <c r="CZ1103" s="1530"/>
      <c r="DA1103" s="1530"/>
      <c r="DB1103" s="1530"/>
      <c r="DC1103" s="1530"/>
      <c r="DD1103" s="1530"/>
      <c r="DE1103" s="1530"/>
      <c r="DF1103" s="1530"/>
      <c r="DG1103" s="1530"/>
      <c r="DH1103" s="1530"/>
      <c r="DI1103" s="1530"/>
      <c r="DJ1103" s="1530"/>
      <c r="DK1103" s="1530"/>
      <c r="DL1103" s="1530"/>
      <c r="DM1103" s="1530"/>
      <c r="DN1103" s="1571"/>
      <c r="DO1103" s="1530"/>
      <c r="DP1103" s="1530"/>
    </row>
    <row r="1104" spans="1:120">
      <c r="A1104" s="1451"/>
      <c r="C1104" s="1451"/>
      <c r="K1104" s="1451"/>
      <c r="L1104" s="1451"/>
      <c r="U1104" s="1530"/>
      <c r="V1104" s="1530"/>
      <c r="W1104" s="1530"/>
      <c r="X1104" s="1530"/>
      <c r="Y1104" s="1530"/>
      <c r="Z1104" s="1530"/>
      <c r="AA1104" s="1530"/>
      <c r="AB1104" s="1530"/>
      <c r="AC1104" s="1530"/>
      <c r="AD1104" s="1530"/>
      <c r="AE1104" s="1530"/>
      <c r="AF1104" s="1530"/>
      <c r="AG1104" s="1530"/>
      <c r="AH1104" s="1530"/>
      <c r="AI1104" s="1530"/>
      <c r="AJ1104" s="1530"/>
      <c r="AK1104" s="1530"/>
      <c r="AL1104" s="1530"/>
      <c r="AM1104" s="1530"/>
      <c r="AN1104" s="1530"/>
      <c r="AO1104" s="1530"/>
      <c r="AP1104" s="1530"/>
      <c r="AQ1104" s="1530"/>
      <c r="AR1104" s="1530"/>
      <c r="AS1104" s="1530"/>
      <c r="AT1104" s="1530"/>
      <c r="AU1104" s="1530"/>
      <c r="AV1104" s="1530"/>
      <c r="AW1104" s="1530"/>
      <c r="AX1104" s="1530"/>
      <c r="AY1104" s="1530"/>
      <c r="AZ1104" s="1530"/>
      <c r="BA1104" s="1530"/>
      <c r="BB1104" s="1530"/>
      <c r="BC1104" s="1530"/>
      <c r="BD1104" s="1530"/>
      <c r="BE1104" s="1530"/>
      <c r="BF1104" s="1530"/>
      <c r="BG1104" s="1530"/>
      <c r="BH1104" s="1530"/>
      <c r="BI1104" s="1530"/>
      <c r="BJ1104" s="1530"/>
      <c r="BK1104" s="1530"/>
      <c r="BL1104" s="1530"/>
      <c r="BM1104" s="1530"/>
      <c r="BN1104" s="1530"/>
      <c r="BW1104" s="1569"/>
      <c r="CO1104" s="1530"/>
      <c r="CP1104" s="1530"/>
      <c r="CQ1104" s="1530"/>
      <c r="CR1104" s="1530"/>
      <c r="CS1104" s="1530"/>
      <c r="CT1104" s="1530"/>
      <c r="CU1104" s="1530"/>
      <c r="CV1104" s="1530"/>
      <c r="CW1104" s="1530"/>
      <c r="CX1104" s="1530"/>
      <c r="CY1104" s="1530"/>
      <c r="CZ1104" s="1530"/>
      <c r="DA1104" s="1530"/>
      <c r="DB1104" s="1530"/>
      <c r="DC1104" s="1530"/>
      <c r="DD1104" s="1530"/>
      <c r="DE1104" s="1530"/>
      <c r="DF1104" s="1530"/>
      <c r="DG1104" s="1530"/>
      <c r="DH1104" s="1530"/>
      <c r="DI1104" s="1530"/>
      <c r="DJ1104" s="1530"/>
      <c r="DK1104" s="1530"/>
      <c r="DL1104" s="1530"/>
      <c r="DM1104" s="1530"/>
      <c r="DN1104" s="1571"/>
      <c r="DO1104" s="1530"/>
      <c r="DP1104" s="1530"/>
    </row>
    <row r="1105" spans="1:120">
      <c r="A1105" s="1451"/>
      <c r="C1105" s="1451"/>
      <c r="K1105" s="1451"/>
      <c r="L1105" s="1451"/>
      <c r="U1105" s="1530"/>
      <c r="V1105" s="1530"/>
      <c r="W1105" s="1530"/>
      <c r="X1105" s="1530"/>
      <c r="Y1105" s="1530"/>
      <c r="Z1105" s="1530"/>
      <c r="AA1105" s="1530"/>
      <c r="AB1105" s="1530"/>
      <c r="AC1105" s="1530"/>
      <c r="AD1105" s="1530"/>
      <c r="AE1105" s="1530"/>
      <c r="AF1105" s="1530"/>
      <c r="AG1105" s="1530"/>
      <c r="AH1105" s="1530"/>
      <c r="AI1105" s="1530"/>
      <c r="AJ1105" s="1530"/>
      <c r="AK1105" s="1530"/>
      <c r="AL1105" s="1530"/>
      <c r="AM1105" s="1530"/>
      <c r="AN1105" s="1530"/>
      <c r="AO1105" s="1530"/>
      <c r="AP1105" s="1530"/>
      <c r="AQ1105" s="1530"/>
      <c r="AR1105" s="1530"/>
      <c r="AS1105" s="1530"/>
      <c r="AT1105" s="1530"/>
      <c r="AU1105" s="1530"/>
      <c r="AV1105" s="1530"/>
      <c r="AW1105" s="1530"/>
      <c r="AX1105" s="1530"/>
      <c r="AY1105" s="1530"/>
      <c r="AZ1105" s="1530"/>
      <c r="BA1105" s="1530"/>
      <c r="BB1105" s="1530"/>
      <c r="BC1105" s="1530"/>
      <c r="BD1105" s="1530"/>
      <c r="BE1105" s="1530"/>
      <c r="BF1105" s="1530"/>
      <c r="BG1105" s="1530"/>
      <c r="BH1105" s="1530"/>
      <c r="BI1105" s="1530"/>
      <c r="BJ1105" s="1530"/>
      <c r="BK1105" s="1530"/>
      <c r="BL1105" s="1530"/>
      <c r="BM1105" s="1530"/>
      <c r="BN1105" s="1530"/>
      <c r="BW1105" s="1569"/>
      <c r="CO1105" s="1530"/>
      <c r="CP1105" s="1530"/>
      <c r="CQ1105" s="1530"/>
      <c r="CR1105" s="1530"/>
      <c r="CS1105" s="1530"/>
      <c r="CT1105" s="1530"/>
      <c r="CU1105" s="1530"/>
      <c r="CV1105" s="1530"/>
      <c r="CW1105" s="1530"/>
      <c r="CX1105" s="1530"/>
      <c r="CY1105" s="1530"/>
      <c r="CZ1105" s="1530"/>
      <c r="DA1105" s="1530"/>
      <c r="DB1105" s="1530"/>
      <c r="DC1105" s="1530"/>
      <c r="DD1105" s="1530"/>
      <c r="DE1105" s="1530"/>
      <c r="DF1105" s="1530"/>
      <c r="DG1105" s="1530"/>
      <c r="DH1105" s="1530"/>
      <c r="DI1105" s="1530"/>
      <c r="DJ1105" s="1530"/>
      <c r="DK1105" s="1530"/>
      <c r="DL1105" s="1530"/>
      <c r="DM1105" s="1530"/>
      <c r="DN1105" s="1571"/>
      <c r="DO1105" s="1530"/>
      <c r="DP1105" s="1530"/>
    </row>
    <row r="1106" spans="1:120">
      <c r="A1106" s="1451"/>
      <c r="C1106" s="1451"/>
      <c r="K1106" s="1451"/>
      <c r="L1106" s="1451"/>
      <c r="U1106" s="1530"/>
      <c r="V1106" s="1530"/>
      <c r="W1106" s="1530"/>
      <c r="X1106" s="1530"/>
      <c r="Y1106" s="1530"/>
      <c r="Z1106" s="1530"/>
      <c r="AA1106" s="1530"/>
      <c r="AB1106" s="1530"/>
      <c r="AC1106" s="1530"/>
      <c r="AD1106" s="1530"/>
      <c r="AE1106" s="1530"/>
      <c r="AF1106" s="1530"/>
      <c r="AG1106" s="1530"/>
      <c r="AH1106" s="1530"/>
      <c r="AI1106" s="1530"/>
      <c r="AJ1106" s="1530"/>
      <c r="AK1106" s="1530"/>
      <c r="AL1106" s="1530"/>
      <c r="AM1106" s="1530"/>
      <c r="AN1106" s="1530"/>
      <c r="AO1106" s="1530"/>
      <c r="AP1106" s="1530"/>
      <c r="AQ1106" s="1530"/>
      <c r="AR1106" s="1530"/>
      <c r="AS1106" s="1530"/>
      <c r="AT1106" s="1530"/>
      <c r="AU1106" s="1530"/>
      <c r="AV1106" s="1530"/>
      <c r="AW1106" s="1530"/>
      <c r="AX1106" s="1530"/>
      <c r="AY1106" s="1530"/>
      <c r="AZ1106" s="1530"/>
      <c r="BA1106" s="1530"/>
      <c r="BB1106" s="1530"/>
      <c r="BC1106" s="1530"/>
      <c r="BD1106" s="1530"/>
      <c r="BE1106" s="1530"/>
      <c r="BF1106" s="1530"/>
      <c r="BG1106" s="1530"/>
      <c r="BH1106" s="1530"/>
      <c r="BI1106" s="1530"/>
      <c r="BJ1106" s="1530"/>
      <c r="BK1106" s="1530"/>
      <c r="BL1106" s="1530"/>
      <c r="BM1106" s="1530"/>
      <c r="BN1106" s="1530"/>
      <c r="BW1106" s="1569"/>
      <c r="CO1106" s="1530"/>
      <c r="CP1106" s="1530"/>
      <c r="CQ1106" s="1530"/>
      <c r="CR1106" s="1530"/>
      <c r="CS1106" s="1530"/>
      <c r="CT1106" s="1530"/>
      <c r="CU1106" s="1530"/>
      <c r="CV1106" s="1530"/>
      <c r="CW1106" s="1530"/>
      <c r="CX1106" s="1530"/>
      <c r="CY1106" s="1530"/>
      <c r="CZ1106" s="1530"/>
      <c r="DA1106" s="1530"/>
      <c r="DB1106" s="1530"/>
      <c r="DC1106" s="1530"/>
      <c r="DD1106" s="1530"/>
      <c r="DE1106" s="1530"/>
      <c r="DF1106" s="1530"/>
      <c r="DG1106" s="1530"/>
      <c r="DH1106" s="1530"/>
      <c r="DI1106" s="1530"/>
      <c r="DJ1106" s="1530"/>
      <c r="DK1106" s="1530"/>
      <c r="DL1106" s="1530"/>
      <c r="DM1106" s="1530"/>
      <c r="DN1106" s="1571"/>
      <c r="DO1106" s="1530"/>
      <c r="DP1106" s="1530"/>
    </row>
    <row r="1107" spans="1:120">
      <c r="A1107" s="1451"/>
      <c r="C1107" s="1451"/>
      <c r="K1107" s="1451"/>
      <c r="L1107" s="1451"/>
      <c r="U1107" s="1530"/>
      <c r="V1107" s="1530"/>
      <c r="W1107" s="1530"/>
      <c r="X1107" s="1530"/>
      <c r="Y1107" s="1530"/>
      <c r="Z1107" s="1530"/>
      <c r="AA1107" s="1530"/>
      <c r="AB1107" s="1530"/>
      <c r="AC1107" s="1530"/>
      <c r="AD1107" s="1530"/>
      <c r="AE1107" s="1530"/>
      <c r="AF1107" s="1530"/>
      <c r="AG1107" s="1530"/>
      <c r="AH1107" s="1530"/>
      <c r="AI1107" s="1530"/>
      <c r="AJ1107" s="1530"/>
      <c r="AK1107" s="1530"/>
      <c r="AL1107" s="1530"/>
      <c r="AM1107" s="1530"/>
      <c r="AN1107" s="1530"/>
      <c r="AO1107" s="1530"/>
      <c r="AP1107" s="1530"/>
      <c r="AQ1107" s="1530"/>
      <c r="AR1107" s="1530"/>
      <c r="AS1107" s="1530"/>
      <c r="AT1107" s="1530"/>
      <c r="AU1107" s="1530"/>
      <c r="AV1107" s="1530"/>
      <c r="AW1107" s="1530"/>
      <c r="AX1107" s="1530"/>
      <c r="AY1107" s="1530"/>
      <c r="AZ1107" s="1530"/>
      <c r="BA1107" s="1530"/>
      <c r="BB1107" s="1530"/>
      <c r="BC1107" s="1530"/>
      <c r="BD1107" s="1530"/>
      <c r="BE1107" s="1530"/>
      <c r="BF1107" s="1530"/>
      <c r="BG1107" s="1530"/>
      <c r="BH1107" s="1530"/>
      <c r="BI1107" s="1530"/>
      <c r="BJ1107" s="1530"/>
      <c r="BK1107" s="1530"/>
      <c r="BL1107" s="1530"/>
      <c r="BM1107" s="1530"/>
      <c r="BN1107" s="1530"/>
      <c r="BW1107" s="1569"/>
      <c r="CO1107" s="1530"/>
      <c r="CP1107" s="1530"/>
      <c r="CQ1107" s="1530"/>
      <c r="CR1107" s="1530"/>
      <c r="CS1107" s="1530"/>
      <c r="CT1107" s="1530"/>
      <c r="CU1107" s="1530"/>
      <c r="CV1107" s="1530"/>
      <c r="CW1107" s="1530"/>
      <c r="CX1107" s="1530"/>
      <c r="CY1107" s="1530"/>
      <c r="CZ1107" s="1530"/>
      <c r="DA1107" s="1530"/>
      <c r="DB1107" s="1530"/>
      <c r="DC1107" s="1530"/>
      <c r="DD1107" s="1530"/>
      <c r="DE1107" s="1530"/>
      <c r="DF1107" s="1530"/>
      <c r="DG1107" s="1530"/>
      <c r="DH1107" s="1530"/>
      <c r="DI1107" s="1530"/>
      <c r="DJ1107" s="1530"/>
      <c r="DK1107" s="1530"/>
      <c r="DL1107" s="1530"/>
      <c r="DM1107" s="1530"/>
      <c r="DN1107" s="1571"/>
      <c r="DO1107" s="1530"/>
      <c r="DP1107" s="1530"/>
    </row>
    <row r="1108" spans="1:120">
      <c r="A1108" s="1451"/>
      <c r="C1108" s="1451"/>
      <c r="K1108" s="1451"/>
      <c r="L1108" s="1451"/>
      <c r="U1108" s="1530"/>
      <c r="V1108" s="1530"/>
      <c r="W1108" s="1530"/>
      <c r="X1108" s="1530"/>
      <c r="Y1108" s="1530"/>
      <c r="Z1108" s="1530"/>
      <c r="AA1108" s="1530"/>
      <c r="AB1108" s="1530"/>
      <c r="AC1108" s="1530"/>
      <c r="AD1108" s="1530"/>
      <c r="AE1108" s="1530"/>
      <c r="AF1108" s="1530"/>
      <c r="AG1108" s="1530"/>
      <c r="AH1108" s="1530"/>
      <c r="AI1108" s="1530"/>
      <c r="AJ1108" s="1530"/>
      <c r="AK1108" s="1530"/>
      <c r="AL1108" s="1530"/>
      <c r="AM1108" s="1530"/>
      <c r="AN1108" s="1530"/>
      <c r="AO1108" s="1530"/>
      <c r="AP1108" s="1530"/>
      <c r="AQ1108" s="1530"/>
      <c r="AR1108" s="1530"/>
      <c r="AS1108" s="1530"/>
      <c r="AT1108" s="1530"/>
      <c r="AU1108" s="1530"/>
      <c r="AV1108" s="1530"/>
      <c r="AW1108" s="1530"/>
      <c r="AX1108" s="1530"/>
      <c r="AY1108" s="1530"/>
      <c r="AZ1108" s="1530"/>
      <c r="BA1108" s="1530"/>
      <c r="BB1108" s="1530"/>
      <c r="BC1108" s="1530"/>
      <c r="BD1108" s="1530"/>
      <c r="BE1108" s="1530"/>
      <c r="BF1108" s="1530"/>
      <c r="BG1108" s="1530"/>
      <c r="BH1108" s="1530"/>
      <c r="BI1108" s="1530"/>
      <c r="BJ1108" s="1530"/>
      <c r="BK1108" s="1530"/>
      <c r="BL1108" s="1530"/>
      <c r="BM1108" s="1530"/>
      <c r="BN1108" s="1530"/>
      <c r="BW1108" s="1569"/>
      <c r="CO1108" s="1530"/>
      <c r="CP1108" s="1530"/>
      <c r="CQ1108" s="1530"/>
      <c r="CR1108" s="1530"/>
      <c r="CS1108" s="1530"/>
      <c r="CT1108" s="1530"/>
      <c r="CU1108" s="1530"/>
      <c r="CV1108" s="1530"/>
      <c r="CW1108" s="1530"/>
      <c r="CX1108" s="1530"/>
      <c r="CY1108" s="1530"/>
      <c r="CZ1108" s="1530"/>
      <c r="DA1108" s="1530"/>
      <c r="DB1108" s="1530"/>
      <c r="DC1108" s="1530"/>
      <c r="DD1108" s="1530"/>
      <c r="DE1108" s="1530"/>
      <c r="DF1108" s="1530"/>
      <c r="DG1108" s="1530"/>
      <c r="DH1108" s="1530"/>
      <c r="DI1108" s="1530"/>
      <c r="DJ1108" s="1530"/>
      <c r="DK1108" s="1530"/>
      <c r="DL1108" s="1530"/>
      <c r="DM1108" s="1530"/>
      <c r="DN1108" s="1571"/>
      <c r="DO1108" s="1530"/>
      <c r="DP1108" s="1530"/>
    </row>
    <row r="1109" spans="1:120">
      <c r="A1109" s="1451"/>
      <c r="C1109" s="1451"/>
      <c r="K1109" s="1451"/>
      <c r="L1109" s="1451"/>
      <c r="U1109" s="1530"/>
      <c r="V1109" s="1530"/>
      <c r="W1109" s="1530"/>
      <c r="X1109" s="1530"/>
      <c r="Y1109" s="1530"/>
      <c r="Z1109" s="1530"/>
      <c r="AA1109" s="1530"/>
      <c r="AB1109" s="1530"/>
      <c r="AC1109" s="1530"/>
      <c r="AD1109" s="1530"/>
      <c r="AE1109" s="1530"/>
      <c r="AF1109" s="1530"/>
      <c r="AG1109" s="1530"/>
      <c r="AH1109" s="1530"/>
      <c r="AI1109" s="1530"/>
      <c r="AJ1109" s="1530"/>
      <c r="AK1109" s="1530"/>
      <c r="AL1109" s="1530"/>
      <c r="AM1109" s="1530"/>
      <c r="AN1109" s="1530"/>
      <c r="AO1109" s="1530"/>
      <c r="AP1109" s="1530"/>
      <c r="AQ1109" s="1530"/>
      <c r="AR1109" s="1530"/>
      <c r="AS1109" s="1530"/>
      <c r="AT1109" s="1530"/>
      <c r="AU1109" s="1530"/>
      <c r="AV1109" s="1530"/>
      <c r="AW1109" s="1530"/>
      <c r="AX1109" s="1530"/>
      <c r="AY1109" s="1530"/>
      <c r="AZ1109" s="1530"/>
      <c r="BA1109" s="1530"/>
      <c r="BB1109" s="1530"/>
      <c r="BC1109" s="1530"/>
      <c r="BD1109" s="1530"/>
      <c r="BE1109" s="1530"/>
      <c r="BF1109" s="1530"/>
      <c r="BG1109" s="1530"/>
      <c r="BH1109" s="1530"/>
      <c r="BI1109" s="1530"/>
      <c r="BJ1109" s="1530"/>
      <c r="BK1109" s="1530"/>
      <c r="BL1109" s="1530"/>
      <c r="BM1109" s="1530"/>
      <c r="BN1109" s="1530"/>
      <c r="BW1109" s="1569"/>
      <c r="CO1109" s="1530"/>
      <c r="CP1109" s="1530"/>
      <c r="CQ1109" s="1530"/>
      <c r="CR1109" s="1530"/>
      <c r="CS1109" s="1530"/>
      <c r="CT1109" s="1530"/>
      <c r="CU1109" s="1530"/>
      <c r="CV1109" s="1530"/>
      <c r="CW1109" s="1530"/>
      <c r="CX1109" s="1530"/>
      <c r="CY1109" s="1530"/>
      <c r="CZ1109" s="1530"/>
      <c r="DA1109" s="1530"/>
      <c r="DB1109" s="1530"/>
      <c r="DC1109" s="1530"/>
      <c r="DD1109" s="1530"/>
      <c r="DE1109" s="1530"/>
      <c r="DF1109" s="1530"/>
      <c r="DG1109" s="1530"/>
      <c r="DH1109" s="1530"/>
      <c r="DI1109" s="1530"/>
      <c r="DJ1109" s="1530"/>
      <c r="DK1109" s="1530"/>
      <c r="DL1109" s="1530"/>
      <c r="DM1109" s="1530"/>
      <c r="DN1109" s="1571"/>
      <c r="DO1109" s="1530"/>
      <c r="DP1109" s="1530"/>
    </row>
    <row r="1110" spans="1:120">
      <c r="A1110" s="1451"/>
      <c r="C1110" s="1451"/>
      <c r="K1110" s="1451"/>
      <c r="L1110" s="1451"/>
      <c r="U1110" s="1530"/>
      <c r="V1110" s="1530"/>
      <c r="W1110" s="1530"/>
      <c r="X1110" s="1530"/>
      <c r="Y1110" s="1530"/>
      <c r="Z1110" s="1530"/>
      <c r="AA1110" s="1530"/>
      <c r="AB1110" s="1530"/>
      <c r="AC1110" s="1530"/>
      <c r="AD1110" s="1530"/>
      <c r="AE1110" s="1530"/>
      <c r="AF1110" s="1530"/>
      <c r="AG1110" s="1530"/>
      <c r="AH1110" s="1530"/>
      <c r="AI1110" s="1530"/>
      <c r="AJ1110" s="1530"/>
      <c r="AK1110" s="1530"/>
      <c r="AL1110" s="1530"/>
      <c r="AM1110" s="1530"/>
      <c r="AN1110" s="1530"/>
      <c r="AO1110" s="1530"/>
      <c r="AP1110" s="1530"/>
      <c r="AQ1110" s="1530"/>
      <c r="AR1110" s="1530"/>
      <c r="AS1110" s="1530"/>
      <c r="AT1110" s="1530"/>
      <c r="AU1110" s="1530"/>
      <c r="AV1110" s="1530"/>
      <c r="AW1110" s="1530"/>
      <c r="AX1110" s="1530"/>
      <c r="AY1110" s="1530"/>
      <c r="AZ1110" s="1530"/>
      <c r="BA1110" s="1530"/>
      <c r="BB1110" s="1530"/>
      <c r="BC1110" s="1530"/>
      <c r="BD1110" s="1530"/>
      <c r="BE1110" s="1530"/>
      <c r="BF1110" s="1530"/>
      <c r="BG1110" s="1530"/>
      <c r="BH1110" s="1530"/>
      <c r="BI1110" s="1530"/>
      <c r="BJ1110" s="1530"/>
      <c r="BK1110" s="1530"/>
      <c r="BL1110" s="1530"/>
      <c r="BM1110" s="1530"/>
      <c r="BN1110" s="1530"/>
      <c r="BW1110" s="1569"/>
      <c r="CO1110" s="1530"/>
      <c r="CP1110" s="1530"/>
      <c r="CQ1110" s="1530"/>
      <c r="CR1110" s="1530"/>
      <c r="CS1110" s="1530"/>
      <c r="CT1110" s="1530"/>
      <c r="CU1110" s="1530"/>
      <c r="CV1110" s="1530"/>
      <c r="CW1110" s="1530"/>
      <c r="CX1110" s="1530"/>
      <c r="CY1110" s="1530"/>
      <c r="CZ1110" s="1530"/>
      <c r="DA1110" s="1530"/>
      <c r="DB1110" s="1530"/>
      <c r="DC1110" s="1530"/>
      <c r="DD1110" s="1530"/>
      <c r="DE1110" s="1530"/>
      <c r="DF1110" s="1530"/>
      <c r="DG1110" s="1530"/>
      <c r="DH1110" s="1530"/>
      <c r="DI1110" s="1530"/>
      <c r="DJ1110" s="1530"/>
      <c r="DK1110" s="1530"/>
      <c r="DL1110" s="1530"/>
      <c r="DM1110" s="1530"/>
      <c r="DN1110" s="1571"/>
      <c r="DO1110" s="1530"/>
      <c r="DP1110" s="1530"/>
    </row>
    <row r="1111" spans="1:120">
      <c r="A1111" s="1451"/>
      <c r="C1111" s="1451"/>
      <c r="K1111" s="1451"/>
      <c r="L1111" s="1451"/>
      <c r="U1111" s="1530"/>
      <c r="V1111" s="1530"/>
      <c r="W1111" s="1530"/>
      <c r="X1111" s="1530"/>
      <c r="Y1111" s="1530"/>
      <c r="Z1111" s="1530"/>
      <c r="AA1111" s="1530"/>
      <c r="AB1111" s="1530"/>
      <c r="AC1111" s="1530"/>
      <c r="AD1111" s="1530"/>
      <c r="AE1111" s="1530"/>
      <c r="AF1111" s="1530"/>
      <c r="AG1111" s="1530"/>
      <c r="AH1111" s="1530"/>
      <c r="AI1111" s="1530"/>
      <c r="AJ1111" s="1530"/>
      <c r="AK1111" s="1530"/>
      <c r="AL1111" s="1530"/>
      <c r="AM1111" s="1530"/>
      <c r="AN1111" s="1530"/>
      <c r="AO1111" s="1530"/>
      <c r="AP1111" s="1530"/>
      <c r="AQ1111" s="1530"/>
      <c r="AR1111" s="1530"/>
      <c r="AS1111" s="1530"/>
      <c r="AT1111" s="1530"/>
      <c r="AU1111" s="1530"/>
      <c r="AV1111" s="1530"/>
      <c r="AW1111" s="1530"/>
      <c r="AX1111" s="1530"/>
      <c r="AY1111" s="1530"/>
      <c r="AZ1111" s="1530"/>
      <c r="BA1111" s="1530"/>
      <c r="BB1111" s="1530"/>
      <c r="BC1111" s="1530"/>
      <c r="BD1111" s="1530"/>
      <c r="BE1111" s="1530"/>
      <c r="BF1111" s="1530"/>
      <c r="BG1111" s="1530"/>
      <c r="BH1111" s="1530"/>
      <c r="BI1111" s="1530"/>
      <c r="BJ1111" s="1530"/>
      <c r="BK1111" s="1530"/>
      <c r="BL1111" s="1530"/>
      <c r="BM1111" s="1530"/>
      <c r="BN1111" s="1530"/>
      <c r="BW1111" s="1569"/>
      <c r="CO1111" s="1530"/>
      <c r="CP1111" s="1530"/>
      <c r="CQ1111" s="1530"/>
      <c r="CR1111" s="1530"/>
      <c r="CS1111" s="1530"/>
      <c r="CT1111" s="1530"/>
      <c r="CU1111" s="1530"/>
      <c r="CV1111" s="1530"/>
      <c r="CW1111" s="1530"/>
      <c r="CX1111" s="1530"/>
      <c r="CY1111" s="1530"/>
      <c r="CZ1111" s="1530"/>
      <c r="DA1111" s="1530"/>
      <c r="DB1111" s="1530"/>
      <c r="DC1111" s="1530"/>
      <c r="DD1111" s="1530"/>
      <c r="DE1111" s="1530"/>
      <c r="DF1111" s="1530"/>
      <c r="DG1111" s="1530"/>
      <c r="DH1111" s="1530"/>
      <c r="DI1111" s="1530"/>
      <c r="DJ1111" s="1530"/>
      <c r="DK1111" s="1530"/>
      <c r="DL1111" s="1530"/>
      <c r="DM1111" s="1530"/>
      <c r="DN1111" s="1571"/>
      <c r="DO1111" s="1530"/>
      <c r="DP1111" s="1530"/>
    </row>
    <row r="1112" spans="1:120">
      <c r="A1112" s="1451"/>
      <c r="C1112" s="1451"/>
      <c r="K1112" s="1451"/>
      <c r="L1112" s="1451"/>
      <c r="U1112" s="1530"/>
      <c r="V1112" s="1530"/>
      <c r="W1112" s="1530"/>
      <c r="X1112" s="1530"/>
      <c r="Y1112" s="1530"/>
      <c r="Z1112" s="1530"/>
      <c r="AA1112" s="1530"/>
      <c r="AB1112" s="1530"/>
      <c r="AC1112" s="1530"/>
      <c r="AD1112" s="1530"/>
      <c r="AE1112" s="1530"/>
      <c r="AF1112" s="1530"/>
      <c r="AG1112" s="1530"/>
      <c r="AH1112" s="1530"/>
      <c r="AI1112" s="1530"/>
      <c r="AJ1112" s="1530"/>
      <c r="AK1112" s="1530"/>
      <c r="AL1112" s="1530"/>
      <c r="AM1112" s="1530"/>
      <c r="AN1112" s="1530"/>
      <c r="AO1112" s="1530"/>
      <c r="AP1112" s="1530"/>
      <c r="AQ1112" s="1530"/>
      <c r="AR1112" s="1530"/>
      <c r="AS1112" s="1530"/>
      <c r="AT1112" s="1530"/>
      <c r="AU1112" s="1530"/>
      <c r="AV1112" s="1530"/>
      <c r="AW1112" s="1530"/>
      <c r="AX1112" s="1530"/>
      <c r="AY1112" s="1530"/>
      <c r="AZ1112" s="1530"/>
      <c r="BA1112" s="1530"/>
      <c r="BB1112" s="1530"/>
      <c r="BC1112" s="1530"/>
      <c r="BD1112" s="1530"/>
      <c r="BE1112" s="1530"/>
      <c r="BF1112" s="1530"/>
      <c r="BG1112" s="1530"/>
      <c r="BH1112" s="1530"/>
      <c r="BI1112" s="1530"/>
      <c r="BJ1112" s="1530"/>
      <c r="BK1112" s="1530"/>
      <c r="BL1112" s="1530"/>
      <c r="BM1112" s="1530"/>
      <c r="BN1112" s="1530"/>
      <c r="BW1112" s="1569"/>
      <c r="CO1112" s="1530"/>
      <c r="CP1112" s="1530"/>
      <c r="CQ1112" s="1530"/>
      <c r="CR1112" s="1530"/>
      <c r="CS1112" s="1530"/>
      <c r="CT1112" s="1530"/>
      <c r="CU1112" s="1530"/>
      <c r="CV1112" s="1530"/>
      <c r="CW1112" s="1530"/>
      <c r="CX1112" s="1530"/>
      <c r="CY1112" s="1530"/>
      <c r="CZ1112" s="1530"/>
      <c r="DA1112" s="1530"/>
      <c r="DB1112" s="1530"/>
      <c r="DC1112" s="1530"/>
      <c r="DD1112" s="1530"/>
      <c r="DE1112" s="1530"/>
      <c r="DF1112" s="1530"/>
      <c r="DG1112" s="1530"/>
      <c r="DH1112" s="1530"/>
      <c r="DI1112" s="1530"/>
      <c r="DJ1112" s="1530"/>
      <c r="DK1112" s="1530"/>
      <c r="DL1112" s="1530"/>
      <c r="DM1112" s="1530"/>
      <c r="DN1112" s="1571"/>
      <c r="DO1112" s="1530"/>
      <c r="DP1112" s="1530"/>
    </row>
    <row r="1113" spans="1:120">
      <c r="A1113" s="1451"/>
      <c r="C1113" s="1451"/>
      <c r="K1113" s="1451"/>
      <c r="L1113" s="1451"/>
      <c r="U1113" s="1530"/>
      <c r="V1113" s="1530"/>
      <c r="W1113" s="1530"/>
      <c r="X1113" s="1530"/>
      <c r="Y1113" s="1530"/>
      <c r="Z1113" s="1530"/>
      <c r="AA1113" s="1530"/>
      <c r="AB1113" s="1530"/>
      <c r="AC1113" s="1530"/>
      <c r="AD1113" s="1530"/>
      <c r="AE1113" s="1530"/>
      <c r="AF1113" s="1530"/>
      <c r="AG1113" s="1530"/>
      <c r="AH1113" s="1530"/>
      <c r="AI1113" s="1530"/>
      <c r="AJ1113" s="1530"/>
      <c r="AK1113" s="1530"/>
      <c r="AL1113" s="1530"/>
      <c r="AM1113" s="1530"/>
      <c r="AN1113" s="1530"/>
      <c r="AO1113" s="1530"/>
      <c r="AP1113" s="1530"/>
      <c r="AQ1113" s="1530"/>
      <c r="AR1113" s="1530"/>
      <c r="AS1113" s="1530"/>
      <c r="AT1113" s="1530"/>
      <c r="AU1113" s="1530"/>
      <c r="AV1113" s="1530"/>
      <c r="AW1113" s="1530"/>
      <c r="AX1113" s="1530"/>
      <c r="AY1113" s="1530"/>
      <c r="AZ1113" s="1530"/>
      <c r="BA1113" s="1530"/>
      <c r="BB1113" s="1530"/>
      <c r="BC1113" s="1530"/>
      <c r="BD1113" s="1530"/>
      <c r="BE1113" s="1530"/>
      <c r="BF1113" s="1530"/>
      <c r="BG1113" s="1530"/>
      <c r="BH1113" s="1530"/>
      <c r="BI1113" s="1530"/>
      <c r="BJ1113" s="1530"/>
      <c r="BK1113" s="1530"/>
      <c r="BL1113" s="1530"/>
      <c r="BM1113" s="1530"/>
      <c r="BN1113" s="1530"/>
      <c r="BW1113" s="1569"/>
      <c r="CO1113" s="1530"/>
      <c r="CP1113" s="1530"/>
      <c r="CQ1113" s="1530"/>
      <c r="CR1113" s="1530"/>
      <c r="CS1113" s="1530"/>
      <c r="CT1113" s="1530"/>
      <c r="CU1113" s="1530"/>
      <c r="CV1113" s="1530"/>
      <c r="CW1113" s="1530"/>
      <c r="CX1113" s="1530"/>
      <c r="CY1113" s="1530"/>
      <c r="CZ1113" s="1530"/>
      <c r="DA1113" s="1530"/>
      <c r="DB1113" s="1530"/>
      <c r="DC1113" s="1530"/>
      <c r="DD1113" s="1530"/>
      <c r="DE1113" s="1530"/>
      <c r="DF1113" s="1530"/>
      <c r="DG1113" s="1530"/>
      <c r="DH1113" s="1530"/>
      <c r="DI1113" s="1530"/>
      <c r="DJ1113" s="1530"/>
      <c r="DK1113" s="1530"/>
      <c r="DL1113" s="1530"/>
      <c r="DM1113" s="1530"/>
      <c r="DN1113" s="1571"/>
      <c r="DO1113" s="1530"/>
      <c r="DP1113" s="1530"/>
    </row>
    <row r="1114" spans="1:120">
      <c r="A1114" s="1451"/>
      <c r="C1114" s="1451"/>
      <c r="K1114" s="1451"/>
      <c r="L1114" s="1451"/>
      <c r="U1114" s="1530"/>
      <c r="V1114" s="1530"/>
      <c r="W1114" s="1530"/>
      <c r="X1114" s="1530"/>
      <c r="Y1114" s="1530"/>
      <c r="Z1114" s="1530"/>
      <c r="AA1114" s="1530"/>
      <c r="AB1114" s="1530"/>
      <c r="AC1114" s="1530"/>
      <c r="AD1114" s="1530"/>
      <c r="AE1114" s="1530"/>
      <c r="AF1114" s="1530"/>
      <c r="AG1114" s="1530"/>
      <c r="AH1114" s="1530"/>
      <c r="AI1114" s="1530"/>
      <c r="AJ1114" s="1530"/>
      <c r="AK1114" s="1530"/>
      <c r="AL1114" s="1530"/>
      <c r="AM1114" s="1530"/>
      <c r="AN1114" s="1530"/>
      <c r="AO1114" s="1530"/>
      <c r="AP1114" s="1530"/>
      <c r="AQ1114" s="1530"/>
      <c r="AR1114" s="1530"/>
      <c r="AS1114" s="1530"/>
      <c r="AT1114" s="1530"/>
      <c r="AU1114" s="1530"/>
      <c r="AV1114" s="1530"/>
      <c r="AW1114" s="1530"/>
      <c r="AX1114" s="1530"/>
      <c r="AY1114" s="1530"/>
      <c r="AZ1114" s="1530"/>
      <c r="BA1114" s="1530"/>
      <c r="BB1114" s="1530"/>
      <c r="BC1114" s="1530"/>
      <c r="BD1114" s="1530"/>
      <c r="BE1114" s="1530"/>
      <c r="BF1114" s="1530"/>
      <c r="BG1114" s="1530"/>
      <c r="BH1114" s="1530"/>
      <c r="BI1114" s="1530"/>
      <c r="BJ1114" s="1530"/>
      <c r="BK1114" s="1530"/>
      <c r="BL1114" s="1530"/>
      <c r="BM1114" s="1530"/>
      <c r="BN1114" s="1530"/>
      <c r="BW1114" s="1569"/>
      <c r="CO1114" s="1530"/>
      <c r="CP1114" s="1530"/>
      <c r="CQ1114" s="1530"/>
      <c r="CR1114" s="1530"/>
      <c r="CS1114" s="1530"/>
      <c r="CT1114" s="1530"/>
      <c r="CU1114" s="1530"/>
      <c r="CV1114" s="1530"/>
      <c r="CW1114" s="1530"/>
      <c r="CX1114" s="1530"/>
      <c r="CY1114" s="1530"/>
      <c r="CZ1114" s="1530"/>
      <c r="DA1114" s="1530"/>
      <c r="DB1114" s="1530"/>
      <c r="DC1114" s="1530"/>
      <c r="DD1114" s="1530"/>
      <c r="DE1114" s="1530"/>
      <c r="DF1114" s="1530"/>
      <c r="DG1114" s="1530"/>
      <c r="DH1114" s="1530"/>
      <c r="DI1114" s="1530"/>
      <c r="DJ1114" s="1530"/>
      <c r="DK1114" s="1530"/>
      <c r="DL1114" s="1530"/>
      <c r="DM1114" s="1530"/>
      <c r="DN1114" s="1571"/>
      <c r="DO1114" s="1530"/>
      <c r="DP1114" s="1530"/>
    </row>
    <row r="1115" spans="1:120">
      <c r="A1115" s="1451"/>
      <c r="C1115" s="1451"/>
      <c r="K1115" s="1451"/>
      <c r="L1115" s="1451"/>
      <c r="U1115" s="1530"/>
      <c r="V1115" s="1530"/>
      <c r="W1115" s="1530"/>
      <c r="X1115" s="1530"/>
      <c r="Y1115" s="1530"/>
      <c r="Z1115" s="1530"/>
      <c r="AA1115" s="1530"/>
      <c r="AB1115" s="1530"/>
      <c r="AC1115" s="1530"/>
      <c r="AD1115" s="1530"/>
      <c r="AE1115" s="1530"/>
      <c r="AF1115" s="1530"/>
      <c r="AG1115" s="1530"/>
      <c r="AH1115" s="1530"/>
      <c r="AI1115" s="1530"/>
      <c r="AJ1115" s="1530"/>
      <c r="AK1115" s="1530"/>
      <c r="AL1115" s="1530"/>
      <c r="AM1115" s="1530"/>
      <c r="AN1115" s="1530"/>
      <c r="AO1115" s="1530"/>
      <c r="AP1115" s="1530"/>
      <c r="AQ1115" s="1530"/>
      <c r="AR1115" s="1530"/>
      <c r="AS1115" s="1530"/>
      <c r="AT1115" s="1530"/>
      <c r="AU1115" s="1530"/>
      <c r="AV1115" s="1530"/>
      <c r="AW1115" s="1530"/>
      <c r="AX1115" s="1530"/>
      <c r="AY1115" s="1530"/>
      <c r="AZ1115" s="1530"/>
      <c r="BA1115" s="1530"/>
      <c r="BB1115" s="1530"/>
      <c r="BC1115" s="1530"/>
      <c r="BD1115" s="1530"/>
      <c r="BE1115" s="1530"/>
      <c r="BF1115" s="1530"/>
      <c r="BG1115" s="1530"/>
      <c r="BH1115" s="1530"/>
      <c r="BI1115" s="1530"/>
      <c r="BJ1115" s="1530"/>
      <c r="BK1115" s="1530"/>
      <c r="BL1115" s="1530"/>
      <c r="BM1115" s="1530"/>
      <c r="BN1115" s="1530"/>
      <c r="BW1115" s="1569"/>
      <c r="CO1115" s="1530"/>
      <c r="CP1115" s="1530"/>
      <c r="CQ1115" s="1530"/>
      <c r="CR1115" s="1530"/>
      <c r="CS1115" s="1530"/>
      <c r="CT1115" s="1530"/>
      <c r="CU1115" s="1530"/>
      <c r="CV1115" s="1530"/>
      <c r="CW1115" s="1530"/>
      <c r="CX1115" s="1530"/>
      <c r="CY1115" s="1530"/>
      <c r="CZ1115" s="1530"/>
      <c r="DA1115" s="1530"/>
      <c r="DB1115" s="1530"/>
      <c r="DC1115" s="1530"/>
      <c r="DD1115" s="1530"/>
      <c r="DE1115" s="1530"/>
      <c r="DF1115" s="1530"/>
      <c r="DG1115" s="1530"/>
      <c r="DH1115" s="1530"/>
      <c r="DI1115" s="1530"/>
      <c r="DJ1115" s="1530"/>
      <c r="DK1115" s="1530"/>
      <c r="DL1115" s="1530"/>
      <c r="DM1115" s="1530"/>
      <c r="DN1115" s="1571"/>
      <c r="DO1115" s="1530"/>
      <c r="DP1115" s="1530"/>
    </row>
    <row r="1116" spans="1:120">
      <c r="A1116" s="1451"/>
      <c r="C1116" s="1451"/>
      <c r="K1116" s="1451"/>
      <c r="L1116" s="1451"/>
      <c r="U1116" s="1530"/>
      <c r="V1116" s="1530"/>
      <c r="W1116" s="1530"/>
      <c r="X1116" s="1530"/>
      <c r="Y1116" s="1530"/>
      <c r="Z1116" s="1530"/>
      <c r="AA1116" s="1530"/>
      <c r="AB1116" s="1530"/>
      <c r="AC1116" s="1530"/>
      <c r="AD1116" s="1530"/>
      <c r="AE1116" s="1530"/>
      <c r="AF1116" s="1530"/>
      <c r="AG1116" s="1530"/>
      <c r="AH1116" s="1530"/>
      <c r="AI1116" s="1530"/>
      <c r="AJ1116" s="1530"/>
      <c r="AK1116" s="1530"/>
      <c r="AL1116" s="1530"/>
      <c r="AM1116" s="1530"/>
      <c r="AN1116" s="1530"/>
      <c r="AO1116" s="1530"/>
      <c r="AP1116" s="1530"/>
      <c r="AQ1116" s="1530"/>
      <c r="AR1116" s="1530"/>
      <c r="AS1116" s="1530"/>
      <c r="AT1116" s="1530"/>
      <c r="AU1116" s="1530"/>
      <c r="AV1116" s="1530"/>
      <c r="AW1116" s="1530"/>
      <c r="AX1116" s="1530"/>
      <c r="AY1116" s="1530"/>
      <c r="AZ1116" s="1530"/>
      <c r="BA1116" s="1530"/>
      <c r="BB1116" s="1530"/>
      <c r="BC1116" s="1530"/>
      <c r="BD1116" s="1530"/>
      <c r="BE1116" s="1530"/>
      <c r="BF1116" s="1530"/>
      <c r="BG1116" s="1530"/>
      <c r="BH1116" s="1530"/>
      <c r="BI1116" s="1530"/>
      <c r="BJ1116" s="1530"/>
      <c r="BK1116" s="1530"/>
      <c r="BL1116" s="1530"/>
      <c r="BM1116" s="1530"/>
      <c r="BN1116" s="1530"/>
      <c r="BW1116" s="1569"/>
      <c r="CO1116" s="1530"/>
      <c r="CP1116" s="1530"/>
      <c r="CQ1116" s="1530"/>
      <c r="CR1116" s="1530"/>
      <c r="CS1116" s="1530"/>
      <c r="CT1116" s="1530"/>
      <c r="CU1116" s="1530"/>
      <c r="CV1116" s="1530"/>
      <c r="CW1116" s="1530"/>
      <c r="CX1116" s="1530"/>
      <c r="CY1116" s="1530"/>
      <c r="CZ1116" s="1530"/>
      <c r="DA1116" s="1530"/>
      <c r="DB1116" s="1530"/>
      <c r="DC1116" s="1530"/>
      <c r="DD1116" s="1530"/>
      <c r="DE1116" s="1530"/>
      <c r="DF1116" s="1530"/>
      <c r="DG1116" s="1530"/>
      <c r="DH1116" s="1530"/>
      <c r="DI1116" s="1530"/>
      <c r="DJ1116" s="1530"/>
      <c r="DK1116" s="1530"/>
      <c r="DL1116" s="1530"/>
      <c r="DM1116" s="1530"/>
      <c r="DN1116" s="1571"/>
      <c r="DO1116" s="1530"/>
      <c r="DP1116" s="1530"/>
    </row>
    <row r="1117" spans="1:120">
      <c r="A1117" s="1451"/>
      <c r="C1117" s="1451"/>
      <c r="K1117" s="1451"/>
      <c r="L1117" s="1451"/>
      <c r="U1117" s="1530"/>
      <c r="V1117" s="1530"/>
      <c r="W1117" s="1530"/>
      <c r="X1117" s="1530"/>
      <c r="Y1117" s="1530"/>
      <c r="Z1117" s="1530"/>
      <c r="AA1117" s="1530"/>
      <c r="AB1117" s="1530"/>
      <c r="AC1117" s="1530"/>
      <c r="AD1117" s="1530"/>
      <c r="AE1117" s="1530"/>
      <c r="AF1117" s="1530"/>
      <c r="AG1117" s="1530"/>
      <c r="AH1117" s="1530"/>
      <c r="AI1117" s="1530"/>
      <c r="AJ1117" s="1530"/>
      <c r="AK1117" s="1530"/>
      <c r="AL1117" s="1530"/>
      <c r="AM1117" s="1530"/>
      <c r="AN1117" s="1530"/>
      <c r="AO1117" s="1530"/>
      <c r="AP1117" s="1530"/>
      <c r="AQ1117" s="1530"/>
      <c r="AR1117" s="1530"/>
      <c r="AS1117" s="1530"/>
      <c r="AT1117" s="1530"/>
      <c r="AU1117" s="1530"/>
      <c r="AV1117" s="1530"/>
      <c r="AW1117" s="1530"/>
      <c r="AX1117" s="1530"/>
      <c r="AY1117" s="1530"/>
      <c r="AZ1117" s="1530"/>
      <c r="BA1117" s="1530"/>
      <c r="BB1117" s="1530"/>
      <c r="BC1117" s="1530"/>
      <c r="BD1117" s="1530"/>
      <c r="BE1117" s="1530"/>
      <c r="BF1117" s="1530"/>
      <c r="BG1117" s="1530"/>
      <c r="BH1117" s="1530"/>
      <c r="BI1117" s="1530"/>
      <c r="BJ1117" s="1530"/>
      <c r="BK1117" s="1530"/>
      <c r="BL1117" s="1530"/>
      <c r="BM1117" s="1530"/>
      <c r="BN1117" s="1530"/>
      <c r="BW1117" s="1569"/>
      <c r="CO1117" s="1530"/>
      <c r="CP1117" s="1530"/>
      <c r="CQ1117" s="1530"/>
      <c r="CR1117" s="1530"/>
      <c r="CS1117" s="1530"/>
      <c r="CT1117" s="1530"/>
      <c r="CU1117" s="1530"/>
      <c r="CV1117" s="1530"/>
      <c r="CW1117" s="1530"/>
      <c r="CX1117" s="1530"/>
      <c r="CY1117" s="1530"/>
      <c r="CZ1117" s="1530"/>
      <c r="DA1117" s="1530"/>
      <c r="DB1117" s="1530"/>
      <c r="DC1117" s="1530"/>
      <c r="DD1117" s="1530"/>
      <c r="DE1117" s="1530"/>
      <c r="DF1117" s="1530"/>
      <c r="DG1117" s="1530"/>
      <c r="DH1117" s="1530"/>
      <c r="DI1117" s="1530"/>
      <c r="DJ1117" s="1530"/>
      <c r="DK1117" s="1530"/>
      <c r="DL1117" s="1530"/>
      <c r="DM1117" s="1530"/>
      <c r="DN1117" s="1571"/>
      <c r="DO1117" s="1530"/>
      <c r="DP1117" s="1530"/>
    </row>
    <row r="1118" spans="1:120">
      <c r="A1118" s="1451"/>
      <c r="C1118" s="1451"/>
      <c r="K1118" s="1451"/>
      <c r="L1118" s="1451"/>
      <c r="U1118" s="1530"/>
      <c r="V1118" s="1530"/>
      <c r="W1118" s="1530"/>
      <c r="X1118" s="1530"/>
      <c r="Y1118" s="1530"/>
      <c r="Z1118" s="1530"/>
      <c r="AA1118" s="1530"/>
      <c r="AB1118" s="1530"/>
      <c r="AC1118" s="1530"/>
      <c r="AD1118" s="1530"/>
      <c r="AE1118" s="1530"/>
      <c r="AF1118" s="1530"/>
      <c r="AG1118" s="1530"/>
      <c r="AH1118" s="1530"/>
      <c r="AI1118" s="1530"/>
      <c r="AJ1118" s="1530"/>
      <c r="AK1118" s="1530"/>
      <c r="AL1118" s="1530"/>
      <c r="AM1118" s="1530"/>
      <c r="AN1118" s="1530"/>
      <c r="AO1118" s="1530"/>
      <c r="AP1118" s="1530"/>
      <c r="AQ1118" s="1530"/>
      <c r="AR1118" s="1530"/>
      <c r="AS1118" s="1530"/>
      <c r="AT1118" s="1530"/>
      <c r="AU1118" s="1530"/>
      <c r="AV1118" s="1530"/>
      <c r="AW1118" s="1530"/>
      <c r="AX1118" s="1530"/>
      <c r="AY1118" s="1530"/>
      <c r="AZ1118" s="1530"/>
      <c r="BA1118" s="1530"/>
      <c r="BB1118" s="1530"/>
      <c r="BC1118" s="1530"/>
      <c r="BD1118" s="1530"/>
      <c r="BE1118" s="1530"/>
      <c r="BF1118" s="1530"/>
      <c r="BG1118" s="1530"/>
      <c r="BH1118" s="1530"/>
      <c r="BI1118" s="1530"/>
      <c r="BJ1118" s="1530"/>
      <c r="BK1118" s="1530"/>
      <c r="BL1118" s="1530"/>
      <c r="BM1118" s="1530"/>
      <c r="BN1118" s="1530"/>
      <c r="BW1118" s="1569"/>
      <c r="CO1118" s="1530"/>
      <c r="CP1118" s="1530"/>
      <c r="CQ1118" s="1530"/>
      <c r="CR1118" s="1530"/>
      <c r="CS1118" s="1530"/>
      <c r="CT1118" s="1530"/>
      <c r="CU1118" s="1530"/>
      <c r="CV1118" s="1530"/>
      <c r="CW1118" s="1530"/>
      <c r="CX1118" s="1530"/>
      <c r="CY1118" s="1530"/>
      <c r="CZ1118" s="1530"/>
      <c r="DA1118" s="1530"/>
      <c r="DB1118" s="1530"/>
      <c r="DC1118" s="1530"/>
      <c r="DD1118" s="1530"/>
      <c r="DE1118" s="1530"/>
      <c r="DF1118" s="1530"/>
      <c r="DG1118" s="1530"/>
      <c r="DH1118" s="1530"/>
      <c r="DI1118" s="1530"/>
      <c r="DJ1118" s="1530"/>
      <c r="DK1118" s="1530"/>
      <c r="DL1118" s="1530"/>
      <c r="DM1118" s="1530"/>
      <c r="DN1118" s="1571"/>
      <c r="DO1118" s="1530"/>
      <c r="DP1118" s="1530"/>
    </row>
    <row r="1119" spans="1:120">
      <c r="A1119" s="1451"/>
      <c r="C1119" s="1451"/>
      <c r="K1119" s="1451"/>
      <c r="L1119" s="1451"/>
      <c r="U1119" s="1530"/>
      <c r="V1119" s="1530"/>
      <c r="W1119" s="1530"/>
      <c r="X1119" s="1530"/>
      <c r="Y1119" s="1530"/>
      <c r="Z1119" s="1530"/>
      <c r="AA1119" s="1530"/>
      <c r="AB1119" s="1530"/>
      <c r="AC1119" s="1530"/>
      <c r="AD1119" s="1530"/>
      <c r="AE1119" s="1530"/>
      <c r="AF1119" s="1530"/>
      <c r="AG1119" s="1530"/>
      <c r="AH1119" s="1530"/>
      <c r="AI1119" s="1530"/>
      <c r="AJ1119" s="1530"/>
      <c r="AK1119" s="1530"/>
      <c r="AL1119" s="1530"/>
      <c r="AM1119" s="1530"/>
      <c r="AN1119" s="1530"/>
      <c r="AO1119" s="1530"/>
      <c r="AP1119" s="1530"/>
      <c r="AQ1119" s="1530"/>
      <c r="AR1119" s="1530"/>
      <c r="AS1119" s="1530"/>
      <c r="AT1119" s="1530"/>
      <c r="AU1119" s="1530"/>
      <c r="AV1119" s="1530"/>
      <c r="AW1119" s="1530"/>
      <c r="AX1119" s="1530"/>
      <c r="AY1119" s="1530"/>
      <c r="AZ1119" s="1530"/>
      <c r="BA1119" s="1530"/>
      <c r="BB1119" s="1530"/>
      <c r="BC1119" s="1530"/>
      <c r="BD1119" s="1530"/>
      <c r="BE1119" s="1530"/>
      <c r="BF1119" s="1530"/>
      <c r="BG1119" s="1530"/>
      <c r="BH1119" s="1530"/>
      <c r="BI1119" s="1530"/>
      <c r="BJ1119" s="1530"/>
      <c r="BK1119" s="1530"/>
      <c r="BL1119" s="1530"/>
      <c r="BM1119" s="1530"/>
      <c r="BN1119" s="1530"/>
      <c r="BW1119" s="1569"/>
      <c r="CO1119" s="1530"/>
      <c r="CP1119" s="1530"/>
      <c r="CQ1119" s="1530"/>
      <c r="CR1119" s="1530"/>
      <c r="CS1119" s="1530"/>
      <c r="CT1119" s="1530"/>
      <c r="CU1119" s="1530"/>
      <c r="CV1119" s="1530"/>
      <c r="CW1119" s="1530"/>
      <c r="CX1119" s="1530"/>
      <c r="CY1119" s="1530"/>
      <c r="CZ1119" s="1530"/>
      <c r="DA1119" s="1530"/>
      <c r="DB1119" s="1530"/>
      <c r="DC1119" s="1530"/>
      <c r="DD1119" s="1530"/>
      <c r="DE1119" s="1530"/>
      <c r="DF1119" s="1530"/>
      <c r="DG1119" s="1530"/>
      <c r="DH1119" s="1530"/>
      <c r="DI1119" s="1530"/>
      <c r="DJ1119" s="1530"/>
      <c r="DK1119" s="1530"/>
      <c r="DL1119" s="1530"/>
      <c r="DM1119" s="1530"/>
      <c r="DN1119" s="1571"/>
      <c r="DO1119" s="1530"/>
      <c r="DP1119" s="1530"/>
    </row>
    <row r="1120" spans="1:120">
      <c r="A1120" s="1451"/>
      <c r="C1120" s="1451"/>
      <c r="K1120" s="1451"/>
      <c r="L1120" s="1451"/>
      <c r="U1120" s="1530"/>
      <c r="V1120" s="1530"/>
      <c r="W1120" s="1530"/>
      <c r="X1120" s="1530"/>
      <c r="Y1120" s="1530"/>
      <c r="Z1120" s="1530"/>
      <c r="AA1120" s="1530"/>
      <c r="AB1120" s="1530"/>
      <c r="AC1120" s="1530"/>
      <c r="AD1120" s="1530"/>
      <c r="AE1120" s="1530"/>
      <c r="AF1120" s="1530"/>
      <c r="AG1120" s="1530"/>
      <c r="AH1120" s="1530"/>
      <c r="AI1120" s="1530"/>
      <c r="AJ1120" s="1530"/>
      <c r="AK1120" s="1530"/>
      <c r="AL1120" s="1530"/>
      <c r="AM1120" s="1530"/>
      <c r="AN1120" s="1530"/>
      <c r="AO1120" s="1530"/>
      <c r="AP1120" s="1530"/>
      <c r="AQ1120" s="1530"/>
      <c r="AR1120" s="1530"/>
      <c r="AS1120" s="1530"/>
      <c r="AT1120" s="1530"/>
      <c r="AU1120" s="1530"/>
      <c r="AV1120" s="1530"/>
      <c r="AW1120" s="1530"/>
      <c r="AX1120" s="1530"/>
      <c r="AY1120" s="1530"/>
      <c r="AZ1120" s="1530"/>
      <c r="BA1120" s="1530"/>
      <c r="BB1120" s="1530"/>
      <c r="BC1120" s="1530"/>
      <c r="BD1120" s="1530"/>
      <c r="BE1120" s="1530"/>
      <c r="BF1120" s="1530"/>
      <c r="BG1120" s="1530"/>
      <c r="BH1120" s="1530"/>
      <c r="BI1120" s="1530"/>
      <c r="BJ1120" s="1530"/>
      <c r="BK1120" s="1530"/>
      <c r="BL1120" s="1530"/>
      <c r="BM1120" s="1530"/>
      <c r="BN1120" s="1530"/>
      <c r="BW1120" s="1569"/>
      <c r="CO1120" s="1530"/>
      <c r="CP1120" s="1530"/>
      <c r="CQ1120" s="1530"/>
      <c r="CR1120" s="1530"/>
      <c r="CS1120" s="1530"/>
      <c r="CT1120" s="1530"/>
      <c r="CU1120" s="1530"/>
      <c r="CV1120" s="1530"/>
      <c r="CW1120" s="1530"/>
      <c r="CX1120" s="1530"/>
      <c r="CY1120" s="1530"/>
      <c r="CZ1120" s="1530"/>
      <c r="DA1120" s="1530"/>
      <c r="DB1120" s="1530"/>
      <c r="DC1120" s="1530"/>
      <c r="DD1120" s="1530"/>
      <c r="DE1120" s="1530"/>
      <c r="DF1120" s="1530"/>
      <c r="DG1120" s="1530"/>
      <c r="DH1120" s="1530"/>
      <c r="DI1120" s="1530"/>
      <c r="DJ1120" s="1530"/>
      <c r="DK1120" s="1530"/>
      <c r="DL1120" s="1530"/>
      <c r="DM1120" s="1530"/>
      <c r="DN1120" s="1571"/>
      <c r="DO1120" s="1530"/>
      <c r="DP1120" s="1530"/>
    </row>
    <row r="1121" spans="1:120">
      <c r="A1121" s="1451"/>
      <c r="C1121" s="1451"/>
      <c r="K1121" s="1451"/>
      <c r="L1121" s="1451"/>
      <c r="U1121" s="1530"/>
      <c r="V1121" s="1530"/>
      <c r="W1121" s="1530"/>
      <c r="X1121" s="1530"/>
      <c r="Y1121" s="1530"/>
      <c r="Z1121" s="1530"/>
      <c r="AA1121" s="1530"/>
      <c r="AB1121" s="1530"/>
      <c r="AC1121" s="1530"/>
      <c r="AD1121" s="1530"/>
      <c r="AE1121" s="1530"/>
      <c r="AF1121" s="1530"/>
      <c r="AG1121" s="1530"/>
      <c r="AH1121" s="1530"/>
      <c r="AI1121" s="1530"/>
      <c r="AJ1121" s="1530"/>
      <c r="AK1121" s="1530"/>
      <c r="AL1121" s="1530"/>
      <c r="AM1121" s="1530"/>
      <c r="AN1121" s="1530"/>
      <c r="AO1121" s="1530"/>
      <c r="AP1121" s="1530"/>
      <c r="AQ1121" s="1530"/>
      <c r="AR1121" s="1530"/>
      <c r="AS1121" s="1530"/>
      <c r="AT1121" s="1530"/>
      <c r="AU1121" s="1530"/>
      <c r="AV1121" s="1530"/>
      <c r="AW1121" s="1530"/>
      <c r="AX1121" s="1530"/>
      <c r="AY1121" s="1530"/>
      <c r="AZ1121" s="1530"/>
      <c r="BA1121" s="1530"/>
      <c r="BB1121" s="1530"/>
      <c r="BC1121" s="1530"/>
      <c r="BD1121" s="1530"/>
      <c r="BE1121" s="1530"/>
      <c r="BF1121" s="1530"/>
      <c r="BG1121" s="1530"/>
      <c r="BH1121" s="1530"/>
      <c r="BI1121" s="1530"/>
      <c r="BJ1121" s="1530"/>
      <c r="BK1121" s="1530"/>
      <c r="BL1121" s="1530"/>
      <c r="BM1121" s="1530"/>
      <c r="BN1121" s="1530"/>
      <c r="BW1121" s="1569"/>
      <c r="CO1121" s="1530"/>
      <c r="CP1121" s="1530"/>
      <c r="CQ1121" s="1530"/>
      <c r="CR1121" s="1530"/>
      <c r="CS1121" s="1530"/>
      <c r="CT1121" s="1530"/>
      <c r="CU1121" s="1530"/>
      <c r="CV1121" s="1530"/>
      <c r="CW1121" s="1530"/>
      <c r="CX1121" s="1530"/>
      <c r="CY1121" s="1530"/>
      <c r="CZ1121" s="1530"/>
      <c r="DA1121" s="1530"/>
      <c r="DB1121" s="1530"/>
      <c r="DC1121" s="1530"/>
      <c r="DD1121" s="1530"/>
      <c r="DE1121" s="1530"/>
      <c r="DF1121" s="1530"/>
      <c r="DG1121" s="1530"/>
      <c r="DH1121" s="1530"/>
      <c r="DI1121" s="1530"/>
      <c r="DJ1121" s="1530"/>
      <c r="DK1121" s="1530"/>
      <c r="DL1121" s="1530"/>
      <c r="DM1121" s="1530"/>
      <c r="DN1121" s="1571"/>
      <c r="DO1121" s="1530"/>
      <c r="DP1121" s="1530"/>
    </row>
    <row r="1122" spans="1:120">
      <c r="A1122" s="1451"/>
      <c r="C1122" s="1451"/>
      <c r="K1122" s="1451"/>
      <c r="L1122" s="1451"/>
      <c r="U1122" s="1530"/>
      <c r="V1122" s="1530"/>
      <c r="W1122" s="1530"/>
      <c r="X1122" s="1530"/>
      <c r="Y1122" s="1530"/>
      <c r="Z1122" s="1530"/>
      <c r="AA1122" s="1530"/>
      <c r="AB1122" s="1530"/>
      <c r="AC1122" s="1530"/>
      <c r="AD1122" s="1530"/>
      <c r="AE1122" s="1530"/>
      <c r="AF1122" s="1530"/>
      <c r="AG1122" s="1530"/>
      <c r="AH1122" s="1530"/>
      <c r="AI1122" s="1530"/>
      <c r="AJ1122" s="1530"/>
      <c r="AK1122" s="1530"/>
      <c r="AL1122" s="1530"/>
      <c r="AM1122" s="1530"/>
      <c r="AN1122" s="1530"/>
      <c r="AO1122" s="1530"/>
      <c r="AP1122" s="1530"/>
      <c r="AQ1122" s="1530"/>
      <c r="AR1122" s="1530"/>
      <c r="AS1122" s="1530"/>
      <c r="AT1122" s="1530"/>
      <c r="AU1122" s="1530"/>
      <c r="AV1122" s="1530"/>
      <c r="AW1122" s="1530"/>
      <c r="AX1122" s="1530"/>
      <c r="AY1122" s="1530"/>
      <c r="AZ1122" s="1530"/>
      <c r="BA1122" s="1530"/>
      <c r="BB1122" s="1530"/>
      <c r="BC1122" s="1530"/>
      <c r="BD1122" s="1530"/>
      <c r="BE1122" s="1530"/>
      <c r="BF1122" s="1530"/>
      <c r="BG1122" s="1530"/>
      <c r="BH1122" s="1530"/>
      <c r="BI1122" s="1530"/>
      <c r="BJ1122" s="1530"/>
      <c r="BK1122" s="1530"/>
      <c r="BL1122" s="1530"/>
      <c r="BM1122" s="1530"/>
      <c r="BN1122" s="1530"/>
      <c r="BW1122" s="1569"/>
      <c r="CO1122" s="1530"/>
      <c r="CP1122" s="1530"/>
      <c r="CQ1122" s="1530"/>
      <c r="CR1122" s="1530"/>
      <c r="CS1122" s="1530"/>
      <c r="CT1122" s="1530"/>
      <c r="CU1122" s="1530"/>
      <c r="CV1122" s="1530"/>
      <c r="CW1122" s="1530"/>
      <c r="CX1122" s="1530"/>
      <c r="CY1122" s="1530"/>
      <c r="CZ1122" s="1530"/>
      <c r="DA1122" s="1530"/>
      <c r="DB1122" s="1530"/>
      <c r="DC1122" s="1530"/>
      <c r="DD1122" s="1530"/>
      <c r="DE1122" s="1530"/>
      <c r="DF1122" s="1530"/>
      <c r="DG1122" s="1530"/>
      <c r="DH1122" s="1530"/>
      <c r="DI1122" s="1530"/>
      <c r="DJ1122" s="1530"/>
      <c r="DK1122" s="1530"/>
      <c r="DL1122" s="1530"/>
      <c r="DM1122" s="1530"/>
      <c r="DN1122" s="1571"/>
      <c r="DO1122" s="1530"/>
      <c r="DP1122" s="1530"/>
    </row>
    <row r="1123" spans="1:120">
      <c r="A1123" s="1451"/>
      <c r="C1123" s="1451"/>
      <c r="K1123" s="1451"/>
      <c r="L1123" s="1451"/>
      <c r="U1123" s="1530"/>
      <c r="V1123" s="1530"/>
      <c r="W1123" s="1530"/>
      <c r="X1123" s="1530"/>
      <c r="Y1123" s="1530"/>
      <c r="Z1123" s="1530"/>
      <c r="AA1123" s="1530"/>
      <c r="AB1123" s="1530"/>
      <c r="AC1123" s="1530"/>
      <c r="AD1123" s="1530"/>
      <c r="AE1123" s="1530"/>
      <c r="AF1123" s="1530"/>
      <c r="AG1123" s="1530"/>
      <c r="AH1123" s="1530"/>
      <c r="AI1123" s="1530"/>
      <c r="AJ1123" s="1530"/>
      <c r="AK1123" s="1530"/>
      <c r="AL1123" s="1530"/>
      <c r="AM1123" s="1530"/>
      <c r="AN1123" s="1530"/>
      <c r="AO1123" s="1530"/>
      <c r="AP1123" s="1530"/>
      <c r="AQ1123" s="1530"/>
      <c r="AR1123" s="1530"/>
      <c r="AS1123" s="1530"/>
      <c r="AT1123" s="1530"/>
      <c r="AU1123" s="1530"/>
      <c r="AV1123" s="1530"/>
      <c r="AW1123" s="1530"/>
      <c r="AX1123" s="1530"/>
      <c r="AY1123" s="1530"/>
      <c r="AZ1123" s="1530"/>
      <c r="BA1123" s="1530"/>
      <c r="BB1123" s="1530"/>
      <c r="BC1123" s="1530"/>
      <c r="BD1123" s="1530"/>
      <c r="BE1123" s="1530"/>
      <c r="BF1123" s="1530"/>
      <c r="BG1123" s="1530"/>
      <c r="BH1123" s="1530"/>
      <c r="BI1123" s="1530"/>
      <c r="BJ1123" s="1530"/>
      <c r="BK1123" s="1530"/>
      <c r="BL1123" s="1530"/>
      <c r="BM1123" s="1530"/>
      <c r="BN1123" s="1530"/>
      <c r="BW1123" s="1569"/>
      <c r="CO1123" s="1530"/>
      <c r="CP1123" s="1530"/>
      <c r="CQ1123" s="1530"/>
      <c r="CR1123" s="1530"/>
      <c r="CS1123" s="1530"/>
      <c r="CT1123" s="1530"/>
      <c r="CU1123" s="1530"/>
      <c r="CV1123" s="1530"/>
      <c r="CW1123" s="1530"/>
      <c r="CX1123" s="1530"/>
      <c r="CY1123" s="1530"/>
      <c r="CZ1123" s="1530"/>
      <c r="DA1123" s="1530"/>
      <c r="DB1123" s="1530"/>
      <c r="DC1123" s="1530"/>
      <c r="DD1123" s="1530"/>
      <c r="DE1123" s="1530"/>
      <c r="DF1123" s="1530"/>
      <c r="DG1123" s="1530"/>
      <c r="DH1123" s="1530"/>
      <c r="DI1123" s="1530"/>
      <c r="DJ1123" s="1530"/>
      <c r="DK1123" s="1530"/>
      <c r="DL1123" s="1530"/>
      <c r="DM1123" s="1530"/>
      <c r="DN1123" s="1571"/>
      <c r="DO1123" s="1530"/>
      <c r="DP1123" s="1530"/>
    </row>
    <row r="1124" spans="1:120">
      <c r="A1124" s="1451"/>
      <c r="C1124" s="1451"/>
      <c r="K1124" s="1451"/>
      <c r="L1124" s="1451"/>
      <c r="U1124" s="1530"/>
      <c r="V1124" s="1530"/>
      <c r="W1124" s="1530"/>
      <c r="X1124" s="1530"/>
      <c r="Y1124" s="1530"/>
      <c r="Z1124" s="1530"/>
      <c r="AA1124" s="1530"/>
      <c r="AB1124" s="1530"/>
      <c r="AC1124" s="1530"/>
      <c r="AD1124" s="1530"/>
      <c r="AE1124" s="1530"/>
      <c r="AF1124" s="1530"/>
      <c r="AG1124" s="1530"/>
      <c r="AH1124" s="1530"/>
      <c r="AI1124" s="1530"/>
      <c r="AJ1124" s="1530"/>
      <c r="AK1124" s="1530"/>
      <c r="AL1124" s="1530"/>
      <c r="AM1124" s="1530"/>
      <c r="AN1124" s="1530"/>
      <c r="AO1124" s="1530"/>
      <c r="AP1124" s="1530"/>
      <c r="AQ1124" s="1530"/>
      <c r="AR1124" s="1530"/>
      <c r="AS1124" s="1530"/>
      <c r="AT1124" s="1530"/>
      <c r="AU1124" s="1530"/>
      <c r="AV1124" s="1530"/>
      <c r="AW1124" s="1530"/>
      <c r="AX1124" s="1530"/>
      <c r="AY1124" s="1530"/>
      <c r="AZ1124" s="1530"/>
      <c r="BA1124" s="1530"/>
      <c r="BB1124" s="1530"/>
      <c r="BC1124" s="1530"/>
      <c r="BD1124" s="1530"/>
      <c r="BE1124" s="1530"/>
      <c r="BF1124" s="1530"/>
      <c r="BG1124" s="1530"/>
      <c r="BH1124" s="1530"/>
      <c r="BI1124" s="1530"/>
      <c r="BJ1124" s="1530"/>
      <c r="BK1124" s="1530"/>
      <c r="BL1124" s="1530"/>
      <c r="BM1124" s="1530"/>
      <c r="BN1124" s="1530"/>
      <c r="BW1124" s="1569"/>
      <c r="CO1124" s="1530"/>
      <c r="CP1124" s="1530"/>
      <c r="CQ1124" s="1530"/>
      <c r="CR1124" s="1530"/>
      <c r="CS1124" s="1530"/>
      <c r="CT1124" s="1530"/>
      <c r="CU1124" s="1530"/>
      <c r="CV1124" s="1530"/>
      <c r="CW1124" s="1530"/>
      <c r="CX1124" s="1530"/>
      <c r="CY1124" s="1530"/>
      <c r="CZ1124" s="1530"/>
      <c r="DA1124" s="1530"/>
      <c r="DB1124" s="1530"/>
      <c r="DC1124" s="1530"/>
      <c r="DD1124" s="1530"/>
      <c r="DE1124" s="1530"/>
      <c r="DF1124" s="1530"/>
      <c r="DG1124" s="1530"/>
      <c r="DH1124" s="1530"/>
      <c r="DI1124" s="1530"/>
      <c r="DJ1124" s="1530"/>
      <c r="DK1124" s="1530"/>
      <c r="DL1124" s="1530"/>
      <c r="DM1124" s="1530"/>
      <c r="DN1124" s="1571"/>
      <c r="DO1124" s="1530"/>
      <c r="DP1124" s="1530"/>
    </row>
    <row r="1125" spans="1:120">
      <c r="A1125" s="1451"/>
      <c r="C1125" s="1451"/>
      <c r="K1125" s="1451"/>
      <c r="L1125" s="1451"/>
      <c r="U1125" s="1530"/>
      <c r="V1125" s="1530"/>
      <c r="W1125" s="1530"/>
      <c r="X1125" s="1530"/>
      <c r="Y1125" s="1530"/>
      <c r="Z1125" s="1530"/>
      <c r="AA1125" s="1530"/>
      <c r="AB1125" s="1530"/>
      <c r="AC1125" s="1530"/>
      <c r="AD1125" s="1530"/>
      <c r="AE1125" s="1530"/>
      <c r="AF1125" s="1530"/>
      <c r="AG1125" s="1530"/>
      <c r="AH1125" s="1530"/>
      <c r="AI1125" s="1530"/>
      <c r="AJ1125" s="1530"/>
      <c r="AK1125" s="1530"/>
      <c r="AL1125" s="1530"/>
      <c r="AM1125" s="1530"/>
      <c r="AN1125" s="1530"/>
      <c r="AO1125" s="1530"/>
      <c r="AP1125" s="1530"/>
      <c r="AQ1125" s="1530"/>
      <c r="AR1125" s="1530"/>
      <c r="AS1125" s="1530"/>
      <c r="AT1125" s="1530"/>
      <c r="AU1125" s="1530"/>
      <c r="AV1125" s="1530"/>
      <c r="AW1125" s="1530"/>
      <c r="AX1125" s="1530"/>
      <c r="AY1125" s="1530"/>
      <c r="AZ1125" s="1530"/>
      <c r="BA1125" s="1530"/>
      <c r="BB1125" s="1530"/>
      <c r="BC1125" s="1530"/>
      <c r="BD1125" s="1530"/>
      <c r="BE1125" s="1530"/>
      <c r="BF1125" s="1530"/>
      <c r="BG1125" s="1530"/>
      <c r="BH1125" s="1530"/>
      <c r="BI1125" s="1530"/>
      <c r="BJ1125" s="1530"/>
      <c r="BK1125" s="1530"/>
      <c r="BL1125" s="1530"/>
      <c r="BM1125" s="1530"/>
      <c r="BN1125" s="1530"/>
      <c r="BW1125" s="1569"/>
      <c r="CO1125" s="1530"/>
      <c r="CP1125" s="1530"/>
      <c r="CQ1125" s="1530"/>
      <c r="CR1125" s="1530"/>
      <c r="CS1125" s="1530"/>
      <c r="CT1125" s="1530"/>
      <c r="CU1125" s="1530"/>
      <c r="CV1125" s="1530"/>
      <c r="CW1125" s="1530"/>
      <c r="CX1125" s="1530"/>
      <c r="CY1125" s="1530"/>
      <c r="CZ1125" s="1530"/>
      <c r="DA1125" s="1530"/>
      <c r="DB1125" s="1530"/>
      <c r="DC1125" s="1530"/>
      <c r="DD1125" s="1530"/>
      <c r="DE1125" s="1530"/>
      <c r="DF1125" s="1530"/>
      <c r="DG1125" s="1530"/>
      <c r="DH1125" s="1530"/>
      <c r="DI1125" s="1530"/>
      <c r="DJ1125" s="1530"/>
      <c r="DK1125" s="1530"/>
      <c r="DL1125" s="1530"/>
      <c r="DM1125" s="1530"/>
      <c r="DN1125" s="1571"/>
      <c r="DO1125" s="1530"/>
      <c r="DP1125" s="1530"/>
    </row>
    <row r="1126" spans="1:120">
      <c r="A1126" s="1451"/>
      <c r="C1126" s="1451"/>
      <c r="K1126" s="1451"/>
      <c r="L1126" s="1451"/>
      <c r="U1126" s="1530"/>
      <c r="V1126" s="1530"/>
      <c r="W1126" s="1530"/>
      <c r="X1126" s="1530"/>
      <c r="Y1126" s="1530"/>
      <c r="Z1126" s="1530"/>
      <c r="AA1126" s="1530"/>
      <c r="AB1126" s="1530"/>
      <c r="AC1126" s="1530"/>
      <c r="AD1126" s="1530"/>
      <c r="AE1126" s="1530"/>
      <c r="AF1126" s="1530"/>
      <c r="AG1126" s="1530"/>
      <c r="AH1126" s="1530"/>
      <c r="AI1126" s="1530"/>
      <c r="AJ1126" s="1530"/>
      <c r="AK1126" s="1530"/>
      <c r="AL1126" s="1530"/>
      <c r="AM1126" s="1530"/>
      <c r="AN1126" s="1530"/>
      <c r="AO1126" s="1530"/>
      <c r="AP1126" s="1530"/>
      <c r="AQ1126" s="1530"/>
      <c r="AR1126" s="1530"/>
      <c r="AS1126" s="1530"/>
      <c r="AT1126" s="1530"/>
      <c r="AU1126" s="1530"/>
      <c r="AV1126" s="1530"/>
      <c r="AW1126" s="1530"/>
      <c r="AX1126" s="1530"/>
      <c r="AY1126" s="1530"/>
      <c r="AZ1126" s="1530"/>
      <c r="BA1126" s="1530"/>
      <c r="BB1126" s="1530"/>
      <c r="BC1126" s="1530"/>
      <c r="BD1126" s="1530"/>
      <c r="BE1126" s="1530"/>
      <c r="BF1126" s="1530"/>
      <c r="BG1126" s="1530"/>
      <c r="BH1126" s="1530"/>
      <c r="BI1126" s="1530"/>
      <c r="BJ1126" s="1530"/>
      <c r="BK1126" s="1530"/>
      <c r="BL1126" s="1530"/>
      <c r="BM1126" s="1530"/>
      <c r="BN1126" s="1530"/>
      <c r="BW1126" s="1569"/>
      <c r="CO1126" s="1530"/>
      <c r="CP1126" s="1530"/>
      <c r="CQ1126" s="1530"/>
      <c r="CR1126" s="1530"/>
      <c r="CS1126" s="1530"/>
      <c r="CT1126" s="1530"/>
      <c r="CU1126" s="1530"/>
      <c r="CV1126" s="1530"/>
      <c r="CW1126" s="1530"/>
      <c r="CX1126" s="1530"/>
      <c r="CY1126" s="1530"/>
      <c r="CZ1126" s="1530"/>
      <c r="DA1126" s="1530"/>
      <c r="DB1126" s="1530"/>
      <c r="DC1126" s="1530"/>
      <c r="DD1126" s="1530"/>
      <c r="DE1126" s="1530"/>
      <c r="DF1126" s="1530"/>
      <c r="DG1126" s="1530"/>
      <c r="DH1126" s="1530"/>
      <c r="DI1126" s="1530"/>
      <c r="DJ1126" s="1530"/>
      <c r="DK1126" s="1530"/>
      <c r="DL1126" s="1530"/>
      <c r="DM1126" s="1530"/>
      <c r="DN1126" s="1571"/>
      <c r="DO1126" s="1530"/>
      <c r="DP1126" s="1530"/>
    </row>
    <row r="1127" spans="1:120">
      <c r="A1127" s="1451"/>
      <c r="C1127" s="1451"/>
      <c r="K1127" s="1451"/>
      <c r="L1127" s="1451"/>
      <c r="U1127" s="1530"/>
      <c r="V1127" s="1530"/>
      <c r="W1127" s="1530"/>
      <c r="X1127" s="1530"/>
      <c r="Y1127" s="1530"/>
      <c r="Z1127" s="1530"/>
      <c r="AA1127" s="1530"/>
      <c r="AB1127" s="1530"/>
      <c r="AC1127" s="1530"/>
      <c r="AD1127" s="1530"/>
      <c r="AE1127" s="1530"/>
      <c r="AF1127" s="1530"/>
      <c r="AG1127" s="1530"/>
      <c r="AH1127" s="1530"/>
      <c r="AI1127" s="1530"/>
      <c r="AJ1127" s="1530"/>
      <c r="AK1127" s="1530"/>
      <c r="AL1127" s="1530"/>
      <c r="AM1127" s="1530"/>
      <c r="AN1127" s="1530"/>
      <c r="AO1127" s="1530"/>
      <c r="AP1127" s="1530"/>
      <c r="AQ1127" s="1530"/>
      <c r="AR1127" s="1530"/>
      <c r="AS1127" s="1530"/>
      <c r="AT1127" s="1530"/>
      <c r="AU1127" s="1530"/>
      <c r="AV1127" s="1530"/>
      <c r="AW1127" s="1530"/>
      <c r="AX1127" s="1530"/>
      <c r="AY1127" s="1530"/>
      <c r="AZ1127" s="1530"/>
      <c r="BA1127" s="1530"/>
      <c r="BB1127" s="1530"/>
      <c r="BC1127" s="1530"/>
      <c r="BD1127" s="1530"/>
      <c r="BE1127" s="1530"/>
      <c r="BF1127" s="1530"/>
      <c r="BG1127" s="1530"/>
      <c r="BH1127" s="1530"/>
      <c r="BI1127" s="1530"/>
      <c r="BJ1127" s="1530"/>
      <c r="BK1127" s="1530"/>
      <c r="BL1127" s="1530"/>
      <c r="BM1127" s="1530"/>
      <c r="BN1127" s="1530"/>
      <c r="BW1127" s="1569"/>
      <c r="CO1127" s="1530"/>
      <c r="CP1127" s="1530"/>
      <c r="CQ1127" s="1530"/>
      <c r="CR1127" s="1530"/>
      <c r="CS1127" s="1530"/>
      <c r="CT1127" s="1530"/>
      <c r="CU1127" s="1530"/>
      <c r="CV1127" s="1530"/>
      <c r="CW1127" s="1530"/>
      <c r="CX1127" s="1530"/>
      <c r="CY1127" s="1530"/>
      <c r="CZ1127" s="1530"/>
      <c r="DA1127" s="1530"/>
      <c r="DB1127" s="1530"/>
      <c r="DC1127" s="1530"/>
      <c r="DD1127" s="1530"/>
      <c r="DE1127" s="1530"/>
      <c r="DF1127" s="1530"/>
      <c r="DG1127" s="1530"/>
      <c r="DH1127" s="1530"/>
      <c r="DI1127" s="1530"/>
      <c r="DJ1127" s="1530"/>
      <c r="DK1127" s="1530"/>
      <c r="DL1127" s="1530"/>
      <c r="DM1127" s="1530"/>
      <c r="DN1127" s="1571"/>
      <c r="DO1127" s="1530"/>
      <c r="DP1127" s="1530"/>
    </row>
    <row r="1128" spans="1:120">
      <c r="A1128" s="1451"/>
      <c r="C1128" s="1451"/>
      <c r="K1128" s="1451"/>
      <c r="L1128" s="1451"/>
      <c r="U1128" s="1530"/>
      <c r="V1128" s="1530"/>
      <c r="W1128" s="1530"/>
      <c r="X1128" s="1530"/>
      <c r="Y1128" s="1530"/>
      <c r="Z1128" s="1530"/>
      <c r="AA1128" s="1530"/>
      <c r="AB1128" s="1530"/>
      <c r="AC1128" s="1530"/>
      <c r="AD1128" s="1530"/>
      <c r="AE1128" s="1530"/>
      <c r="AF1128" s="1530"/>
      <c r="AG1128" s="1530"/>
      <c r="AH1128" s="1530"/>
      <c r="AI1128" s="1530"/>
      <c r="AJ1128" s="1530"/>
      <c r="AK1128" s="1530"/>
      <c r="AL1128" s="1530"/>
      <c r="AM1128" s="1530"/>
      <c r="AN1128" s="1530"/>
      <c r="AO1128" s="1530"/>
      <c r="AP1128" s="1530"/>
      <c r="AQ1128" s="1530"/>
      <c r="AR1128" s="1530"/>
      <c r="AS1128" s="1530"/>
      <c r="AT1128" s="1530"/>
      <c r="AU1128" s="1530"/>
      <c r="AV1128" s="1530"/>
      <c r="AW1128" s="1530"/>
      <c r="AX1128" s="1530"/>
      <c r="AY1128" s="1530"/>
      <c r="AZ1128" s="1530"/>
      <c r="BA1128" s="1530"/>
      <c r="BB1128" s="1530"/>
      <c r="BC1128" s="1530"/>
      <c r="BD1128" s="1530"/>
      <c r="BE1128" s="1530"/>
      <c r="BF1128" s="1530"/>
      <c r="BG1128" s="1530"/>
      <c r="BH1128" s="1530"/>
      <c r="BI1128" s="1530"/>
      <c r="BJ1128" s="1530"/>
      <c r="BK1128" s="1530"/>
      <c r="BL1128" s="1530"/>
      <c r="BM1128" s="1530"/>
      <c r="BN1128" s="1530"/>
      <c r="BW1128" s="1569"/>
      <c r="CO1128" s="1530"/>
      <c r="CP1128" s="1530"/>
      <c r="CQ1128" s="1530"/>
      <c r="CR1128" s="1530"/>
      <c r="CS1128" s="1530"/>
      <c r="CT1128" s="1530"/>
      <c r="CU1128" s="1530"/>
      <c r="CV1128" s="1530"/>
      <c r="CW1128" s="1530"/>
      <c r="CX1128" s="1530"/>
      <c r="CY1128" s="1530"/>
      <c r="CZ1128" s="1530"/>
      <c r="DA1128" s="1530"/>
      <c r="DB1128" s="1530"/>
      <c r="DC1128" s="1530"/>
      <c r="DD1128" s="1530"/>
      <c r="DE1128" s="1530"/>
      <c r="DF1128" s="1530"/>
      <c r="DG1128" s="1530"/>
      <c r="DH1128" s="1530"/>
      <c r="DI1128" s="1530"/>
      <c r="DJ1128" s="1530"/>
      <c r="DK1128" s="1530"/>
      <c r="DL1128" s="1530"/>
      <c r="DM1128" s="1530"/>
      <c r="DN1128" s="1571"/>
      <c r="DO1128" s="1530"/>
      <c r="DP1128" s="1530"/>
    </row>
    <row r="1129" spans="1:120">
      <c r="A1129" s="1451"/>
      <c r="C1129" s="1451"/>
      <c r="K1129" s="1451"/>
      <c r="L1129" s="1451"/>
      <c r="U1129" s="1530"/>
      <c r="V1129" s="1530"/>
      <c r="W1129" s="1530"/>
      <c r="X1129" s="1530"/>
      <c r="Y1129" s="1530"/>
      <c r="Z1129" s="1530"/>
      <c r="AA1129" s="1530"/>
      <c r="AB1129" s="1530"/>
      <c r="AC1129" s="1530"/>
      <c r="AD1129" s="1530"/>
      <c r="AE1129" s="1530"/>
      <c r="AF1129" s="1530"/>
      <c r="AG1129" s="1530"/>
      <c r="AH1129" s="1530"/>
      <c r="AI1129" s="1530"/>
      <c r="AJ1129" s="1530"/>
      <c r="AK1129" s="1530"/>
      <c r="AL1129" s="1530"/>
      <c r="AM1129" s="1530"/>
      <c r="AN1129" s="1530"/>
      <c r="AO1129" s="1530"/>
      <c r="AP1129" s="1530"/>
      <c r="AQ1129" s="1530"/>
      <c r="AR1129" s="1530"/>
      <c r="AS1129" s="1530"/>
      <c r="AT1129" s="1530"/>
      <c r="AU1129" s="1530"/>
      <c r="AV1129" s="1530"/>
      <c r="AW1129" s="1530"/>
      <c r="AX1129" s="1530"/>
      <c r="AY1129" s="1530"/>
      <c r="AZ1129" s="1530"/>
      <c r="BA1129" s="1530"/>
      <c r="BB1129" s="1530"/>
      <c r="BC1129" s="1530"/>
      <c r="BD1129" s="1530"/>
      <c r="BE1129" s="1530"/>
      <c r="BF1129" s="1530"/>
      <c r="BG1129" s="1530"/>
      <c r="BH1129" s="1530"/>
      <c r="BI1129" s="1530"/>
      <c r="BJ1129" s="1530"/>
      <c r="BK1129" s="1530"/>
      <c r="BL1129" s="1530"/>
      <c r="BM1129" s="1530"/>
      <c r="BN1129" s="1530"/>
      <c r="BW1129" s="1569"/>
      <c r="CO1129" s="1530"/>
      <c r="CP1129" s="1530"/>
      <c r="CQ1129" s="1530"/>
      <c r="CR1129" s="1530"/>
      <c r="CS1129" s="1530"/>
      <c r="CT1129" s="1530"/>
      <c r="CU1129" s="1530"/>
      <c r="CV1129" s="1530"/>
      <c r="CW1129" s="1530"/>
      <c r="CX1129" s="1530"/>
      <c r="CY1129" s="1530"/>
      <c r="CZ1129" s="1530"/>
      <c r="DA1129" s="1530"/>
      <c r="DB1129" s="1530"/>
      <c r="DC1129" s="1530"/>
      <c r="DD1129" s="1530"/>
      <c r="DE1129" s="1530"/>
      <c r="DF1129" s="1530"/>
      <c r="DG1129" s="1530"/>
      <c r="DH1129" s="1530"/>
      <c r="DI1129" s="1530"/>
      <c r="DJ1129" s="1530"/>
      <c r="DK1129" s="1530"/>
      <c r="DL1129" s="1530"/>
      <c r="DM1129" s="1530"/>
      <c r="DN1129" s="1571"/>
      <c r="DO1129" s="1530"/>
      <c r="DP1129" s="1530"/>
    </row>
    <row r="1130" spans="1:120">
      <c r="A1130" s="1451"/>
      <c r="C1130" s="1451"/>
      <c r="K1130" s="1451"/>
      <c r="L1130" s="1451"/>
      <c r="U1130" s="1530"/>
      <c r="V1130" s="1530"/>
      <c r="W1130" s="1530"/>
      <c r="X1130" s="1530"/>
      <c r="Y1130" s="1530"/>
      <c r="Z1130" s="1530"/>
      <c r="AA1130" s="1530"/>
      <c r="AB1130" s="1530"/>
      <c r="AC1130" s="1530"/>
      <c r="AD1130" s="1530"/>
      <c r="AE1130" s="1530"/>
      <c r="AF1130" s="1530"/>
      <c r="AG1130" s="1530"/>
      <c r="AH1130" s="1530"/>
      <c r="AI1130" s="1530"/>
      <c r="AJ1130" s="1530"/>
      <c r="AK1130" s="1530"/>
      <c r="AL1130" s="1530"/>
      <c r="AM1130" s="1530"/>
      <c r="AN1130" s="1530"/>
      <c r="AO1130" s="1530"/>
      <c r="AP1130" s="1530"/>
      <c r="AQ1130" s="1530"/>
      <c r="AR1130" s="1530"/>
      <c r="AS1130" s="1530"/>
      <c r="AT1130" s="1530"/>
      <c r="AU1130" s="1530"/>
      <c r="AV1130" s="1530"/>
      <c r="AW1130" s="1530"/>
      <c r="AX1130" s="1530"/>
      <c r="AY1130" s="1530"/>
      <c r="AZ1130" s="1530"/>
      <c r="BA1130" s="1530"/>
      <c r="BB1130" s="1530"/>
      <c r="BC1130" s="1530"/>
      <c r="BD1130" s="1530"/>
      <c r="BE1130" s="1530"/>
      <c r="BF1130" s="1530"/>
      <c r="BG1130" s="1530"/>
      <c r="BH1130" s="1530"/>
      <c r="BI1130" s="1530"/>
      <c r="BJ1130" s="1530"/>
      <c r="BK1130" s="1530"/>
      <c r="BL1130" s="1530"/>
      <c r="BM1130" s="1530"/>
      <c r="BN1130" s="1530"/>
      <c r="BW1130" s="1569"/>
      <c r="CO1130" s="1530"/>
      <c r="CP1130" s="1530"/>
      <c r="CQ1130" s="1530"/>
      <c r="CR1130" s="1530"/>
      <c r="CS1130" s="1530"/>
      <c r="CT1130" s="1530"/>
      <c r="CU1130" s="1530"/>
      <c r="CV1130" s="1530"/>
      <c r="CW1130" s="1530"/>
      <c r="CX1130" s="1530"/>
      <c r="CY1130" s="1530"/>
      <c r="CZ1130" s="1530"/>
      <c r="DA1130" s="1530"/>
      <c r="DB1130" s="1530"/>
      <c r="DC1130" s="1530"/>
      <c r="DD1130" s="1530"/>
      <c r="DE1130" s="1530"/>
      <c r="DF1130" s="1530"/>
      <c r="DG1130" s="1530"/>
      <c r="DH1130" s="1530"/>
      <c r="DI1130" s="1530"/>
      <c r="DJ1130" s="1530"/>
      <c r="DK1130" s="1530"/>
      <c r="DL1130" s="1530"/>
      <c r="DM1130" s="1530"/>
      <c r="DN1130" s="1571"/>
      <c r="DO1130" s="1530"/>
      <c r="DP1130" s="1530"/>
    </row>
    <row r="1131" spans="1:120">
      <c r="A1131" s="1451"/>
      <c r="C1131" s="1451"/>
      <c r="K1131" s="1451"/>
      <c r="L1131" s="1451"/>
      <c r="U1131" s="1530"/>
      <c r="V1131" s="1530"/>
      <c r="W1131" s="1530"/>
      <c r="X1131" s="1530"/>
      <c r="Y1131" s="1530"/>
      <c r="Z1131" s="1530"/>
      <c r="AA1131" s="1530"/>
      <c r="AB1131" s="1530"/>
      <c r="AC1131" s="1530"/>
      <c r="AD1131" s="1530"/>
      <c r="AE1131" s="1530"/>
      <c r="AF1131" s="1530"/>
      <c r="AG1131" s="1530"/>
      <c r="AH1131" s="1530"/>
      <c r="AI1131" s="1530"/>
      <c r="AJ1131" s="1530"/>
      <c r="AK1131" s="1530"/>
      <c r="AL1131" s="1530"/>
      <c r="AM1131" s="1530"/>
      <c r="AN1131" s="1530"/>
      <c r="AO1131" s="1530"/>
      <c r="AP1131" s="1530"/>
      <c r="AQ1131" s="1530"/>
      <c r="AR1131" s="1530"/>
      <c r="AS1131" s="1530"/>
      <c r="AT1131" s="1530"/>
      <c r="AU1131" s="1530"/>
      <c r="AV1131" s="1530"/>
      <c r="AW1131" s="1530"/>
      <c r="AX1131" s="1530"/>
      <c r="AY1131" s="1530"/>
      <c r="AZ1131" s="1530"/>
      <c r="BA1131" s="1530"/>
      <c r="BB1131" s="1530"/>
      <c r="BC1131" s="1530"/>
      <c r="BD1131" s="1530"/>
      <c r="BE1131" s="1530"/>
      <c r="BF1131" s="1530"/>
      <c r="BG1131" s="1530"/>
      <c r="BH1131" s="1530"/>
      <c r="BI1131" s="1530"/>
      <c r="BJ1131" s="1530"/>
      <c r="BK1131" s="1530"/>
      <c r="BL1131" s="1530"/>
      <c r="BM1131" s="1530"/>
      <c r="BN1131" s="1530"/>
      <c r="BW1131" s="1569"/>
      <c r="CO1131" s="1530"/>
      <c r="CP1131" s="1530"/>
      <c r="CQ1131" s="1530"/>
      <c r="CR1131" s="1530"/>
      <c r="CS1131" s="1530"/>
      <c r="CT1131" s="1530"/>
      <c r="CU1131" s="1530"/>
      <c r="CV1131" s="1530"/>
      <c r="CW1131" s="1530"/>
      <c r="CX1131" s="1530"/>
      <c r="CY1131" s="1530"/>
      <c r="CZ1131" s="1530"/>
      <c r="DA1131" s="1530"/>
      <c r="DB1131" s="1530"/>
      <c r="DC1131" s="1530"/>
      <c r="DD1131" s="1530"/>
      <c r="DE1131" s="1530"/>
      <c r="DF1131" s="1530"/>
      <c r="DG1131" s="1530"/>
      <c r="DH1131" s="1530"/>
      <c r="DI1131" s="1530"/>
      <c r="DJ1131" s="1530"/>
      <c r="DK1131" s="1530"/>
      <c r="DL1131" s="1530"/>
      <c r="DM1131" s="1530"/>
      <c r="DN1131" s="1571"/>
      <c r="DO1131" s="1530"/>
      <c r="DP1131" s="1530"/>
    </row>
    <row r="1132" spans="1:120">
      <c r="A1132" s="1451"/>
      <c r="C1132" s="1451"/>
      <c r="K1132" s="1451"/>
      <c r="L1132" s="1451"/>
      <c r="U1132" s="1530"/>
      <c r="V1132" s="1530"/>
      <c r="W1132" s="1530"/>
      <c r="X1132" s="1530"/>
      <c r="Y1132" s="1530"/>
      <c r="Z1132" s="1530"/>
      <c r="AA1132" s="1530"/>
      <c r="AB1132" s="1530"/>
      <c r="AC1132" s="1530"/>
      <c r="AD1132" s="1530"/>
      <c r="AE1132" s="1530"/>
      <c r="AF1132" s="1530"/>
      <c r="AG1132" s="1530"/>
      <c r="AH1132" s="1530"/>
      <c r="AI1132" s="1530"/>
      <c r="AJ1132" s="1530"/>
      <c r="AK1132" s="1530"/>
      <c r="AL1132" s="1530"/>
      <c r="AM1132" s="1530"/>
      <c r="AN1132" s="1530"/>
      <c r="AO1132" s="1530"/>
      <c r="AP1132" s="1530"/>
      <c r="AQ1132" s="1530"/>
      <c r="AR1132" s="1530"/>
      <c r="AS1132" s="1530"/>
      <c r="AT1132" s="1530"/>
      <c r="AU1132" s="1530"/>
      <c r="AV1132" s="1530"/>
      <c r="AW1132" s="1530"/>
      <c r="AX1132" s="1530"/>
      <c r="AY1132" s="1530"/>
      <c r="AZ1132" s="1530"/>
      <c r="BA1132" s="1530"/>
      <c r="BB1132" s="1530"/>
      <c r="BC1132" s="1530"/>
      <c r="BD1132" s="1530"/>
      <c r="BE1132" s="1530"/>
      <c r="BF1132" s="1530"/>
      <c r="BG1132" s="1530"/>
      <c r="BH1132" s="1530"/>
      <c r="BI1132" s="1530"/>
      <c r="BJ1132" s="1530"/>
      <c r="BK1132" s="1530"/>
      <c r="BL1132" s="1530"/>
      <c r="BM1132" s="1530"/>
      <c r="BN1132" s="1530"/>
      <c r="BW1132" s="1569"/>
      <c r="CO1132" s="1530"/>
      <c r="CP1132" s="1530"/>
      <c r="CQ1132" s="1530"/>
      <c r="CR1132" s="1530"/>
      <c r="CS1132" s="1530"/>
      <c r="CT1132" s="1530"/>
      <c r="CU1132" s="1530"/>
      <c r="CV1132" s="1530"/>
      <c r="CW1132" s="1530"/>
      <c r="CX1132" s="1530"/>
      <c r="CY1132" s="1530"/>
      <c r="CZ1132" s="1530"/>
      <c r="DA1132" s="1530"/>
      <c r="DB1132" s="1530"/>
      <c r="DC1132" s="1530"/>
      <c r="DD1132" s="1530"/>
      <c r="DE1132" s="1530"/>
      <c r="DF1132" s="1530"/>
      <c r="DG1132" s="1530"/>
      <c r="DH1132" s="1530"/>
      <c r="DI1132" s="1530"/>
      <c r="DJ1132" s="1530"/>
      <c r="DK1132" s="1530"/>
      <c r="DL1132" s="1530"/>
      <c r="DM1132" s="1530"/>
      <c r="DN1132" s="1571"/>
      <c r="DO1132" s="1530"/>
      <c r="DP1132" s="1530"/>
    </row>
    <row r="1133" spans="1:120">
      <c r="A1133" s="1451"/>
      <c r="C1133" s="1451"/>
      <c r="K1133" s="1451"/>
      <c r="L1133" s="1451"/>
      <c r="U1133" s="1530"/>
      <c r="V1133" s="1530"/>
      <c r="W1133" s="1530"/>
      <c r="X1133" s="1530"/>
      <c r="Y1133" s="1530"/>
      <c r="Z1133" s="1530"/>
      <c r="AA1133" s="1530"/>
      <c r="AB1133" s="1530"/>
      <c r="AC1133" s="1530"/>
      <c r="AD1133" s="1530"/>
      <c r="AE1133" s="1530"/>
      <c r="AF1133" s="1530"/>
      <c r="AG1133" s="1530"/>
      <c r="AH1133" s="1530"/>
      <c r="AI1133" s="1530"/>
      <c r="AJ1133" s="1530"/>
      <c r="AK1133" s="1530"/>
      <c r="AL1133" s="1530"/>
      <c r="AM1133" s="1530"/>
      <c r="AN1133" s="1530"/>
      <c r="AO1133" s="1530"/>
      <c r="AP1133" s="1530"/>
      <c r="AQ1133" s="1530"/>
      <c r="AR1133" s="1530"/>
      <c r="AS1133" s="1530"/>
      <c r="AT1133" s="1530"/>
      <c r="AU1133" s="1530"/>
      <c r="AV1133" s="1530"/>
      <c r="AW1133" s="1530"/>
      <c r="AX1133" s="1530"/>
      <c r="AY1133" s="1530"/>
      <c r="AZ1133" s="1530"/>
      <c r="BA1133" s="1530"/>
      <c r="BB1133" s="1530"/>
      <c r="BC1133" s="1530"/>
      <c r="BD1133" s="1530"/>
      <c r="BE1133" s="1530"/>
      <c r="BF1133" s="1530"/>
      <c r="BG1133" s="1530"/>
      <c r="BH1133" s="1530"/>
      <c r="BI1133" s="1530"/>
      <c r="BJ1133" s="1530"/>
      <c r="BK1133" s="1530"/>
      <c r="BL1133" s="1530"/>
      <c r="BM1133" s="1530"/>
      <c r="BN1133" s="1530"/>
      <c r="BW1133" s="1569"/>
      <c r="CO1133" s="1530"/>
      <c r="CP1133" s="1530"/>
      <c r="CQ1133" s="1530"/>
      <c r="CR1133" s="1530"/>
      <c r="CS1133" s="1530"/>
      <c r="CT1133" s="1530"/>
      <c r="CU1133" s="1530"/>
      <c r="CV1133" s="1530"/>
      <c r="CW1133" s="1530"/>
      <c r="CX1133" s="1530"/>
      <c r="CY1133" s="1530"/>
      <c r="CZ1133" s="1530"/>
      <c r="DA1133" s="1530"/>
      <c r="DB1133" s="1530"/>
      <c r="DC1133" s="1530"/>
      <c r="DD1133" s="1530"/>
      <c r="DE1133" s="1530"/>
      <c r="DF1133" s="1530"/>
      <c r="DG1133" s="1530"/>
      <c r="DH1133" s="1530"/>
      <c r="DI1133" s="1530"/>
      <c r="DJ1133" s="1530"/>
      <c r="DK1133" s="1530"/>
      <c r="DL1133" s="1530"/>
      <c r="DM1133" s="1530"/>
      <c r="DN1133" s="1571"/>
      <c r="DO1133" s="1530"/>
      <c r="DP1133" s="1530"/>
    </row>
    <row r="1134" spans="1:120">
      <c r="A1134" s="1451"/>
      <c r="C1134" s="1451"/>
      <c r="K1134" s="1451"/>
      <c r="L1134" s="1451"/>
      <c r="U1134" s="1530"/>
      <c r="V1134" s="1530"/>
      <c r="W1134" s="1530"/>
      <c r="X1134" s="1530"/>
      <c r="Y1134" s="1530"/>
      <c r="Z1134" s="1530"/>
      <c r="AA1134" s="1530"/>
      <c r="AB1134" s="1530"/>
      <c r="AC1134" s="1530"/>
      <c r="AD1134" s="1530"/>
      <c r="AE1134" s="1530"/>
      <c r="AF1134" s="1530"/>
      <c r="AG1134" s="1530"/>
      <c r="AH1134" s="1530"/>
      <c r="AI1134" s="1530"/>
      <c r="AJ1134" s="1530"/>
      <c r="AK1134" s="1530"/>
      <c r="AL1134" s="1530"/>
      <c r="AM1134" s="1530"/>
      <c r="AN1134" s="1530"/>
      <c r="AO1134" s="1530"/>
      <c r="AP1134" s="1530"/>
      <c r="AQ1134" s="1530"/>
      <c r="AR1134" s="1530"/>
      <c r="AS1134" s="1530"/>
      <c r="AT1134" s="1530"/>
      <c r="AU1134" s="1530"/>
      <c r="AV1134" s="1530"/>
      <c r="AW1134" s="1530"/>
      <c r="AX1134" s="1530"/>
      <c r="AY1134" s="1530"/>
      <c r="AZ1134" s="1530"/>
      <c r="BA1134" s="1530"/>
      <c r="BB1134" s="1530"/>
      <c r="BC1134" s="1530"/>
      <c r="BD1134" s="1530"/>
      <c r="BE1134" s="1530"/>
      <c r="BF1134" s="1530"/>
      <c r="BG1134" s="1530"/>
      <c r="BH1134" s="1530"/>
      <c r="BI1134" s="1530"/>
      <c r="BJ1134" s="1530"/>
      <c r="BK1134" s="1530"/>
      <c r="BL1134" s="1530"/>
      <c r="BM1134" s="1530"/>
      <c r="BN1134" s="1530"/>
      <c r="BW1134" s="1569"/>
      <c r="CO1134" s="1530"/>
      <c r="CP1134" s="1530"/>
      <c r="CQ1134" s="1530"/>
      <c r="CR1134" s="1530"/>
      <c r="CS1134" s="1530"/>
      <c r="CT1134" s="1530"/>
      <c r="CU1134" s="1530"/>
      <c r="CV1134" s="1530"/>
      <c r="CW1134" s="1530"/>
      <c r="CX1134" s="1530"/>
      <c r="CY1134" s="1530"/>
      <c r="CZ1134" s="1530"/>
      <c r="DA1134" s="1530"/>
      <c r="DB1134" s="1530"/>
      <c r="DC1134" s="1530"/>
      <c r="DD1134" s="1530"/>
      <c r="DE1134" s="1530"/>
      <c r="DF1134" s="1530"/>
      <c r="DG1134" s="1530"/>
      <c r="DH1134" s="1530"/>
      <c r="DI1134" s="1530"/>
      <c r="DJ1134" s="1530"/>
      <c r="DK1134" s="1530"/>
      <c r="DL1134" s="1530"/>
      <c r="DM1134" s="1530"/>
      <c r="DN1134" s="1571"/>
      <c r="DO1134" s="1530"/>
      <c r="DP1134" s="1530"/>
    </row>
    <row r="1135" spans="1:120">
      <c r="A1135" s="1451"/>
      <c r="C1135" s="1451"/>
      <c r="K1135" s="1451"/>
      <c r="L1135" s="1451"/>
      <c r="U1135" s="1530"/>
      <c r="V1135" s="1530"/>
      <c r="W1135" s="1530"/>
      <c r="X1135" s="1530"/>
      <c r="Y1135" s="1530"/>
      <c r="Z1135" s="1530"/>
      <c r="AA1135" s="1530"/>
      <c r="AB1135" s="1530"/>
      <c r="AC1135" s="1530"/>
      <c r="AD1135" s="1530"/>
      <c r="AE1135" s="1530"/>
      <c r="AF1135" s="1530"/>
      <c r="AG1135" s="1530"/>
      <c r="AH1135" s="1530"/>
      <c r="AI1135" s="1530"/>
      <c r="AJ1135" s="1530"/>
      <c r="AK1135" s="1530"/>
      <c r="AL1135" s="1530"/>
      <c r="AM1135" s="1530"/>
      <c r="AN1135" s="1530"/>
      <c r="AO1135" s="1530"/>
      <c r="AP1135" s="1530"/>
      <c r="AQ1135" s="1530"/>
      <c r="AR1135" s="1530"/>
      <c r="AS1135" s="1530"/>
      <c r="AT1135" s="1530"/>
      <c r="AU1135" s="1530"/>
      <c r="AV1135" s="1530"/>
      <c r="AW1135" s="1530"/>
      <c r="AX1135" s="1530"/>
      <c r="AY1135" s="1530"/>
      <c r="AZ1135" s="1530"/>
      <c r="BA1135" s="1530"/>
      <c r="BB1135" s="1530"/>
      <c r="BC1135" s="1530"/>
      <c r="BD1135" s="1530"/>
      <c r="BE1135" s="1530"/>
      <c r="BF1135" s="1530"/>
      <c r="BG1135" s="1530"/>
      <c r="BH1135" s="1530"/>
      <c r="BI1135" s="1530"/>
      <c r="BJ1135" s="1530"/>
      <c r="BK1135" s="1530"/>
      <c r="BL1135" s="1530"/>
      <c r="BM1135" s="1530"/>
      <c r="BN1135" s="1530"/>
      <c r="BW1135" s="1569"/>
      <c r="CO1135" s="1530"/>
      <c r="CP1135" s="1530"/>
      <c r="CQ1135" s="1530"/>
      <c r="CR1135" s="1530"/>
      <c r="CS1135" s="1530"/>
      <c r="CT1135" s="1530"/>
      <c r="CU1135" s="1530"/>
      <c r="CV1135" s="1530"/>
      <c r="CW1135" s="1530"/>
      <c r="CX1135" s="1530"/>
      <c r="CY1135" s="1530"/>
      <c r="CZ1135" s="1530"/>
      <c r="DA1135" s="1530"/>
      <c r="DB1135" s="1530"/>
      <c r="DC1135" s="1530"/>
      <c r="DD1135" s="1530"/>
      <c r="DE1135" s="1530"/>
      <c r="DF1135" s="1530"/>
      <c r="DG1135" s="1530"/>
      <c r="DH1135" s="1530"/>
      <c r="DI1135" s="1530"/>
      <c r="DJ1135" s="1530"/>
      <c r="DK1135" s="1530"/>
      <c r="DL1135" s="1530"/>
      <c r="DM1135" s="1530"/>
      <c r="DN1135" s="1571"/>
      <c r="DO1135" s="1530"/>
      <c r="DP1135" s="1530"/>
    </row>
    <row r="1136" spans="1:120">
      <c r="A1136" s="1451"/>
      <c r="C1136" s="1451"/>
      <c r="K1136" s="1451"/>
      <c r="L1136" s="1451"/>
      <c r="U1136" s="1530"/>
      <c r="V1136" s="1530"/>
      <c r="W1136" s="1530"/>
      <c r="X1136" s="1530"/>
      <c r="Y1136" s="1530"/>
      <c r="Z1136" s="1530"/>
      <c r="AA1136" s="1530"/>
      <c r="AB1136" s="1530"/>
      <c r="AC1136" s="1530"/>
      <c r="AD1136" s="1530"/>
      <c r="AE1136" s="1530"/>
      <c r="AF1136" s="1530"/>
      <c r="AG1136" s="1530"/>
      <c r="AH1136" s="1530"/>
      <c r="AI1136" s="1530"/>
      <c r="AJ1136" s="1530"/>
      <c r="AK1136" s="1530"/>
      <c r="AL1136" s="1530"/>
      <c r="AM1136" s="1530"/>
      <c r="AN1136" s="1530"/>
      <c r="AO1136" s="1530"/>
      <c r="AP1136" s="1530"/>
      <c r="AQ1136" s="1530"/>
      <c r="AR1136" s="1530"/>
      <c r="AS1136" s="1530"/>
      <c r="AT1136" s="1530"/>
      <c r="AU1136" s="1530"/>
      <c r="AV1136" s="1530"/>
      <c r="AW1136" s="1530"/>
      <c r="AX1136" s="1530"/>
      <c r="AY1136" s="1530"/>
      <c r="AZ1136" s="1530"/>
      <c r="BA1136" s="1530"/>
      <c r="BB1136" s="1530"/>
      <c r="BC1136" s="1530"/>
      <c r="BD1136" s="1530"/>
      <c r="BE1136" s="1530"/>
      <c r="BF1136" s="1530"/>
      <c r="BG1136" s="1530"/>
      <c r="BH1136" s="1530"/>
      <c r="BI1136" s="1530"/>
      <c r="BJ1136" s="1530"/>
      <c r="BK1136" s="1530"/>
      <c r="BL1136" s="1530"/>
      <c r="BM1136" s="1530"/>
      <c r="BN1136" s="1530"/>
      <c r="BW1136" s="1569"/>
      <c r="CO1136" s="1530"/>
      <c r="CP1136" s="1530"/>
      <c r="CQ1136" s="1530"/>
      <c r="CR1136" s="1530"/>
      <c r="CS1136" s="1530"/>
      <c r="CT1136" s="1530"/>
      <c r="CU1136" s="1530"/>
      <c r="CV1136" s="1530"/>
      <c r="CW1136" s="1530"/>
      <c r="CX1136" s="1530"/>
      <c r="CY1136" s="1530"/>
      <c r="CZ1136" s="1530"/>
      <c r="DA1136" s="1530"/>
      <c r="DB1136" s="1530"/>
      <c r="DC1136" s="1530"/>
      <c r="DD1136" s="1530"/>
      <c r="DE1136" s="1530"/>
      <c r="DF1136" s="1530"/>
      <c r="DG1136" s="1530"/>
      <c r="DH1136" s="1530"/>
      <c r="DI1136" s="1530"/>
      <c r="DJ1136" s="1530"/>
      <c r="DK1136" s="1530"/>
      <c r="DL1136" s="1530"/>
      <c r="DM1136" s="1530"/>
      <c r="DN1136" s="1571"/>
      <c r="DO1136" s="1530"/>
      <c r="DP1136" s="1530"/>
    </row>
    <row r="1137" spans="1:120">
      <c r="A1137" s="1451"/>
      <c r="C1137" s="1451"/>
      <c r="K1137" s="1451"/>
      <c r="L1137" s="1451"/>
      <c r="U1137" s="1530"/>
      <c r="V1137" s="1530"/>
      <c r="W1137" s="1530"/>
      <c r="X1137" s="1530"/>
      <c r="Y1137" s="1530"/>
      <c r="Z1137" s="1530"/>
      <c r="AA1137" s="1530"/>
      <c r="AB1137" s="1530"/>
      <c r="AC1137" s="1530"/>
      <c r="AD1137" s="1530"/>
      <c r="AE1137" s="1530"/>
      <c r="AF1137" s="1530"/>
      <c r="AG1137" s="1530"/>
      <c r="AH1137" s="1530"/>
      <c r="AI1137" s="1530"/>
      <c r="AJ1137" s="1530"/>
      <c r="AK1137" s="1530"/>
      <c r="AL1137" s="1530"/>
      <c r="AM1137" s="1530"/>
      <c r="AN1137" s="1530"/>
      <c r="AO1137" s="1530"/>
      <c r="AP1137" s="1530"/>
      <c r="AQ1137" s="1530"/>
      <c r="AR1137" s="1530"/>
      <c r="AS1137" s="1530"/>
      <c r="AT1137" s="1530"/>
      <c r="AU1137" s="1530"/>
      <c r="AV1137" s="1530"/>
      <c r="AW1137" s="1530"/>
      <c r="AX1137" s="1530"/>
      <c r="AY1137" s="1530"/>
      <c r="AZ1137" s="1530"/>
      <c r="BA1137" s="1530"/>
      <c r="BB1137" s="1530"/>
      <c r="BC1137" s="1530"/>
      <c r="BD1137" s="1530"/>
      <c r="BE1137" s="1530"/>
      <c r="BF1137" s="1530"/>
      <c r="BG1137" s="1530"/>
      <c r="BH1137" s="1530"/>
      <c r="BI1137" s="1530"/>
      <c r="BJ1137" s="1530"/>
      <c r="BK1137" s="1530"/>
      <c r="BL1137" s="1530"/>
      <c r="BM1137" s="1530"/>
      <c r="BN1137" s="1530"/>
      <c r="BW1137" s="1569"/>
      <c r="CO1137" s="1530"/>
      <c r="CP1137" s="1530"/>
      <c r="CQ1137" s="1530"/>
      <c r="CR1137" s="1530"/>
      <c r="CS1137" s="1530"/>
      <c r="CT1137" s="1530"/>
      <c r="CU1137" s="1530"/>
      <c r="CV1137" s="1530"/>
      <c r="CW1137" s="1530"/>
      <c r="CX1137" s="1530"/>
      <c r="CY1137" s="1530"/>
      <c r="CZ1137" s="1530"/>
      <c r="DA1137" s="1530"/>
      <c r="DB1137" s="1530"/>
      <c r="DC1137" s="1530"/>
      <c r="DD1137" s="1530"/>
      <c r="DE1137" s="1530"/>
      <c r="DF1137" s="1530"/>
      <c r="DG1137" s="1530"/>
      <c r="DH1137" s="1530"/>
      <c r="DI1137" s="1530"/>
      <c r="DJ1137" s="1530"/>
      <c r="DK1137" s="1530"/>
      <c r="DL1137" s="1530"/>
      <c r="DM1137" s="1530"/>
      <c r="DN1137" s="1571"/>
      <c r="DO1137" s="1530"/>
      <c r="DP1137" s="1530"/>
    </row>
    <row r="1138" spans="1:120">
      <c r="A1138" s="1451"/>
      <c r="C1138" s="1451"/>
      <c r="K1138" s="1451"/>
      <c r="L1138" s="1451"/>
      <c r="U1138" s="1530"/>
      <c r="V1138" s="1530"/>
      <c r="W1138" s="1530"/>
      <c r="X1138" s="1530"/>
      <c r="Y1138" s="1530"/>
      <c r="Z1138" s="1530"/>
      <c r="AA1138" s="1530"/>
      <c r="AB1138" s="1530"/>
      <c r="AC1138" s="1530"/>
      <c r="AD1138" s="1530"/>
      <c r="AE1138" s="1530"/>
      <c r="AF1138" s="1530"/>
      <c r="AG1138" s="1530"/>
      <c r="AH1138" s="1530"/>
      <c r="AI1138" s="1530"/>
      <c r="AJ1138" s="1530"/>
      <c r="AK1138" s="1530"/>
      <c r="AL1138" s="1530"/>
      <c r="AM1138" s="1530"/>
      <c r="AN1138" s="1530"/>
      <c r="AO1138" s="1530"/>
      <c r="AP1138" s="1530"/>
      <c r="AQ1138" s="1530"/>
      <c r="AR1138" s="1530"/>
      <c r="AS1138" s="1530"/>
      <c r="AT1138" s="1530"/>
      <c r="AU1138" s="1530"/>
      <c r="AV1138" s="1530"/>
      <c r="AW1138" s="1530"/>
      <c r="AX1138" s="1530"/>
      <c r="AY1138" s="1530"/>
      <c r="AZ1138" s="1530"/>
      <c r="BA1138" s="1530"/>
      <c r="BB1138" s="1530"/>
      <c r="BC1138" s="1530"/>
      <c r="BD1138" s="1530"/>
      <c r="BE1138" s="1530"/>
      <c r="BF1138" s="1530"/>
      <c r="BG1138" s="1530"/>
      <c r="BH1138" s="1530"/>
      <c r="BI1138" s="1530"/>
      <c r="BJ1138" s="1530"/>
      <c r="BK1138" s="1530"/>
      <c r="BL1138" s="1530"/>
      <c r="BM1138" s="1530"/>
      <c r="BN1138" s="1530"/>
      <c r="BW1138" s="1569"/>
      <c r="CO1138" s="1530"/>
      <c r="CP1138" s="1530"/>
      <c r="CQ1138" s="1530"/>
      <c r="CR1138" s="1530"/>
      <c r="CS1138" s="1530"/>
      <c r="CT1138" s="1530"/>
      <c r="CU1138" s="1530"/>
      <c r="CV1138" s="1530"/>
      <c r="CW1138" s="1530"/>
      <c r="CX1138" s="1530"/>
      <c r="CY1138" s="1530"/>
      <c r="CZ1138" s="1530"/>
      <c r="DA1138" s="1530"/>
      <c r="DB1138" s="1530"/>
      <c r="DC1138" s="1530"/>
      <c r="DD1138" s="1530"/>
      <c r="DE1138" s="1530"/>
      <c r="DF1138" s="1530"/>
      <c r="DG1138" s="1530"/>
      <c r="DH1138" s="1530"/>
      <c r="DI1138" s="1530"/>
      <c r="DJ1138" s="1530"/>
      <c r="DK1138" s="1530"/>
      <c r="DL1138" s="1530"/>
      <c r="DM1138" s="1530"/>
      <c r="DN1138" s="1571"/>
      <c r="DO1138" s="1530"/>
      <c r="DP1138" s="1530"/>
    </row>
    <row r="1139" spans="1:120">
      <c r="A1139" s="1451"/>
      <c r="C1139" s="1451"/>
      <c r="K1139" s="1451"/>
      <c r="L1139" s="1451"/>
      <c r="U1139" s="1530"/>
      <c r="V1139" s="1530"/>
      <c r="W1139" s="1530"/>
      <c r="X1139" s="1530"/>
      <c r="Y1139" s="1530"/>
      <c r="Z1139" s="1530"/>
      <c r="AA1139" s="1530"/>
      <c r="AB1139" s="1530"/>
      <c r="AC1139" s="1530"/>
      <c r="AD1139" s="1530"/>
      <c r="AE1139" s="1530"/>
      <c r="AF1139" s="1530"/>
      <c r="AG1139" s="1530"/>
      <c r="AH1139" s="1530"/>
      <c r="AI1139" s="1530"/>
      <c r="AJ1139" s="1530"/>
      <c r="AK1139" s="1530"/>
      <c r="AL1139" s="1530"/>
      <c r="AM1139" s="1530"/>
      <c r="AN1139" s="1530"/>
      <c r="AO1139" s="1530"/>
      <c r="AP1139" s="1530"/>
      <c r="AQ1139" s="1530"/>
      <c r="AR1139" s="1530"/>
      <c r="AS1139" s="1530"/>
      <c r="AT1139" s="1530"/>
      <c r="AU1139" s="1530"/>
      <c r="AV1139" s="1530"/>
      <c r="AW1139" s="1530"/>
      <c r="AX1139" s="1530"/>
      <c r="AY1139" s="1530"/>
      <c r="AZ1139" s="1530"/>
      <c r="BA1139" s="1530"/>
      <c r="BB1139" s="1530"/>
      <c r="BC1139" s="1530"/>
      <c r="BD1139" s="1530"/>
      <c r="BE1139" s="1530"/>
      <c r="BF1139" s="1530"/>
      <c r="BG1139" s="1530"/>
      <c r="BH1139" s="1530"/>
      <c r="BI1139" s="1530"/>
      <c r="BJ1139" s="1530"/>
      <c r="BK1139" s="1530"/>
      <c r="BL1139" s="1530"/>
      <c r="BM1139" s="1530"/>
      <c r="BN1139" s="1530"/>
      <c r="BW1139" s="1569"/>
      <c r="CO1139" s="1530"/>
      <c r="CP1139" s="1530"/>
      <c r="CQ1139" s="1530"/>
      <c r="CR1139" s="1530"/>
      <c r="CS1139" s="1530"/>
      <c r="CT1139" s="1530"/>
      <c r="CU1139" s="1530"/>
      <c r="CV1139" s="1530"/>
      <c r="CW1139" s="1530"/>
      <c r="CX1139" s="1530"/>
      <c r="CY1139" s="1530"/>
      <c r="CZ1139" s="1530"/>
      <c r="DA1139" s="1530"/>
      <c r="DB1139" s="1530"/>
      <c r="DC1139" s="1530"/>
      <c r="DD1139" s="1530"/>
      <c r="DE1139" s="1530"/>
      <c r="DF1139" s="1530"/>
      <c r="DG1139" s="1530"/>
      <c r="DH1139" s="1530"/>
      <c r="DI1139" s="1530"/>
      <c r="DJ1139" s="1530"/>
      <c r="DK1139" s="1530"/>
      <c r="DL1139" s="1530"/>
      <c r="DM1139" s="1530"/>
      <c r="DN1139" s="1571"/>
      <c r="DO1139" s="1530"/>
      <c r="DP1139" s="1530"/>
    </row>
    <row r="1140" spans="1:120">
      <c r="A1140" s="1451"/>
      <c r="C1140" s="1451"/>
      <c r="K1140" s="1451"/>
      <c r="L1140" s="1451"/>
      <c r="U1140" s="1530"/>
      <c r="V1140" s="1530"/>
      <c r="W1140" s="1530"/>
      <c r="X1140" s="1530"/>
      <c r="Y1140" s="1530"/>
      <c r="Z1140" s="1530"/>
      <c r="AA1140" s="1530"/>
      <c r="AB1140" s="1530"/>
      <c r="AC1140" s="1530"/>
      <c r="AD1140" s="1530"/>
      <c r="AE1140" s="1530"/>
      <c r="AF1140" s="1530"/>
      <c r="AG1140" s="1530"/>
      <c r="AH1140" s="1530"/>
      <c r="AI1140" s="1530"/>
      <c r="AJ1140" s="1530"/>
      <c r="AK1140" s="1530"/>
      <c r="AL1140" s="1530"/>
      <c r="AM1140" s="1530"/>
      <c r="AN1140" s="1530"/>
      <c r="AO1140" s="1530"/>
      <c r="AP1140" s="1530"/>
      <c r="AQ1140" s="1530"/>
      <c r="AR1140" s="1530"/>
      <c r="AS1140" s="1530"/>
      <c r="AT1140" s="1530"/>
      <c r="AU1140" s="1530"/>
      <c r="AV1140" s="1530"/>
      <c r="AW1140" s="1530"/>
      <c r="AX1140" s="1530"/>
      <c r="AY1140" s="1530"/>
      <c r="AZ1140" s="1530"/>
      <c r="BA1140" s="1530"/>
      <c r="BB1140" s="1530"/>
      <c r="BC1140" s="1530"/>
      <c r="BD1140" s="1530"/>
      <c r="BE1140" s="1530"/>
      <c r="BF1140" s="1530"/>
      <c r="BG1140" s="1530"/>
      <c r="BH1140" s="1530"/>
      <c r="BI1140" s="1530"/>
      <c r="BJ1140" s="1530"/>
      <c r="BK1140" s="1530"/>
      <c r="BL1140" s="1530"/>
      <c r="BM1140" s="1530"/>
      <c r="BN1140" s="1530"/>
      <c r="BW1140" s="1569"/>
      <c r="CO1140" s="1530"/>
      <c r="CP1140" s="1530"/>
      <c r="CQ1140" s="1530"/>
      <c r="CR1140" s="1530"/>
      <c r="CS1140" s="1530"/>
      <c r="CT1140" s="1530"/>
      <c r="CU1140" s="1530"/>
      <c r="CV1140" s="1530"/>
      <c r="CW1140" s="1530"/>
      <c r="CX1140" s="1530"/>
      <c r="CY1140" s="1530"/>
      <c r="CZ1140" s="1530"/>
      <c r="DA1140" s="1530"/>
      <c r="DB1140" s="1530"/>
      <c r="DC1140" s="1530"/>
      <c r="DD1140" s="1530"/>
      <c r="DE1140" s="1530"/>
      <c r="DF1140" s="1530"/>
      <c r="DG1140" s="1530"/>
      <c r="DH1140" s="1530"/>
      <c r="DI1140" s="1530"/>
      <c r="DJ1140" s="1530"/>
      <c r="DK1140" s="1530"/>
      <c r="DL1140" s="1530"/>
      <c r="DM1140" s="1530"/>
      <c r="DN1140" s="1571"/>
      <c r="DO1140" s="1530"/>
      <c r="DP1140" s="1530"/>
    </row>
    <row r="1141" spans="1:120">
      <c r="A1141" s="1451"/>
      <c r="C1141" s="1451"/>
      <c r="K1141" s="1451"/>
      <c r="L1141" s="1451"/>
      <c r="U1141" s="1530"/>
      <c r="V1141" s="1530"/>
      <c r="W1141" s="1530"/>
      <c r="X1141" s="1530"/>
      <c r="Y1141" s="1530"/>
      <c r="Z1141" s="1530"/>
      <c r="AA1141" s="1530"/>
      <c r="AB1141" s="1530"/>
      <c r="AC1141" s="1530"/>
      <c r="AD1141" s="1530"/>
      <c r="AE1141" s="1530"/>
      <c r="AF1141" s="1530"/>
      <c r="AG1141" s="1530"/>
      <c r="AH1141" s="1530"/>
      <c r="AI1141" s="1530"/>
      <c r="AJ1141" s="1530"/>
      <c r="AK1141" s="1530"/>
      <c r="AL1141" s="1530"/>
      <c r="AM1141" s="1530"/>
      <c r="AN1141" s="1530"/>
      <c r="AO1141" s="1530"/>
      <c r="AP1141" s="1530"/>
      <c r="AQ1141" s="1530"/>
      <c r="AR1141" s="1530"/>
      <c r="AS1141" s="1530"/>
      <c r="AT1141" s="1530"/>
      <c r="AU1141" s="1530"/>
      <c r="AV1141" s="1530"/>
      <c r="AW1141" s="1530"/>
      <c r="AX1141" s="1530"/>
      <c r="AY1141" s="1530"/>
      <c r="AZ1141" s="1530"/>
      <c r="BA1141" s="1530"/>
      <c r="BB1141" s="1530"/>
      <c r="BC1141" s="1530"/>
      <c r="BD1141" s="1530"/>
      <c r="BE1141" s="1530"/>
      <c r="BF1141" s="1530"/>
      <c r="BG1141" s="1530"/>
      <c r="BH1141" s="1530"/>
      <c r="BI1141" s="1530"/>
      <c r="BJ1141" s="1530"/>
      <c r="BK1141" s="1530"/>
      <c r="BL1141" s="1530"/>
      <c r="BM1141" s="1530"/>
      <c r="BN1141" s="1530"/>
      <c r="BW1141" s="1569"/>
      <c r="CO1141" s="1530"/>
      <c r="CP1141" s="1530"/>
      <c r="CQ1141" s="1530"/>
      <c r="CR1141" s="1530"/>
      <c r="CS1141" s="1530"/>
      <c r="CT1141" s="1530"/>
      <c r="CU1141" s="1530"/>
      <c r="CV1141" s="1530"/>
      <c r="CW1141" s="1530"/>
      <c r="CX1141" s="1530"/>
      <c r="CY1141" s="1530"/>
      <c r="CZ1141" s="1530"/>
      <c r="DA1141" s="1530"/>
      <c r="DB1141" s="1530"/>
      <c r="DC1141" s="1530"/>
      <c r="DD1141" s="1530"/>
      <c r="DE1141" s="1530"/>
      <c r="DF1141" s="1530"/>
      <c r="DG1141" s="1530"/>
      <c r="DH1141" s="1530"/>
      <c r="DI1141" s="1530"/>
      <c r="DJ1141" s="1530"/>
      <c r="DK1141" s="1530"/>
      <c r="DL1141" s="1530"/>
      <c r="DM1141" s="1530"/>
      <c r="DN1141" s="1571"/>
      <c r="DO1141" s="1530"/>
      <c r="DP1141" s="1530"/>
    </row>
    <row r="1142" spans="1:120">
      <c r="A1142" s="1451"/>
      <c r="C1142" s="1451"/>
      <c r="K1142" s="1451"/>
      <c r="L1142" s="1451"/>
      <c r="U1142" s="1530"/>
      <c r="V1142" s="1530"/>
      <c r="W1142" s="1530"/>
      <c r="X1142" s="1530"/>
      <c r="Y1142" s="1530"/>
      <c r="Z1142" s="1530"/>
      <c r="AA1142" s="1530"/>
      <c r="AB1142" s="1530"/>
      <c r="AC1142" s="1530"/>
      <c r="AD1142" s="1530"/>
      <c r="AE1142" s="1530"/>
      <c r="AF1142" s="1530"/>
      <c r="AG1142" s="1530"/>
      <c r="AH1142" s="1530"/>
      <c r="AI1142" s="1530"/>
      <c r="AJ1142" s="1530"/>
      <c r="AK1142" s="1530"/>
      <c r="AL1142" s="1530"/>
      <c r="AM1142" s="1530"/>
      <c r="AN1142" s="1530"/>
      <c r="AO1142" s="1530"/>
      <c r="AP1142" s="1530"/>
      <c r="AQ1142" s="1530"/>
      <c r="AR1142" s="1530"/>
      <c r="AS1142" s="1530"/>
      <c r="AT1142" s="1530"/>
      <c r="AU1142" s="1530"/>
      <c r="AV1142" s="1530"/>
      <c r="AW1142" s="1530"/>
      <c r="AX1142" s="1530"/>
      <c r="AY1142" s="1530"/>
      <c r="AZ1142" s="1530"/>
      <c r="BA1142" s="1530"/>
      <c r="BB1142" s="1530"/>
      <c r="BC1142" s="1530"/>
      <c r="BD1142" s="1530"/>
      <c r="BE1142" s="1530"/>
      <c r="BF1142" s="1530"/>
      <c r="BG1142" s="1530"/>
      <c r="BH1142" s="1530"/>
      <c r="BI1142" s="1530"/>
      <c r="BJ1142" s="1530"/>
      <c r="BK1142" s="1530"/>
      <c r="BL1142" s="1530"/>
      <c r="BM1142" s="1530"/>
      <c r="BN1142" s="1530"/>
      <c r="BW1142" s="1569"/>
      <c r="CO1142" s="1530"/>
      <c r="CP1142" s="1530"/>
      <c r="CQ1142" s="1530"/>
      <c r="CR1142" s="1530"/>
      <c r="CS1142" s="1530"/>
      <c r="CT1142" s="1530"/>
      <c r="CU1142" s="1530"/>
      <c r="CV1142" s="1530"/>
      <c r="CW1142" s="1530"/>
      <c r="CX1142" s="1530"/>
      <c r="CY1142" s="1530"/>
      <c r="CZ1142" s="1530"/>
      <c r="DA1142" s="1530"/>
      <c r="DB1142" s="1530"/>
      <c r="DC1142" s="1530"/>
      <c r="DD1142" s="1530"/>
      <c r="DE1142" s="1530"/>
      <c r="DF1142" s="1530"/>
      <c r="DG1142" s="1530"/>
      <c r="DH1142" s="1530"/>
      <c r="DI1142" s="1530"/>
      <c r="DJ1142" s="1530"/>
      <c r="DK1142" s="1530"/>
      <c r="DL1142" s="1530"/>
      <c r="DM1142" s="1530"/>
      <c r="DN1142" s="1571"/>
      <c r="DO1142" s="1530"/>
      <c r="DP1142" s="1530"/>
    </row>
    <row r="1143" spans="1:120">
      <c r="A1143" s="1451"/>
      <c r="C1143" s="1451"/>
      <c r="K1143" s="1451"/>
      <c r="L1143" s="1451"/>
      <c r="U1143" s="1530"/>
      <c r="V1143" s="1530"/>
      <c r="W1143" s="1530"/>
      <c r="X1143" s="1530"/>
      <c r="Y1143" s="1530"/>
      <c r="Z1143" s="1530"/>
      <c r="AA1143" s="1530"/>
      <c r="AB1143" s="1530"/>
      <c r="AC1143" s="1530"/>
      <c r="AD1143" s="1530"/>
      <c r="AE1143" s="1530"/>
      <c r="AF1143" s="1530"/>
      <c r="AG1143" s="1530"/>
      <c r="AH1143" s="1530"/>
      <c r="AI1143" s="1530"/>
      <c r="AJ1143" s="1530"/>
      <c r="AK1143" s="1530"/>
      <c r="AL1143" s="1530"/>
      <c r="AM1143" s="1530"/>
      <c r="AN1143" s="1530"/>
      <c r="AO1143" s="1530"/>
      <c r="AP1143" s="1530"/>
      <c r="AQ1143" s="1530"/>
      <c r="AR1143" s="1530"/>
      <c r="AS1143" s="1530"/>
      <c r="AT1143" s="1530"/>
      <c r="AU1143" s="1530"/>
      <c r="AV1143" s="1530"/>
      <c r="AW1143" s="1530"/>
      <c r="AX1143" s="1530"/>
      <c r="AY1143" s="1530"/>
      <c r="AZ1143" s="1530"/>
      <c r="BA1143" s="1530"/>
      <c r="BB1143" s="1530"/>
      <c r="BC1143" s="1530"/>
      <c r="BD1143" s="1530"/>
      <c r="BE1143" s="1530"/>
      <c r="BF1143" s="1530"/>
      <c r="BG1143" s="1530"/>
      <c r="BH1143" s="1530"/>
      <c r="BI1143" s="1530"/>
      <c r="BJ1143" s="1530"/>
      <c r="BK1143" s="1530"/>
      <c r="BL1143" s="1530"/>
      <c r="BM1143" s="1530"/>
      <c r="BN1143" s="1530"/>
      <c r="BW1143" s="1569"/>
      <c r="CO1143" s="1530"/>
      <c r="CP1143" s="1530"/>
      <c r="CQ1143" s="1530"/>
      <c r="CR1143" s="1530"/>
      <c r="CS1143" s="1530"/>
      <c r="CT1143" s="1530"/>
      <c r="CU1143" s="1530"/>
      <c r="CV1143" s="1530"/>
      <c r="CW1143" s="1530"/>
      <c r="CX1143" s="1530"/>
      <c r="CY1143" s="1530"/>
      <c r="CZ1143" s="1530"/>
      <c r="DA1143" s="1530"/>
      <c r="DB1143" s="1530"/>
      <c r="DC1143" s="1530"/>
      <c r="DD1143" s="1530"/>
      <c r="DE1143" s="1530"/>
      <c r="DF1143" s="1530"/>
      <c r="DG1143" s="1530"/>
      <c r="DH1143" s="1530"/>
      <c r="DI1143" s="1530"/>
      <c r="DJ1143" s="1530"/>
      <c r="DK1143" s="1530"/>
      <c r="DL1143" s="1530"/>
      <c r="DM1143" s="1530"/>
      <c r="DN1143" s="1571"/>
      <c r="DO1143" s="1530"/>
      <c r="DP1143" s="1530"/>
    </row>
    <row r="1144" spans="1:120">
      <c r="A1144" s="1451"/>
      <c r="C1144" s="1451"/>
      <c r="K1144" s="1451"/>
      <c r="L1144" s="1451"/>
      <c r="U1144" s="1530"/>
      <c r="V1144" s="1530"/>
      <c r="W1144" s="1530"/>
      <c r="X1144" s="1530"/>
      <c r="Y1144" s="1530"/>
      <c r="Z1144" s="1530"/>
      <c r="AA1144" s="1530"/>
      <c r="AB1144" s="1530"/>
      <c r="AC1144" s="1530"/>
      <c r="AD1144" s="1530"/>
      <c r="AE1144" s="1530"/>
      <c r="AF1144" s="1530"/>
      <c r="AG1144" s="1530"/>
      <c r="AH1144" s="1530"/>
      <c r="AI1144" s="1530"/>
      <c r="AJ1144" s="1530"/>
      <c r="AK1144" s="1530"/>
      <c r="AL1144" s="1530"/>
      <c r="AM1144" s="1530"/>
      <c r="AN1144" s="1530"/>
      <c r="AO1144" s="1530"/>
      <c r="AP1144" s="1530"/>
      <c r="AQ1144" s="1530"/>
      <c r="AR1144" s="1530"/>
      <c r="AS1144" s="1530"/>
      <c r="AT1144" s="1530"/>
      <c r="AU1144" s="1530"/>
      <c r="AV1144" s="1530"/>
      <c r="AW1144" s="1530"/>
      <c r="AX1144" s="1530"/>
      <c r="AY1144" s="1530"/>
      <c r="AZ1144" s="1530"/>
      <c r="BA1144" s="1530"/>
      <c r="BB1144" s="1530"/>
      <c r="BC1144" s="1530"/>
      <c r="BD1144" s="1530"/>
      <c r="BE1144" s="1530"/>
      <c r="BF1144" s="1530"/>
      <c r="BG1144" s="1530"/>
      <c r="BH1144" s="1530"/>
      <c r="BI1144" s="1530"/>
      <c r="BJ1144" s="1530"/>
      <c r="BK1144" s="1530"/>
      <c r="BL1144" s="1530"/>
      <c r="BM1144" s="1530"/>
      <c r="BN1144" s="1530"/>
      <c r="BW1144" s="1569"/>
      <c r="CO1144" s="1530"/>
      <c r="CP1144" s="1530"/>
      <c r="CQ1144" s="1530"/>
      <c r="CR1144" s="1530"/>
      <c r="CS1144" s="1530"/>
      <c r="CT1144" s="1530"/>
      <c r="CU1144" s="1530"/>
      <c r="CV1144" s="1530"/>
      <c r="CW1144" s="1530"/>
      <c r="CX1144" s="1530"/>
      <c r="CY1144" s="1530"/>
      <c r="CZ1144" s="1530"/>
      <c r="DA1144" s="1530"/>
      <c r="DB1144" s="1530"/>
      <c r="DC1144" s="1530"/>
      <c r="DD1144" s="1530"/>
      <c r="DE1144" s="1530"/>
      <c r="DF1144" s="1530"/>
      <c r="DG1144" s="1530"/>
      <c r="DH1144" s="1530"/>
      <c r="DI1144" s="1530"/>
      <c r="DJ1144" s="1530"/>
      <c r="DK1144" s="1530"/>
      <c r="DL1144" s="1530"/>
      <c r="DM1144" s="1530"/>
      <c r="DN1144" s="1571"/>
      <c r="DO1144" s="1530"/>
      <c r="DP1144" s="1530"/>
    </row>
    <row r="1145" spans="1:120">
      <c r="A1145" s="1451"/>
      <c r="C1145" s="1451"/>
      <c r="K1145" s="1451"/>
      <c r="L1145" s="1451"/>
      <c r="U1145" s="1530"/>
      <c r="V1145" s="1530"/>
      <c r="W1145" s="1530"/>
      <c r="X1145" s="1530"/>
      <c r="Y1145" s="1530"/>
      <c r="Z1145" s="1530"/>
      <c r="AA1145" s="1530"/>
      <c r="AB1145" s="1530"/>
      <c r="AC1145" s="1530"/>
      <c r="AD1145" s="1530"/>
      <c r="AE1145" s="1530"/>
      <c r="AF1145" s="1530"/>
      <c r="AG1145" s="1530"/>
      <c r="AH1145" s="1530"/>
      <c r="AI1145" s="1530"/>
      <c r="AJ1145" s="1530"/>
      <c r="AK1145" s="1530"/>
      <c r="AL1145" s="1530"/>
      <c r="AM1145" s="1530"/>
      <c r="AN1145" s="1530"/>
      <c r="AO1145" s="1530"/>
      <c r="AP1145" s="1530"/>
      <c r="AQ1145" s="1530"/>
      <c r="AR1145" s="1530"/>
      <c r="AS1145" s="1530"/>
      <c r="AT1145" s="1530"/>
      <c r="AU1145" s="1530"/>
      <c r="AV1145" s="1530"/>
      <c r="AW1145" s="1530"/>
      <c r="AX1145" s="1530"/>
      <c r="AY1145" s="1530"/>
      <c r="AZ1145" s="1530"/>
      <c r="BA1145" s="1530"/>
      <c r="BB1145" s="1530"/>
      <c r="BC1145" s="1530"/>
      <c r="BD1145" s="1530"/>
      <c r="BE1145" s="1530"/>
      <c r="BF1145" s="1530"/>
      <c r="BG1145" s="1530"/>
      <c r="BH1145" s="1530"/>
      <c r="BI1145" s="1530"/>
      <c r="BJ1145" s="1530"/>
      <c r="BK1145" s="1530"/>
      <c r="BL1145" s="1530"/>
      <c r="BM1145" s="1530"/>
      <c r="BN1145" s="1530"/>
      <c r="BW1145" s="1569"/>
      <c r="CO1145" s="1530"/>
      <c r="CP1145" s="1530"/>
      <c r="CQ1145" s="1530"/>
      <c r="CR1145" s="1530"/>
      <c r="CS1145" s="1530"/>
      <c r="CT1145" s="1530"/>
      <c r="CU1145" s="1530"/>
      <c r="CV1145" s="1530"/>
      <c r="CW1145" s="1530"/>
      <c r="CX1145" s="1530"/>
      <c r="CY1145" s="1530"/>
      <c r="CZ1145" s="1530"/>
      <c r="DA1145" s="1530"/>
      <c r="DB1145" s="1530"/>
      <c r="DC1145" s="1530"/>
      <c r="DD1145" s="1530"/>
      <c r="DE1145" s="1530"/>
      <c r="DF1145" s="1530"/>
      <c r="DG1145" s="1530"/>
      <c r="DH1145" s="1530"/>
      <c r="DI1145" s="1530"/>
      <c r="DJ1145" s="1530"/>
      <c r="DK1145" s="1530"/>
      <c r="DL1145" s="1530"/>
      <c r="DM1145" s="1530"/>
      <c r="DN1145" s="1571"/>
      <c r="DO1145" s="1530"/>
      <c r="DP1145" s="1530"/>
    </row>
    <row r="1146" spans="1:120">
      <c r="A1146" s="1451"/>
      <c r="C1146" s="1451"/>
      <c r="K1146" s="1451"/>
      <c r="L1146" s="1451"/>
      <c r="U1146" s="1530"/>
      <c r="V1146" s="1530"/>
      <c r="W1146" s="1530"/>
      <c r="X1146" s="1530"/>
      <c r="Y1146" s="1530"/>
      <c r="Z1146" s="1530"/>
      <c r="AA1146" s="1530"/>
      <c r="AB1146" s="1530"/>
      <c r="AC1146" s="1530"/>
      <c r="AD1146" s="1530"/>
      <c r="AE1146" s="1530"/>
      <c r="AF1146" s="1530"/>
      <c r="AG1146" s="1530"/>
      <c r="AH1146" s="1530"/>
      <c r="AI1146" s="1530"/>
      <c r="AJ1146" s="1530"/>
      <c r="AK1146" s="1530"/>
      <c r="AL1146" s="1530"/>
      <c r="AM1146" s="1530"/>
      <c r="AN1146" s="1530"/>
      <c r="AO1146" s="1530"/>
      <c r="AP1146" s="1530"/>
      <c r="AQ1146" s="1530"/>
      <c r="AR1146" s="1530"/>
      <c r="AS1146" s="1530"/>
      <c r="AT1146" s="1530"/>
      <c r="AU1146" s="1530"/>
      <c r="AV1146" s="1530"/>
      <c r="AW1146" s="1530"/>
      <c r="AX1146" s="1530"/>
      <c r="AY1146" s="1530"/>
      <c r="AZ1146" s="1530"/>
      <c r="BA1146" s="1530"/>
      <c r="BB1146" s="1530"/>
      <c r="BC1146" s="1530"/>
      <c r="BD1146" s="1530"/>
      <c r="BE1146" s="1530"/>
      <c r="BF1146" s="1530"/>
      <c r="BG1146" s="1530"/>
      <c r="BH1146" s="1530"/>
      <c r="BI1146" s="1530"/>
      <c r="BJ1146" s="1530"/>
      <c r="BK1146" s="1530"/>
      <c r="BL1146" s="1530"/>
      <c r="BM1146" s="1530"/>
      <c r="BN1146" s="1530"/>
      <c r="BW1146" s="1569"/>
      <c r="CO1146" s="1530"/>
      <c r="CP1146" s="1530"/>
      <c r="CQ1146" s="1530"/>
      <c r="CR1146" s="1530"/>
      <c r="CS1146" s="1530"/>
      <c r="CT1146" s="1530"/>
      <c r="CU1146" s="1530"/>
      <c r="CV1146" s="1530"/>
      <c r="CW1146" s="1530"/>
      <c r="CX1146" s="1530"/>
      <c r="CY1146" s="1530"/>
      <c r="CZ1146" s="1530"/>
      <c r="DA1146" s="1530"/>
      <c r="DB1146" s="1530"/>
      <c r="DC1146" s="1530"/>
      <c r="DD1146" s="1530"/>
      <c r="DE1146" s="1530"/>
      <c r="DF1146" s="1530"/>
      <c r="DG1146" s="1530"/>
      <c r="DH1146" s="1530"/>
      <c r="DI1146" s="1530"/>
      <c r="DJ1146" s="1530"/>
      <c r="DK1146" s="1530"/>
      <c r="DL1146" s="1530"/>
      <c r="DM1146" s="1530"/>
      <c r="DN1146" s="1571"/>
      <c r="DO1146" s="1530"/>
      <c r="DP1146" s="1530"/>
    </row>
    <row r="1147" spans="1:120">
      <c r="A1147" s="1451"/>
      <c r="C1147" s="1451"/>
      <c r="K1147" s="1451"/>
      <c r="L1147" s="1451"/>
      <c r="U1147" s="1530"/>
      <c r="V1147" s="1530"/>
      <c r="W1147" s="1530"/>
      <c r="X1147" s="1530"/>
      <c r="Y1147" s="1530"/>
      <c r="Z1147" s="1530"/>
      <c r="AA1147" s="1530"/>
      <c r="AB1147" s="1530"/>
      <c r="AC1147" s="1530"/>
      <c r="AD1147" s="1530"/>
      <c r="AE1147" s="1530"/>
      <c r="AF1147" s="1530"/>
      <c r="AG1147" s="1530"/>
      <c r="AH1147" s="1530"/>
      <c r="AI1147" s="1530"/>
      <c r="AJ1147" s="1530"/>
      <c r="AK1147" s="1530"/>
      <c r="AL1147" s="1530"/>
      <c r="AM1147" s="1530"/>
      <c r="AN1147" s="1530"/>
      <c r="AO1147" s="1530"/>
      <c r="AP1147" s="1530"/>
      <c r="AQ1147" s="1530"/>
      <c r="AR1147" s="1530"/>
      <c r="AS1147" s="1530"/>
      <c r="AT1147" s="1530"/>
      <c r="AU1147" s="1530"/>
      <c r="AV1147" s="1530"/>
      <c r="AW1147" s="1530"/>
      <c r="AX1147" s="1530"/>
      <c r="AY1147" s="1530"/>
      <c r="AZ1147" s="1530"/>
      <c r="BA1147" s="1530"/>
      <c r="BB1147" s="1530"/>
      <c r="BC1147" s="1530"/>
      <c r="BD1147" s="1530"/>
      <c r="BE1147" s="1530"/>
      <c r="BF1147" s="1530"/>
      <c r="BG1147" s="1530"/>
      <c r="BH1147" s="1530"/>
      <c r="BI1147" s="1530"/>
      <c r="BJ1147" s="1530"/>
      <c r="BK1147" s="1530"/>
      <c r="BL1147" s="1530"/>
      <c r="BM1147" s="1530"/>
      <c r="BN1147" s="1530"/>
      <c r="BW1147" s="1569"/>
      <c r="CO1147" s="1530"/>
      <c r="CP1147" s="1530"/>
      <c r="CQ1147" s="1530"/>
      <c r="CR1147" s="1530"/>
      <c r="CS1147" s="1530"/>
      <c r="CT1147" s="1530"/>
      <c r="CU1147" s="1530"/>
      <c r="CV1147" s="1530"/>
      <c r="CW1147" s="1530"/>
      <c r="CX1147" s="1530"/>
      <c r="CY1147" s="1530"/>
      <c r="CZ1147" s="1530"/>
      <c r="DA1147" s="1530"/>
      <c r="DB1147" s="1530"/>
      <c r="DC1147" s="1530"/>
      <c r="DD1147" s="1530"/>
      <c r="DE1147" s="1530"/>
      <c r="DF1147" s="1530"/>
      <c r="DG1147" s="1530"/>
      <c r="DH1147" s="1530"/>
      <c r="DI1147" s="1530"/>
      <c r="DJ1147" s="1530"/>
      <c r="DK1147" s="1530"/>
      <c r="DL1147" s="1530"/>
      <c r="DM1147" s="1530"/>
      <c r="DN1147" s="1571"/>
      <c r="DO1147" s="1530"/>
      <c r="DP1147" s="1530"/>
    </row>
    <row r="1148" spans="1:120">
      <c r="A1148" s="1451"/>
      <c r="C1148" s="1451"/>
      <c r="K1148" s="1451"/>
      <c r="L1148" s="1451"/>
      <c r="U1148" s="1530"/>
      <c r="V1148" s="1530"/>
      <c r="W1148" s="1530"/>
      <c r="X1148" s="1530"/>
      <c r="Y1148" s="1530"/>
      <c r="Z1148" s="1530"/>
      <c r="AA1148" s="1530"/>
      <c r="AB1148" s="1530"/>
      <c r="AC1148" s="1530"/>
      <c r="AD1148" s="1530"/>
      <c r="AE1148" s="1530"/>
      <c r="AF1148" s="1530"/>
      <c r="AG1148" s="1530"/>
      <c r="AH1148" s="1530"/>
      <c r="AI1148" s="1530"/>
      <c r="AJ1148" s="1530"/>
      <c r="AK1148" s="1530"/>
      <c r="AL1148" s="1530"/>
      <c r="AM1148" s="1530"/>
      <c r="AN1148" s="1530"/>
      <c r="AO1148" s="1530"/>
      <c r="AP1148" s="1530"/>
      <c r="AQ1148" s="1530"/>
      <c r="AR1148" s="1530"/>
      <c r="AS1148" s="1530"/>
      <c r="AT1148" s="1530"/>
      <c r="AU1148" s="1530"/>
      <c r="AV1148" s="1530"/>
      <c r="AW1148" s="1530"/>
      <c r="AX1148" s="1530"/>
      <c r="AY1148" s="1530"/>
      <c r="AZ1148" s="1530"/>
      <c r="BA1148" s="1530"/>
      <c r="BB1148" s="1530"/>
      <c r="BC1148" s="1530"/>
      <c r="BD1148" s="1530"/>
      <c r="BE1148" s="1530"/>
      <c r="BF1148" s="1530"/>
      <c r="BG1148" s="1530"/>
      <c r="BH1148" s="1530"/>
      <c r="BI1148" s="1530"/>
      <c r="BJ1148" s="1530"/>
      <c r="BK1148" s="1530"/>
      <c r="BL1148" s="1530"/>
      <c r="BM1148" s="1530"/>
      <c r="BN1148" s="1530"/>
      <c r="BW1148" s="1569"/>
      <c r="CO1148" s="1530"/>
      <c r="CP1148" s="1530"/>
      <c r="CQ1148" s="1530"/>
      <c r="CR1148" s="1530"/>
      <c r="CS1148" s="1530"/>
      <c r="CT1148" s="1530"/>
      <c r="CU1148" s="1530"/>
      <c r="CV1148" s="1530"/>
      <c r="CW1148" s="1530"/>
      <c r="CX1148" s="1530"/>
      <c r="CY1148" s="1530"/>
      <c r="CZ1148" s="1530"/>
      <c r="DA1148" s="1530"/>
      <c r="DB1148" s="1530"/>
      <c r="DC1148" s="1530"/>
      <c r="DD1148" s="1530"/>
      <c r="DE1148" s="1530"/>
      <c r="DF1148" s="1530"/>
      <c r="DG1148" s="1530"/>
      <c r="DH1148" s="1530"/>
      <c r="DI1148" s="1530"/>
      <c r="DJ1148" s="1530"/>
      <c r="DK1148" s="1530"/>
      <c r="DL1148" s="1530"/>
      <c r="DM1148" s="1530"/>
      <c r="DN1148" s="1571"/>
      <c r="DO1148" s="1530"/>
      <c r="DP1148" s="1530"/>
    </row>
    <row r="1149" spans="1:120">
      <c r="A1149" s="1451"/>
      <c r="C1149" s="1451"/>
      <c r="K1149" s="1451"/>
      <c r="L1149" s="1451"/>
      <c r="U1149" s="1530"/>
      <c r="V1149" s="1530"/>
      <c r="W1149" s="1530"/>
      <c r="X1149" s="1530"/>
      <c r="Y1149" s="1530"/>
      <c r="Z1149" s="1530"/>
      <c r="AA1149" s="1530"/>
      <c r="AB1149" s="1530"/>
      <c r="AC1149" s="1530"/>
      <c r="AD1149" s="1530"/>
      <c r="AE1149" s="1530"/>
      <c r="AF1149" s="1530"/>
      <c r="AG1149" s="1530"/>
      <c r="AH1149" s="1530"/>
      <c r="AI1149" s="1530"/>
      <c r="AJ1149" s="1530"/>
      <c r="AK1149" s="1530"/>
      <c r="AL1149" s="1530"/>
      <c r="AM1149" s="1530"/>
      <c r="AN1149" s="1530"/>
      <c r="AO1149" s="1530"/>
      <c r="AP1149" s="1530"/>
      <c r="AQ1149" s="1530"/>
      <c r="AR1149" s="1530"/>
      <c r="AS1149" s="1530"/>
      <c r="AT1149" s="1530"/>
      <c r="AU1149" s="1530"/>
      <c r="AV1149" s="1530"/>
      <c r="AW1149" s="1530"/>
      <c r="AX1149" s="1530"/>
      <c r="AY1149" s="1530"/>
      <c r="AZ1149" s="1530"/>
      <c r="BA1149" s="1530"/>
      <c r="BB1149" s="1530"/>
      <c r="BC1149" s="1530"/>
      <c r="BD1149" s="1530"/>
      <c r="BE1149" s="1530"/>
      <c r="BF1149" s="1530"/>
      <c r="BG1149" s="1530"/>
      <c r="BH1149" s="1530"/>
      <c r="BI1149" s="1530"/>
      <c r="BJ1149" s="1530"/>
      <c r="BK1149" s="1530"/>
      <c r="BL1149" s="1530"/>
      <c r="BM1149" s="1530"/>
      <c r="BN1149" s="1530"/>
      <c r="BW1149" s="1569"/>
      <c r="CO1149" s="1530"/>
      <c r="CP1149" s="1530"/>
      <c r="CQ1149" s="1530"/>
      <c r="CR1149" s="1530"/>
      <c r="CS1149" s="1530"/>
      <c r="CT1149" s="1530"/>
      <c r="CU1149" s="1530"/>
      <c r="CV1149" s="1530"/>
      <c r="CW1149" s="1530"/>
      <c r="CX1149" s="1530"/>
      <c r="CY1149" s="1530"/>
      <c r="CZ1149" s="1530"/>
      <c r="DA1149" s="1530"/>
      <c r="DB1149" s="1530"/>
      <c r="DC1149" s="1530"/>
      <c r="DD1149" s="1530"/>
      <c r="DE1149" s="1530"/>
      <c r="DF1149" s="1530"/>
      <c r="DG1149" s="1530"/>
      <c r="DH1149" s="1530"/>
      <c r="DI1149" s="1530"/>
      <c r="DJ1149" s="1530"/>
      <c r="DK1149" s="1530"/>
      <c r="DL1149" s="1530"/>
      <c r="DM1149" s="1530"/>
      <c r="DN1149" s="1571"/>
      <c r="DO1149" s="1530"/>
      <c r="DP1149" s="1530"/>
    </row>
    <row r="1150" spans="1:120">
      <c r="A1150" s="1451"/>
      <c r="C1150" s="1451"/>
      <c r="K1150" s="1451"/>
      <c r="L1150" s="1451"/>
      <c r="U1150" s="1530"/>
      <c r="V1150" s="1530"/>
      <c r="W1150" s="1530"/>
      <c r="X1150" s="1530"/>
      <c r="Y1150" s="1530"/>
      <c r="Z1150" s="1530"/>
      <c r="AA1150" s="1530"/>
      <c r="AB1150" s="1530"/>
      <c r="AC1150" s="1530"/>
      <c r="AD1150" s="1530"/>
      <c r="AE1150" s="1530"/>
      <c r="AF1150" s="1530"/>
      <c r="AG1150" s="1530"/>
      <c r="AH1150" s="1530"/>
      <c r="AI1150" s="1530"/>
      <c r="AJ1150" s="1530"/>
      <c r="AK1150" s="1530"/>
      <c r="AL1150" s="1530"/>
      <c r="AM1150" s="1530"/>
      <c r="AN1150" s="1530"/>
      <c r="AO1150" s="1530"/>
      <c r="AP1150" s="1530"/>
      <c r="AQ1150" s="1530"/>
      <c r="AR1150" s="1530"/>
      <c r="AS1150" s="1530"/>
      <c r="AT1150" s="1530"/>
      <c r="AU1150" s="1530"/>
      <c r="AV1150" s="1530"/>
      <c r="AW1150" s="1530"/>
      <c r="AX1150" s="1530"/>
      <c r="AY1150" s="1530"/>
      <c r="AZ1150" s="1530"/>
      <c r="BA1150" s="1530"/>
      <c r="BB1150" s="1530"/>
      <c r="BC1150" s="1530"/>
      <c r="BD1150" s="1530"/>
      <c r="BE1150" s="1530"/>
      <c r="BF1150" s="1530"/>
      <c r="BG1150" s="1530"/>
      <c r="BH1150" s="1530"/>
      <c r="BI1150" s="1530"/>
      <c r="BJ1150" s="1530"/>
      <c r="BK1150" s="1530"/>
      <c r="BL1150" s="1530"/>
      <c r="BM1150" s="1530"/>
      <c r="BN1150" s="1530"/>
      <c r="BW1150" s="1569"/>
      <c r="CO1150" s="1530"/>
      <c r="CP1150" s="1530"/>
      <c r="CQ1150" s="1530"/>
      <c r="CR1150" s="1530"/>
      <c r="CS1150" s="1530"/>
      <c r="CT1150" s="1530"/>
      <c r="CU1150" s="1530"/>
      <c r="CV1150" s="1530"/>
      <c r="CW1150" s="1530"/>
      <c r="CX1150" s="1530"/>
      <c r="CY1150" s="1530"/>
      <c r="CZ1150" s="1530"/>
      <c r="DA1150" s="1530"/>
      <c r="DB1150" s="1530"/>
      <c r="DC1150" s="1530"/>
      <c r="DD1150" s="1530"/>
      <c r="DE1150" s="1530"/>
      <c r="DF1150" s="1530"/>
      <c r="DG1150" s="1530"/>
      <c r="DH1150" s="1530"/>
      <c r="DI1150" s="1530"/>
      <c r="DJ1150" s="1530"/>
      <c r="DK1150" s="1530"/>
      <c r="DL1150" s="1530"/>
      <c r="DM1150" s="1530"/>
      <c r="DN1150" s="1571"/>
      <c r="DO1150" s="1530"/>
      <c r="DP1150" s="1530"/>
    </row>
    <row r="1151" spans="1:120">
      <c r="A1151" s="1451"/>
      <c r="C1151" s="1451"/>
      <c r="K1151" s="1451"/>
      <c r="L1151" s="1451"/>
      <c r="U1151" s="1530"/>
      <c r="V1151" s="1530"/>
      <c r="W1151" s="1530"/>
      <c r="X1151" s="1530"/>
      <c r="Y1151" s="1530"/>
      <c r="Z1151" s="1530"/>
      <c r="AA1151" s="1530"/>
      <c r="AB1151" s="1530"/>
      <c r="AC1151" s="1530"/>
      <c r="AD1151" s="1530"/>
      <c r="AE1151" s="1530"/>
      <c r="AF1151" s="1530"/>
      <c r="AG1151" s="1530"/>
      <c r="AH1151" s="1530"/>
      <c r="AI1151" s="1530"/>
      <c r="AJ1151" s="1530"/>
      <c r="AK1151" s="1530"/>
      <c r="AL1151" s="1530"/>
      <c r="AM1151" s="1530"/>
      <c r="AN1151" s="1530"/>
      <c r="AO1151" s="1530"/>
      <c r="AP1151" s="1530"/>
      <c r="AQ1151" s="1530"/>
      <c r="AR1151" s="1530"/>
      <c r="AS1151" s="1530"/>
      <c r="AT1151" s="1530"/>
      <c r="AU1151" s="1530"/>
      <c r="AV1151" s="1530"/>
      <c r="AW1151" s="1530"/>
      <c r="AX1151" s="1530"/>
      <c r="AY1151" s="1530"/>
      <c r="AZ1151" s="1530"/>
      <c r="BA1151" s="1530"/>
      <c r="BB1151" s="1530"/>
      <c r="BC1151" s="1530"/>
      <c r="BD1151" s="1530"/>
      <c r="BE1151" s="1530"/>
      <c r="BF1151" s="1530"/>
      <c r="BG1151" s="1530"/>
      <c r="BH1151" s="1530"/>
      <c r="BI1151" s="1530"/>
      <c r="BJ1151" s="1530"/>
      <c r="BK1151" s="1530"/>
      <c r="BL1151" s="1530"/>
      <c r="BM1151" s="1530"/>
      <c r="BN1151" s="1530"/>
      <c r="BW1151" s="1569"/>
      <c r="CO1151" s="1530"/>
      <c r="CP1151" s="1530"/>
      <c r="CQ1151" s="1530"/>
      <c r="CR1151" s="1530"/>
      <c r="CS1151" s="1530"/>
      <c r="CT1151" s="1530"/>
      <c r="CU1151" s="1530"/>
      <c r="CV1151" s="1530"/>
      <c r="CW1151" s="1530"/>
      <c r="CX1151" s="1530"/>
      <c r="CY1151" s="1530"/>
      <c r="CZ1151" s="1530"/>
      <c r="DA1151" s="1530"/>
      <c r="DB1151" s="1530"/>
      <c r="DC1151" s="1530"/>
      <c r="DD1151" s="1530"/>
      <c r="DE1151" s="1530"/>
      <c r="DF1151" s="1530"/>
      <c r="DG1151" s="1530"/>
      <c r="DH1151" s="1530"/>
      <c r="DI1151" s="1530"/>
      <c r="DJ1151" s="1530"/>
      <c r="DK1151" s="1530"/>
      <c r="DL1151" s="1530"/>
      <c r="DM1151" s="1530"/>
      <c r="DN1151" s="1571"/>
      <c r="DO1151" s="1530"/>
      <c r="DP1151" s="1530"/>
    </row>
    <row r="1152" spans="1:120">
      <c r="A1152" s="1451"/>
      <c r="C1152" s="1451"/>
      <c r="K1152" s="1451"/>
      <c r="L1152" s="1451"/>
      <c r="U1152" s="1530"/>
      <c r="V1152" s="1530"/>
      <c r="W1152" s="1530"/>
      <c r="X1152" s="1530"/>
      <c r="Y1152" s="1530"/>
      <c r="Z1152" s="1530"/>
      <c r="AA1152" s="1530"/>
      <c r="AB1152" s="1530"/>
      <c r="AC1152" s="1530"/>
      <c r="AD1152" s="1530"/>
      <c r="AE1152" s="1530"/>
      <c r="AF1152" s="1530"/>
      <c r="AG1152" s="1530"/>
      <c r="AH1152" s="1530"/>
      <c r="AI1152" s="1530"/>
      <c r="AJ1152" s="1530"/>
      <c r="AK1152" s="1530"/>
      <c r="AL1152" s="1530"/>
      <c r="AM1152" s="1530"/>
      <c r="AN1152" s="1530"/>
      <c r="AO1152" s="1530"/>
      <c r="AP1152" s="1530"/>
      <c r="AQ1152" s="1530"/>
      <c r="AR1152" s="1530"/>
      <c r="AS1152" s="1530"/>
      <c r="AT1152" s="1530"/>
      <c r="AU1152" s="1530"/>
      <c r="AV1152" s="1530"/>
      <c r="AW1152" s="1530"/>
      <c r="AX1152" s="1530"/>
      <c r="AY1152" s="1530"/>
      <c r="AZ1152" s="1530"/>
      <c r="BA1152" s="1530"/>
      <c r="BB1152" s="1530"/>
      <c r="BC1152" s="1530"/>
      <c r="BD1152" s="1530"/>
      <c r="BE1152" s="1530"/>
      <c r="BF1152" s="1530"/>
      <c r="BG1152" s="1530"/>
      <c r="BH1152" s="1530"/>
      <c r="BI1152" s="1530"/>
      <c r="BJ1152" s="1530"/>
      <c r="BK1152" s="1530"/>
      <c r="BL1152" s="1530"/>
      <c r="BM1152" s="1530"/>
      <c r="BN1152" s="1530"/>
      <c r="BW1152" s="1569"/>
      <c r="CO1152" s="1530"/>
      <c r="CP1152" s="1530"/>
      <c r="CQ1152" s="1530"/>
      <c r="CR1152" s="1530"/>
      <c r="CS1152" s="1530"/>
      <c r="CT1152" s="1530"/>
      <c r="CU1152" s="1530"/>
      <c r="CV1152" s="1530"/>
      <c r="CW1152" s="1530"/>
      <c r="CX1152" s="1530"/>
      <c r="CY1152" s="1530"/>
      <c r="CZ1152" s="1530"/>
      <c r="DA1152" s="1530"/>
      <c r="DB1152" s="1530"/>
      <c r="DC1152" s="1530"/>
      <c r="DD1152" s="1530"/>
      <c r="DE1152" s="1530"/>
      <c r="DF1152" s="1530"/>
      <c r="DG1152" s="1530"/>
      <c r="DH1152" s="1530"/>
      <c r="DI1152" s="1530"/>
      <c r="DJ1152" s="1530"/>
      <c r="DK1152" s="1530"/>
      <c r="DL1152" s="1530"/>
      <c r="DM1152" s="1530"/>
      <c r="DN1152" s="1571"/>
      <c r="DO1152" s="1530"/>
      <c r="DP1152" s="1530"/>
    </row>
    <row r="1153" spans="1:120">
      <c r="A1153" s="1451"/>
      <c r="C1153" s="1451"/>
      <c r="K1153" s="1451"/>
      <c r="L1153" s="1451"/>
      <c r="U1153" s="1530"/>
      <c r="V1153" s="1530"/>
      <c r="W1153" s="1530"/>
      <c r="X1153" s="1530"/>
      <c r="Y1153" s="1530"/>
      <c r="Z1153" s="1530"/>
      <c r="AA1153" s="1530"/>
      <c r="AB1153" s="1530"/>
      <c r="AC1153" s="1530"/>
      <c r="AD1153" s="1530"/>
      <c r="AE1153" s="1530"/>
      <c r="AF1153" s="1530"/>
      <c r="AG1153" s="1530"/>
      <c r="AH1153" s="1530"/>
      <c r="AI1153" s="1530"/>
      <c r="AJ1153" s="1530"/>
      <c r="AK1153" s="1530"/>
      <c r="AL1153" s="1530"/>
      <c r="AM1153" s="1530"/>
      <c r="AN1153" s="1530"/>
      <c r="AO1153" s="1530"/>
      <c r="AP1153" s="1530"/>
      <c r="AQ1153" s="1530"/>
      <c r="AR1153" s="1530"/>
      <c r="AS1153" s="1530"/>
      <c r="AT1153" s="1530"/>
      <c r="AU1153" s="1530"/>
      <c r="AV1153" s="1530"/>
      <c r="AW1153" s="1530"/>
      <c r="AX1153" s="1530"/>
      <c r="AY1153" s="1530"/>
      <c r="AZ1153" s="1530"/>
      <c r="BA1153" s="1530"/>
      <c r="BB1153" s="1530"/>
      <c r="BC1153" s="1530"/>
      <c r="BD1153" s="1530"/>
      <c r="BE1153" s="1530"/>
      <c r="BF1153" s="1530"/>
      <c r="BG1153" s="1530"/>
      <c r="BH1153" s="1530"/>
      <c r="BI1153" s="1530"/>
      <c r="BJ1153" s="1530"/>
      <c r="BK1153" s="1530"/>
      <c r="BL1153" s="1530"/>
      <c r="BM1153" s="1530"/>
      <c r="BN1153" s="1530"/>
      <c r="BW1153" s="1569"/>
      <c r="CO1153" s="1530"/>
      <c r="CP1153" s="1530"/>
      <c r="CQ1153" s="1530"/>
      <c r="CR1153" s="1530"/>
      <c r="CS1153" s="1530"/>
      <c r="CT1153" s="1530"/>
      <c r="CU1153" s="1530"/>
      <c r="CV1153" s="1530"/>
      <c r="CW1153" s="1530"/>
      <c r="CX1153" s="1530"/>
      <c r="CY1153" s="1530"/>
      <c r="CZ1153" s="1530"/>
      <c r="DA1153" s="1530"/>
      <c r="DB1153" s="1530"/>
      <c r="DC1153" s="1530"/>
      <c r="DD1153" s="1530"/>
      <c r="DE1153" s="1530"/>
      <c r="DF1153" s="1530"/>
      <c r="DG1153" s="1530"/>
      <c r="DH1153" s="1530"/>
      <c r="DI1153" s="1530"/>
      <c r="DJ1153" s="1530"/>
      <c r="DK1153" s="1530"/>
      <c r="DL1153" s="1530"/>
      <c r="DM1153" s="1530"/>
      <c r="DN1153" s="1571"/>
      <c r="DO1153" s="1530"/>
      <c r="DP1153" s="1530"/>
    </row>
    <row r="1154" spans="1:120">
      <c r="A1154" s="1451"/>
      <c r="C1154" s="1451"/>
      <c r="K1154" s="1451"/>
      <c r="L1154" s="1451"/>
      <c r="U1154" s="1530"/>
      <c r="V1154" s="1530"/>
      <c r="W1154" s="1530"/>
      <c r="X1154" s="1530"/>
      <c r="Y1154" s="1530"/>
      <c r="Z1154" s="1530"/>
      <c r="AA1154" s="1530"/>
      <c r="AB1154" s="1530"/>
      <c r="AC1154" s="1530"/>
      <c r="AD1154" s="1530"/>
      <c r="AE1154" s="1530"/>
      <c r="AF1154" s="1530"/>
      <c r="AG1154" s="1530"/>
      <c r="AH1154" s="1530"/>
      <c r="AI1154" s="1530"/>
      <c r="AJ1154" s="1530"/>
      <c r="AK1154" s="1530"/>
      <c r="AL1154" s="1530"/>
      <c r="AM1154" s="1530"/>
      <c r="AN1154" s="1530"/>
      <c r="AO1154" s="1530"/>
      <c r="AP1154" s="1530"/>
      <c r="AQ1154" s="1530"/>
      <c r="AR1154" s="1530"/>
      <c r="AS1154" s="1530"/>
      <c r="AT1154" s="1530"/>
      <c r="AU1154" s="1530"/>
      <c r="AV1154" s="1530"/>
      <c r="AW1154" s="1530"/>
      <c r="AX1154" s="1530"/>
      <c r="AY1154" s="1530"/>
      <c r="AZ1154" s="1530"/>
      <c r="BA1154" s="1530"/>
      <c r="BB1154" s="1530"/>
      <c r="BC1154" s="1530"/>
      <c r="BD1154" s="1530"/>
      <c r="BE1154" s="1530"/>
      <c r="BF1154" s="1530"/>
      <c r="BG1154" s="1530"/>
      <c r="BH1154" s="1530"/>
      <c r="BI1154" s="1530"/>
      <c r="BJ1154" s="1530"/>
      <c r="BK1154" s="1530"/>
      <c r="BL1154" s="1530"/>
      <c r="BM1154" s="1530"/>
      <c r="BN1154" s="1530"/>
      <c r="BW1154" s="1569"/>
      <c r="CO1154" s="1530"/>
      <c r="CP1154" s="1530"/>
      <c r="CQ1154" s="1530"/>
      <c r="CR1154" s="1530"/>
      <c r="CS1154" s="1530"/>
      <c r="CT1154" s="1530"/>
      <c r="CU1154" s="1530"/>
      <c r="CV1154" s="1530"/>
      <c r="CW1154" s="1530"/>
      <c r="CX1154" s="1530"/>
      <c r="CY1154" s="1530"/>
      <c r="CZ1154" s="1530"/>
      <c r="DA1154" s="1530"/>
      <c r="DB1154" s="1530"/>
      <c r="DC1154" s="1530"/>
      <c r="DD1154" s="1530"/>
      <c r="DE1154" s="1530"/>
      <c r="DF1154" s="1530"/>
      <c r="DG1154" s="1530"/>
      <c r="DH1154" s="1530"/>
      <c r="DI1154" s="1530"/>
      <c r="DJ1154" s="1530"/>
      <c r="DK1154" s="1530"/>
      <c r="DL1154" s="1530"/>
      <c r="DM1154" s="1530"/>
      <c r="DN1154" s="1571"/>
      <c r="DO1154" s="1530"/>
      <c r="DP1154" s="1530"/>
    </row>
    <row r="1155" spans="1:120">
      <c r="A1155" s="1451"/>
      <c r="C1155" s="1451"/>
      <c r="K1155" s="1451"/>
      <c r="L1155" s="1451"/>
      <c r="U1155" s="1530"/>
      <c r="V1155" s="1530"/>
      <c r="W1155" s="1530"/>
      <c r="X1155" s="1530"/>
      <c r="Y1155" s="1530"/>
      <c r="Z1155" s="1530"/>
      <c r="AA1155" s="1530"/>
      <c r="AB1155" s="1530"/>
      <c r="AC1155" s="1530"/>
      <c r="AD1155" s="1530"/>
      <c r="AE1155" s="1530"/>
      <c r="AF1155" s="1530"/>
      <c r="AG1155" s="1530"/>
      <c r="AH1155" s="1530"/>
      <c r="AI1155" s="1530"/>
      <c r="AJ1155" s="1530"/>
      <c r="AK1155" s="1530"/>
      <c r="AL1155" s="1530"/>
      <c r="AM1155" s="1530"/>
      <c r="AN1155" s="1530"/>
      <c r="AO1155" s="1530"/>
      <c r="AP1155" s="1530"/>
      <c r="AQ1155" s="1530"/>
      <c r="AR1155" s="1530"/>
      <c r="AS1155" s="1530"/>
      <c r="AT1155" s="1530"/>
      <c r="AU1155" s="1530"/>
      <c r="AV1155" s="1530"/>
      <c r="AW1155" s="1530"/>
      <c r="AX1155" s="1530"/>
      <c r="AY1155" s="1530"/>
      <c r="AZ1155" s="1530"/>
      <c r="BA1155" s="1530"/>
      <c r="BB1155" s="1530"/>
      <c r="BC1155" s="1530"/>
      <c r="BD1155" s="1530"/>
      <c r="BE1155" s="1530"/>
      <c r="BF1155" s="1530"/>
      <c r="BG1155" s="1530"/>
      <c r="BH1155" s="1530"/>
      <c r="BI1155" s="1530"/>
      <c r="BJ1155" s="1530"/>
      <c r="BK1155" s="1530"/>
      <c r="BL1155" s="1530"/>
      <c r="BM1155" s="1530"/>
      <c r="BN1155" s="1530"/>
      <c r="BW1155" s="1569"/>
      <c r="CO1155" s="1530"/>
      <c r="CP1155" s="1530"/>
      <c r="CQ1155" s="1530"/>
      <c r="CR1155" s="1530"/>
      <c r="CS1155" s="1530"/>
      <c r="CT1155" s="1530"/>
      <c r="CU1155" s="1530"/>
      <c r="CV1155" s="1530"/>
      <c r="CW1155" s="1530"/>
      <c r="CX1155" s="1530"/>
      <c r="CY1155" s="1530"/>
      <c r="CZ1155" s="1530"/>
      <c r="DA1155" s="1530"/>
      <c r="DB1155" s="1530"/>
      <c r="DC1155" s="1530"/>
      <c r="DD1155" s="1530"/>
      <c r="DE1155" s="1530"/>
      <c r="DF1155" s="1530"/>
      <c r="DG1155" s="1530"/>
      <c r="DH1155" s="1530"/>
      <c r="DI1155" s="1530"/>
      <c r="DJ1155" s="1530"/>
      <c r="DK1155" s="1530"/>
      <c r="DL1155" s="1530"/>
      <c r="DM1155" s="1530"/>
      <c r="DN1155" s="1571"/>
      <c r="DO1155" s="1530"/>
      <c r="DP1155" s="1530"/>
    </row>
    <row r="1156" spans="1:120">
      <c r="A1156" s="1451"/>
      <c r="C1156" s="1451"/>
      <c r="K1156" s="1451"/>
      <c r="L1156" s="1451"/>
      <c r="U1156" s="1530"/>
      <c r="V1156" s="1530"/>
      <c r="W1156" s="1530"/>
      <c r="X1156" s="1530"/>
      <c r="Y1156" s="1530"/>
      <c r="Z1156" s="1530"/>
      <c r="AA1156" s="1530"/>
      <c r="AB1156" s="1530"/>
      <c r="AC1156" s="1530"/>
      <c r="AD1156" s="1530"/>
      <c r="AE1156" s="1530"/>
      <c r="AF1156" s="1530"/>
      <c r="AG1156" s="1530"/>
      <c r="AH1156" s="1530"/>
      <c r="AI1156" s="1530"/>
      <c r="AJ1156" s="1530"/>
      <c r="AK1156" s="1530"/>
      <c r="AL1156" s="1530"/>
      <c r="AM1156" s="1530"/>
      <c r="AN1156" s="1530"/>
      <c r="AO1156" s="1530"/>
      <c r="AP1156" s="1530"/>
      <c r="AQ1156" s="1530"/>
      <c r="AR1156" s="1530"/>
      <c r="AS1156" s="1530"/>
      <c r="AT1156" s="1530"/>
      <c r="AU1156" s="1530"/>
      <c r="AV1156" s="1530"/>
      <c r="AW1156" s="1530"/>
      <c r="AX1156" s="1530"/>
      <c r="AY1156" s="1530"/>
      <c r="AZ1156" s="1530"/>
      <c r="BA1156" s="1530"/>
      <c r="BB1156" s="1530"/>
      <c r="BC1156" s="1530"/>
      <c r="BD1156" s="1530"/>
      <c r="BE1156" s="1530"/>
      <c r="BF1156" s="1530"/>
      <c r="BG1156" s="1530"/>
      <c r="BH1156" s="1530"/>
      <c r="BI1156" s="1530"/>
      <c r="BJ1156" s="1530"/>
      <c r="BK1156" s="1530"/>
      <c r="BL1156" s="1530"/>
      <c r="BM1156" s="1530"/>
      <c r="BN1156" s="1530"/>
      <c r="BW1156" s="1569"/>
      <c r="CO1156" s="1530"/>
      <c r="CP1156" s="1530"/>
      <c r="CQ1156" s="1530"/>
      <c r="CR1156" s="1530"/>
      <c r="CS1156" s="1530"/>
      <c r="CT1156" s="1530"/>
      <c r="CU1156" s="1530"/>
      <c r="CV1156" s="1530"/>
      <c r="CW1156" s="1530"/>
      <c r="CX1156" s="1530"/>
      <c r="CY1156" s="1530"/>
      <c r="CZ1156" s="1530"/>
      <c r="DA1156" s="1530"/>
      <c r="DB1156" s="1530"/>
      <c r="DC1156" s="1530"/>
      <c r="DD1156" s="1530"/>
      <c r="DE1156" s="1530"/>
      <c r="DF1156" s="1530"/>
      <c r="DG1156" s="1530"/>
      <c r="DH1156" s="1530"/>
      <c r="DI1156" s="1530"/>
      <c r="DJ1156" s="1530"/>
      <c r="DK1156" s="1530"/>
      <c r="DL1156" s="1530"/>
      <c r="DM1156" s="1530"/>
      <c r="DN1156" s="1571"/>
      <c r="DO1156" s="1530"/>
      <c r="DP1156" s="1530"/>
    </row>
    <row r="1157" spans="1:120">
      <c r="A1157" s="1451"/>
      <c r="C1157" s="1451"/>
      <c r="K1157" s="1451"/>
      <c r="L1157" s="1451"/>
      <c r="U1157" s="1530"/>
      <c r="V1157" s="1530"/>
      <c r="W1157" s="1530"/>
      <c r="X1157" s="1530"/>
      <c r="Y1157" s="1530"/>
      <c r="Z1157" s="1530"/>
      <c r="AA1157" s="1530"/>
      <c r="AB1157" s="1530"/>
      <c r="AC1157" s="1530"/>
      <c r="AD1157" s="1530"/>
      <c r="AE1157" s="1530"/>
      <c r="AF1157" s="1530"/>
      <c r="AG1157" s="1530"/>
      <c r="AH1157" s="1530"/>
      <c r="AI1157" s="1530"/>
      <c r="AJ1157" s="1530"/>
      <c r="AK1157" s="1530"/>
      <c r="AL1157" s="1530"/>
      <c r="AM1157" s="1530"/>
      <c r="AN1157" s="1530"/>
      <c r="AO1157" s="1530"/>
      <c r="AP1157" s="1530"/>
      <c r="AQ1157" s="1530"/>
      <c r="AR1157" s="1530"/>
      <c r="AS1157" s="1530"/>
      <c r="AT1157" s="1530"/>
      <c r="AU1157" s="1530"/>
      <c r="AV1157" s="1530"/>
      <c r="AW1157" s="1530"/>
      <c r="AX1157" s="1530"/>
      <c r="AY1157" s="1530"/>
      <c r="AZ1157" s="1530"/>
      <c r="BA1157" s="1530"/>
      <c r="BB1157" s="1530"/>
      <c r="BC1157" s="1530"/>
      <c r="BD1157" s="1530"/>
      <c r="BE1157" s="1530"/>
      <c r="BF1157" s="1530"/>
      <c r="BG1157" s="1530"/>
      <c r="BH1157" s="1530"/>
      <c r="BI1157" s="1530"/>
      <c r="BJ1157" s="1530"/>
      <c r="BK1157" s="1530"/>
      <c r="BL1157" s="1530"/>
      <c r="BM1157" s="1530"/>
      <c r="BN1157" s="1530"/>
      <c r="BW1157" s="1569"/>
      <c r="CO1157" s="1530"/>
      <c r="CP1157" s="1530"/>
      <c r="CQ1157" s="1530"/>
      <c r="CR1157" s="1530"/>
      <c r="CS1157" s="1530"/>
      <c r="CT1157" s="1530"/>
      <c r="CU1157" s="1530"/>
      <c r="CV1157" s="1530"/>
      <c r="CW1157" s="1530"/>
      <c r="CX1157" s="1530"/>
      <c r="CY1157" s="1530"/>
      <c r="CZ1157" s="1530"/>
      <c r="DA1157" s="1530"/>
      <c r="DB1157" s="1530"/>
      <c r="DC1157" s="1530"/>
      <c r="DD1157" s="1530"/>
      <c r="DE1157" s="1530"/>
      <c r="DF1157" s="1530"/>
      <c r="DG1157" s="1530"/>
      <c r="DH1157" s="1530"/>
      <c r="DI1157" s="1530"/>
      <c r="DJ1157" s="1530"/>
      <c r="DK1157" s="1530"/>
      <c r="DL1157" s="1530"/>
      <c r="DM1157" s="1530"/>
      <c r="DN1157" s="1571"/>
      <c r="DO1157" s="1530"/>
      <c r="DP1157" s="1530"/>
    </row>
    <row r="1158" spans="1:120">
      <c r="A1158" s="1451"/>
      <c r="C1158" s="1451"/>
      <c r="K1158" s="1451"/>
      <c r="L1158" s="1451"/>
      <c r="U1158" s="1530"/>
      <c r="V1158" s="1530"/>
      <c r="W1158" s="1530"/>
      <c r="X1158" s="1530"/>
      <c r="Y1158" s="1530"/>
      <c r="Z1158" s="1530"/>
      <c r="AA1158" s="1530"/>
      <c r="AB1158" s="1530"/>
      <c r="AC1158" s="1530"/>
      <c r="AD1158" s="1530"/>
      <c r="AE1158" s="1530"/>
      <c r="AF1158" s="1530"/>
      <c r="AG1158" s="1530"/>
      <c r="AH1158" s="1530"/>
      <c r="AI1158" s="1530"/>
      <c r="AJ1158" s="1530"/>
      <c r="AK1158" s="1530"/>
      <c r="AL1158" s="1530"/>
      <c r="AM1158" s="1530"/>
      <c r="AN1158" s="1530"/>
      <c r="AO1158" s="1530"/>
      <c r="AP1158" s="1530"/>
      <c r="AQ1158" s="1530"/>
      <c r="AR1158" s="1530"/>
      <c r="AS1158" s="1530"/>
      <c r="AT1158" s="1530"/>
      <c r="AU1158" s="1530"/>
      <c r="AV1158" s="1530"/>
      <c r="AW1158" s="1530"/>
      <c r="AX1158" s="1530"/>
      <c r="AY1158" s="1530"/>
      <c r="AZ1158" s="1530"/>
      <c r="BA1158" s="1530"/>
      <c r="BB1158" s="1530"/>
      <c r="BC1158" s="1530"/>
      <c r="BD1158" s="1530"/>
      <c r="BE1158" s="1530"/>
      <c r="BF1158" s="1530"/>
      <c r="BG1158" s="1530"/>
      <c r="BH1158" s="1530"/>
      <c r="BI1158" s="1530"/>
      <c r="BJ1158" s="1530"/>
      <c r="BK1158" s="1530"/>
      <c r="BL1158" s="1530"/>
      <c r="BM1158" s="1530"/>
      <c r="BN1158" s="1530"/>
      <c r="BW1158" s="1569"/>
      <c r="CO1158" s="1530"/>
      <c r="CP1158" s="1530"/>
      <c r="CQ1158" s="1530"/>
      <c r="CR1158" s="1530"/>
      <c r="CS1158" s="1530"/>
      <c r="CT1158" s="1530"/>
      <c r="CU1158" s="1530"/>
      <c r="CV1158" s="1530"/>
      <c r="CW1158" s="1530"/>
      <c r="CX1158" s="1530"/>
      <c r="CY1158" s="1530"/>
      <c r="CZ1158" s="1530"/>
      <c r="DA1158" s="1530"/>
      <c r="DB1158" s="1530"/>
      <c r="DC1158" s="1530"/>
      <c r="DD1158" s="1530"/>
      <c r="DE1158" s="1530"/>
      <c r="DF1158" s="1530"/>
      <c r="DG1158" s="1530"/>
      <c r="DH1158" s="1530"/>
      <c r="DI1158" s="1530"/>
      <c r="DJ1158" s="1530"/>
      <c r="DK1158" s="1530"/>
      <c r="DL1158" s="1530"/>
      <c r="DM1158" s="1530"/>
      <c r="DN1158" s="1571"/>
      <c r="DO1158" s="1530"/>
      <c r="DP1158" s="1530"/>
    </row>
    <row r="1159" spans="1:120">
      <c r="A1159" s="1451"/>
      <c r="C1159" s="1451"/>
      <c r="K1159" s="1451"/>
      <c r="L1159" s="1451"/>
      <c r="U1159" s="1530"/>
      <c r="V1159" s="1530"/>
      <c r="W1159" s="1530"/>
      <c r="X1159" s="1530"/>
      <c r="Y1159" s="1530"/>
      <c r="Z1159" s="1530"/>
      <c r="AA1159" s="1530"/>
      <c r="AB1159" s="1530"/>
      <c r="AC1159" s="1530"/>
      <c r="AD1159" s="1530"/>
      <c r="AE1159" s="1530"/>
      <c r="AF1159" s="1530"/>
      <c r="AG1159" s="1530"/>
      <c r="AH1159" s="1530"/>
      <c r="AI1159" s="1530"/>
      <c r="AJ1159" s="1530"/>
      <c r="AK1159" s="1530"/>
      <c r="AL1159" s="1530"/>
      <c r="AM1159" s="1530"/>
      <c r="AN1159" s="1530"/>
      <c r="AO1159" s="1530"/>
      <c r="AP1159" s="1530"/>
      <c r="AQ1159" s="1530"/>
      <c r="AR1159" s="1530"/>
      <c r="AS1159" s="1530"/>
      <c r="AT1159" s="1530"/>
      <c r="AU1159" s="1530"/>
      <c r="AV1159" s="1530"/>
      <c r="AW1159" s="1530"/>
      <c r="AX1159" s="1530"/>
      <c r="AY1159" s="1530"/>
      <c r="AZ1159" s="1530"/>
      <c r="BA1159" s="1530"/>
      <c r="BB1159" s="1530"/>
      <c r="BC1159" s="1530"/>
      <c r="BD1159" s="1530"/>
      <c r="BE1159" s="1530"/>
      <c r="BF1159" s="1530"/>
      <c r="BG1159" s="1530"/>
      <c r="BH1159" s="1530"/>
      <c r="BI1159" s="1530"/>
      <c r="BJ1159" s="1530"/>
      <c r="BK1159" s="1530"/>
      <c r="BL1159" s="1530"/>
      <c r="BM1159" s="1530"/>
      <c r="BN1159" s="1530"/>
      <c r="BW1159" s="1569"/>
      <c r="CO1159" s="1530"/>
      <c r="CP1159" s="1530"/>
      <c r="CQ1159" s="1530"/>
      <c r="CR1159" s="1530"/>
      <c r="CS1159" s="1530"/>
      <c r="CT1159" s="1530"/>
      <c r="CU1159" s="1530"/>
      <c r="CV1159" s="1530"/>
      <c r="CW1159" s="1530"/>
      <c r="CX1159" s="1530"/>
      <c r="CY1159" s="1530"/>
      <c r="CZ1159" s="1530"/>
      <c r="DA1159" s="1530"/>
      <c r="DB1159" s="1530"/>
      <c r="DC1159" s="1530"/>
      <c r="DD1159" s="1530"/>
      <c r="DE1159" s="1530"/>
      <c r="DF1159" s="1530"/>
      <c r="DG1159" s="1530"/>
      <c r="DH1159" s="1530"/>
      <c r="DI1159" s="1530"/>
      <c r="DJ1159" s="1530"/>
      <c r="DK1159" s="1530"/>
      <c r="DL1159" s="1530"/>
      <c r="DM1159" s="1530"/>
      <c r="DN1159" s="1571"/>
      <c r="DO1159" s="1530"/>
      <c r="DP1159" s="1530"/>
    </row>
    <row r="1160" spans="1:120">
      <c r="A1160" s="1451"/>
      <c r="C1160" s="1451"/>
      <c r="K1160" s="1451"/>
      <c r="L1160" s="1451"/>
      <c r="U1160" s="1530"/>
      <c r="V1160" s="1530"/>
      <c r="W1160" s="1530"/>
      <c r="X1160" s="1530"/>
      <c r="Y1160" s="1530"/>
      <c r="Z1160" s="1530"/>
      <c r="AA1160" s="1530"/>
      <c r="AB1160" s="1530"/>
      <c r="AC1160" s="1530"/>
      <c r="AD1160" s="1530"/>
      <c r="AE1160" s="1530"/>
      <c r="AF1160" s="1530"/>
      <c r="AG1160" s="1530"/>
      <c r="AH1160" s="1530"/>
      <c r="AI1160" s="1530"/>
      <c r="AJ1160" s="1530"/>
      <c r="AK1160" s="1530"/>
      <c r="AL1160" s="1530"/>
      <c r="AM1160" s="1530"/>
      <c r="AN1160" s="1530"/>
      <c r="AO1160" s="1530"/>
      <c r="AP1160" s="1530"/>
      <c r="AQ1160" s="1530"/>
      <c r="AR1160" s="1530"/>
      <c r="AS1160" s="1530"/>
      <c r="AT1160" s="1530"/>
      <c r="AU1160" s="1530"/>
      <c r="AV1160" s="1530"/>
      <c r="AW1160" s="1530"/>
      <c r="AX1160" s="1530"/>
      <c r="AY1160" s="1530"/>
      <c r="AZ1160" s="1530"/>
      <c r="BA1160" s="1530"/>
      <c r="BB1160" s="1530"/>
      <c r="BC1160" s="1530"/>
      <c r="BD1160" s="1530"/>
      <c r="BE1160" s="1530"/>
      <c r="BF1160" s="1530"/>
      <c r="BG1160" s="1530"/>
      <c r="BH1160" s="1530"/>
      <c r="BI1160" s="1530"/>
      <c r="BJ1160" s="1530"/>
      <c r="BK1160" s="1530"/>
      <c r="BL1160" s="1530"/>
      <c r="BM1160" s="1530"/>
      <c r="BN1160" s="1530"/>
      <c r="BW1160" s="1569"/>
      <c r="CO1160" s="1530"/>
      <c r="CP1160" s="1530"/>
      <c r="CQ1160" s="1530"/>
      <c r="CR1160" s="1530"/>
      <c r="CS1160" s="1530"/>
      <c r="CT1160" s="1530"/>
      <c r="CU1160" s="1530"/>
      <c r="CV1160" s="1530"/>
      <c r="CW1160" s="1530"/>
      <c r="CX1160" s="1530"/>
      <c r="CY1160" s="1530"/>
      <c r="CZ1160" s="1530"/>
      <c r="DA1160" s="1530"/>
      <c r="DB1160" s="1530"/>
      <c r="DC1160" s="1530"/>
      <c r="DD1160" s="1530"/>
      <c r="DE1160" s="1530"/>
      <c r="DF1160" s="1530"/>
      <c r="DG1160" s="1530"/>
      <c r="DH1160" s="1530"/>
      <c r="DI1160" s="1530"/>
      <c r="DJ1160" s="1530"/>
      <c r="DK1160" s="1530"/>
      <c r="DL1160" s="1530"/>
      <c r="DM1160" s="1530"/>
      <c r="DN1160" s="1571"/>
      <c r="DO1160" s="1530"/>
      <c r="DP1160" s="1530"/>
    </row>
    <row r="1161" spans="1:120">
      <c r="A1161" s="1451"/>
      <c r="C1161" s="1451"/>
      <c r="K1161" s="1451"/>
      <c r="L1161" s="1451"/>
      <c r="U1161" s="1530"/>
      <c r="V1161" s="1530"/>
      <c r="W1161" s="1530"/>
      <c r="X1161" s="1530"/>
      <c r="Y1161" s="1530"/>
      <c r="Z1161" s="1530"/>
      <c r="AA1161" s="1530"/>
      <c r="AB1161" s="1530"/>
      <c r="AC1161" s="1530"/>
      <c r="AD1161" s="1530"/>
      <c r="AE1161" s="1530"/>
      <c r="AF1161" s="1530"/>
      <c r="AG1161" s="1530"/>
      <c r="AH1161" s="1530"/>
      <c r="AI1161" s="1530"/>
      <c r="AJ1161" s="1530"/>
      <c r="AK1161" s="1530"/>
      <c r="AL1161" s="1530"/>
      <c r="AM1161" s="1530"/>
      <c r="AN1161" s="1530"/>
      <c r="AO1161" s="1530"/>
      <c r="AP1161" s="1530"/>
      <c r="AQ1161" s="1530"/>
      <c r="AR1161" s="1530"/>
      <c r="AS1161" s="1530"/>
      <c r="AT1161" s="1530"/>
      <c r="AU1161" s="1530"/>
      <c r="AV1161" s="1530"/>
      <c r="AW1161" s="1530"/>
      <c r="AX1161" s="1530"/>
      <c r="AY1161" s="1530"/>
      <c r="AZ1161" s="1530"/>
      <c r="BA1161" s="1530"/>
      <c r="BB1161" s="1530"/>
      <c r="BC1161" s="1530"/>
      <c r="BD1161" s="1530"/>
      <c r="BE1161" s="1530"/>
      <c r="BF1161" s="1530"/>
      <c r="BG1161" s="1530"/>
      <c r="BH1161" s="1530"/>
      <c r="BI1161" s="1530"/>
      <c r="BJ1161" s="1530"/>
      <c r="BK1161" s="1530"/>
      <c r="BL1161" s="1530"/>
      <c r="BM1161" s="1530"/>
      <c r="BN1161" s="1530"/>
      <c r="BW1161" s="1569"/>
      <c r="CO1161" s="1530"/>
      <c r="CP1161" s="1530"/>
      <c r="CQ1161" s="1530"/>
      <c r="CR1161" s="1530"/>
      <c r="CS1161" s="1530"/>
      <c r="CT1161" s="1530"/>
      <c r="CU1161" s="1530"/>
      <c r="CV1161" s="1530"/>
      <c r="CW1161" s="1530"/>
      <c r="CX1161" s="1530"/>
      <c r="CY1161" s="1530"/>
      <c r="CZ1161" s="1530"/>
      <c r="DA1161" s="1530"/>
      <c r="DB1161" s="1530"/>
      <c r="DC1161" s="1530"/>
      <c r="DD1161" s="1530"/>
      <c r="DE1161" s="1530"/>
      <c r="DF1161" s="1530"/>
      <c r="DG1161" s="1530"/>
      <c r="DH1161" s="1530"/>
      <c r="DI1161" s="1530"/>
      <c r="DJ1161" s="1530"/>
      <c r="DK1161" s="1530"/>
      <c r="DL1161" s="1530"/>
      <c r="DM1161" s="1530"/>
      <c r="DN1161" s="1571"/>
      <c r="DO1161" s="1530"/>
      <c r="DP1161" s="1530"/>
    </row>
    <row r="1162" spans="1:120">
      <c r="A1162" s="1451"/>
      <c r="C1162" s="1451"/>
      <c r="K1162" s="1451"/>
      <c r="L1162" s="1451"/>
      <c r="U1162" s="1530"/>
      <c r="V1162" s="1530"/>
      <c r="W1162" s="1530"/>
      <c r="X1162" s="1530"/>
      <c r="Y1162" s="1530"/>
      <c r="Z1162" s="1530"/>
      <c r="AA1162" s="1530"/>
      <c r="AB1162" s="1530"/>
      <c r="AC1162" s="1530"/>
      <c r="AD1162" s="1530"/>
      <c r="AE1162" s="1530"/>
      <c r="AF1162" s="1530"/>
      <c r="AG1162" s="1530"/>
      <c r="AH1162" s="1530"/>
      <c r="AI1162" s="1530"/>
      <c r="AJ1162" s="1530"/>
      <c r="AK1162" s="1530"/>
      <c r="AL1162" s="1530"/>
      <c r="AM1162" s="1530"/>
      <c r="AN1162" s="1530"/>
      <c r="AO1162" s="1530"/>
      <c r="AP1162" s="1530"/>
      <c r="AQ1162" s="1530"/>
      <c r="AR1162" s="1530"/>
      <c r="AS1162" s="1530"/>
      <c r="AT1162" s="1530"/>
      <c r="AU1162" s="1530"/>
      <c r="AV1162" s="1530"/>
      <c r="AW1162" s="1530"/>
      <c r="AX1162" s="1530"/>
      <c r="AY1162" s="1530"/>
      <c r="AZ1162" s="1530"/>
      <c r="BA1162" s="1530"/>
      <c r="BB1162" s="1530"/>
      <c r="BC1162" s="1530"/>
      <c r="BD1162" s="1530"/>
      <c r="BE1162" s="1530"/>
      <c r="BF1162" s="1530"/>
      <c r="BG1162" s="1530"/>
      <c r="BH1162" s="1530"/>
      <c r="BI1162" s="1530"/>
      <c r="BJ1162" s="1530"/>
      <c r="BK1162" s="1530"/>
      <c r="BL1162" s="1530"/>
      <c r="BM1162" s="1530"/>
      <c r="BN1162" s="1530"/>
      <c r="BW1162" s="1569"/>
      <c r="CO1162" s="1530"/>
      <c r="CP1162" s="1530"/>
      <c r="CQ1162" s="1530"/>
      <c r="CR1162" s="1530"/>
      <c r="CS1162" s="1530"/>
      <c r="CT1162" s="1530"/>
      <c r="CU1162" s="1530"/>
      <c r="CV1162" s="1530"/>
      <c r="CW1162" s="1530"/>
      <c r="CX1162" s="1530"/>
      <c r="CY1162" s="1530"/>
      <c r="CZ1162" s="1530"/>
      <c r="DA1162" s="1530"/>
      <c r="DB1162" s="1530"/>
      <c r="DC1162" s="1530"/>
      <c r="DD1162" s="1530"/>
      <c r="DE1162" s="1530"/>
      <c r="DF1162" s="1530"/>
      <c r="DG1162" s="1530"/>
      <c r="DH1162" s="1530"/>
      <c r="DI1162" s="1530"/>
      <c r="DJ1162" s="1530"/>
      <c r="DK1162" s="1530"/>
      <c r="DL1162" s="1530"/>
      <c r="DM1162" s="1530"/>
      <c r="DN1162" s="1571"/>
      <c r="DO1162" s="1530"/>
      <c r="DP1162" s="1530"/>
    </row>
    <row r="1163" spans="1:120">
      <c r="A1163" s="1451"/>
      <c r="C1163" s="1451"/>
      <c r="K1163" s="1451"/>
      <c r="L1163" s="1451"/>
      <c r="U1163" s="1530"/>
      <c r="V1163" s="1530"/>
      <c r="W1163" s="1530"/>
      <c r="X1163" s="1530"/>
      <c r="Y1163" s="1530"/>
      <c r="Z1163" s="1530"/>
      <c r="AA1163" s="1530"/>
      <c r="AB1163" s="1530"/>
      <c r="AC1163" s="1530"/>
      <c r="AD1163" s="1530"/>
      <c r="AE1163" s="1530"/>
      <c r="AF1163" s="1530"/>
      <c r="AG1163" s="1530"/>
      <c r="AH1163" s="1530"/>
      <c r="AI1163" s="1530"/>
      <c r="AJ1163" s="1530"/>
      <c r="AK1163" s="1530"/>
      <c r="AL1163" s="1530"/>
      <c r="AM1163" s="1530"/>
      <c r="AN1163" s="1530"/>
      <c r="AO1163" s="1530"/>
      <c r="AP1163" s="1530"/>
      <c r="AQ1163" s="1530"/>
      <c r="AR1163" s="1530"/>
      <c r="AS1163" s="1530"/>
      <c r="AT1163" s="1530"/>
      <c r="AU1163" s="1530"/>
      <c r="AV1163" s="1530"/>
      <c r="AW1163" s="1530"/>
      <c r="AX1163" s="1530"/>
      <c r="AY1163" s="1530"/>
      <c r="AZ1163" s="1530"/>
      <c r="BA1163" s="1530"/>
      <c r="BB1163" s="1530"/>
      <c r="BC1163" s="1530"/>
      <c r="BD1163" s="1530"/>
      <c r="BE1163" s="1530"/>
      <c r="BF1163" s="1530"/>
      <c r="BG1163" s="1530"/>
      <c r="BH1163" s="1530"/>
      <c r="BI1163" s="1530"/>
      <c r="BJ1163" s="1530"/>
      <c r="BK1163" s="1530"/>
      <c r="BL1163" s="1530"/>
      <c r="BM1163" s="1530"/>
      <c r="BN1163" s="1530"/>
      <c r="BW1163" s="1569"/>
      <c r="CO1163" s="1530"/>
      <c r="CP1163" s="1530"/>
      <c r="CQ1163" s="1530"/>
      <c r="CR1163" s="1530"/>
      <c r="CS1163" s="1530"/>
      <c r="CT1163" s="1530"/>
      <c r="CU1163" s="1530"/>
      <c r="CV1163" s="1530"/>
      <c r="CW1163" s="1530"/>
      <c r="CX1163" s="1530"/>
      <c r="CY1163" s="1530"/>
      <c r="CZ1163" s="1530"/>
      <c r="DA1163" s="1530"/>
      <c r="DB1163" s="1530"/>
      <c r="DC1163" s="1530"/>
      <c r="DD1163" s="1530"/>
      <c r="DE1163" s="1530"/>
      <c r="DF1163" s="1530"/>
      <c r="DG1163" s="1530"/>
      <c r="DH1163" s="1530"/>
      <c r="DI1163" s="1530"/>
      <c r="DJ1163" s="1530"/>
      <c r="DK1163" s="1530"/>
      <c r="DL1163" s="1530"/>
      <c r="DM1163" s="1530"/>
      <c r="DN1163" s="1571"/>
      <c r="DO1163" s="1530"/>
      <c r="DP1163" s="1530"/>
    </row>
    <row r="1164" spans="1:120">
      <c r="A1164" s="1451"/>
      <c r="C1164" s="1451"/>
      <c r="K1164" s="1451"/>
      <c r="L1164" s="1451"/>
      <c r="U1164" s="1530"/>
      <c r="V1164" s="1530"/>
      <c r="W1164" s="1530"/>
      <c r="X1164" s="1530"/>
      <c r="Y1164" s="1530"/>
      <c r="Z1164" s="1530"/>
      <c r="AA1164" s="1530"/>
      <c r="AB1164" s="1530"/>
      <c r="AC1164" s="1530"/>
      <c r="AD1164" s="1530"/>
      <c r="AE1164" s="1530"/>
      <c r="AF1164" s="1530"/>
      <c r="AG1164" s="1530"/>
      <c r="AH1164" s="1530"/>
      <c r="AI1164" s="1530"/>
      <c r="AJ1164" s="1530"/>
      <c r="AK1164" s="1530"/>
      <c r="AL1164" s="1530"/>
      <c r="AM1164" s="1530"/>
      <c r="AN1164" s="1530"/>
      <c r="AO1164" s="1530"/>
      <c r="AP1164" s="1530"/>
      <c r="AQ1164" s="1530"/>
      <c r="AR1164" s="1530"/>
      <c r="AS1164" s="1530"/>
      <c r="AT1164" s="1530"/>
      <c r="AU1164" s="1530"/>
      <c r="AV1164" s="1530"/>
      <c r="AW1164" s="1530"/>
      <c r="AX1164" s="1530"/>
      <c r="AY1164" s="1530"/>
      <c r="AZ1164" s="1530"/>
      <c r="BA1164" s="1530"/>
      <c r="BB1164" s="1530"/>
      <c r="BC1164" s="1530"/>
      <c r="BD1164" s="1530"/>
      <c r="BE1164" s="1530"/>
      <c r="BF1164" s="1530"/>
      <c r="BG1164" s="1530"/>
      <c r="BH1164" s="1530"/>
      <c r="BI1164" s="1530"/>
      <c r="BJ1164" s="1530"/>
      <c r="BK1164" s="1530"/>
      <c r="BL1164" s="1530"/>
      <c r="BM1164" s="1530"/>
      <c r="BN1164" s="1530"/>
      <c r="BW1164" s="1569"/>
      <c r="CO1164" s="1530"/>
      <c r="CP1164" s="1530"/>
      <c r="CQ1164" s="1530"/>
      <c r="CR1164" s="1530"/>
      <c r="CS1164" s="1530"/>
      <c r="CT1164" s="1530"/>
      <c r="CU1164" s="1530"/>
      <c r="CV1164" s="1530"/>
      <c r="CW1164" s="1530"/>
      <c r="CX1164" s="1530"/>
      <c r="CY1164" s="1530"/>
      <c r="CZ1164" s="1530"/>
      <c r="DA1164" s="1530"/>
      <c r="DB1164" s="1530"/>
      <c r="DC1164" s="1530"/>
      <c r="DD1164" s="1530"/>
      <c r="DE1164" s="1530"/>
      <c r="DF1164" s="1530"/>
      <c r="DG1164" s="1530"/>
      <c r="DH1164" s="1530"/>
      <c r="DI1164" s="1530"/>
      <c r="DJ1164" s="1530"/>
      <c r="DK1164" s="1530"/>
      <c r="DL1164" s="1530"/>
      <c r="DM1164" s="1530"/>
      <c r="DN1164" s="1571"/>
      <c r="DO1164" s="1530"/>
      <c r="DP1164" s="1530"/>
    </row>
    <row r="1165" spans="1:120">
      <c r="A1165" s="1451"/>
      <c r="C1165" s="1451"/>
      <c r="K1165" s="1451"/>
      <c r="L1165" s="1451"/>
      <c r="U1165" s="1530"/>
      <c r="V1165" s="1530"/>
      <c r="W1165" s="1530"/>
      <c r="X1165" s="1530"/>
      <c r="Y1165" s="1530"/>
      <c r="Z1165" s="1530"/>
      <c r="AA1165" s="1530"/>
      <c r="AB1165" s="1530"/>
      <c r="AC1165" s="1530"/>
      <c r="AD1165" s="1530"/>
      <c r="AE1165" s="1530"/>
      <c r="AF1165" s="1530"/>
      <c r="AG1165" s="1530"/>
      <c r="AH1165" s="1530"/>
      <c r="AI1165" s="1530"/>
      <c r="AJ1165" s="1530"/>
      <c r="AK1165" s="1530"/>
      <c r="AL1165" s="1530"/>
      <c r="AM1165" s="1530"/>
      <c r="AN1165" s="1530"/>
      <c r="AO1165" s="1530"/>
      <c r="AP1165" s="1530"/>
      <c r="AQ1165" s="1530"/>
      <c r="AR1165" s="1530"/>
      <c r="AS1165" s="1530"/>
      <c r="AT1165" s="1530"/>
      <c r="AU1165" s="1530"/>
      <c r="AV1165" s="1530"/>
      <c r="AW1165" s="1530"/>
      <c r="AX1165" s="1530"/>
      <c r="AY1165" s="1530"/>
      <c r="AZ1165" s="1530"/>
      <c r="BA1165" s="1530"/>
      <c r="BB1165" s="1530"/>
      <c r="BC1165" s="1530"/>
      <c r="BD1165" s="1530"/>
      <c r="BE1165" s="1530"/>
      <c r="BF1165" s="1530"/>
      <c r="BG1165" s="1530"/>
      <c r="BH1165" s="1530"/>
      <c r="BI1165" s="1530"/>
      <c r="BJ1165" s="1530"/>
      <c r="BK1165" s="1530"/>
      <c r="BL1165" s="1530"/>
      <c r="BM1165" s="1530"/>
      <c r="BN1165" s="1530"/>
      <c r="BW1165" s="1569"/>
      <c r="CO1165" s="1530"/>
      <c r="CP1165" s="1530"/>
      <c r="CQ1165" s="1530"/>
      <c r="CR1165" s="1530"/>
      <c r="CS1165" s="1530"/>
      <c r="CT1165" s="1530"/>
      <c r="CU1165" s="1530"/>
      <c r="CV1165" s="1530"/>
      <c r="CW1165" s="1530"/>
      <c r="CX1165" s="1530"/>
      <c r="CY1165" s="1530"/>
      <c r="CZ1165" s="1530"/>
      <c r="DA1165" s="1530"/>
      <c r="DB1165" s="1530"/>
      <c r="DC1165" s="1530"/>
      <c r="DD1165" s="1530"/>
      <c r="DE1165" s="1530"/>
      <c r="DF1165" s="1530"/>
      <c r="DG1165" s="1530"/>
      <c r="DH1165" s="1530"/>
      <c r="DI1165" s="1530"/>
      <c r="DJ1165" s="1530"/>
      <c r="DK1165" s="1530"/>
      <c r="DL1165" s="1530"/>
      <c r="DM1165" s="1530"/>
      <c r="DN1165" s="1571"/>
      <c r="DO1165" s="1530"/>
      <c r="DP1165" s="1530"/>
    </row>
    <row r="1166" spans="1:120">
      <c r="A1166" s="1451"/>
      <c r="C1166" s="1451"/>
      <c r="K1166" s="1451"/>
      <c r="L1166" s="1451"/>
      <c r="U1166" s="1530"/>
      <c r="V1166" s="1530"/>
      <c r="W1166" s="1530"/>
      <c r="X1166" s="1530"/>
      <c r="Y1166" s="1530"/>
      <c r="Z1166" s="1530"/>
      <c r="AA1166" s="1530"/>
      <c r="AB1166" s="1530"/>
      <c r="AC1166" s="1530"/>
      <c r="AD1166" s="1530"/>
      <c r="AE1166" s="1530"/>
      <c r="AF1166" s="1530"/>
      <c r="AG1166" s="1530"/>
      <c r="AH1166" s="1530"/>
      <c r="AI1166" s="1530"/>
      <c r="AJ1166" s="1530"/>
      <c r="AK1166" s="1530"/>
      <c r="AL1166" s="1530"/>
      <c r="AM1166" s="1530"/>
      <c r="AN1166" s="1530"/>
      <c r="AO1166" s="1530"/>
      <c r="AP1166" s="1530"/>
      <c r="AQ1166" s="1530"/>
      <c r="AR1166" s="1530"/>
      <c r="AS1166" s="1530"/>
      <c r="AT1166" s="1530"/>
      <c r="AU1166" s="1530"/>
      <c r="AV1166" s="1530"/>
      <c r="AW1166" s="1530"/>
      <c r="AX1166" s="1530"/>
      <c r="AY1166" s="1530"/>
      <c r="AZ1166" s="1530"/>
      <c r="BA1166" s="1530"/>
      <c r="BB1166" s="1530"/>
      <c r="BC1166" s="1530"/>
      <c r="BD1166" s="1530"/>
      <c r="BE1166" s="1530"/>
      <c r="BF1166" s="1530"/>
      <c r="BG1166" s="1530"/>
      <c r="BH1166" s="1530"/>
      <c r="BI1166" s="1530"/>
      <c r="BJ1166" s="1530"/>
      <c r="BK1166" s="1530"/>
      <c r="BL1166" s="1530"/>
      <c r="BM1166" s="1530"/>
      <c r="BN1166" s="1530"/>
      <c r="BW1166" s="1569"/>
      <c r="CO1166" s="1530"/>
      <c r="CP1166" s="1530"/>
      <c r="CQ1166" s="1530"/>
      <c r="CR1166" s="1530"/>
      <c r="CS1166" s="1530"/>
      <c r="CT1166" s="1530"/>
      <c r="CU1166" s="1530"/>
      <c r="CV1166" s="1530"/>
      <c r="CW1166" s="1530"/>
      <c r="CX1166" s="1530"/>
      <c r="CY1166" s="1530"/>
      <c r="CZ1166" s="1530"/>
      <c r="DA1166" s="1530"/>
      <c r="DB1166" s="1530"/>
      <c r="DC1166" s="1530"/>
      <c r="DD1166" s="1530"/>
      <c r="DE1166" s="1530"/>
      <c r="DF1166" s="1530"/>
      <c r="DG1166" s="1530"/>
      <c r="DH1166" s="1530"/>
      <c r="DI1166" s="1530"/>
      <c r="DJ1166" s="1530"/>
      <c r="DK1166" s="1530"/>
      <c r="DL1166" s="1530"/>
      <c r="DM1166" s="1530"/>
      <c r="DN1166" s="1571"/>
      <c r="DO1166" s="1530"/>
      <c r="DP1166" s="1530"/>
    </row>
    <row r="1167" spans="1:120">
      <c r="A1167" s="1451"/>
      <c r="C1167" s="1451"/>
      <c r="K1167" s="1451"/>
      <c r="L1167" s="1451"/>
      <c r="U1167" s="1530"/>
      <c r="V1167" s="1530"/>
      <c r="W1167" s="1530"/>
      <c r="X1167" s="1530"/>
      <c r="Y1167" s="1530"/>
      <c r="Z1167" s="1530"/>
      <c r="AA1167" s="1530"/>
      <c r="AB1167" s="1530"/>
      <c r="AC1167" s="1530"/>
      <c r="AD1167" s="1530"/>
      <c r="AE1167" s="1530"/>
      <c r="AF1167" s="1530"/>
      <c r="AG1167" s="1530"/>
      <c r="AH1167" s="1530"/>
      <c r="AI1167" s="1530"/>
      <c r="AJ1167" s="1530"/>
      <c r="AK1167" s="1530"/>
      <c r="AL1167" s="1530"/>
      <c r="AM1167" s="1530"/>
      <c r="AN1167" s="1530"/>
      <c r="AO1167" s="1530"/>
      <c r="AP1167" s="1530"/>
      <c r="AQ1167" s="1530"/>
      <c r="AR1167" s="1530"/>
      <c r="AS1167" s="1530"/>
      <c r="AT1167" s="1530"/>
      <c r="AU1167" s="1530"/>
      <c r="AV1167" s="1530"/>
      <c r="AW1167" s="1530"/>
      <c r="AX1167" s="1530"/>
      <c r="AY1167" s="1530"/>
      <c r="AZ1167" s="1530"/>
      <c r="BA1167" s="1530"/>
      <c r="BB1167" s="1530"/>
      <c r="BC1167" s="1530"/>
      <c r="BD1167" s="1530"/>
      <c r="BE1167" s="1530"/>
      <c r="BF1167" s="1530"/>
      <c r="BG1167" s="1530"/>
      <c r="BH1167" s="1530"/>
      <c r="BI1167" s="1530"/>
      <c r="BJ1167" s="1530"/>
      <c r="BK1167" s="1530"/>
      <c r="BL1167" s="1530"/>
      <c r="BM1167" s="1530"/>
      <c r="BN1167" s="1530"/>
      <c r="BW1167" s="1569"/>
      <c r="CO1167" s="1530"/>
      <c r="CP1167" s="1530"/>
      <c r="CQ1167" s="1530"/>
      <c r="CR1167" s="1530"/>
      <c r="CS1167" s="1530"/>
      <c r="CT1167" s="1530"/>
      <c r="CU1167" s="1530"/>
      <c r="CV1167" s="1530"/>
      <c r="CW1167" s="1530"/>
      <c r="CX1167" s="1530"/>
      <c r="CY1167" s="1530"/>
      <c r="CZ1167" s="1530"/>
      <c r="DA1167" s="1530"/>
      <c r="DB1167" s="1530"/>
      <c r="DC1167" s="1530"/>
      <c r="DD1167" s="1530"/>
      <c r="DE1167" s="1530"/>
      <c r="DF1167" s="1530"/>
      <c r="DG1167" s="1530"/>
      <c r="DH1167" s="1530"/>
      <c r="DI1167" s="1530"/>
      <c r="DJ1167" s="1530"/>
      <c r="DK1167" s="1530"/>
      <c r="DL1167" s="1530"/>
      <c r="DM1167" s="1530"/>
      <c r="DN1167" s="1571"/>
      <c r="DO1167" s="1530"/>
      <c r="DP1167" s="1530"/>
    </row>
    <row r="1168" spans="1:120">
      <c r="A1168" s="1451"/>
      <c r="C1168" s="1451"/>
      <c r="K1168" s="1451"/>
      <c r="L1168" s="1451"/>
      <c r="U1168" s="1530"/>
      <c r="V1168" s="1530"/>
      <c r="W1168" s="1530"/>
      <c r="X1168" s="1530"/>
      <c r="Y1168" s="1530"/>
      <c r="Z1168" s="1530"/>
      <c r="AA1168" s="1530"/>
      <c r="AB1168" s="1530"/>
      <c r="AC1168" s="1530"/>
      <c r="AD1168" s="1530"/>
      <c r="AE1168" s="1530"/>
      <c r="AF1168" s="1530"/>
      <c r="AG1168" s="1530"/>
      <c r="AH1168" s="1530"/>
      <c r="AI1168" s="1530"/>
      <c r="AJ1168" s="1530"/>
      <c r="AK1168" s="1530"/>
      <c r="AL1168" s="1530"/>
      <c r="AM1168" s="1530"/>
      <c r="AN1168" s="1530"/>
      <c r="AO1168" s="1530"/>
      <c r="AP1168" s="1530"/>
      <c r="AQ1168" s="1530"/>
      <c r="AR1168" s="1530"/>
      <c r="AS1168" s="1530"/>
      <c r="AT1168" s="1530"/>
      <c r="AU1168" s="1530"/>
      <c r="AV1168" s="1530"/>
      <c r="AW1168" s="1530"/>
      <c r="AX1168" s="1530"/>
      <c r="AY1168" s="1530"/>
      <c r="AZ1168" s="1530"/>
      <c r="BA1168" s="1530"/>
      <c r="BB1168" s="1530"/>
      <c r="BC1168" s="1530"/>
      <c r="BD1168" s="1530"/>
      <c r="BE1168" s="1530"/>
      <c r="BF1168" s="1530"/>
      <c r="BG1168" s="1530"/>
      <c r="BH1168" s="1530"/>
      <c r="BI1168" s="1530"/>
      <c r="BJ1168" s="1530"/>
      <c r="BK1168" s="1530"/>
      <c r="BL1168" s="1530"/>
      <c r="BM1168" s="1530"/>
      <c r="BN1168" s="1530"/>
      <c r="BW1168" s="1569"/>
      <c r="CO1168" s="1530"/>
      <c r="CP1168" s="1530"/>
      <c r="CQ1168" s="1530"/>
      <c r="CR1168" s="1530"/>
      <c r="CS1168" s="1530"/>
      <c r="CT1168" s="1530"/>
      <c r="CU1168" s="1530"/>
      <c r="CV1168" s="1530"/>
      <c r="CW1168" s="1530"/>
      <c r="CX1168" s="1530"/>
      <c r="CY1168" s="1530"/>
      <c r="CZ1168" s="1530"/>
      <c r="DA1168" s="1530"/>
      <c r="DB1168" s="1530"/>
      <c r="DC1168" s="1530"/>
      <c r="DD1168" s="1530"/>
      <c r="DE1168" s="1530"/>
      <c r="DF1168" s="1530"/>
      <c r="DG1168" s="1530"/>
      <c r="DH1168" s="1530"/>
      <c r="DI1168" s="1530"/>
      <c r="DJ1168" s="1530"/>
      <c r="DK1168" s="1530"/>
      <c r="DL1168" s="1530"/>
      <c r="DM1168" s="1530"/>
      <c r="DN1168" s="1571"/>
      <c r="DO1168" s="1530"/>
      <c r="DP1168" s="1530"/>
    </row>
    <row r="1169" spans="1:120">
      <c r="A1169" s="1451"/>
      <c r="C1169" s="1451"/>
      <c r="K1169" s="1451"/>
      <c r="L1169" s="1451"/>
      <c r="U1169" s="1530"/>
      <c r="V1169" s="1530"/>
      <c r="W1169" s="1530"/>
      <c r="X1169" s="1530"/>
      <c r="Y1169" s="1530"/>
      <c r="Z1169" s="1530"/>
      <c r="AA1169" s="1530"/>
      <c r="AB1169" s="1530"/>
      <c r="AC1169" s="1530"/>
      <c r="AD1169" s="1530"/>
      <c r="AE1169" s="1530"/>
      <c r="AF1169" s="1530"/>
      <c r="AG1169" s="1530"/>
      <c r="AH1169" s="1530"/>
      <c r="AI1169" s="1530"/>
      <c r="AJ1169" s="1530"/>
      <c r="AK1169" s="1530"/>
      <c r="AL1169" s="1530"/>
      <c r="AM1169" s="1530"/>
      <c r="AN1169" s="1530"/>
      <c r="AO1169" s="1530"/>
      <c r="AP1169" s="1530"/>
      <c r="AQ1169" s="1530"/>
      <c r="AR1169" s="1530"/>
      <c r="AS1169" s="1530"/>
      <c r="AT1169" s="1530"/>
      <c r="AU1169" s="1530"/>
      <c r="AV1169" s="1530"/>
      <c r="AW1169" s="1530"/>
      <c r="AX1169" s="1530"/>
      <c r="AY1169" s="1530"/>
      <c r="AZ1169" s="1530"/>
      <c r="BA1169" s="1530"/>
      <c r="BB1169" s="1530"/>
      <c r="BC1169" s="1530"/>
      <c r="BD1169" s="1530"/>
      <c r="BE1169" s="1530"/>
      <c r="BF1169" s="1530"/>
      <c r="BG1169" s="1530"/>
      <c r="BH1169" s="1530"/>
      <c r="BI1169" s="1530"/>
      <c r="BJ1169" s="1530"/>
      <c r="BK1169" s="1530"/>
      <c r="BL1169" s="1530"/>
      <c r="BM1169" s="1530"/>
      <c r="BN1169" s="1530"/>
      <c r="BW1169" s="1569"/>
      <c r="CO1169" s="1530"/>
      <c r="CP1169" s="1530"/>
      <c r="CQ1169" s="1530"/>
      <c r="CR1169" s="1530"/>
      <c r="CS1169" s="1530"/>
      <c r="CT1169" s="1530"/>
      <c r="CU1169" s="1530"/>
      <c r="CV1169" s="1530"/>
      <c r="CW1169" s="1530"/>
      <c r="CX1169" s="1530"/>
      <c r="CY1169" s="1530"/>
      <c r="CZ1169" s="1530"/>
      <c r="DA1169" s="1530"/>
      <c r="DB1169" s="1530"/>
      <c r="DC1169" s="1530"/>
      <c r="DD1169" s="1530"/>
      <c r="DE1169" s="1530"/>
      <c r="DF1169" s="1530"/>
      <c r="DG1169" s="1530"/>
      <c r="DH1169" s="1530"/>
      <c r="DI1169" s="1530"/>
      <c r="DJ1169" s="1530"/>
      <c r="DK1169" s="1530"/>
      <c r="DL1169" s="1530"/>
      <c r="DM1169" s="1530"/>
      <c r="DN1169" s="1571"/>
      <c r="DO1169" s="1530"/>
      <c r="DP1169" s="1530"/>
    </row>
    <row r="1170" spans="1:120">
      <c r="A1170" s="1451"/>
      <c r="C1170" s="1451"/>
      <c r="K1170" s="1451"/>
      <c r="L1170" s="1451"/>
      <c r="U1170" s="1530"/>
      <c r="V1170" s="1530"/>
      <c r="W1170" s="1530"/>
      <c r="X1170" s="1530"/>
      <c r="Y1170" s="1530"/>
      <c r="Z1170" s="1530"/>
      <c r="AA1170" s="1530"/>
      <c r="AB1170" s="1530"/>
      <c r="AC1170" s="1530"/>
      <c r="AD1170" s="1530"/>
      <c r="AE1170" s="1530"/>
      <c r="AF1170" s="1530"/>
      <c r="AG1170" s="1530"/>
      <c r="AH1170" s="1530"/>
      <c r="AI1170" s="1530"/>
      <c r="AJ1170" s="1530"/>
      <c r="AK1170" s="1530"/>
      <c r="AL1170" s="1530"/>
      <c r="AM1170" s="1530"/>
      <c r="AN1170" s="1530"/>
      <c r="AO1170" s="1530"/>
      <c r="AP1170" s="1530"/>
      <c r="AQ1170" s="1530"/>
      <c r="AR1170" s="1530"/>
      <c r="AS1170" s="1530"/>
      <c r="AT1170" s="1530"/>
      <c r="AU1170" s="1530"/>
      <c r="AV1170" s="1530"/>
      <c r="AW1170" s="1530"/>
      <c r="AX1170" s="1530"/>
      <c r="AY1170" s="1530"/>
      <c r="AZ1170" s="1530"/>
      <c r="BA1170" s="1530"/>
      <c r="BB1170" s="1530"/>
      <c r="BC1170" s="1530"/>
      <c r="BD1170" s="1530"/>
      <c r="BE1170" s="1530"/>
      <c r="BF1170" s="1530"/>
      <c r="BG1170" s="1530"/>
      <c r="BH1170" s="1530"/>
      <c r="BI1170" s="1530"/>
      <c r="BJ1170" s="1530"/>
      <c r="BK1170" s="1530"/>
      <c r="BL1170" s="1530"/>
      <c r="BM1170" s="1530"/>
      <c r="BN1170" s="1530"/>
      <c r="BW1170" s="1569"/>
      <c r="CO1170" s="1530"/>
      <c r="CP1170" s="1530"/>
      <c r="CQ1170" s="1530"/>
      <c r="CR1170" s="1530"/>
      <c r="CS1170" s="1530"/>
      <c r="CT1170" s="1530"/>
      <c r="CU1170" s="1530"/>
      <c r="CV1170" s="1530"/>
      <c r="CW1170" s="1530"/>
      <c r="CX1170" s="1530"/>
      <c r="CY1170" s="1530"/>
      <c r="CZ1170" s="1530"/>
      <c r="DA1170" s="1530"/>
      <c r="DB1170" s="1530"/>
      <c r="DC1170" s="1530"/>
      <c r="DD1170" s="1530"/>
      <c r="DE1170" s="1530"/>
      <c r="DF1170" s="1530"/>
      <c r="DG1170" s="1530"/>
      <c r="DH1170" s="1530"/>
      <c r="DI1170" s="1530"/>
      <c r="DJ1170" s="1530"/>
      <c r="DK1170" s="1530"/>
      <c r="DL1170" s="1530"/>
      <c r="DM1170" s="1530"/>
      <c r="DN1170" s="1571"/>
      <c r="DO1170" s="1530"/>
      <c r="DP1170" s="1530"/>
    </row>
    <row r="1171" spans="1:120">
      <c r="A1171" s="1451"/>
      <c r="C1171" s="1451"/>
      <c r="K1171" s="1451"/>
      <c r="L1171" s="1451"/>
      <c r="U1171" s="1530"/>
      <c r="V1171" s="1530"/>
      <c r="W1171" s="1530"/>
      <c r="X1171" s="1530"/>
      <c r="Y1171" s="1530"/>
      <c r="Z1171" s="1530"/>
      <c r="AA1171" s="1530"/>
      <c r="AB1171" s="1530"/>
      <c r="AC1171" s="1530"/>
      <c r="AD1171" s="1530"/>
      <c r="AE1171" s="1530"/>
      <c r="AF1171" s="1530"/>
      <c r="AG1171" s="1530"/>
      <c r="AH1171" s="1530"/>
      <c r="AI1171" s="1530"/>
      <c r="AJ1171" s="1530"/>
      <c r="AK1171" s="1530"/>
      <c r="AL1171" s="1530"/>
      <c r="AM1171" s="1530"/>
      <c r="AN1171" s="1530"/>
      <c r="AO1171" s="1530"/>
      <c r="AP1171" s="1530"/>
      <c r="AQ1171" s="1530"/>
      <c r="AR1171" s="1530"/>
      <c r="AS1171" s="1530"/>
      <c r="AT1171" s="1530"/>
      <c r="AU1171" s="1530"/>
      <c r="AV1171" s="1530"/>
      <c r="AW1171" s="1530"/>
      <c r="AX1171" s="1530"/>
      <c r="AY1171" s="1530"/>
      <c r="AZ1171" s="1530"/>
      <c r="BA1171" s="1530"/>
      <c r="BB1171" s="1530"/>
      <c r="BC1171" s="1530"/>
      <c r="BD1171" s="1530"/>
      <c r="BE1171" s="1530"/>
      <c r="BF1171" s="1530"/>
      <c r="BG1171" s="1530"/>
      <c r="BH1171" s="1530"/>
      <c r="BI1171" s="1530"/>
      <c r="BJ1171" s="1530"/>
      <c r="BK1171" s="1530"/>
      <c r="BL1171" s="1530"/>
      <c r="BM1171" s="1530"/>
      <c r="BN1171" s="1530"/>
      <c r="BW1171" s="1569"/>
      <c r="CO1171" s="1530"/>
      <c r="CP1171" s="1530"/>
      <c r="CQ1171" s="1530"/>
      <c r="CR1171" s="1530"/>
      <c r="CS1171" s="1530"/>
      <c r="CT1171" s="1530"/>
      <c r="CU1171" s="1530"/>
      <c r="CV1171" s="1530"/>
      <c r="CW1171" s="1530"/>
      <c r="CX1171" s="1530"/>
      <c r="CY1171" s="1530"/>
      <c r="CZ1171" s="1530"/>
      <c r="DA1171" s="1530"/>
      <c r="DB1171" s="1530"/>
      <c r="DC1171" s="1530"/>
      <c r="DD1171" s="1530"/>
      <c r="DE1171" s="1530"/>
      <c r="DF1171" s="1530"/>
      <c r="DG1171" s="1530"/>
      <c r="DH1171" s="1530"/>
      <c r="DI1171" s="1530"/>
      <c r="DJ1171" s="1530"/>
      <c r="DK1171" s="1530"/>
      <c r="DL1171" s="1530"/>
      <c r="DM1171" s="1530"/>
      <c r="DN1171" s="1571"/>
      <c r="DO1171" s="1530"/>
      <c r="DP1171" s="1530"/>
    </row>
    <row r="1172" spans="1:120">
      <c r="A1172" s="1451"/>
      <c r="C1172" s="1451"/>
      <c r="K1172" s="1451"/>
      <c r="L1172" s="1451"/>
      <c r="U1172" s="1530"/>
      <c r="V1172" s="1530"/>
      <c r="W1172" s="1530"/>
      <c r="X1172" s="1530"/>
      <c r="Y1172" s="1530"/>
      <c r="Z1172" s="1530"/>
      <c r="AA1172" s="1530"/>
      <c r="AB1172" s="1530"/>
      <c r="AC1172" s="1530"/>
      <c r="AD1172" s="1530"/>
      <c r="AE1172" s="1530"/>
      <c r="AF1172" s="1530"/>
      <c r="AG1172" s="1530"/>
      <c r="AH1172" s="1530"/>
      <c r="AI1172" s="1530"/>
      <c r="AJ1172" s="1530"/>
      <c r="AK1172" s="1530"/>
      <c r="AL1172" s="1530"/>
      <c r="AM1172" s="1530"/>
      <c r="AN1172" s="1530"/>
      <c r="AO1172" s="1530"/>
      <c r="AP1172" s="1530"/>
      <c r="AQ1172" s="1530"/>
      <c r="AR1172" s="1530"/>
      <c r="AS1172" s="1530"/>
      <c r="AT1172" s="1530"/>
      <c r="AU1172" s="1530"/>
      <c r="AV1172" s="1530"/>
      <c r="AW1172" s="1530"/>
      <c r="AX1172" s="1530"/>
      <c r="AY1172" s="1530"/>
      <c r="AZ1172" s="1530"/>
      <c r="BA1172" s="1530"/>
      <c r="BB1172" s="1530"/>
      <c r="BC1172" s="1530"/>
      <c r="BD1172" s="1530"/>
      <c r="BE1172" s="1530"/>
      <c r="BF1172" s="1530"/>
      <c r="BG1172" s="1530"/>
      <c r="BH1172" s="1530"/>
      <c r="BI1172" s="1530"/>
      <c r="BJ1172" s="1530"/>
      <c r="BK1172" s="1530"/>
      <c r="BL1172" s="1530"/>
      <c r="BM1172" s="1530"/>
      <c r="BN1172" s="1530"/>
      <c r="BW1172" s="1569"/>
      <c r="CO1172" s="1530"/>
      <c r="CP1172" s="1530"/>
      <c r="CQ1172" s="1530"/>
      <c r="CR1172" s="1530"/>
      <c r="CS1172" s="1530"/>
      <c r="CT1172" s="1530"/>
      <c r="CU1172" s="1530"/>
      <c r="CV1172" s="1530"/>
      <c r="CW1172" s="1530"/>
      <c r="CX1172" s="1530"/>
      <c r="CY1172" s="1530"/>
      <c r="CZ1172" s="1530"/>
      <c r="DA1172" s="1530"/>
      <c r="DB1172" s="1530"/>
      <c r="DC1172" s="1530"/>
      <c r="DD1172" s="1530"/>
      <c r="DE1172" s="1530"/>
      <c r="DF1172" s="1530"/>
      <c r="DG1172" s="1530"/>
      <c r="DH1172" s="1530"/>
      <c r="DI1172" s="1530"/>
      <c r="DJ1172" s="1530"/>
      <c r="DK1172" s="1530"/>
      <c r="DL1172" s="1530"/>
      <c r="DM1172" s="1530"/>
      <c r="DN1172" s="1571"/>
      <c r="DO1172" s="1530"/>
      <c r="DP1172" s="1530"/>
    </row>
    <row r="1173" spans="1:120">
      <c r="A1173" s="1451"/>
      <c r="C1173" s="1451"/>
      <c r="K1173" s="1451"/>
      <c r="L1173" s="1451"/>
      <c r="U1173" s="1530"/>
      <c r="V1173" s="1530"/>
      <c r="W1173" s="1530"/>
      <c r="X1173" s="1530"/>
      <c r="Y1173" s="1530"/>
      <c r="Z1173" s="1530"/>
      <c r="AA1173" s="1530"/>
      <c r="AB1173" s="1530"/>
      <c r="AC1173" s="1530"/>
      <c r="AD1173" s="1530"/>
      <c r="AE1173" s="1530"/>
      <c r="AF1173" s="1530"/>
      <c r="AG1173" s="1530"/>
      <c r="AH1173" s="1530"/>
      <c r="AI1173" s="1530"/>
      <c r="AJ1173" s="1530"/>
      <c r="AK1173" s="1530"/>
      <c r="AL1173" s="1530"/>
      <c r="AM1173" s="1530"/>
      <c r="AN1173" s="1530"/>
      <c r="AO1173" s="1530"/>
      <c r="AP1173" s="1530"/>
      <c r="AQ1173" s="1530"/>
      <c r="AR1173" s="1530"/>
      <c r="AS1173" s="1530"/>
      <c r="AT1173" s="1530"/>
      <c r="AU1173" s="1530"/>
      <c r="AV1173" s="1530"/>
      <c r="AW1173" s="1530"/>
      <c r="AX1173" s="1530"/>
      <c r="AY1173" s="1530"/>
      <c r="AZ1173" s="1530"/>
      <c r="BA1173" s="1530"/>
      <c r="BB1173" s="1530"/>
      <c r="BC1173" s="1530"/>
      <c r="BD1173" s="1530"/>
      <c r="BE1173" s="1530"/>
      <c r="BF1173" s="1530"/>
      <c r="BG1173" s="1530"/>
      <c r="BH1173" s="1530"/>
      <c r="BI1173" s="1530"/>
      <c r="BJ1173" s="1530"/>
      <c r="BK1173" s="1530"/>
      <c r="BL1173" s="1530"/>
      <c r="BM1173" s="1530"/>
      <c r="BN1173" s="1530"/>
      <c r="BW1173" s="1569"/>
      <c r="CO1173" s="1530"/>
      <c r="CP1173" s="1530"/>
      <c r="CQ1173" s="1530"/>
      <c r="CR1173" s="1530"/>
      <c r="CS1173" s="1530"/>
      <c r="CT1173" s="1530"/>
      <c r="CU1173" s="1530"/>
      <c r="CV1173" s="1530"/>
      <c r="CW1173" s="1530"/>
      <c r="CX1173" s="1530"/>
      <c r="CY1173" s="1530"/>
      <c r="CZ1173" s="1530"/>
      <c r="DA1173" s="1530"/>
      <c r="DB1173" s="1530"/>
      <c r="DC1173" s="1530"/>
      <c r="DD1173" s="1530"/>
      <c r="DE1173" s="1530"/>
      <c r="DF1173" s="1530"/>
      <c r="DG1173" s="1530"/>
      <c r="DH1173" s="1530"/>
      <c r="DI1173" s="1530"/>
      <c r="DJ1173" s="1530"/>
      <c r="DK1173" s="1530"/>
      <c r="DL1173" s="1530"/>
      <c r="DM1173" s="1530"/>
      <c r="DN1173" s="1571"/>
      <c r="DO1173" s="1530"/>
      <c r="DP1173" s="1530"/>
    </row>
    <row r="1174" spans="1:120">
      <c r="A1174" s="1451"/>
      <c r="C1174" s="1451"/>
      <c r="K1174" s="1451"/>
      <c r="L1174" s="1451"/>
      <c r="U1174" s="1530"/>
      <c r="V1174" s="1530"/>
      <c r="W1174" s="1530"/>
      <c r="X1174" s="1530"/>
      <c r="Y1174" s="1530"/>
      <c r="Z1174" s="1530"/>
      <c r="AA1174" s="1530"/>
      <c r="AB1174" s="1530"/>
      <c r="AC1174" s="1530"/>
      <c r="AD1174" s="1530"/>
      <c r="AE1174" s="1530"/>
      <c r="AF1174" s="1530"/>
      <c r="AG1174" s="1530"/>
      <c r="AH1174" s="1530"/>
      <c r="AI1174" s="1530"/>
      <c r="AJ1174" s="1530"/>
      <c r="AK1174" s="1530"/>
      <c r="AL1174" s="1530"/>
      <c r="AM1174" s="1530"/>
      <c r="AN1174" s="1530"/>
      <c r="AO1174" s="1530"/>
      <c r="AP1174" s="1530"/>
      <c r="AQ1174" s="1530"/>
      <c r="AR1174" s="1530"/>
      <c r="AS1174" s="1530"/>
      <c r="AT1174" s="1530"/>
      <c r="AU1174" s="1530"/>
      <c r="AV1174" s="1530"/>
      <c r="AW1174" s="1530"/>
      <c r="AX1174" s="1530"/>
      <c r="AY1174" s="1530"/>
      <c r="AZ1174" s="1530"/>
      <c r="BA1174" s="1530"/>
      <c r="BB1174" s="1530"/>
      <c r="BC1174" s="1530"/>
      <c r="BD1174" s="1530"/>
      <c r="BE1174" s="1530"/>
      <c r="BF1174" s="1530"/>
      <c r="BG1174" s="1530"/>
      <c r="BH1174" s="1530"/>
      <c r="BI1174" s="1530"/>
      <c r="BJ1174" s="1530"/>
      <c r="BK1174" s="1530"/>
      <c r="BL1174" s="1530"/>
      <c r="BM1174" s="1530"/>
      <c r="BN1174" s="1530"/>
      <c r="BW1174" s="1569"/>
      <c r="CO1174" s="1530"/>
      <c r="CP1174" s="1530"/>
      <c r="CQ1174" s="1530"/>
      <c r="CR1174" s="1530"/>
      <c r="CS1174" s="1530"/>
      <c r="CT1174" s="1530"/>
      <c r="CU1174" s="1530"/>
      <c r="CV1174" s="1530"/>
      <c r="CW1174" s="1530"/>
      <c r="CX1174" s="1530"/>
      <c r="CY1174" s="1530"/>
      <c r="CZ1174" s="1530"/>
      <c r="DA1174" s="1530"/>
      <c r="DB1174" s="1530"/>
      <c r="DC1174" s="1530"/>
      <c r="DD1174" s="1530"/>
      <c r="DE1174" s="1530"/>
      <c r="DF1174" s="1530"/>
      <c r="DG1174" s="1530"/>
      <c r="DH1174" s="1530"/>
      <c r="DI1174" s="1530"/>
      <c r="DJ1174" s="1530"/>
      <c r="DK1174" s="1530"/>
      <c r="DL1174" s="1530"/>
      <c r="DM1174" s="1530"/>
      <c r="DN1174" s="1571"/>
      <c r="DO1174" s="1530"/>
      <c r="DP1174" s="1530"/>
    </row>
    <row r="1175" spans="1:120">
      <c r="A1175" s="1451"/>
      <c r="C1175" s="1451"/>
      <c r="K1175" s="1451"/>
      <c r="L1175" s="1451"/>
      <c r="U1175" s="1530"/>
      <c r="V1175" s="1530"/>
      <c r="W1175" s="1530"/>
      <c r="X1175" s="1530"/>
      <c r="Y1175" s="1530"/>
      <c r="Z1175" s="1530"/>
      <c r="AA1175" s="1530"/>
      <c r="AB1175" s="1530"/>
      <c r="AC1175" s="1530"/>
      <c r="AD1175" s="1530"/>
      <c r="AE1175" s="1530"/>
      <c r="AF1175" s="1530"/>
      <c r="AG1175" s="1530"/>
      <c r="AH1175" s="1530"/>
      <c r="AI1175" s="1530"/>
      <c r="AJ1175" s="1530"/>
      <c r="AK1175" s="1530"/>
      <c r="AL1175" s="1530"/>
      <c r="AM1175" s="1530"/>
      <c r="AN1175" s="1530"/>
      <c r="AO1175" s="1530"/>
      <c r="AP1175" s="1530"/>
      <c r="AQ1175" s="1530"/>
      <c r="AR1175" s="1530"/>
      <c r="AS1175" s="1530"/>
      <c r="AT1175" s="1530"/>
      <c r="AU1175" s="1530"/>
      <c r="AV1175" s="1530"/>
      <c r="AW1175" s="1530"/>
      <c r="AX1175" s="1530"/>
      <c r="AY1175" s="1530"/>
      <c r="AZ1175" s="1530"/>
      <c r="BA1175" s="1530"/>
      <c r="BB1175" s="1530"/>
      <c r="BC1175" s="1530"/>
      <c r="BD1175" s="1530"/>
      <c r="BE1175" s="1530"/>
      <c r="BF1175" s="1530"/>
      <c r="BG1175" s="1530"/>
      <c r="BH1175" s="1530"/>
      <c r="BI1175" s="1530"/>
      <c r="BJ1175" s="1530"/>
      <c r="BK1175" s="1530"/>
      <c r="BL1175" s="1530"/>
      <c r="BM1175" s="1530"/>
      <c r="BN1175" s="1530"/>
      <c r="BW1175" s="1569"/>
      <c r="CO1175" s="1530"/>
      <c r="CP1175" s="1530"/>
      <c r="CQ1175" s="1530"/>
      <c r="CR1175" s="1530"/>
      <c r="CS1175" s="1530"/>
      <c r="CT1175" s="1530"/>
      <c r="CU1175" s="1530"/>
      <c r="CV1175" s="1530"/>
      <c r="CW1175" s="1530"/>
      <c r="CX1175" s="1530"/>
      <c r="CY1175" s="1530"/>
      <c r="CZ1175" s="1530"/>
      <c r="DA1175" s="1530"/>
      <c r="DB1175" s="1530"/>
      <c r="DC1175" s="1530"/>
      <c r="DD1175" s="1530"/>
      <c r="DE1175" s="1530"/>
      <c r="DF1175" s="1530"/>
      <c r="DG1175" s="1530"/>
      <c r="DH1175" s="1530"/>
      <c r="DI1175" s="1530"/>
      <c r="DJ1175" s="1530"/>
      <c r="DK1175" s="1530"/>
      <c r="DL1175" s="1530"/>
      <c r="DM1175" s="1530"/>
      <c r="DN1175" s="1571"/>
      <c r="DO1175" s="1530"/>
      <c r="DP1175" s="1530"/>
    </row>
    <row r="1176" spans="1:120">
      <c r="A1176" s="1451"/>
      <c r="C1176" s="1451"/>
      <c r="K1176" s="1451"/>
      <c r="L1176" s="1451"/>
      <c r="U1176" s="1530"/>
      <c r="V1176" s="1530"/>
      <c r="W1176" s="1530"/>
      <c r="X1176" s="1530"/>
      <c r="Y1176" s="1530"/>
      <c r="Z1176" s="1530"/>
      <c r="AA1176" s="1530"/>
      <c r="AB1176" s="1530"/>
      <c r="AC1176" s="1530"/>
      <c r="AD1176" s="1530"/>
      <c r="AE1176" s="1530"/>
      <c r="AF1176" s="1530"/>
      <c r="AG1176" s="1530"/>
      <c r="AH1176" s="1530"/>
      <c r="AI1176" s="1530"/>
      <c r="AJ1176" s="1530"/>
      <c r="AK1176" s="1530"/>
      <c r="AL1176" s="1530"/>
      <c r="AM1176" s="1530"/>
      <c r="AN1176" s="1530"/>
      <c r="AO1176" s="1530"/>
      <c r="AP1176" s="1530"/>
      <c r="AQ1176" s="1530"/>
      <c r="AR1176" s="1530"/>
      <c r="AS1176" s="1530"/>
      <c r="AT1176" s="1530"/>
      <c r="AU1176" s="1530"/>
      <c r="AV1176" s="1530"/>
      <c r="AW1176" s="1530"/>
      <c r="AX1176" s="1530"/>
      <c r="AY1176" s="1530"/>
      <c r="AZ1176" s="1530"/>
      <c r="BA1176" s="1530"/>
      <c r="BB1176" s="1530"/>
      <c r="BC1176" s="1530"/>
      <c r="BD1176" s="1530"/>
      <c r="BE1176" s="1530"/>
      <c r="BF1176" s="1530"/>
      <c r="BG1176" s="1530"/>
      <c r="BH1176" s="1530"/>
      <c r="BI1176" s="1530"/>
      <c r="BJ1176" s="1530"/>
      <c r="BK1176" s="1530"/>
      <c r="BL1176" s="1530"/>
      <c r="BM1176" s="1530"/>
      <c r="BN1176" s="1530"/>
      <c r="BW1176" s="1569"/>
      <c r="CO1176" s="1530"/>
      <c r="CP1176" s="1530"/>
      <c r="CQ1176" s="1530"/>
      <c r="CR1176" s="1530"/>
      <c r="CS1176" s="1530"/>
      <c r="CT1176" s="1530"/>
      <c r="CU1176" s="1530"/>
      <c r="CV1176" s="1530"/>
      <c r="CW1176" s="1530"/>
      <c r="CX1176" s="1530"/>
      <c r="CY1176" s="1530"/>
      <c r="CZ1176" s="1530"/>
      <c r="DA1176" s="1530"/>
      <c r="DB1176" s="1530"/>
      <c r="DC1176" s="1530"/>
      <c r="DD1176" s="1530"/>
      <c r="DE1176" s="1530"/>
      <c r="DF1176" s="1530"/>
      <c r="DG1176" s="1530"/>
      <c r="DH1176" s="1530"/>
      <c r="DI1176" s="1530"/>
      <c r="DJ1176" s="1530"/>
      <c r="DK1176" s="1530"/>
      <c r="DL1176" s="1530"/>
      <c r="DM1176" s="1530"/>
      <c r="DN1176" s="1571"/>
      <c r="DO1176" s="1530"/>
      <c r="DP1176" s="1530"/>
    </row>
    <row r="1177" spans="1:120">
      <c r="A1177" s="1451"/>
      <c r="C1177" s="1451"/>
      <c r="K1177" s="1451"/>
      <c r="L1177" s="1451"/>
      <c r="U1177" s="1530"/>
      <c r="V1177" s="1530"/>
      <c r="W1177" s="1530"/>
      <c r="X1177" s="1530"/>
      <c r="Y1177" s="1530"/>
      <c r="Z1177" s="1530"/>
      <c r="AA1177" s="1530"/>
      <c r="AB1177" s="1530"/>
      <c r="AC1177" s="1530"/>
      <c r="AD1177" s="1530"/>
      <c r="AE1177" s="1530"/>
      <c r="AF1177" s="1530"/>
      <c r="AG1177" s="1530"/>
      <c r="AH1177" s="1530"/>
      <c r="AI1177" s="1530"/>
      <c r="AJ1177" s="1530"/>
      <c r="AK1177" s="1530"/>
      <c r="AL1177" s="1530"/>
      <c r="AM1177" s="1530"/>
      <c r="AN1177" s="1530"/>
      <c r="AO1177" s="1530"/>
      <c r="AP1177" s="1530"/>
      <c r="AQ1177" s="1530"/>
      <c r="AR1177" s="1530"/>
      <c r="AS1177" s="1530"/>
      <c r="AT1177" s="1530"/>
      <c r="AU1177" s="1530"/>
      <c r="AV1177" s="1530"/>
      <c r="AW1177" s="1530"/>
      <c r="AX1177" s="1530"/>
      <c r="AY1177" s="1530"/>
      <c r="AZ1177" s="1530"/>
      <c r="BA1177" s="1530"/>
      <c r="BB1177" s="1530"/>
      <c r="BC1177" s="1530"/>
      <c r="BD1177" s="1530"/>
      <c r="BE1177" s="1530"/>
      <c r="BF1177" s="1530"/>
      <c r="BG1177" s="1530"/>
      <c r="BH1177" s="1530"/>
      <c r="BI1177" s="1530"/>
      <c r="BJ1177" s="1530"/>
      <c r="BK1177" s="1530"/>
      <c r="BL1177" s="1530"/>
      <c r="BM1177" s="1530"/>
      <c r="BN1177" s="1530"/>
      <c r="BW1177" s="1569"/>
      <c r="CO1177" s="1530"/>
      <c r="CP1177" s="1530"/>
      <c r="CQ1177" s="1530"/>
      <c r="CR1177" s="1530"/>
      <c r="CS1177" s="1530"/>
      <c r="CT1177" s="1530"/>
      <c r="CU1177" s="1530"/>
      <c r="CV1177" s="1530"/>
      <c r="CW1177" s="1530"/>
      <c r="CX1177" s="1530"/>
      <c r="CY1177" s="1530"/>
      <c r="CZ1177" s="1530"/>
      <c r="DA1177" s="1530"/>
      <c r="DB1177" s="1530"/>
      <c r="DC1177" s="1530"/>
      <c r="DD1177" s="1530"/>
      <c r="DE1177" s="1530"/>
      <c r="DF1177" s="1530"/>
      <c r="DG1177" s="1530"/>
      <c r="DH1177" s="1530"/>
      <c r="DI1177" s="1530"/>
      <c r="DJ1177" s="1530"/>
      <c r="DK1177" s="1530"/>
      <c r="DL1177" s="1530"/>
      <c r="DM1177" s="1530"/>
      <c r="DN1177" s="1571"/>
      <c r="DO1177" s="1530"/>
      <c r="DP1177" s="1530"/>
    </row>
    <row r="1178" spans="1:120">
      <c r="A1178" s="1451"/>
      <c r="C1178" s="1451"/>
      <c r="K1178" s="1451"/>
      <c r="L1178" s="1451"/>
      <c r="U1178" s="1530"/>
      <c r="V1178" s="1530"/>
      <c r="W1178" s="1530"/>
      <c r="X1178" s="1530"/>
      <c r="Y1178" s="1530"/>
      <c r="Z1178" s="1530"/>
      <c r="AA1178" s="1530"/>
      <c r="AB1178" s="1530"/>
      <c r="AC1178" s="1530"/>
      <c r="AD1178" s="1530"/>
      <c r="AE1178" s="1530"/>
      <c r="AF1178" s="1530"/>
      <c r="AG1178" s="1530"/>
      <c r="AH1178" s="1530"/>
      <c r="AI1178" s="1530"/>
      <c r="AJ1178" s="1530"/>
      <c r="AK1178" s="1530"/>
      <c r="AL1178" s="1530"/>
      <c r="AM1178" s="1530"/>
      <c r="AN1178" s="1530"/>
      <c r="AO1178" s="1530"/>
      <c r="AP1178" s="1530"/>
      <c r="AQ1178" s="1530"/>
      <c r="AR1178" s="1530"/>
      <c r="AS1178" s="1530"/>
      <c r="AT1178" s="1530"/>
      <c r="AU1178" s="1530"/>
      <c r="AV1178" s="1530"/>
      <c r="AW1178" s="1530"/>
      <c r="AX1178" s="1530"/>
      <c r="AY1178" s="1530"/>
      <c r="AZ1178" s="1530"/>
      <c r="BA1178" s="1530"/>
      <c r="BB1178" s="1530"/>
      <c r="BC1178" s="1530"/>
      <c r="BD1178" s="1530"/>
      <c r="BE1178" s="1530"/>
      <c r="BF1178" s="1530"/>
      <c r="BG1178" s="1530"/>
      <c r="BH1178" s="1530"/>
      <c r="BI1178" s="1530"/>
      <c r="BJ1178" s="1530"/>
      <c r="BK1178" s="1530"/>
      <c r="BL1178" s="1530"/>
      <c r="BM1178" s="1530"/>
      <c r="BN1178" s="1530"/>
      <c r="BW1178" s="1569"/>
      <c r="CO1178" s="1530"/>
      <c r="CP1178" s="1530"/>
      <c r="CQ1178" s="1530"/>
      <c r="CR1178" s="1530"/>
      <c r="CS1178" s="1530"/>
      <c r="CT1178" s="1530"/>
      <c r="CU1178" s="1530"/>
      <c r="CV1178" s="1530"/>
      <c r="CW1178" s="1530"/>
      <c r="CX1178" s="1530"/>
      <c r="CY1178" s="1530"/>
      <c r="CZ1178" s="1530"/>
      <c r="DA1178" s="1530"/>
      <c r="DB1178" s="1530"/>
      <c r="DC1178" s="1530"/>
      <c r="DD1178" s="1530"/>
      <c r="DE1178" s="1530"/>
      <c r="DF1178" s="1530"/>
      <c r="DG1178" s="1530"/>
      <c r="DH1178" s="1530"/>
      <c r="DI1178" s="1530"/>
      <c r="DJ1178" s="1530"/>
      <c r="DK1178" s="1530"/>
      <c r="DL1178" s="1530"/>
      <c r="DM1178" s="1530"/>
      <c r="DN1178" s="1571"/>
      <c r="DO1178" s="1530"/>
      <c r="DP1178" s="1530"/>
    </row>
    <row r="1179" spans="1:120">
      <c r="A1179" s="1451"/>
      <c r="C1179" s="1451"/>
      <c r="K1179" s="1451"/>
      <c r="L1179" s="1451"/>
      <c r="U1179" s="1530"/>
      <c r="V1179" s="1530"/>
      <c r="W1179" s="1530"/>
      <c r="X1179" s="1530"/>
      <c r="Y1179" s="1530"/>
      <c r="Z1179" s="1530"/>
      <c r="AA1179" s="1530"/>
      <c r="AB1179" s="1530"/>
      <c r="AC1179" s="1530"/>
      <c r="AD1179" s="1530"/>
      <c r="AE1179" s="1530"/>
      <c r="AF1179" s="1530"/>
      <c r="AG1179" s="1530"/>
      <c r="AH1179" s="1530"/>
      <c r="AI1179" s="1530"/>
      <c r="AJ1179" s="1530"/>
      <c r="AK1179" s="1530"/>
      <c r="AL1179" s="1530"/>
      <c r="AM1179" s="1530"/>
      <c r="AN1179" s="1530"/>
      <c r="AO1179" s="1530"/>
      <c r="AP1179" s="1530"/>
      <c r="AQ1179" s="1530"/>
      <c r="AR1179" s="1530"/>
      <c r="AS1179" s="1530"/>
      <c r="AT1179" s="1530"/>
      <c r="AU1179" s="1530"/>
      <c r="AV1179" s="1530"/>
      <c r="AW1179" s="1530"/>
      <c r="AX1179" s="1530"/>
      <c r="AY1179" s="1530"/>
      <c r="AZ1179" s="1530"/>
      <c r="BA1179" s="1530"/>
      <c r="BB1179" s="1530"/>
      <c r="BC1179" s="1530"/>
      <c r="BD1179" s="1530"/>
      <c r="BE1179" s="1530"/>
      <c r="BF1179" s="1530"/>
      <c r="BG1179" s="1530"/>
      <c r="BH1179" s="1530"/>
      <c r="BI1179" s="1530"/>
      <c r="BJ1179" s="1530"/>
      <c r="BK1179" s="1530"/>
      <c r="BL1179" s="1530"/>
      <c r="BM1179" s="1530"/>
      <c r="BN1179" s="1530"/>
      <c r="BW1179" s="1569"/>
      <c r="CO1179" s="1530"/>
      <c r="CP1179" s="1530"/>
      <c r="CQ1179" s="1530"/>
      <c r="CR1179" s="1530"/>
      <c r="CS1179" s="1530"/>
      <c r="CT1179" s="1530"/>
      <c r="CU1179" s="1530"/>
      <c r="CV1179" s="1530"/>
      <c r="CW1179" s="1530"/>
      <c r="CX1179" s="1530"/>
      <c r="CY1179" s="1530"/>
      <c r="CZ1179" s="1530"/>
      <c r="DA1179" s="1530"/>
      <c r="DB1179" s="1530"/>
      <c r="DC1179" s="1530"/>
      <c r="DD1179" s="1530"/>
      <c r="DE1179" s="1530"/>
      <c r="DF1179" s="1530"/>
      <c r="DG1179" s="1530"/>
      <c r="DH1179" s="1530"/>
      <c r="DI1179" s="1530"/>
      <c r="DJ1179" s="1530"/>
      <c r="DK1179" s="1530"/>
      <c r="DL1179" s="1530"/>
      <c r="DM1179" s="1530"/>
      <c r="DN1179" s="1571"/>
      <c r="DO1179" s="1530"/>
      <c r="DP1179" s="1530"/>
    </row>
    <row r="1180" spans="1:120">
      <c r="A1180" s="1451"/>
      <c r="C1180" s="1451"/>
      <c r="K1180" s="1451"/>
      <c r="L1180" s="1451"/>
      <c r="U1180" s="1530"/>
      <c r="V1180" s="1530"/>
      <c r="W1180" s="1530"/>
      <c r="X1180" s="1530"/>
      <c r="Y1180" s="1530"/>
      <c r="Z1180" s="1530"/>
      <c r="AA1180" s="1530"/>
      <c r="AB1180" s="1530"/>
      <c r="AC1180" s="1530"/>
      <c r="AD1180" s="1530"/>
      <c r="AE1180" s="1530"/>
      <c r="AF1180" s="1530"/>
      <c r="AG1180" s="1530"/>
      <c r="AH1180" s="1530"/>
      <c r="AI1180" s="1530"/>
      <c r="AJ1180" s="1530"/>
      <c r="AK1180" s="1530"/>
      <c r="AL1180" s="1530"/>
      <c r="AM1180" s="1530"/>
      <c r="AN1180" s="1530"/>
      <c r="AO1180" s="1530"/>
      <c r="AP1180" s="1530"/>
      <c r="AQ1180" s="1530"/>
      <c r="AR1180" s="1530"/>
      <c r="AS1180" s="1530"/>
      <c r="AT1180" s="1530"/>
      <c r="AU1180" s="1530"/>
      <c r="AV1180" s="1530"/>
      <c r="AW1180" s="1530"/>
      <c r="AX1180" s="1530"/>
      <c r="AY1180" s="1530"/>
      <c r="AZ1180" s="1530"/>
      <c r="BA1180" s="1530"/>
      <c r="BB1180" s="1530"/>
      <c r="BC1180" s="1530"/>
      <c r="BD1180" s="1530"/>
      <c r="BE1180" s="1530"/>
      <c r="BF1180" s="1530"/>
      <c r="BG1180" s="1530"/>
      <c r="BH1180" s="1530"/>
      <c r="BI1180" s="1530"/>
      <c r="BJ1180" s="1530"/>
      <c r="BK1180" s="1530"/>
      <c r="BL1180" s="1530"/>
      <c r="BM1180" s="1530"/>
      <c r="BN1180" s="1530"/>
      <c r="BW1180" s="1569"/>
      <c r="CO1180" s="1530"/>
      <c r="CP1180" s="1530"/>
      <c r="CQ1180" s="1530"/>
      <c r="CR1180" s="1530"/>
      <c r="CS1180" s="1530"/>
      <c r="CT1180" s="1530"/>
      <c r="CU1180" s="1530"/>
      <c r="CV1180" s="1530"/>
      <c r="CW1180" s="1530"/>
      <c r="CX1180" s="1530"/>
      <c r="CY1180" s="1530"/>
      <c r="CZ1180" s="1530"/>
      <c r="DA1180" s="1530"/>
      <c r="DB1180" s="1530"/>
      <c r="DC1180" s="1530"/>
      <c r="DD1180" s="1530"/>
      <c r="DE1180" s="1530"/>
      <c r="DF1180" s="1530"/>
      <c r="DG1180" s="1530"/>
      <c r="DH1180" s="1530"/>
      <c r="DI1180" s="1530"/>
      <c r="DJ1180" s="1530"/>
      <c r="DK1180" s="1530"/>
      <c r="DL1180" s="1530"/>
      <c r="DM1180" s="1530"/>
      <c r="DN1180" s="1571"/>
      <c r="DO1180" s="1530"/>
      <c r="DP1180" s="1530"/>
    </row>
    <row r="1181" spans="1:120">
      <c r="A1181" s="1451"/>
      <c r="C1181" s="1451"/>
      <c r="K1181" s="1451"/>
      <c r="L1181" s="1451"/>
      <c r="U1181" s="1530"/>
      <c r="V1181" s="1530"/>
      <c r="W1181" s="1530"/>
      <c r="X1181" s="1530"/>
      <c r="Y1181" s="1530"/>
      <c r="Z1181" s="1530"/>
      <c r="AA1181" s="1530"/>
      <c r="AB1181" s="1530"/>
      <c r="AC1181" s="1530"/>
      <c r="AD1181" s="1530"/>
      <c r="AE1181" s="1530"/>
      <c r="AF1181" s="1530"/>
      <c r="AG1181" s="1530"/>
      <c r="AH1181" s="1530"/>
      <c r="AI1181" s="1530"/>
      <c r="AJ1181" s="1530"/>
      <c r="AK1181" s="1530"/>
      <c r="AL1181" s="1530"/>
      <c r="AM1181" s="1530"/>
      <c r="AN1181" s="1530"/>
      <c r="AO1181" s="1530"/>
      <c r="AP1181" s="1530"/>
      <c r="AQ1181" s="1530"/>
      <c r="AR1181" s="1530"/>
      <c r="AS1181" s="1530"/>
      <c r="AT1181" s="1530"/>
      <c r="AU1181" s="1530"/>
      <c r="AV1181" s="1530"/>
      <c r="AW1181" s="1530"/>
      <c r="AX1181" s="1530"/>
      <c r="AY1181" s="1530"/>
      <c r="AZ1181" s="1530"/>
      <c r="BA1181" s="1530"/>
      <c r="BB1181" s="1530"/>
      <c r="BC1181" s="1530"/>
      <c r="BD1181" s="1530"/>
      <c r="BE1181" s="1530"/>
      <c r="BF1181" s="1530"/>
      <c r="BG1181" s="1530"/>
      <c r="BH1181" s="1530"/>
      <c r="BI1181" s="1530"/>
      <c r="BJ1181" s="1530"/>
      <c r="BK1181" s="1530"/>
      <c r="BL1181" s="1530"/>
      <c r="BM1181" s="1530"/>
      <c r="BN1181" s="1530"/>
      <c r="BW1181" s="1569"/>
      <c r="CO1181" s="1530"/>
      <c r="CP1181" s="1530"/>
      <c r="CQ1181" s="1530"/>
      <c r="CR1181" s="1530"/>
      <c r="CS1181" s="1530"/>
      <c r="CT1181" s="1530"/>
      <c r="CU1181" s="1530"/>
      <c r="CV1181" s="1530"/>
      <c r="CW1181" s="1530"/>
      <c r="CX1181" s="1530"/>
      <c r="CY1181" s="1530"/>
      <c r="CZ1181" s="1530"/>
      <c r="DA1181" s="1530"/>
      <c r="DB1181" s="1530"/>
      <c r="DC1181" s="1530"/>
      <c r="DD1181" s="1530"/>
      <c r="DE1181" s="1530"/>
      <c r="DF1181" s="1530"/>
      <c r="DG1181" s="1530"/>
      <c r="DH1181" s="1530"/>
      <c r="DI1181" s="1530"/>
      <c r="DJ1181" s="1530"/>
      <c r="DK1181" s="1530"/>
      <c r="DL1181" s="1530"/>
      <c r="DM1181" s="1530"/>
      <c r="DN1181" s="1571"/>
      <c r="DO1181" s="1530"/>
      <c r="DP1181" s="1530"/>
    </row>
    <row r="1182" spans="1:120">
      <c r="A1182" s="1451"/>
      <c r="C1182" s="1451"/>
      <c r="K1182" s="1451"/>
      <c r="L1182" s="1451"/>
      <c r="U1182" s="1530"/>
      <c r="V1182" s="1530"/>
      <c r="W1182" s="1530"/>
      <c r="X1182" s="1530"/>
      <c r="Y1182" s="1530"/>
      <c r="Z1182" s="1530"/>
      <c r="AA1182" s="1530"/>
      <c r="AB1182" s="1530"/>
      <c r="AC1182" s="1530"/>
      <c r="AD1182" s="1530"/>
      <c r="AE1182" s="1530"/>
      <c r="AF1182" s="1530"/>
      <c r="AG1182" s="1530"/>
      <c r="AH1182" s="1530"/>
      <c r="AI1182" s="1530"/>
      <c r="AJ1182" s="1530"/>
      <c r="AK1182" s="1530"/>
      <c r="AL1182" s="1530"/>
      <c r="AM1182" s="1530"/>
      <c r="AN1182" s="1530"/>
      <c r="AO1182" s="1530"/>
      <c r="AP1182" s="1530"/>
      <c r="AQ1182" s="1530"/>
      <c r="AR1182" s="1530"/>
      <c r="AS1182" s="1530"/>
      <c r="AT1182" s="1530"/>
      <c r="AU1182" s="1530"/>
      <c r="AV1182" s="1530"/>
      <c r="AW1182" s="1530"/>
      <c r="AX1182" s="1530"/>
      <c r="AY1182" s="1530"/>
      <c r="AZ1182" s="1530"/>
      <c r="BA1182" s="1530"/>
      <c r="BB1182" s="1530"/>
      <c r="BC1182" s="1530"/>
      <c r="BD1182" s="1530"/>
      <c r="BE1182" s="1530"/>
      <c r="BF1182" s="1530"/>
      <c r="BG1182" s="1530"/>
      <c r="BH1182" s="1530"/>
      <c r="BI1182" s="1530"/>
      <c r="BJ1182" s="1530"/>
      <c r="BK1182" s="1530"/>
      <c r="BL1182" s="1530"/>
      <c r="BM1182" s="1530"/>
      <c r="BN1182" s="1530"/>
      <c r="BW1182" s="1569"/>
      <c r="CO1182" s="1530"/>
      <c r="CP1182" s="1530"/>
      <c r="CQ1182" s="1530"/>
      <c r="CR1182" s="1530"/>
      <c r="CS1182" s="1530"/>
      <c r="CT1182" s="1530"/>
      <c r="CU1182" s="1530"/>
      <c r="CV1182" s="1530"/>
      <c r="CW1182" s="1530"/>
      <c r="CX1182" s="1530"/>
      <c r="CY1182" s="1530"/>
      <c r="CZ1182" s="1530"/>
      <c r="DA1182" s="1530"/>
      <c r="DB1182" s="1530"/>
      <c r="DC1182" s="1530"/>
      <c r="DD1182" s="1530"/>
      <c r="DE1182" s="1530"/>
      <c r="DF1182" s="1530"/>
      <c r="DG1182" s="1530"/>
      <c r="DH1182" s="1530"/>
      <c r="DI1182" s="1530"/>
      <c r="DJ1182" s="1530"/>
      <c r="DK1182" s="1530"/>
      <c r="DL1182" s="1530"/>
      <c r="DM1182" s="1530"/>
      <c r="DN1182" s="1571"/>
      <c r="DO1182" s="1530"/>
      <c r="DP1182" s="1530"/>
    </row>
    <row r="1183" spans="1:120">
      <c r="A1183" s="1451"/>
      <c r="C1183" s="1451"/>
      <c r="K1183" s="1451"/>
      <c r="L1183" s="1451"/>
      <c r="U1183" s="1530"/>
      <c r="V1183" s="1530"/>
      <c r="W1183" s="1530"/>
      <c r="X1183" s="1530"/>
      <c r="Y1183" s="1530"/>
      <c r="Z1183" s="1530"/>
      <c r="AA1183" s="1530"/>
      <c r="AB1183" s="1530"/>
      <c r="AC1183" s="1530"/>
      <c r="AD1183" s="1530"/>
      <c r="AE1183" s="1530"/>
      <c r="AF1183" s="1530"/>
      <c r="AG1183" s="1530"/>
      <c r="AH1183" s="1530"/>
      <c r="AI1183" s="1530"/>
      <c r="AJ1183" s="1530"/>
      <c r="AK1183" s="1530"/>
      <c r="AL1183" s="1530"/>
      <c r="AM1183" s="1530"/>
      <c r="AN1183" s="1530"/>
      <c r="AO1183" s="1530"/>
      <c r="AP1183" s="1530"/>
      <c r="AQ1183" s="1530"/>
      <c r="AR1183" s="1530"/>
      <c r="AS1183" s="1530"/>
      <c r="AT1183" s="1530"/>
      <c r="AU1183" s="1530"/>
      <c r="AV1183" s="1530"/>
      <c r="AW1183" s="1530"/>
      <c r="AX1183" s="1530"/>
      <c r="AY1183" s="1530"/>
      <c r="AZ1183" s="1530"/>
      <c r="BA1183" s="1530"/>
      <c r="BB1183" s="1530"/>
      <c r="BC1183" s="1530"/>
      <c r="BD1183" s="1530"/>
      <c r="BE1183" s="1530"/>
      <c r="BF1183" s="1530"/>
      <c r="BG1183" s="1530"/>
      <c r="BH1183" s="1530"/>
      <c r="BI1183" s="1530"/>
      <c r="BJ1183" s="1530"/>
      <c r="BK1183" s="1530"/>
      <c r="BL1183" s="1530"/>
      <c r="BM1183" s="1530"/>
      <c r="BN1183" s="1530"/>
      <c r="BW1183" s="1569"/>
      <c r="CO1183" s="1530"/>
      <c r="CP1183" s="1530"/>
      <c r="CQ1183" s="1530"/>
      <c r="CR1183" s="1530"/>
      <c r="CS1183" s="1530"/>
      <c r="CT1183" s="1530"/>
      <c r="CU1183" s="1530"/>
      <c r="CV1183" s="1530"/>
      <c r="CW1183" s="1530"/>
      <c r="CX1183" s="1530"/>
      <c r="CY1183" s="1530"/>
      <c r="CZ1183" s="1530"/>
      <c r="DA1183" s="1530"/>
      <c r="DB1183" s="1530"/>
      <c r="DC1183" s="1530"/>
      <c r="DD1183" s="1530"/>
      <c r="DE1183" s="1530"/>
      <c r="DF1183" s="1530"/>
      <c r="DG1183" s="1530"/>
      <c r="DH1183" s="1530"/>
      <c r="DI1183" s="1530"/>
      <c r="DJ1183" s="1530"/>
      <c r="DK1183" s="1530"/>
      <c r="DL1183" s="1530"/>
      <c r="DM1183" s="1530"/>
      <c r="DN1183" s="1571"/>
      <c r="DO1183" s="1530"/>
      <c r="DP1183" s="1530"/>
    </row>
    <row r="1184" spans="1:120">
      <c r="A1184" s="1451"/>
      <c r="C1184" s="1451"/>
      <c r="K1184" s="1451"/>
      <c r="L1184" s="1451"/>
      <c r="U1184" s="1530"/>
      <c r="V1184" s="1530"/>
      <c r="W1184" s="1530"/>
      <c r="X1184" s="1530"/>
      <c r="Y1184" s="1530"/>
      <c r="Z1184" s="1530"/>
      <c r="AA1184" s="1530"/>
      <c r="AB1184" s="1530"/>
      <c r="AC1184" s="1530"/>
      <c r="AD1184" s="1530"/>
      <c r="AE1184" s="1530"/>
      <c r="AF1184" s="1530"/>
      <c r="AG1184" s="1530"/>
      <c r="AH1184" s="1530"/>
      <c r="AI1184" s="1530"/>
      <c r="AJ1184" s="1530"/>
      <c r="AK1184" s="1530"/>
      <c r="AL1184" s="1530"/>
      <c r="AM1184" s="1530"/>
      <c r="AN1184" s="1530"/>
      <c r="AO1184" s="1530"/>
      <c r="AP1184" s="1530"/>
      <c r="AQ1184" s="1530"/>
      <c r="AR1184" s="1530"/>
      <c r="AS1184" s="1530"/>
      <c r="AT1184" s="1530"/>
      <c r="AU1184" s="1530"/>
      <c r="AV1184" s="1530"/>
      <c r="AW1184" s="1530"/>
      <c r="AX1184" s="1530"/>
      <c r="AY1184" s="1530"/>
      <c r="AZ1184" s="1530"/>
      <c r="BA1184" s="1530"/>
      <c r="BB1184" s="1530"/>
      <c r="BC1184" s="1530"/>
      <c r="BD1184" s="1530"/>
      <c r="BE1184" s="1530"/>
      <c r="BF1184" s="1530"/>
      <c r="BG1184" s="1530"/>
      <c r="BH1184" s="1530"/>
      <c r="BI1184" s="1530"/>
      <c r="BJ1184" s="1530"/>
      <c r="BK1184" s="1530"/>
      <c r="BL1184" s="1530"/>
      <c r="BM1184" s="1530"/>
      <c r="BN1184" s="1530"/>
      <c r="BW1184" s="1569"/>
      <c r="CO1184" s="1530"/>
      <c r="CP1184" s="1530"/>
      <c r="CQ1184" s="1530"/>
      <c r="CR1184" s="1530"/>
      <c r="CS1184" s="1530"/>
      <c r="CT1184" s="1530"/>
      <c r="CU1184" s="1530"/>
      <c r="CV1184" s="1530"/>
      <c r="CW1184" s="1530"/>
      <c r="CX1184" s="1530"/>
      <c r="CY1184" s="1530"/>
      <c r="CZ1184" s="1530"/>
      <c r="DA1184" s="1530"/>
      <c r="DB1184" s="1530"/>
      <c r="DC1184" s="1530"/>
      <c r="DD1184" s="1530"/>
      <c r="DE1184" s="1530"/>
      <c r="DF1184" s="1530"/>
      <c r="DG1184" s="1530"/>
      <c r="DH1184" s="1530"/>
      <c r="DI1184" s="1530"/>
      <c r="DJ1184" s="1530"/>
      <c r="DK1184" s="1530"/>
      <c r="DL1184" s="1530"/>
      <c r="DM1184" s="1530"/>
      <c r="DN1184" s="1571"/>
      <c r="DO1184" s="1530"/>
      <c r="DP1184" s="1530"/>
    </row>
    <row r="1185" spans="1:120">
      <c r="A1185" s="1451"/>
      <c r="C1185" s="1451"/>
      <c r="K1185" s="1451"/>
      <c r="L1185" s="1451"/>
      <c r="U1185" s="1530"/>
      <c r="V1185" s="1530"/>
      <c r="W1185" s="1530"/>
      <c r="X1185" s="1530"/>
      <c r="Y1185" s="1530"/>
      <c r="Z1185" s="1530"/>
      <c r="AA1185" s="1530"/>
      <c r="AB1185" s="1530"/>
      <c r="AC1185" s="1530"/>
      <c r="AD1185" s="1530"/>
      <c r="AE1185" s="1530"/>
      <c r="AF1185" s="1530"/>
      <c r="AG1185" s="1530"/>
      <c r="AH1185" s="1530"/>
      <c r="AI1185" s="1530"/>
      <c r="AJ1185" s="1530"/>
      <c r="AK1185" s="1530"/>
      <c r="AL1185" s="1530"/>
      <c r="AM1185" s="1530"/>
      <c r="AN1185" s="1530"/>
      <c r="AO1185" s="1530"/>
      <c r="AP1185" s="1530"/>
      <c r="AQ1185" s="1530"/>
      <c r="AR1185" s="1530"/>
      <c r="AS1185" s="1530"/>
      <c r="AT1185" s="1530"/>
      <c r="AU1185" s="1530"/>
      <c r="AV1185" s="1530"/>
      <c r="AW1185" s="1530"/>
      <c r="AX1185" s="1530"/>
      <c r="AY1185" s="1530"/>
      <c r="AZ1185" s="1530"/>
      <c r="BA1185" s="1530"/>
      <c r="BB1185" s="1530"/>
      <c r="BC1185" s="1530"/>
      <c r="BD1185" s="1530"/>
      <c r="BE1185" s="1530"/>
      <c r="BF1185" s="1530"/>
      <c r="BG1185" s="1530"/>
      <c r="BH1185" s="1530"/>
      <c r="BI1185" s="1530"/>
      <c r="BJ1185" s="1530"/>
      <c r="BK1185" s="1530"/>
      <c r="BL1185" s="1530"/>
      <c r="BM1185" s="1530"/>
      <c r="BN1185" s="1530"/>
      <c r="BW1185" s="1569"/>
      <c r="CO1185" s="1530"/>
      <c r="CP1185" s="1530"/>
      <c r="CQ1185" s="1530"/>
      <c r="CR1185" s="1530"/>
      <c r="CS1185" s="1530"/>
      <c r="CT1185" s="1530"/>
      <c r="CU1185" s="1530"/>
      <c r="CV1185" s="1530"/>
      <c r="CW1185" s="1530"/>
      <c r="CX1185" s="1530"/>
      <c r="CY1185" s="1530"/>
      <c r="CZ1185" s="1530"/>
      <c r="DA1185" s="1530"/>
      <c r="DB1185" s="1530"/>
      <c r="DC1185" s="1530"/>
      <c r="DD1185" s="1530"/>
      <c r="DE1185" s="1530"/>
      <c r="DF1185" s="1530"/>
      <c r="DG1185" s="1530"/>
      <c r="DH1185" s="1530"/>
      <c r="DI1185" s="1530"/>
      <c r="DJ1185" s="1530"/>
      <c r="DK1185" s="1530"/>
      <c r="DL1185" s="1530"/>
      <c r="DM1185" s="1530"/>
      <c r="DN1185" s="1571"/>
      <c r="DO1185" s="1530"/>
      <c r="DP1185" s="1530"/>
    </row>
    <row r="1186" spans="1:120">
      <c r="A1186" s="1451"/>
      <c r="C1186" s="1451"/>
      <c r="K1186" s="1451"/>
      <c r="L1186" s="1451"/>
      <c r="U1186" s="1530"/>
      <c r="V1186" s="1530"/>
      <c r="W1186" s="1530"/>
      <c r="X1186" s="1530"/>
      <c r="Y1186" s="1530"/>
      <c r="Z1186" s="1530"/>
      <c r="AA1186" s="1530"/>
      <c r="AB1186" s="1530"/>
      <c r="AC1186" s="1530"/>
      <c r="AD1186" s="1530"/>
      <c r="AE1186" s="1530"/>
      <c r="AF1186" s="1530"/>
      <c r="AG1186" s="1530"/>
      <c r="AH1186" s="1530"/>
      <c r="AI1186" s="1530"/>
      <c r="AJ1186" s="1530"/>
      <c r="AK1186" s="1530"/>
      <c r="AL1186" s="1530"/>
      <c r="AM1186" s="1530"/>
      <c r="AN1186" s="1530"/>
      <c r="AO1186" s="1530"/>
      <c r="AP1186" s="1530"/>
      <c r="AQ1186" s="1530"/>
      <c r="AR1186" s="1530"/>
      <c r="AS1186" s="1530"/>
      <c r="AT1186" s="1530"/>
      <c r="AU1186" s="1530"/>
      <c r="AV1186" s="1530"/>
      <c r="AW1186" s="1530"/>
      <c r="AX1186" s="1530"/>
      <c r="AY1186" s="1530"/>
      <c r="AZ1186" s="1530"/>
      <c r="BA1186" s="1530"/>
      <c r="BB1186" s="1530"/>
      <c r="BC1186" s="1530"/>
      <c r="BD1186" s="1530"/>
      <c r="BE1186" s="1530"/>
      <c r="BF1186" s="1530"/>
      <c r="BG1186" s="1530"/>
      <c r="BH1186" s="1530"/>
      <c r="BI1186" s="1530"/>
      <c r="BJ1186" s="1530"/>
      <c r="BK1186" s="1530"/>
      <c r="BL1186" s="1530"/>
      <c r="BM1186" s="1530"/>
      <c r="BN1186" s="1530"/>
      <c r="BW1186" s="1569"/>
      <c r="CO1186" s="1530"/>
      <c r="CP1186" s="1530"/>
      <c r="CQ1186" s="1530"/>
      <c r="CR1186" s="1530"/>
      <c r="CS1186" s="1530"/>
      <c r="CT1186" s="1530"/>
      <c r="CU1186" s="1530"/>
      <c r="CV1186" s="1530"/>
      <c r="CW1186" s="1530"/>
      <c r="CX1186" s="1530"/>
      <c r="CY1186" s="1530"/>
      <c r="CZ1186" s="1530"/>
      <c r="DA1186" s="1530"/>
      <c r="DB1186" s="1530"/>
      <c r="DC1186" s="1530"/>
      <c r="DD1186" s="1530"/>
      <c r="DE1186" s="1530"/>
      <c r="DF1186" s="1530"/>
      <c r="DG1186" s="1530"/>
      <c r="DH1186" s="1530"/>
      <c r="DI1186" s="1530"/>
      <c r="DJ1186" s="1530"/>
      <c r="DK1186" s="1530"/>
      <c r="DL1186" s="1530"/>
      <c r="DM1186" s="1530"/>
      <c r="DN1186" s="1571"/>
      <c r="DO1186" s="1530"/>
      <c r="DP1186" s="1530"/>
    </row>
    <row r="1187" spans="1:120">
      <c r="A1187" s="1451"/>
      <c r="C1187" s="1451"/>
      <c r="K1187" s="1451"/>
      <c r="L1187" s="1451"/>
      <c r="U1187" s="1530"/>
      <c r="V1187" s="1530"/>
      <c r="W1187" s="1530"/>
      <c r="X1187" s="1530"/>
      <c r="Y1187" s="1530"/>
      <c r="Z1187" s="1530"/>
      <c r="AA1187" s="1530"/>
      <c r="AB1187" s="1530"/>
      <c r="AC1187" s="1530"/>
      <c r="AD1187" s="1530"/>
      <c r="AE1187" s="1530"/>
      <c r="AF1187" s="1530"/>
      <c r="AG1187" s="1530"/>
      <c r="AH1187" s="1530"/>
      <c r="AI1187" s="1530"/>
      <c r="AJ1187" s="1530"/>
      <c r="AK1187" s="1530"/>
      <c r="AL1187" s="1530"/>
      <c r="AM1187" s="1530"/>
      <c r="AN1187" s="1530"/>
      <c r="AO1187" s="1530"/>
      <c r="AP1187" s="1530"/>
      <c r="AQ1187" s="1530"/>
      <c r="AR1187" s="1530"/>
      <c r="AS1187" s="1530"/>
      <c r="AT1187" s="1530"/>
      <c r="AU1187" s="1530"/>
      <c r="AV1187" s="1530"/>
      <c r="AW1187" s="1530"/>
      <c r="AX1187" s="1530"/>
      <c r="AY1187" s="1530"/>
      <c r="AZ1187" s="1530"/>
      <c r="BA1187" s="1530"/>
      <c r="BB1187" s="1530"/>
      <c r="BC1187" s="1530"/>
      <c r="BD1187" s="1530"/>
      <c r="BE1187" s="1530"/>
      <c r="BF1187" s="1530"/>
      <c r="BG1187" s="1530"/>
      <c r="BH1187" s="1530"/>
      <c r="BI1187" s="1530"/>
      <c r="BJ1187" s="1530"/>
      <c r="BK1187" s="1530"/>
      <c r="BL1187" s="1530"/>
      <c r="BM1187" s="1530"/>
      <c r="BN1187" s="1530"/>
      <c r="BW1187" s="1569"/>
      <c r="CO1187" s="1530"/>
      <c r="CP1187" s="1530"/>
      <c r="CQ1187" s="1530"/>
      <c r="CR1187" s="1530"/>
      <c r="CS1187" s="1530"/>
      <c r="CT1187" s="1530"/>
      <c r="CU1187" s="1530"/>
      <c r="CV1187" s="1530"/>
      <c r="CW1187" s="1530"/>
      <c r="CX1187" s="1530"/>
      <c r="CY1187" s="1530"/>
      <c r="CZ1187" s="1530"/>
      <c r="DA1187" s="1530"/>
      <c r="DB1187" s="1530"/>
      <c r="DC1187" s="1530"/>
      <c r="DD1187" s="1530"/>
      <c r="DE1187" s="1530"/>
      <c r="DF1187" s="1530"/>
      <c r="DG1187" s="1530"/>
      <c r="DH1187" s="1530"/>
      <c r="DI1187" s="1530"/>
      <c r="DJ1187" s="1530"/>
      <c r="DK1187" s="1530"/>
      <c r="DL1187" s="1530"/>
      <c r="DM1187" s="1530"/>
      <c r="DN1187" s="1571"/>
      <c r="DO1187" s="1530"/>
      <c r="DP1187" s="1530"/>
    </row>
    <row r="1188" spans="1:120">
      <c r="A1188" s="1451"/>
      <c r="C1188" s="1451"/>
      <c r="K1188" s="1451"/>
      <c r="L1188" s="1451"/>
      <c r="U1188" s="1530"/>
      <c r="V1188" s="1530"/>
      <c r="W1188" s="1530"/>
      <c r="X1188" s="1530"/>
      <c r="Y1188" s="1530"/>
      <c r="Z1188" s="1530"/>
      <c r="AA1188" s="1530"/>
      <c r="AB1188" s="1530"/>
      <c r="AC1188" s="1530"/>
      <c r="AD1188" s="1530"/>
      <c r="AE1188" s="1530"/>
      <c r="AF1188" s="1530"/>
      <c r="AG1188" s="1530"/>
      <c r="AH1188" s="1530"/>
      <c r="AI1188" s="1530"/>
      <c r="AJ1188" s="1530"/>
      <c r="AK1188" s="1530"/>
      <c r="AL1188" s="1530"/>
      <c r="AM1188" s="1530"/>
      <c r="AN1188" s="1530"/>
      <c r="AO1188" s="1530"/>
      <c r="AP1188" s="1530"/>
      <c r="AQ1188" s="1530"/>
      <c r="AR1188" s="1530"/>
      <c r="AS1188" s="1530"/>
      <c r="AT1188" s="1530"/>
      <c r="AU1188" s="1530"/>
      <c r="AV1188" s="1530"/>
      <c r="AW1188" s="1530"/>
      <c r="AX1188" s="1530"/>
      <c r="AY1188" s="1530"/>
      <c r="AZ1188" s="1530"/>
      <c r="BA1188" s="1530"/>
      <c r="BB1188" s="1530"/>
      <c r="BC1188" s="1530"/>
      <c r="BD1188" s="1530"/>
      <c r="BE1188" s="1530"/>
      <c r="BF1188" s="1530"/>
      <c r="BG1188" s="1530"/>
      <c r="BH1188" s="1530"/>
      <c r="BI1188" s="1530"/>
      <c r="BJ1188" s="1530"/>
      <c r="BK1188" s="1530"/>
      <c r="BL1188" s="1530"/>
      <c r="BM1188" s="1530"/>
      <c r="BN1188" s="1530"/>
      <c r="BW1188" s="1569"/>
      <c r="CO1188" s="1530"/>
      <c r="CP1188" s="1530"/>
      <c r="CQ1188" s="1530"/>
      <c r="CR1188" s="1530"/>
      <c r="CS1188" s="1530"/>
      <c r="CT1188" s="1530"/>
      <c r="CU1188" s="1530"/>
      <c r="CV1188" s="1530"/>
      <c r="CW1188" s="1530"/>
      <c r="CX1188" s="1530"/>
      <c r="CY1188" s="1530"/>
      <c r="CZ1188" s="1530"/>
      <c r="DA1188" s="1530"/>
      <c r="DB1188" s="1530"/>
      <c r="DC1188" s="1530"/>
      <c r="DD1188" s="1530"/>
      <c r="DE1188" s="1530"/>
      <c r="DF1188" s="1530"/>
      <c r="DG1188" s="1530"/>
      <c r="DH1188" s="1530"/>
      <c r="DI1188" s="1530"/>
      <c r="DJ1188" s="1530"/>
      <c r="DK1188" s="1530"/>
      <c r="DL1188" s="1530"/>
      <c r="DM1188" s="1530"/>
      <c r="DN1188" s="1571"/>
      <c r="DO1188" s="1530"/>
      <c r="DP1188" s="1530"/>
    </row>
    <row r="1189" spans="1:120">
      <c r="A1189" s="1451"/>
      <c r="C1189" s="1451"/>
      <c r="K1189" s="1451"/>
      <c r="L1189" s="1451"/>
      <c r="U1189" s="1530"/>
      <c r="V1189" s="1530"/>
      <c r="W1189" s="1530"/>
      <c r="X1189" s="1530"/>
      <c r="Y1189" s="1530"/>
      <c r="Z1189" s="1530"/>
      <c r="AA1189" s="1530"/>
      <c r="AB1189" s="1530"/>
      <c r="AC1189" s="1530"/>
      <c r="AD1189" s="1530"/>
      <c r="AE1189" s="1530"/>
      <c r="AF1189" s="1530"/>
      <c r="AG1189" s="1530"/>
      <c r="AH1189" s="1530"/>
      <c r="AI1189" s="1530"/>
      <c r="AJ1189" s="1530"/>
      <c r="AK1189" s="1530"/>
      <c r="AL1189" s="1530"/>
      <c r="AM1189" s="1530"/>
      <c r="AN1189" s="1530"/>
      <c r="AO1189" s="1530"/>
      <c r="AP1189" s="1530"/>
      <c r="AQ1189" s="1530"/>
      <c r="AR1189" s="1530"/>
      <c r="AS1189" s="1530"/>
      <c r="AT1189" s="1530"/>
      <c r="AU1189" s="1530"/>
      <c r="AV1189" s="1530"/>
      <c r="AW1189" s="1530"/>
      <c r="AX1189" s="1530"/>
      <c r="AY1189" s="1530"/>
      <c r="AZ1189" s="1530"/>
      <c r="BA1189" s="1530"/>
      <c r="BB1189" s="1530"/>
      <c r="BC1189" s="1530"/>
      <c r="BD1189" s="1530"/>
      <c r="BE1189" s="1530"/>
      <c r="BF1189" s="1530"/>
      <c r="BG1189" s="1530"/>
      <c r="BH1189" s="1530"/>
      <c r="BI1189" s="1530"/>
      <c r="BJ1189" s="1530"/>
      <c r="BK1189" s="1530"/>
      <c r="BL1189" s="1530"/>
      <c r="BM1189" s="1530"/>
      <c r="BN1189" s="1530"/>
      <c r="BW1189" s="1569"/>
      <c r="CO1189" s="1530"/>
      <c r="CP1189" s="1530"/>
      <c r="CQ1189" s="1530"/>
      <c r="CR1189" s="1530"/>
      <c r="CS1189" s="1530"/>
      <c r="CT1189" s="1530"/>
      <c r="CU1189" s="1530"/>
      <c r="CV1189" s="1530"/>
      <c r="CW1189" s="1530"/>
      <c r="CX1189" s="1530"/>
      <c r="CY1189" s="1530"/>
      <c r="CZ1189" s="1530"/>
      <c r="DA1189" s="1530"/>
      <c r="DB1189" s="1530"/>
      <c r="DC1189" s="1530"/>
      <c r="DD1189" s="1530"/>
      <c r="DE1189" s="1530"/>
      <c r="DF1189" s="1530"/>
      <c r="DG1189" s="1530"/>
      <c r="DH1189" s="1530"/>
      <c r="DI1189" s="1530"/>
      <c r="DJ1189" s="1530"/>
      <c r="DK1189" s="1530"/>
      <c r="DL1189" s="1530"/>
      <c r="DM1189" s="1530"/>
      <c r="DN1189" s="1571"/>
      <c r="DO1189" s="1530"/>
      <c r="DP1189" s="1530"/>
    </row>
    <row r="1190" spans="1:120">
      <c r="A1190" s="1451"/>
      <c r="C1190" s="1451"/>
      <c r="K1190" s="1451"/>
      <c r="L1190" s="1451"/>
      <c r="U1190" s="1530"/>
      <c r="V1190" s="1530"/>
      <c r="W1190" s="1530"/>
      <c r="X1190" s="1530"/>
      <c r="Y1190" s="1530"/>
      <c r="Z1190" s="1530"/>
      <c r="AA1190" s="1530"/>
      <c r="AB1190" s="1530"/>
      <c r="AC1190" s="1530"/>
      <c r="AD1190" s="1530"/>
      <c r="AE1190" s="1530"/>
      <c r="AF1190" s="1530"/>
      <c r="AG1190" s="1530"/>
      <c r="AH1190" s="1530"/>
      <c r="AI1190" s="1530"/>
      <c r="AJ1190" s="1530"/>
      <c r="AK1190" s="1530"/>
      <c r="AL1190" s="1530"/>
      <c r="AM1190" s="1530"/>
      <c r="AN1190" s="1530"/>
      <c r="AO1190" s="1530"/>
      <c r="AP1190" s="1530"/>
      <c r="AQ1190" s="1530"/>
      <c r="AR1190" s="1530"/>
      <c r="AS1190" s="1530"/>
      <c r="AT1190" s="1530"/>
      <c r="AU1190" s="1530"/>
      <c r="AV1190" s="1530"/>
      <c r="AW1190" s="1530"/>
      <c r="AX1190" s="1530"/>
      <c r="AY1190" s="1530"/>
      <c r="AZ1190" s="1530"/>
      <c r="BA1190" s="1530"/>
      <c r="BB1190" s="1530"/>
      <c r="BC1190" s="1530"/>
      <c r="BD1190" s="1530"/>
      <c r="BE1190" s="1530"/>
      <c r="BF1190" s="1530"/>
      <c r="BG1190" s="1530"/>
      <c r="BH1190" s="1530"/>
      <c r="BI1190" s="1530"/>
      <c r="BJ1190" s="1530"/>
      <c r="BK1190" s="1530"/>
      <c r="BL1190" s="1530"/>
      <c r="BM1190" s="1530"/>
      <c r="BN1190" s="1530"/>
      <c r="BW1190" s="1569"/>
      <c r="CO1190" s="1530"/>
      <c r="CP1190" s="1530"/>
      <c r="CQ1190" s="1530"/>
      <c r="CR1190" s="1530"/>
      <c r="CS1190" s="1530"/>
      <c r="CT1190" s="1530"/>
      <c r="CU1190" s="1530"/>
      <c r="CV1190" s="1530"/>
      <c r="CW1190" s="1530"/>
      <c r="CX1190" s="1530"/>
      <c r="CY1190" s="1530"/>
      <c r="CZ1190" s="1530"/>
      <c r="DA1190" s="1530"/>
      <c r="DB1190" s="1530"/>
      <c r="DC1190" s="1530"/>
      <c r="DD1190" s="1530"/>
      <c r="DE1190" s="1530"/>
      <c r="DF1190" s="1530"/>
      <c r="DG1190" s="1530"/>
      <c r="DH1190" s="1530"/>
      <c r="DI1190" s="1530"/>
      <c r="DJ1190" s="1530"/>
      <c r="DK1190" s="1530"/>
      <c r="DL1190" s="1530"/>
      <c r="DM1190" s="1530"/>
      <c r="DN1190" s="1571"/>
      <c r="DO1190" s="1530"/>
      <c r="DP1190" s="1530"/>
    </row>
    <row r="1191" spans="1:120">
      <c r="A1191" s="1451"/>
      <c r="C1191" s="1451"/>
      <c r="K1191" s="1451"/>
      <c r="L1191" s="1451"/>
      <c r="U1191" s="1530"/>
      <c r="V1191" s="1530"/>
      <c r="W1191" s="1530"/>
      <c r="X1191" s="1530"/>
      <c r="Y1191" s="1530"/>
      <c r="Z1191" s="1530"/>
      <c r="AA1191" s="1530"/>
      <c r="AB1191" s="1530"/>
      <c r="AC1191" s="1530"/>
      <c r="AD1191" s="1530"/>
      <c r="AE1191" s="1530"/>
      <c r="AF1191" s="1530"/>
      <c r="AG1191" s="1530"/>
      <c r="AH1191" s="1530"/>
      <c r="AI1191" s="1530"/>
      <c r="AJ1191" s="1530"/>
      <c r="AK1191" s="1530"/>
      <c r="AL1191" s="1530"/>
      <c r="AM1191" s="1530"/>
      <c r="AN1191" s="1530"/>
      <c r="AO1191" s="1530"/>
      <c r="AP1191" s="1530"/>
      <c r="AQ1191" s="1530"/>
      <c r="AR1191" s="1530"/>
      <c r="AS1191" s="1530"/>
      <c r="AT1191" s="1530"/>
      <c r="AU1191" s="1530"/>
      <c r="AV1191" s="1530"/>
      <c r="AW1191" s="1530"/>
      <c r="AX1191" s="1530"/>
      <c r="AY1191" s="1530"/>
      <c r="AZ1191" s="1530"/>
      <c r="BA1191" s="1530"/>
      <c r="BB1191" s="1530"/>
      <c r="BC1191" s="1530"/>
      <c r="BD1191" s="1530"/>
      <c r="BE1191" s="1530"/>
      <c r="BF1191" s="1530"/>
      <c r="BG1191" s="1530"/>
      <c r="BH1191" s="1530"/>
      <c r="BI1191" s="1530"/>
      <c r="BJ1191" s="1530"/>
      <c r="BK1191" s="1530"/>
      <c r="BL1191" s="1530"/>
      <c r="BM1191" s="1530"/>
      <c r="BN1191" s="1530"/>
      <c r="BW1191" s="1569"/>
      <c r="CO1191" s="1530"/>
      <c r="CP1191" s="1530"/>
      <c r="CQ1191" s="1530"/>
      <c r="CR1191" s="1530"/>
      <c r="CS1191" s="1530"/>
      <c r="CT1191" s="1530"/>
      <c r="CU1191" s="1530"/>
      <c r="CV1191" s="1530"/>
      <c r="CW1191" s="1530"/>
      <c r="CX1191" s="1530"/>
      <c r="CY1191" s="1530"/>
      <c r="CZ1191" s="1530"/>
      <c r="DA1191" s="1530"/>
      <c r="DB1191" s="1530"/>
      <c r="DC1191" s="1530"/>
      <c r="DD1191" s="1530"/>
      <c r="DE1191" s="1530"/>
      <c r="DF1191" s="1530"/>
      <c r="DG1191" s="1530"/>
      <c r="DH1191" s="1530"/>
      <c r="DI1191" s="1530"/>
      <c r="DJ1191" s="1530"/>
      <c r="DK1191" s="1530"/>
      <c r="DL1191" s="1530"/>
      <c r="DM1191" s="1530"/>
      <c r="DN1191" s="1571"/>
      <c r="DO1191" s="1530"/>
      <c r="DP1191" s="1530"/>
    </row>
    <row r="1192" spans="1:120">
      <c r="A1192" s="1451"/>
      <c r="C1192" s="1451"/>
      <c r="K1192" s="1451"/>
      <c r="L1192" s="1451"/>
      <c r="U1192" s="1530"/>
      <c r="V1192" s="1530"/>
      <c r="W1192" s="1530"/>
      <c r="X1192" s="1530"/>
      <c r="Y1192" s="1530"/>
      <c r="Z1192" s="1530"/>
      <c r="AA1192" s="1530"/>
      <c r="AB1192" s="1530"/>
      <c r="AC1192" s="1530"/>
      <c r="AD1192" s="1530"/>
      <c r="AE1192" s="1530"/>
      <c r="AF1192" s="1530"/>
      <c r="AG1192" s="1530"/>
      <c r="AH1192" s="1530"/>
      <c r="AI1192" s="1530"/>
      <c r="AJ1192" s="1530"/>
      <c r="AK1192" s="1530"/>
      <c r="AL1192" s="1530"/>
      <c r="AM1192" s="1530"/>
      <c r="AN1192" s="1530"/>
      <c r="AO1192" s="1530"/>
      <c r="AP1192" s="1530"/>
      <c r="AQ1192" s="1530"/>
      <c r="AR1192" s="1530"/>
      <c r="AS1192" s="1530"/>
      <c r="AT1192" s="1530"/>
      <c r="AU1192" s="1530"/>
      <c r="AV1192" s="1530"/>
      <c r="AW1192" s="1530"/>
      <c r="AX1192" s="1530"/>
      <c r="AY1192" s="1530"/>
      <c r="AZ1192" s="1530"/>
      <c r="BA1192" s="1530"/>
      <c r="BB1192" s="1530"/>
      <c r="BC1192" s="1530"/>
      <c r="BD1192" s="1530"/>
      <c r="BE1192" s="1530"/>
      <c r="BF1192" s="1530"/>
      <c r="BG1192" s="1530"/>
      <c r="BH1192" s="1530"/>
      <c r="BI1192" s="1530"/>
      <c r="BJ1192" s="1530"/>
      <c r="BK1192" s="1530"/>
      <c r="BL1192" s="1530"/>
      <c r="BM1192" s="1530"/>
      <c r="BN1192" s="1530"/>
      <c r="BW1192" s="1569"/>
      <c r="CO1192" s="1530"/>
      <c r="CP1192" s="1530"/>
      <c r="CQ1192" s="1530"/>
      <c r="CR1192" s="1530"/>
      <c r="CS1192" s="1530"/>
      <c r="CT1192" s="1530"/>
      <c r="CU1192" s="1530"/>
      <c r="CV1192" s="1530"/>
      <c r="CW1192" s="1530"/>
      <c r="CX1192" s="1530"/>
      <c r="CY1192" s="1530"/>
      <c r="CZ1192" s="1530"/>
      <c r="DA1192" s="1530"/>
      <c r="DB1192" s="1530"/>
      <c r="DC1192" s="1530"/>
      <c r="DD1192" s="1530"/>
      <c r="DE1192" s="1530"/>
      <c r="DF1192" s="1530"/>
      <c r="DG1192" s="1530"/>
      <c r="DH1192" s="1530"/>
      <c r="DI1192" s="1530"/>
      <c r="DJ1192" s="1530"/>
      <c r="DK1192" s="1530"/>
      <c r="DL1192" s="1530"/>
      <c r="DM1192" s="1530"/>
      <c r="DN1192" s="1571"/>
      <c r="DO1192" s="1530"/>
      <c r="DP1192" s="1530"/>
    </row>
    <row r="1193" spans="1:120">
      <c r="A1193" s="1451"/>
      <c r="C1193" s="1451"/>
      <c r="K1193" s="1451"/>
      <c r="L1193" s="1451"/>
      <c r="U1193" s="1530"/>
      <c r="V1193" s="1530"/>
      <c r="W1193" s="1530"/>
      <c r="X1193" s="1530"/>
      <c r="Y1193" s="1530"/>
      <c r="Z1193" s="1530"/>
      <c r="AA1193" s="1530"/>
      <c r="AB1193" s="1530"/>
      <c r="AC1193" s="1530"/>
      <c r="AD1193" s="1530"/>
      <c r="AE1193" s="1530"/>
      <c r="AF1193" s="1530"/>
      <c r="AG1193" s="1530"/>
      <c r="AH1193" s="1530"/>
      <c r="AI1193" s="1530"/>
      <c r="AJ1193" s="1530"/>
      <c r="AK1193" s="1530"/>
      <c r="AL1193" s="1530"/>
      <c r="AM1193" s="1530"/>
      <c r="AN1193" s="1530"/>
      <c r="AO1193" s="1530"/>
      <c r="AP1193" s="1530"/>
      <c r="AQ1193" s="1530"/>
      <c r="AR1193" s="1530"/>
      <c r="AS1193" s="1530"/>
      <c r="AT1193" s="1530"/>
      <c r="AU1193" s="1530"/>
      <c r="AV1193" s="1530"/>
      <c r="AW1193" s="1530"/>
      <c r="AX1193" s="1530"/>
      <c r="AY1193" s="1530"/>
      <c r="AZ1193" s="1530"/>
      <c r="BA1193" s="1530"/>
      <c r="BB1193" s="1530"/>
      <c r="BC1193" s="1530"/>
      <c r="BD1193" s="1530"/>
      <c r="BE1193" s="1530"/>
      <c r="BF1193" s="1530"/>
      <c r="BG1193" s="1530"/>
      <c r="BH1193" s="1530"/>
      <c r="BI1193" s="1530"/>
      <c r="BJ1193" s="1530"/>
      <c r="BK1193" s="1530"/>
      <c r="BL1193" s="1530"/>
      <c r="BM1193" s="1530"/>
      <c r="BN1193" s="1530"/>
      <c r="BW1193" s="1569"/>
      <c r="CO1193" s="1530"/>
      <c r="CP1193" s="1530"/>
      <c r="CQ1193" s="1530"/>
      <c r="CR1193" s="1530"/>
      <c r="CS1193" s="1530"/>
      <c r="CT1193" s="1530"/>
      <c r="CU1193" s="1530"/>
      <c r="CV1193" s="1530"/>
      <c r="CW1193" s="1530"/>
      <c r="CX1193" s="1530"/>
      <c r="CY1193" s="1530"/>
      <c r="CZ1193" s="1530"/>
      <c r="DA1193" s="1530"/>
      <c r="DB1193" s="1530"/>
      <c r="DC1193" s="1530"/>
      <c r="DD1193" s="1530"/>
      <c r="DE1193" s="1530"/>
      <c r="DF1193" s="1530"/>
      <c r="DG1193" s="1530"/>
      <c r="DH1193" s="1530"/>
      <c r="DI1193" s="1530"/>
      <c r="DJ1193" s="1530"/>
      <c r="DK1193" s="1530"/>
      <c r="DL1193" s="1530"/>
      <c r="DM1193" s="1530"/>
      <c r="DN1193" s="1571"/>
      <c r="DO1193" s="1530"/>
      <c r="DP1193" s="1530"/>
    </row>
    <row r="1194" spans="1:120">
      <c r="A1194" s="1451"/>
      <c r="C1194" s="1451"/>
      <c r="K1194" s="1451"/>
      <c r="L1194" s="1451"/>
      <c r="U1194" s="1530"/>
      <c r="V1194" s="1530"/>
      <c r="W1194" s="1530"/>
      <c r="X1194" s="1530"/>
      <c r="Y1194" s="1530"/>
      <c r="Z1194" s="1530"/>
      <c r="AA1194" s="1530"/>
      <c r="AB1194" s="1530"/>
      <c r="AC1194" s="1530"/>
      <c r="AD1194" s="1530"/>
      <c r="AE1194" s="1530"/>
      <c r="AF1194" s="1530"/>
      <c r="AG1194" s="1530"/>
      <c r="AH1194" s="1530"/>
      <c r="AI1194" s="1530"/>
      <c r="AJ1194" s="1530"/>
      <c r="AK1194" s="1530"/>
      <c r="AL1194" s="1530"/>
      <c r="AM1194" s="1530"/>
      <c r="AN1194" s="1530"/>
      <c r="AO1194" s="1530"/>
      <c r="AP1194" s="1530"/>
      <c r="AQ1194" s="1530"/>
      <c r="AR1194" s="1530"/>
      <c r="AS1194" s="1530"/>
      <c r="AT1194" s="1530"/>
      <c r="AU1194" s="1530"/>
      <c r="AV1194" s="1530"/>
      <c r="AW1194" s="1530"/>
      <c r="AX1194" s="1530"/>
      <c r="AY1194" s="1530"/>
      <c r="AZ1194" s="1530"/>
      <c r="BA1194" s="1530"/>
      <c r="BB1194" s="1530"/>
      <c r="BC1194" s="1530"/>
      <c r="BD1194" s="1530"/>
      <c r="BE1194" s="1530"/>
      <c r="BF1194" s="1530"/>
      <c r="BG1194" s="1530"/>
      <c r="BH1194" s="1530"/>
      <c r="BI1194" s="1530"/>
      <c r="BJ1194" s="1530"/>
      <c r="BK1194" s="1530"/>
      <c r="BL1194" s="1530"/>
      <c r="BM1194" s="1530"/>
      <c r="BN1194" s="1530"/>
      <c r="BW1194" s="1569"/>
      <c r="CO1194" s="1530"/>
      <c r="CP1194" s="1530"/>
      <c r="CQ1194" s="1530"/>
      <c r="CR1194" s="1530"/>
      <c r="CS1194" s="1530"/>
      <c r="CT1194" s="1530"/>
      <c r="CU1194" s="1530"/>
      <c r="CV1194" s="1530"/>
      <c r="CW1194" s="1530"/>
      <c r="CX1194" s="1530"/>
      <c r="CY1194" s="1530"/>
      <c r="CZ1194" s="1530"/>
      <c r="DA1194" s="1530"/>
      <c r="DB1194" s="1530"/>
      <c r="DC1194" s="1530"/>
      <c r="DD1194" s="1530"/>
      <c r="DE1194" s="1530"/>
      <c r="DF1194" s="1530"/>
      <c r="DG1194" s="1530"/>
      <c r="DH1194" s="1530"/>
      <c r="DI1194" s="1530"/>
      <c r="DJ1194" s="1530"/>
      <c r="DK1194" s="1530"/>
      <c r="DL1194" s="1530"/>
      <c r="DM1194" s="1530"/>
      <c r="DN1194" s="1571"/>
      <c r="DO1194" s="1530"/>
      <c r="DP1194" s="1530"/>
    </row>
    <row r="1195" spans="1:120">
      <c r="A1195" s="1451"/>
      <c r="C1195" s="1451"/>
      <c r="K1195" s="1451"/>
      <c r="L1195" s="1451"/>
      <c r="U1195" s="1530"/>
      <c r="V1195" s="1530"/>
      <c r="W1195" s="1530"/>
      <c r="X1195" s="1530"/>
      <c r="Y1195" s="1530"/>
      <c r="Z1195" s="1530"/>
      <c r="AA1195" s="1530"/>
      <c r="AB1195" s="1530"/>
      <c r="AC1195" s="1530"/>
      <c r="AD1195" s="1530"/>
      <c r="AE1195" s="1530"/>
      <c r="AF1195" s="1530"/>
      <c r="AG1195" s="1530"/>
      <c r="AH1195" s="1530"/>
      <c r="AI1195" s="1530"/>
      <c r="AJ1195" s="1530"/>
      <c r="AK1195" s="1530"/>
      <c r="AL1195" s="1530"/>
      <c r="AM1195" s="1530"/>
      <c r="AN1195" s="1530"/>
      <c r="AO1195" s="1530"/>
      <c r="AP1195" s="1530"/>
      <c r="AQ1195" s="1530"/>
      <c r="AR1195" s="1530"/>
      <c r="AS1195" s="1530"/>
      <c r="AT1195" s="1530"/>
      <c r="AU1195" s="1530"/>
      <c r="AV1195" s="1530"/>
      <c r="AW1195" s="1530"/>
      <c r="AX1195" s="1530"/>
      <c r="AY1195" s="1530"/>
      <c r="AZ1195" s="1530"/>
      <c r="BA1195" s="1530"/>
      <c r="BB1195" s="1530"/>
      <c r="BC1195" s="1530"/>
      <c r="BD1195" s="1530"/>
      <c r="BE1195" s="1530"/>
      <c r="BF1195" s="1530"/>
      <c r="BG1195" s="1530"/>
      <c r="BH1195" s="1530"/>
      <c r="BI1195" s="1530"/>
      <c r="BJ1195" s="1530"/>
      <c r="BK1195" s="1530"/>
      <c r="BL1195" s="1530"/>
      <c r="BM1195" s="1530"/>
      <c r="BN1195" s="1530"/>
      <c r="BW1195" s="1569"/>
      <c r="CO1195" s="1530"/>
      <c r="CP1195" s="1530"/>
      <c r="CQ1195" s="1530"/>
      <c r="CR1195" s="1530"/>
      <c r="CS1195" s="1530"/>
      <c r="CT1195" s="1530"/>
      <c r="CU1195" s="1530"/>
      <c r="CV1195" s="1530"/>
      <c r="CW1195" s="1530"/>
      <c r="CX1195" s="1530"/>
      <c r="CY1195" s="1530"/>
      <c r="CZ1195" s="1530"/>
      <c r="DA1195" s="1530"/>
      <c r="DB1195" s="1530"/>
      <c r="DC1195" s="1530"/>
      <c r="DD1195" s="1530"/>
      <c r="DE1195" s="1530"/>
      <c r="DF1195" s="1530"/>
      <c r="DG1195" s="1530"/>
      <c r="DH1195" s="1530"/>
      <c r="DI1195" s="1530"/>
      <c r="DJ1195" s="1530"/>
      <c r="DK1195" s="1530"/>
      <c r="DL1195" s="1530"/>
      <c r="DM1195" s="1530"/>
      <c r="DN1195" s="1571"/>
      <c r="DO1195" s="1530"/>
      <c r="DP1195" s="1530"/>
    </row>
    <row r="1196" spans="1:120">
      <c r="A1196" s="1451"/>
      <c r="C1196" s="1451"/>
      <c r="K1196" s="1451"/>
      <c r="L1196" s="1451"/>
      <c r="U1196" s="1530"/>
      <c r="V1196" s="1530"/>
      <c r="W1196" s="1530"/>
      <c r="X1196" s="1530"/>
      <c r="Y1196" s="1530"/>
      <c r="Z1196" s="1530"/>
      <c r="AA1196" s="1530"/>
      <c r="AB1196" s="1530"/>
      <c r="AC1196" s="1530"/>
      <c r="AD1196" s="1530"/>
      <c r="AE1196" s="1530"/>
      <c r="AF1196" s="1530"/>
      <c r="AG1196" s="1530"/>
      <c r="AH1196" s="1530"/>
      <c r="AI1196" s="1530"/>
      <c r="AJ1196" s="1530"/>
      <c r="AK1196" s="1530"/>
      <c r="AL1196" s="1530"/>
      <c r="AM1196" s="1530"/>
      <c r="AN1196" s="1530"/>
      <c r="AO1196" s="1530"/>
      <c r="AP1196" s="1530"/>
      <c r="AQ1196" s="1530"/>
      <c r="AR1196" s="1530"/>
      <c r="AS1196" s="1530"/>
      <c r="AT1196" s="1530"/>
      <c r="AU1196" s="1530"/>
      <c r="AV1196" s="1530"/>
      <c r="AW1196" s="1530"/>
      <c r="AX1196" s="1530"/>
      <c r="AY1196" s="1530"/>
      <c r="AZ1196" s="1530"/>
      <c r="BA1196" s="1530"/>
      <c r="BB1196" s="1530"/>
      <c r="BC1196" s="1530"/>
      <c r="BD1196" s="1530"/>
      <c r="BE1196" s="1530"/>
      <c r="BF1196" s="1530"/>
      <c r="BG1196" s="1530"/>
      <c r="BH1196" s="1530"/>
      <c r="BI1196" s="1530"/>
      <c r="BJ1196" s="1530"/>
      <c r="BK1196" s="1530"/>
      <c r="BL1196" s="1530"/>
      <c r="BM1196" s="1530"/>
      <c r="BN1196" s="1530"/>
      <c r="BW1196" s="1569"/>
      <c r="CO1196" s="1530"/>
      <c r="CP1196" s="1530"/>
      <c r="CQ1196" s="1530"/>
      <c r="CR1196" s="1530"/>
      <c r="CS1196" s="1530"/>
      <c r="CT1196" s="1530"/>
      <c r="CU1196" s="1530"/>
      <c r="CV1196" s="1530"/>
      <c r="CW1196" s="1530"/>
      <c r="CX1196" s="1530"/>
      <c r="CY1196" s="1530"/>
      <c r="CZ1196" s="1530"/>
      <c r="DA1196" s="1530"/>
      <c r="DB1196" s="1530"/>
      <c r="DC1196" s="1530"/>
      <c r="DD1196" s="1530"/>
      <c r="DE1196" s="1530"/>
      <c r="DF1196" s="1530"/>
      <c r="DG1196" s="1530"/>
      <c r="DH1196" s="1530"/>
      <c r="DI1196" s="1530"/>
      <c r="DJ1196" s="1530"/>
      <c r="DK1196" s="1530"/>
      <c r="DL1196" s="1530"/>
      <c r="DM1196" s="1530"/>
      <c r="DN1196" s="1571"/>
      <c r="DO1196" s="1530"/>
      <c r="DP1196" s="1530"/>
    </row>
    <row r="1197" spans="1:120">
      <c r="A1197" s="1451"/>
      <c r="C1197" s="1451"/>
      <c r="K1197" s="1451"/>
      <c r="L1197" s="1451"/>
      <c r="U1197" s="1530"/>
      <c r="V1197" s="1530"/>
      <c r="W1197" s="1530"/>
      <c r="X1197" s="1530"/>
      <c r="Y1197" s="1530"/>
      <c r="Z1197" s="1530"/>
      <c r="AA1197" s="1530"/>
      <c r="AB1197" s="1530"/>
      <c r="AC1197" s="1530"/>
      <c r="AD1197" s="1530"/>
      <c r="AE1197" s="1530"/>
      <c r="AF1197" s="1530"/>
      <c r="AG1197" s="1530"/>
      <c r="AH1197" s="1530"/>
      <c r="AI1197" s="1530"/>
      <c r="AJ1197" s="1530"/>
      <c r="AK1197" s="1530"/>
      <c r="AL1197" s="1530"/>
      <c r="AM1197" s="1530"/>
      <c r="AN1197" s="1530"/>
      <c r="AO1197" s="1530"/>
      <c r="AP1197" s="1530"/>
      <c r="AQ1197" s="1530"/>
      <c r="AR1197" s="1530"/>
      <c r="AS1197" s="1530"/>
      <c r="AT1197" s="1530"/>
      <c r="AU1197" s="1530"/>
      <c r="AV1197" s="1530"/>
      <c r="AW1197" s="1530"/>
      <c r="AX1197" s="1530"/>
      <c r="AY1197" s="1530"/>
      <c r="AZ1197" s="1530"/>
      <c r="BA1197" s="1530"/>
      <c r="BB1197" s="1530"/>
      <c r="BC1197" s="1530"/>
      <c r="BD1197" s="1530"/>
      <c r="BE1197" s="1530"/>
      <c r="BF1197" s="1530"/>
      <c r="BG1197" s="1530"/>
      <c r="BH1197" s="1530"/>
      <c r="BI1197" s="1530"/>
      <c r="BJ1197" s="1530"/>
      <c r="BK1197" s="1530"/>
      <c r="BL1197" s="1530"/>
      <c r="BM1197" s="1530"/>
      <c r="BN1197" s="1530"/>
      <c r="BW1197" s="1569"/>
      <c r="CO1197" s="1530"/>
      <c r="CP1197" s="1530"/>
      <c r="CQ1197" s="1530"/>
      <c r="CR1197" s="1530"/>
      <c r="CS1197" s="1530"/>
      <c r="CT1197" s="1530"/>
      <c r="CU1197" s="1530"/>
      <c r="CV1197" s="1530"/>
      <c r="CW1197" s="1530"/>
      <c r="CX1197" s="1530"/>
      <c r="CY1197" s="1530"/>
      <c r="CZ1197" s="1530"/>
      <c r="DA1197" s="1530"/>
      <c r="DB1197" s="1530"/>
      <c r="DC1197" s="1530"/>
      <c r="DD1197" s="1530"/>
      <c r="DE1197" s="1530"/>
      <c r="DF1197" s="1530"/>
      <c r="DG1197" s="1530"/>
      <c r="DH1197" s="1530"/>
      <c r="DI1197" s="1530"/>
      <c r="DJ1197" s="1530"/>
      <c r="DK1197" s="1530"/>
      <c r="DL1197" s="1530"/>
      <c r="DM1197" s="1530"/>
      <c r="DN1197" s="1571"/>
      <c r="DO1197" s="1530"/>
      <c r="DP1197" s="1530"/>
    </row>
    <row r="1198" spans="1:120">
      <c r="A1198" s="1451"/>
      <c r="C1198" s="1451"/>
      <c r="K1198" s="1451"/>
      <c r="L1198" s="1451"/>
      <c r="U1198" s="1530"/>
      <c r="V1198" s="1530"/>
      <c r="W1198" s="1530"/>
      <c r="X1198" s="1530"/>
      <c r="Y1198" s="1530"/>
      <c r="Z1198" s="1530"/>
      <c r="AA1198" s="1530"/>
      <c r="AB1198" s="1530"/>
      <c r="AC1198" s="1530"/>
      <c r="AD1198" s="1530"/>
      <c r="AE1198" s="1530"/>
      <c r="AF1198" s="1530"/>
      <c r="AG1198" s="1530"/>
      <c r="AH1198" s="1530"/>
      <c r="AI1198" s="1530"/>
      <c r="AJ1198" s="1530"/>
      <c r="AK1198" s="1530"/>
      <c r="AL1198" s="1530"/>
      <c r="AM1198" s="1530"/>
      <c r="AN1198" s="1530"/>
      <c r="AO1198" s="1530"/>
      <c r="AP1198" s="1530"/>
      <c r="AQ1198" s="1530"/>
      <c r="AR1198" s="1530"/>
      <c r="AS1198" s="1530"/>
      <c r="AT1198" s="1530"/>
      <c r="AU1198" s="1530"/>
      <c r="AV1198" s="1530"/>
      <c r="AW1198" s="1530"/>
      <c r="AX1198" s="1530"/>
      <c r="AY1198" s="1530"/>
      <c r="AZ1198" s="1530"/>
      <c r="BA1198" s="1530"/>
      <c r="BB1198" s="1530"/>
      <c r="BC1198" s="1530"/>
      <c r="BD1198" s="1530"/>
      <c r="BE1198" s="1530"/>
      <c r="BF1198" s="1530"/>
      <c r="BG1198" s="1530"/>
      <c r="BH1198" s="1530"/>
      <c r="BI1198" s="1530"/>
      <c r="BJ1198" s="1530"/>
      <c r="BK1198" s="1530"/>
      <c r="BL1198" s="1530"/>
      <c r="BM1198" s="1530"/>
      <c r="BN1198" s="1530"/>
      <c r="BW1198" s="1569"/>
      <c r="CO1198" s="1530"/>
      <c r="CP1198" s="1530"/>
      <c r="CQ1198" s="1530"/>
      <c r="CR1198" s="1530"/>
      <c r="CS1198" s="1530"/>
      <c r="CT1198" s="1530"/>
      <c r="CU1198" s="1530"/>
      <c r="CV1198" s="1530"/>
      <c r="CW1198" s="1530"/>
      <c r="CX1198" s="1530"/>
      <c r="CY1198" s="1530"/>
      <c r="CZ1198" s="1530"/>
      <c r="DA1198" s="1530"/>
      <c r="DB1198" s="1530"/>
      <c r="DC1198" s="1530"/>
      <c r="DD1198" s="1530"/>
      <c r="DE1198" s="1530"/>
      <c r="DF1198" s="1530"/>
      <c r="DG1198" s="1530"/>
      <c r="DH1198" s="1530"/>
      <c r="DI1198" s="1530"/>
      <c r="DJ1198" s="1530"/>
      <c r="DK1198" s="1530"/>
      <c r="DL1198" s="1530"/>
      <c r="DM1198" s="1530"/>
      <c r="DN1198" s="1571"/>
      <c r="DO1198" s="1530"/>
      <c r="DP1198" s="1530"/>
    </row>
    <row r="1199" spans="1:120">
      <c r="A1199" s="1451"/>
      <c r="C1199" s="1451"/>
      <c r="K1199" s="1451"/>
      <c r="L1199" s="1451"/>
      <c r="U1199" s="1530"/>
      <c r="V1199" s="1530"/>
      <c r="W1199" s="1530"/>
      <c r="X1199" s="1530"/>
      <c r="Y1199" s="1530"/>
      <c r="Z1199" s="1530"/>
      <c r="AA1199" s="1530"/>
      <c r="AB1199" s="1530"/>
      <c r="AC1199" s="1530"/>
      <c r="AD1199" s="1530"/>
      <c r="AE1199" s="1530"/>
      <c r="AF1199" s="1530"/>
      <c r="AG1199" s="1530"/>
      <c r="AH1199" s="1530"/>
      <c r="AI1199" s="1530"/>
      <c r="AJ1199" s="1530"/>
      <c r="AK1199" s="1530"/>
      <c r="AL1199" s="1530"/>
      <c r="AM1199" s="1530"/>
      <c r="AN1199" s="1530"/>
      <c r="AO1199" s="1530"/>
      <c r="AP1199" s="1530"/>
      <c r="AQ1199" s="1530"/>
      <c r="AR1199" s="1530"/>
      <c r="AS1199" s="1530"/>
      <c r="AT1199" s="1530"/>
      <c r="AU1199" s="1530"/>
      <c r="AV1199" s="1530"/>
      <c r="AW1199" s="1530"/>
      <c r="AX1199" s="1530"/>
      <c r="AY1199" s="1530"/>
      <c r="AZ1199" s="1530"/>
      <c r="BA1199" s="1530"/>
      <c r="BB1199" s="1530"/>
      <c r="BC1199" s="1530"/>
      <c r="BD1199" s="1530"/>
      <c r="BE1199" s="1530"/>
      <c r="BF1199" s="1530"/>
      <c r="BG1199" s="1530"/>
      <c r="BH1199" s="1530"/>
      <c r="BI1199" s="1530"/>
      <c r="BJ1199" s="1530"/>
      <c r="BK1199" s="1530"/>
      <c r="BL1199" s="1530"/>
      <c r="BM1199" s="1530"/>
      <c r="BN1199" s="1530"/>
      <c r="BW1199" s="1569"/>
      <c r="CO1199" s="1530"/>
      <c r="CP1199" s="1530"/>
      <c r="CQ1199" s="1530"/>
      <c r="CR1199" s="1530"/>
      <c r="CS1199" s="1530"/>
      <c r="CT1199" s="1530"/>
      <c r="CU1199" s="1530"/>
      <c r="CV1199" s="1530"/>
      <c r="CW1199" s="1530"/>
      <c r="CX1199" s="1530"/>
      <c r="CY1199" s="1530"/>
      <c r="CZ1199" s="1530"/>
      <c r="DA1199" s="1530"/>
      <c r="DB1199" s="1530"/>
      <c r="DC1199" s="1530"/>
      <c r="DD1199" s="1530"/>
      <c r="DE1199" s="1530"/>
      <c r="DF1199" s="1530"/>
      <c r="DG1199" s="1530"/>
      <c r="DH1199" s="1530"/>
      <c r="DI1199" s="1530"/>
      <c r="DJ1199" s="1530"/>
      <c r="DK1199" s="1530"/>
      <c r="DL1199" s="1530"/>
      <c r="DM1199" s="1530"/>
      <c r="DN1199" s="1571"/>
      <c r="DO1199" s="1530"/>
      <c r="DP1199" s="1530"/>
    </row>
    <row r="1200" spans="1:120">
      <c r="A1200" s="1451"/>
      <c r="C1200" s="1451"/>
      <c r="K1200" s="1451"/>
      <c r="L1200" s="1451"/>
      <c r="U1200" s="1530"/>
      <c r="V1200" s="1530"/>
      <c r="W1200" s="1530"/>
      <c r="X1200" s="1530"/>
      <c r="Y1200" s="1530"/>
      <c r="Z1200" s="1530"/>
      <c r="AA1200" s="1530"/>
      <c r="AB1200" s="1530"/>
      <c r="AC1200" s="1530"/>
      <c r="AD1200" s="1530"/>
      <c r="AE1200" s="1530"/>
      <c r="AF1200" s="1530"/>
      <c r="AG1200" s="1530"/>
      <c r="AH1200" s="1530"/>
      <c r="AI1200" s="1530"/>
      <c r="AJ1200" s="1530"/>
      <c r="AK1200" s="1530"/>
      <c r="AL1200" s="1530"/>
      <c r="AM1200" s="1530"/>
      <c r="AN1200" s="1530"/>
      <c r="AO1200" s="1530"/>
      <c r="AP1200" s="1530"/>
      <c r="AQ1200" s="1530"/>
      <c r="AR1200" s="1530"/>
      <c r="AS1200" s="1530"/>
      <c r="AT1200" s="1530"/>
      <c r="AU1200" s="1530"/>
      <c r="AV1200" s="1530"/>
      <c r="AW1200" s="1530"/>
      <c r="AX1200" s="1530"/>
      <c r="AY1200" s="1530"/>
      <c r="AZ1200" s="1530"/>
      <c r="BA1200" s="1530"/>
      <c r="BB1200" s="1530"/>
      <c r="BC1200" s="1530"/>
      <c r="BD1200" s="1530"/>
      <c r="BE1200" s="1530"/>
      <c r="BF1200" s="1530"/>
      <c r="BG1200" s="1530"/>
      <c r="BH1200" s="1530"/>
      <c r="BI1200" s="1530"/>
      <c r="BJ1200" s="1530"/>
      <c r="BK1200" s="1530"/>
      <c r="BL1200" s="1530"/>
      <c r="BM1200" s="1530"/>
      <c r="BN1200" s="1530"/>
      <c r="BW1200" s="1569"/>
      <c r="CO1200" s="1530"/>
      <c r="CP1200" s="1530"/>
      <c r="CQ1200" s="1530"/>
      <c r="CR1200" s="1530"/>
      <c r="CS1200" s="1530"/>
      <c r="CT1200" s="1530"/>
      <c r="CU1200" s="1530"/>
      <c r="CV1200" s="1530"/>
      <c r="CW1200" s="1530"/>
      <c r="CX1200" s="1530"/>
      <c r="CY1200" s="1530"/>
      <c r="CZ1200" s="1530"/>
      <c r="DA1200" s="1530"/>
      <c r="DB1200" s="1530"/>
      <c r="DC1200" s="1530"/>
      <c r="DD1200" s="1530"/>
      <c r="DE1200" s="1530"/>
      <c r="DF1200" s="1530"/>
      <c r="DG1200" s="1530"/>
      <c r="DH1200" s="1530"/>
      <c r="DI1200" s="1530"/>
      <c r="DJ1200" s="1530"/>
      <c r="DK1200" s="1530"/>
      <c r="DL1200" s="1530"/>
      <c r="DM1200" s="1530"/>
      <c r="DN1200" s="1571"/>
      <c r="DO1200" s="1530"/>
      <c r="DP1200" s="1530"/>
    </row>
    <row r="1201" spans="1:120">
      <c r="A1201" s="1451"/>
      <c r="C1201" s="1451"/>
      <c r="K1201" s="1451"/>
      <c r="L1201" s="1451"/>
      <c r="U1201" s="1530"/>
      <c r="V1201" s="1530"/>
      <c r="W1201" s="1530"/>
      <c r="X1201" s="1530"/>
      <c r="Y1201" s="1530"/>
      <c r="Z1201" s="1530"/>
      <c r="AA1201" s="1530"/>
      <c r="AB1201" s="1530"/>
      <c r="AC1201" s="1530"/>
      <c r="AD1201" s="1530"/>
      <c r="AE1201" s="1530"/>
      <c r="AF1201" s="1530"/>
      <c r="AG1201" s="1530"/>
      <c r="AH1201" s="1530"/>
      <c r="AI1201" s="1530"/>
      <c r="AJ1201" s="1530"/>
      <c r="AK1201" s="1530"/>
      <c r="AL1201" s="1530"/>
      <c r="AM1201" s="1530"/>
      <c r="AN1201" s="1530"/>
      <c r="AO1201" s="1530"/>
      <c r="AP1201" s="1530"/>
      <c r="AQ1201" s="1530"/>
      <c r="AR1201" s="1530"/>
      <c r="AS1201" s="1530"/>
      <c r="AT1201" s="1530"/>
      <c r="AU1201" s="1530"/>
      <c r="AV1201" s="1530"/>
      <c r="AW1201" s="1530"/>
      <c r="AX1201" s="1530"/>
      <c r="AY1201" s="1530"/>
      <c r="AZ1201" s="1530"/>
      <c r="BA1201" s="1530"/>
      <c r="BB1201" s="1530"/>
      <c r="BC1201" s="1530"/>
      <c r="BD1201" s="1530"/>
      <c r="BE1201" s="1530"/>
      <c r="BF1201" s="1530"/>
      <c r="BG1201" s="1530"/>
      <c r="BH1201" s="1530"/>
      <c r="BI1201" s="1530"/>
      <c r="BJ1201" s="1530"/>
      <c r="BK1201" s="1530"/>
      <c r="BL1201" s="1530"/>
      <c r="BM1201" s="1530"/>
      <c r="BN1201" s="1530"/>
      <c r="BW1201" s="1569"/>
      <c r="CO1201" s="1530"/>
      <c r="CP1201" s="1530"/>
      <c r="CQ1201" s="1530"/>
      <c r="CR1201" s="1530"/>
      <c r="CS1201" s="1530"/>
      <c r="CT1201" s="1530"/>
      <c r="CU1201" s="1530"/>
      <c r="CV1201" s="1530"/>
      <c r="CW1201" s="1530"/>
      <c r="CX1201" s="1530"/>
      <c r="CY1201" s="1530"/>
      <c r="CZ1201" s="1530"/>
      <c r="DA1201" s="1530"/>
      <c r="DB1201" s="1530"/>
      <c r="DC1201" s="1530"/>
      <c r="DD1201" s="1530"/>
      <c r="DE1201" s="1530"/>
      <c r="DF1201" s="1530"/>
      <c r="DG1201" s="1530"/>
      <c r="DH1201" s="1530"/>
      <c r="DI1201" s="1530"/>
      <c r="DJ1201" s="1530"/>
      <c r="DK1201" s="1530"/>
      <c r="DL1201" s="1530"/>
      <c r="DM1201" s="1530"/>
      <c r="DN1201" s="1571"/>
      <c r="DO1201" s="1530"/>
      <c r="DP1201" s="1530"/>
    </row>
    <row r="1202" spans="1:120">
      <c r="A1202" s="1451"/>
      <c r="C1202" s="1451"/>
      <c r="K1202" s="1451"/>
      <c r="L1202" s="1451"/>
      <c r="U1202" s="1530"/>
      <c r="V1202" s="1530"/>
      <c r="W1202" s="1530"/>
      <c r="X1202" s="1530"/>
      <c r="Y1202" s="1530"/>
      <c r="Z1202" s="1530"/>
      <c r="AA1202" s="1530"/>
      <c r="AB1202" s="1530"/>
      <c r="AC1202" s="1530"/>
      <c r="AD1202" s="1530"/>
      <c r="AE1202" s="1530"/>
      <c r="AF1202" s="1530"/>
      <c r="AG1202" s="1530"/>
      <c r="AH1202" s="1530"/>
      <c r="AI1202" s="1530"/>
      <c r="AJ1202" s="1530"/>
      <c r="AK1202" s="1530"/>
      <c r="AL1202" s="1530"/>
      <c r="AM1202" s="1530"/>
      <c r="AN1202" s="1530"/>
      <c r="AO1202" s="1530"/>
      <c r="AP1202" s="1530"/>
      <c r="AQ1202" s="1530"/>
      <c r="AR1202" s="1530"/>
      <c r="AS1202" s="1530"/>
      <c r="AT1202" s="1530"/>
      <c r="AU1202" s="1530"/>
      <c r="AV1202" s="1530"/>
      <c r="AW1202" s="1530"/>
      <c r="AX1202" s="1530"/>
      <c r="AY1202" s="1530"/>
      <c r="AZ1202" s="1530"/>
      <c r="BA1202" s="1530"/>
      <c r="BB1202" s="1530"/>
      <c r="BC1202" s="1530"/>
      <c r="BD1202" s="1530"/>
      <c r="BE1202" s="1530"/>
      <c r="BF1202" s="1530"/>
      <c r="BG1202" s="1530"/>
      <c r="BH1202" s="1530"/>
      <c r="BI1202" s="1530"/>
      <c r="BJ1202" s="1530"/>
      <c r="BK1202" s="1530"/>
      <c r="BL1202" s="1530"/>
      <c r="BM1202" s="1530"/>
      <c r="BN1202" s="1530"/>
      <c r="BW1202" s="1569"/>
      <c r="CO1202" s="1530"/>
      <c r="CP1202" s="1530"/>
      <c r="CQ1202" s="1530"/>
      <c r="CR1202" s="1530"/>
      <c r="CS1202" s="1530"/>
      <c r="CT1202" s="1530"/>
      <c r="CU1202" s="1530"/>
      <c r="CV1202" s="1530"/>
      <c r="CW1202" s="1530"/>
      <c r="CX1202" s="1530"/>
      <c r="CY1202" s="1530"/>
      <c r="CZ1202" s="1530"/>
      <c r="DA1202" s="1530"/>
      <c r="DB1202" s="1530"/>
      <c r="DC1202" s="1530"/>
      <c r="DD1202" s="1530"/>
      <c r="DE1202" s="1530"/>
      <c r="DF1202" s="1530"/>
      <c r="DG1202" s="1530"/>
      <c r="DH1202" s="1530"/>
      <c r="DI1202" s="1530"/>
      <c r="DJ1202" s="1530"/>
      <c r="DK1202" s="1530"/>
      <c r="DL1202" s="1530"/>
      <c r="DM1202" s="1530"/>
      <c r="DN1202" s="1571"/>
      <c r="DO1202" s="1530"/>
      <c r="DP1202" s="1530"/>
    </row>
    <row r="1203" spans="1:120">
      <c r="A1203" s="1451"/>
      <c r="C1203" s="1451"/>
      <c r="K1203" s="1451"/>
      <c r="L1203" s="1451"/>
      <c r="U1203" s="1530"/>
      <c r="V1203" s="1530"/>
      <c r="W1203" s="1530"/>
      <c r="X1203" s="1530"/>
      <c r="Y1203" s="1530"/>
      <c r="Z1203" s="1530"/>
      <c r="AA1203" s="1530"/>
      <c r="AB1203" s="1530"/>
      <c r="AC1203" s="1530"/>
      <c r="AD1203" s="1530"/>
      <c r="AE1203" s="1530"/>
      <c r="AF1203" s="1530"/>
      <c r="AG1203" s="1530"/>
      <c r="AH1203" s="1530"/>
      <c r="AI1203" s="1530"/>
      <c r="AJ1203" s="1530"/>
      <c r="AK1203" s="1530"/>
      <c r="AL1203" s="1530"/>
      <c r="AM1203" s="1530"/>
      <c r="AN1203" s="1530"/>
      <c r="AO1203" s="1530"/>
      <c r="AP1203" s="1530"/>
      <c r="AQ1203" s="1530"/>
      <c r="AR1203" s="1530"/>
      <c r="AS1203" s="1530"/>
      <c r="AT1203" s="1530"/>
      <c r="AU1203" s="1530"/>
      <c r="AV1203" s="1530"/>
      <c r="AW1203" s="1530"/>
      <c r="AX1203" s="1530"/>
      <c r="AY1203" s="1530"/>
      <c r="AZ1203" s="1530"/>
      <c r="BA1203" s="1530"/>
      <c r="BB1203" s="1530"/>
      <c r="BC1203" s="1530"/>
      <c r="BD1203" s="1530"/>
      <c r="BE1203" s="1530"/>
      <c r="BF1203" s="1530"/>
      <c r="BG1203" s="1530"/>
      <c r="BH1203" s="1530"/>
      <c r="BI1203" s="1530"/>
      <c r="BJ1203" s="1530"/>
      <c r="BK1203" s="1530"/>
      <c r="BL1203" s="1530"/>
      <c r="BM1203" s="1530"/>
      <c r="BN1203" s="1530"/>
      <c r="BW1203" s="1569"/>
      <c r="CO1203" s="1530"/>
      <c r="CP1203" s="1530"/>
      <c r="CQ1203" s="1530"/>
      <c r="CR1203" s="1530"/>
      <c r="CS1203" s="1530"/>
      <c r="CT1203" s="1530"/>
      <c r="CU1203" s="1530"/>
      <c r="CV1203" s="1530"/>
      <c r="CW1203" s="1530"/>
      <c r="CX1203" s="1530"/>
      <c r="CY1203" s="1530"/>
      <c r="CZ1203" s="1530"/>
      <c r="DA1203" s="1530"/>
      <c r="DB1203" s="1530"/>
      <c r="DC1203" s="1530"/>
      <c r="DD1203" s="1530"/>
      <c r="DE1203" s="1530"/>
      <c r="DF1203" s="1530"/>
      <c r="DG1203" s="1530"/>
      <c r="DH1203" s="1530"/>
      <c r="DI1203" s="1530"/>
      <c r="DJ1203" s="1530"/>
      <c r="DK1203" s="1530"/>
      <c r="DL1203" s="1530"/>
      <c r="DM1203" s="1530"/>
      <c r="DN1203" s="1571"/>
      <c r="DO1203" s="1530"/>
      <c r="DP1203" s="1530"/>
    </row>
    <row r="1204" spans="1:120">
      <c r="A1204" s="1451"/>
      <c r="C1204" s="1451"/>
      <c r="K1204" s="1451"/>
      <c r="L1204" s="1451"/>
      <c r="U1204" s="1530"/>
      <c r="V1204" s="1530"/>
      <c r="W1204" s="1530"/>
      <c r="X1204" s="1530"/>
      <c r="Y1204" s="1530"/>
      <c r="Z1204" s="1530"/>
      <c r="AA1204" s="1530"/>
      <c r="AB1204" s="1530"/>
      <c r="AC1204" s="1530"/>
      <c r="AD1204" s="1530"/>
      <c r="AE1204" s="1530"/>
      <c r="AF1204" s="1530"/>
      <c r="AG1204" s="1530"/>
      <c r="AH1204" s="1530"/>
      <c r="AI1204" s="1530"/>
      <c r="AJ1204" s="1530"/>
      <c r="AK1204" s="1530"/>
      <c r="AL1204" s="1530"/>
      <c r="AM1204" s="1530"/>
      <c r="AN1204" s="1530"/>
      <c r="AO1204" s="1530"/>
      <c r="AP1204" s="1530"/>
      <c r="AQ1204" s="1530"/>
      <c r="AR1204" s="1530"/>
      <c r="AS1204" s="1530"/>
      <c r="AT1204" s="1530"/>
      <c r="AU1204" s="1530"/>
      <c r="AV1204" s="1530"/>
      <c r="AW1204" s="1530"/>
      <c r="AX1204" s="1530"/>
      <c r="AY1204" s="1530"/>
      <c r="AZ1204" s="1530"/>
      <c r="BA1204" s="1530"/>
      <c r="BB1204" s="1530"/>
      <c r="BC1204" s="1530"/>
      <c r="BD1204" s="1530"/>
      <c r="BE1204" s="1530"/>
      <c r="BF1204" s="1530"/>
      <c r="BG1204" s="1530"/>
      <c r="BH1204" s="1530"/>
      <c r="BI1204" s="1530"/>
      <c r="BJ1204" s="1530"/>
      <c r="BK1204" s="1530"/>
      <c r="BL1204" s="1530"/>
      <c r="BM1204" s="1530"/>
      <c r="BN1204" s="1530"/>
      <c r="BW1204" s="1569"/>
      <c r="CO1204" s="1530"/>
      <c r="CP1204" s="1530"/>
      <c r="CQ1204" s="1530"/>
      <c r="CR1204" s="1530"/>
      <c r="CS1204" s="1530"/>
      <c r="CT1204" s="1530"/>
      <c r="CU1204" s="1530"/>
      <c r="CV1204" s="1530"/>
      <c r="CW1204" s="1530"/>
      <c r="CX1204" s="1530"/>
      <c r="CY1204" s="1530"/>
      <c r="CZ1204" s="1530"/>
      <c r="DA1204" s="1530"/>
      <c r="DB1204" s="1530"/>
      <c r="DC1204" s="1530"/>
      <c r="DD1204" s="1530"/>
      <c r="DE1204" s="1530"/>
      <c r="DF1204" s="1530"/>
      <c r="DG1204" s="1530"/>
      <c r="DH1204" s="1530"/>
      <c r="DI1204" s="1530"/>
      <c r="DJ1204" s="1530"/>
      <c r="DK1204" s="1530"/>
      <c r="DL1204" s="1530"/>
      <c r="DM1204" s="1530"/>
      <c r="DN1204" s="1571"/>
      <c r="DO1204" s="1530"/>
      <c r="DP1204" s="1530"/>
    </row>
    <row r="1205" spans="1:120">
      <c r="A1205" s="1451"/>
      <c r="C1205" s="1451"/>
      <c r="K1205" s="1451"/>
      <c r="L1205" s="1451"/>
      <c r="U1205" s="1530"/>
      <c r="V1205" s="1530"/>
      <c r="W1205" s="1530"/>
      <c r="X1205" s="1530"/>
      <c r="Y1205" s="1530"/>
      <c r="Z1205" s="1530"/>
      <c r="AA1205" s="1530"/>
      <c r="AB1205" s="1530"/>
      <c r="AC1205" s="1530"/>
      <c r="AD1205" s="1530"/>
      <c r="AE1205" s="1530"/>
      <c r="AF1205" s="1530"/>
      <c r="AG1205" s="1530"/>
      <c r="AH1205" s="1530"/>
      <c r="AI1205" s="1530"/>
      <c r="AJ1205" s="1530"/>
      <c r="AK1205" s="1530"/>
      <c r="AL1205" s="1530"/>
      <c r="AM1205" s="1530"/>
      <c r="AN1205" s="1530"/>
      <c r="AO1205" s="1530"/>
      <c r="AP1205" s="1530"/>
      <c r="AQ1205" s="1530"/>
      <c r="AR1205" s="1530"/>
      <c r="AS1205" s="1530"/>
      <c r="AT1205" s="1530"/>
      <c r="AU1205" s="1530"/>
      <c r="AV1205" s="1530"/>
      <c r="AW1205" s="1530"/>
      <c r="AX1205" s="1530"/>
      <c r="AY1205" s="1530"/>
      <c r="AZ1205" s="1530"/>
      <c r="BA1205" s="1530"/>
      <c r="BB1205" s="1530"/>
      <c r="BC1205" s="1530"/>
      <c r="BD1205" s="1530"/>
      <c r="BE1205" s="1530"/>
      <c r="BF1205" s="1530"/>
      <c r="BG1205" s="1530"/>
      <c r="BH1205" s="1530"/>
      <c r="BI1205" s="1530"/>
      <c r="BJ1205" s="1530"/>
      <c r="BK1205" s="1530"/>
      <c r="BL1205" s="1530"/>
      <c r="BM1205" s="1530"/>
      <c r="BN1205" s="1530"/>
      <c r="BW1205" s="1569"/>
      <c r="CO1205" s="1530"/>
      <c r="CP1205" s="1530"/>
      <c r="CQ1205" s="1530"/>
      <c r="CR1205" s="1530"/>
      <c r="CS1205" s="1530"/>
      <c r="CT1205" s="1530"/>
      <c r="CU1205" s="1530"/>
      <c r="CV1205" s="1530"/>
      <c r="CW1205" s="1530"/>
      <c r="CX1205" s="1530"/>
      <c r="CY1205" s="1530"/>
      <c r="CZ1205" s="1530"/>
      <c r="DA1205" s="1530"/>
      <c r="DB1205" s="1530"/>
      <c r="DC1205" s="1530"/>
      <c r="DD1205" s="1530"/>
      <c r="DE1205" s="1530"/>
      <c r="DF1205" s="1530"/>
      <c r="DG1205" s="1530"/>
      <c r="DH1205" s="1530"/>
      <c r="DI1205" s="1530"/>
      <c r="DJ1205" s="1530"/>
      <c r="DK1205" s="1530"/>
      <c r="DL1205" s="1530"/>
      <c r="DM1205" s="1530"/>
      <c r="DN1205" s="1571"/>
      <c r="DO1205" s="1530"/>
      <c r="DP1205" s="1530"/>
    </row>
    <row r="1206" spans="1:120">
      <c r="A1206" s="1451"/>
      <c r="C1206" s="1451"/>
      <c r="K1206" s="1451"/>
      <c r="L1206" s="1451"/>
      <c r="U1206" s="1530"/>
      <c r="V1206" s="1530"/>
      <c r="W1206" s="1530"/>
      <c r="X1206" s="1530"/>
      <c r="Y1206" s="1530"/>
      <c r="Z1206" s="1530"/>
      <c r="AA1206" s="1530"/>
      <c r="AB1206" s="1530"/>
      <c r="AC1206" s="1530"/>
      <c r="AD1206" s="1530"/>
      <c r="AE1206" s="1530"/>
      <c r="AF1206" s="1530"/>
      <c r="AG1206" s="1530"/>
      <c r="AH1206" s="1530"/>
      <c r="AI1206" s="1530"/>
      <c r="AJ1206" s="1530"/>
      <c r="AK1206" s="1530"/>
      <c r="AL1206" s="1530"/>
      <c r="AM1206" s="1530"/>
      <c r="AN1206" s="1530"/>
      <c r="AO1206" s="1530"/>
      <c r="AP1206" s="1530"/>
      <c r="AQ1206" s="1530"/>
      <c r="AR1206" s="1530"/>
      <c r="AS1206" s="1530"/>
      <c r="AT1206" s="1530"/>
      <c r="AU1206" s="1530"/>
      <c r="AV1206" s="1530"/>
      <c r="AW1206" s="1530"/>
      <c r="AX1206" s="1530"/>
      <c r="AY1206" s="1530"/>
      <c r="AZ1206" s="1530"/>
      <c r="BA1206" s="1530"/>
      <c r="BB1206" s="1530"/>
      <c r="BC1206" s="1530"/>
      <c r="BD1206" s="1530"/>
      <c r="BE1206" s="1530"/>
      <c r="BF1206" s="1530"/>
      <c r="BG1206" s="1530"/>
      <c r="BH1206" s="1530"/>
      <c r="BI1206" s="1530"/>
      <c r="BJ1206" s="1530"/>
      <c r="BK1206" s="1530"/>
      <c r="BL1206" s="1530"/>
      <c r="BM1206" s="1530"/>
      <c r="BN1206" s="1530"/>
      <c r="BW1206" s="1569"/>
      <c r="CO1206" s="1530"/>
      <c r="CP1206" s="1530"/>
      <c r="CQ1206" s="1530"/>
      <c r="CR1206" s="1530"/>
      <c r="CS1206" s="1530"/>
      <c r="CT1206" s="1530"/>
      <c r="CU1206" s="1530"/>
      <c r="CV1206" s="1530"/>
      <c r="CW1206" s="1530"/>
      <c r="CX1206" s="1530"/>
      <c r="CY1206" s="1530"/>
      <c r="CZ1206" s="1530"/>
      <c r="DA1206" s="1530"/>
      <c r="DB1206" s="1530"/>
      <c r="DC1206" s="1530"/>
      <c r="DD1206" s="1530"/>
      <c r="DE1206" s="1530"/>
      <c r="DF1206" s="1530"/>
      <c r="DG1206" s="1530"/>
      <c r="DH1206" s="1530"/>
      <c r="DI1206" s="1530"/>
      <c r="DJ1206" s="1530"/>
      <c r="DK1206" s="1530"/>
      <c r="DL1206" s="1530"/>
      <c r="DM1206" s="1530"/>
      <c r="DN1206" s="1571"/>
      <c r="DO1206" s="1530"/>
      <c r="DP1206" s="1530"/>
    </row>
    <row r="1207" spans="1:120">
      <c r="A1207" s="1451"/>
      <c r="C1207" s="1451"/>
      <c r="K1207" s="1451"/>
      <c r="L1207" s="1451"/>
      <c r="U1207" s="1530"/>
      <c r="V1207" s="1530"/>
      <c r="W1207" s="1530"/>
      <c r="X1207" s="1530"/>
      <c r="Y1207" s="1530"/>
      <c r="Z1207" s="1530"/>
      <c r="AA1207" s="1530"/>
      <c r="AB1207" s="1530"/>
      <c r="AC1207" s="1530"/>
      <c r="AD1207" s="1530"/>
      <c r="AE1207" s="1530"/>
      <c r="AF1207" s="1530"/>
      <c r="AG1207" s="1530"/>
      <c r="AH1207" s="1530"/>
      <c r="AI1207" s="1530"/>
      <c r="AJ1207" s="1530"/>
      <c r="AK1207" s="1530"/>
      <c r="AL1207" s="1530"/>
      <c r="AM1207" s="1530"/>
      <c r="AN1207" s="1530"/>
      <c r="AO1207" s="1530"/>
      <c r="AP1207" s="1530"/>
      <c r="AQ1207" s="1530"/>
      <c r="AR1207" s="1530"/>
      <c r="AS1207" s="1530"/>
      <c r="AT1207" s="1530"/>
      <c r="AU1207" s="1530"/>
      <c r="AV1207" s="1530"/>
      <c r="AW1207" s="1530"/>
      <c r="AX1207" s="1530"/>
      <c r="AY1207" s="1530"/>
      <c r="AZ1207" s="1530"/>
      <c r="BA1207" s="1530"/>
      <c r="BB1207" s="1530"/>
      <c r="BC1207" s="1530"/>
      <c r="BD1207" s="1530"/>
      <c r="BE1207" s="1530"/>
      <c r="BF1207" s="1530"/>
      <c r="BG1207" s="1530"/>
      <c r="BH1207" s="1530"/>
      <c r="BI1207" s="1530"/>
      <c r="BJ1207" s="1530"/>
      <c r="BK1207" s="1530"/>
      <c r="BL1207" s="1530"/>
      <c r="BM1207" s="1530"/>
      <c r="BN1207" s="1530"/>
      <c r="BW1207" s="1569"/>
      <c r="CO1207" s="1530"/>
      <c r="CP1207" s="1530"/>
      <c r="CQ1207" s="1530"/>
      <c r="CR1207" s="1530"/>
      <c r="CS1207" s="1530"/>
      <c r="CT1207" s="1530"/>
      <c r="CU1207" s="1530"/>
      <c r="CV1207" s="1530"/>
      <c r="CW1207" s="1530"/>
      <c r="CX1207" s="1530"/>
      <c r="CY1207" s="1530"/>
      <c r="CZ1207" s="1530"/>
      <c r="DA1207" s="1530"/>
      <c r="DB1207" s="1530"/>
      <c r="DC1207" s="1530"/>
      <c r="DD1207" s="1530"/>
      <c r="DE1207" s="1530"/>
      <c r="DF1207" s="1530"/>
      <c r="DG1207" s="1530"/>
      <c r="DH1207" s="1530"/>
      <c r="DI1207" s="1530"/>
      <c r="DJ1207" s="1530"/>
      <c r="DK1207" s="1530"/>
      <c r="DL1207" s="1530"/>
      <c r="DM1207" s="1530"/>
      <c r="DN1207" s="1571"/>
      <c r="DO1207" s="1530"/>
      <c r="DP1207" s="1530"/>
    </row>
    <row r="1208" spans="1:120">
      <c r="A1208" s="1451"/>
      <c r="C1208" s="1451"/>
      <c r="K1208" s="1451"/>
      <c r="L1208" s="1451"/>
      <c r="U1208" s="1530"/>
      <c r="V1208" s="1530"/>
      <c r="W1208" s="1530"/>
      <c r="X1208" s="1530"/>
      <c r="Y1208" s="1530"/>
      <c r="Z1208" s="1530"/>
      <c r="AA1208" s="1530"/>
      <c r="AB1208" s="1530"/>
      <c r="AC1208" s="1530"/>
      <c r="AD1208" s="1530"/>
      <c r="AE1208" s="1530"/>
      <c r="AF1208" s="1530"/>
      <c r="AG1208" s="1530"/>
      <c r="AH1208" s="1530"/>
      <c r="AI1208" s="1530"/>
      <c r="AJ1208" s="1530"/>
      <c r="AK1208" s="1530"/>
      <c r="AL1208" s="1530"/>
      <c r="AM1208" s="1530"/>
      <c r="AN1208" s="1530"/>
      <c r="AO1208" s="1530"/>
      <c r="AP1208" s="1530"/>
      <c r="AQ1208" s="1530"/>
      <c r="AR1208" s="1530"/>
      <c r="AS1208" s="1530"/>
      <c r="AT1208" s="1530"/>
      <c r="AU1208" s="1530"/>
      <c r="AV1208" s="1530"/>
      <c r="AW1208" s="1530"/>
      <c r="AX1208" s="1530"/>
      <c r="AY1208" s="1530"/>
      <c r="AZ1208" s="1530"/>
      <c r="BA1208" s="1530"/>
      <c r="BB1208" s="1530"/>
      <c r="BC1208" s="1530"/>
      <c r="BD1208" s="1530"/>
      <c r="BE1208" s="1530"/>
      <c r="BF1208" s="1530"/>
      <c r="BG1208" s="1530"/>
      <c r="BH1208" s="1530"/>
      <c r="BI1208" s="1530"/>
      <c r="BJ1208" s="1530"/>
      <c r="BK1208" s="1530"/>
      <c r="BL1208" s="1530"/>
      <c r="BM1208" s="1530"/>
      <c r="BN1208" s="1530"/>
      <c r="BW1208" s="1569"/>
      <c r="CO1208" s="1530"/>
      <c r="CP1208" s="1530"/>
      <c r="CQ1208" s="1530"/>
      <c r="CR1208" s="1530"/>
      <c r="CS1208" s="1530"/>
      <c r="CT1208" s="1530"/>
      <c r="CU1208" s="1530"/>
      <c r="CV1208" s="1530"/>
      <c r="CW1208" s="1530"/>
      <c r="CX1208" s="1530"/>
      <c r="CY1208" s="1530"/>
      <c r="CZ1208" s="1530"/>
      <c r="DA1208" s="1530"/>
      <c r="DB1208" s="1530"/>
      <c r="DC1208" s="1530"/>
      <c r="DD1208" s="1530"/>
      <c r="DE1208" s="1530"/>
      <c r="DF1208" s="1530"/>
      <c r="DG1208" s="1530"/>
      <c r="DH1208" s="1530"/>
      <c r="DI1208" s="1530"/>
      <c r="DJ1208" s="1530"/>
      <c r="DK1208" s="1530"/>
      <c r="DL1208" s="1530"/>
      <c r="DM1208" s="1530"/>
      <c r="DN1208" s="1571"/>
      <c r="DO1208" s="1530"/>
      <c r="DP1208" s="1530"/>
    </row>
    <row r="1209" spans="1:120">
      <c r="A1209" s="1451"/>
      <c r="C1209" s="1451"/>
      <c r="K1209" s="1451"/>
      <c r="L1209" s="1451"/>
      <c r="U1209" s="1530"/>
      <c r="V1209" s="1530"/>
      <c r="W1209" s="1530"/>
      <c r="X1209" s="1530"/>
      <c r="Y1209" s="1530"/>
      <c r="Z1209" s="1530"/>
      <c r="AA1209" s="1530"/>
      <c r="AB1209" s="1530"/>
      <c r="AC1209" s="1530"/>
      <c r="AD1209" s="1530"/>
      <c r="AE1209" s="1530"/>
      <c r="AF1209" s="1530"/>
      <c r="AG1209" s="1530"/>
      <c r="AH1209" s="1530"/>
      <c r="AI1209" s="1530"/>
      <c r="AJ1209" s="1530"/>
      <c r="AK1209" s="1530"/>
      <c r="AL1209" s="1530"/>
      <c r="AM1209" s="1530"/>
      <c r="AN1209" s="1530"/>
      <c r="AO1209" s="1530"/>
      <c r="AP1209" s="1530"/>
      <c r="AQ1209" s="1530"/>
      <c r="AR1209" s="1530"/>
      <c r="AS1209" s="1530"/>
      <c r="AT1209" s="1530"/>
      <c r="AU1209" s="1530"/>
      <c r="AV1209" s="1530"/>
      <c r="AW1209" s="1530"/>
      <c r="AX1209" s="1530"/>
      <c r="AY1209" s="1530"/>
      <c r="AZ1209" s="1530"/>
      <c r="BA1209" s="1530"/>
      <c r="BB1209" s="1530"/>
      <c r="BC1209" s="1530"/>
      <c r="BD1209" s="1530"/>
      <c r="BE1209" s="1530"/>
      <c r="BF1209" s="1530"/>
      <c r="BG1209" s="1530"/>
      <c r="BH1209" s="1530"/>
      <c r="BI1209" s="1530"/>
      <c r="BJ1209" s="1530"/>
      <c r="BK1209" s="1530"/>
      <c r="BL1209" s="1530"/>
      <c r="BM1209" s="1530"/>
      <c r="BN1209" s="1530"/>
      <c r="BW1209" s="1569"/>
      <c r="CO1209" s="1530"/>
      <c r="CP1209" s="1530"/>
      <c r="CQ1209" s="1530"/>
      <c r="CR1209" s="1530"/>
      <c r="CS1209" s="1530"/>
      <c r="CT1209" s="1530"/>
      <c r="CU1209" s="1530"/>
      <c r="CV1209" s="1530"/>
      <c r="CW1209" s="1530"/>
      <c r="CX1209" s="1530"/>
      <c r="CY1209" s="1530"/>
      <c r="CZ1209" s="1530"/>
      <c r="DA1209" s="1530"/>
      <c r="DB1209" s="1530"/>
      <c r="DC1209" s="1530"/>
      <c r="DD1209" s="1530"/>
      <c r="DE1209" s="1530"/>
      <c r="DF1209" s="1530"/>
      <c r="DG1209" s="1530"/>
      <c r="DH1209" s="1530"/>
      <c r="DI1209" s="1530"/>
      <c r="DJ1209" s="1530"/>
      <c r="DK1209" s="1530"/>
      <c r="DL1209" s="1530"/>
      <c r="DM1209" s="1530"/>
      <c r="DN1209" s="1571"/>
      <c r="DO1209" s="1530"/>
      <c r="DP1209" s="1530"/>
    </row>
    <row r="1210" spans="1:120">
      <c r="A1210" s="1451"/>
      <c r="C1210" s="1451"/>
      <c r="K1210" s="1451"/>
      <c r="L1210" s="1451"/>
      <c r="U1210" s="1530"/>
      <c r="V1210" s="1530"/>
      <c r="W1210" s="1530"/>
      <c r="X1210" s="1530"/>
      <c r="Y1210" s="1530"/>
      <c r="Z1210" s="1530"/>
      <c r="AA1210" s="1530"/>
      <c r="AB1210" s="1530"/>
      <c r="AC1210" s="1530"/>
      <c r="AD1210" s="1530"/>
      <c r="AE1210" s="1530"/>
      <c r="AF1210" s="1530"/>
      <c r="AG1210" s="1530"/>
      <c r="AH1210" s="1530"/>
      <c r="AI1210" s="1530"/>
      <c r="AJ1210" s="1530"/>
      <c r="AK1210" s="1530"/>
      <c r="AL1210" s="1530"/>
      <c r="AM1210" s="1530"/>
      <c r="AN1210" s="1530"/>
      <c r="AO1210" s="1530"/>
      <c r="AP1210" s="1530"/>
      <c r="AQ1210" s="1530"/>
      <c r="AR1210" s="1530"/>
      <c r="AS1210" s="1530"/>
      <c r="AT1210" s="1530"/>
      <c r="AU1210" s="1530"/>
      <c r="AV1210" s="1530"/>
      <c r="AW1210" s="1530"/>
      <c r="AX1210" s="1530"/>
      <c r="AY1210" s="1530"/>
      <c r="AZ1210" s="1530"/>
      <c r="BA1210" s="1530"/>
      <c r="BB1210" s="1530"/>
      <c r="BC1210" s="1530"/>
      <c r="BD1210" s="1530"/>
      <c r="BE1210" s="1530"/>
      <c r="BF1210" s="1530"/>
      <c r="BG1210" s="1530"/>
      <c r="BH1210" s="1530"/>
      <c r="BI1210" s="1530"/>
      <c r="BJ1210" s="1530"/>
      <c r="BK1210" s="1530"/>
      <c r="BL1210" s="1530"/>
      <c r="BM1210" s="1530"/>
      <c r="BN1210" s="1530"/>
      <c r="BW1210" s="1569"/>
      <c r="CO1210" s="1530"/>
      <c r="CP1210" s="1530"/>
      <c r="CQ1210" s="1530"/>
      <c r="CR1210" s="1530"/>
      <c r="CS1210" s="1530"/>
      <c r="CT1210" s="1530"/>
      <c r="CU1210" s="1530"/>
      <c r="CV1210" s="1530"/>
      <c r="CW1210" s="1530"/>
      <c r="CX1210" s="1530"/>
      <c r="CY1210" s="1530"/>
      <c r="CZ1210" s="1530"/>
      <c r="DA1210" s="1530"/>
      <c r="DB1210" s="1530"/>
      <c r="DC1210" s="1530"/>
      <c r="DD1210" s="1530"/>
      <c r="DE1210" s="1530"/>
      <c r="DF1210" s="1530"/>
      <c r="DG1210" s="1530"/>
      <c r="DH1210" s="1530"/>
      <c r="DI1210" s="1530"/>
      <c r="DJ1210" s="1530"/>
      <c r="DK1210" s="1530"/>
      <c r="DL1210" s="1530"/>
      <c r="DM1210" s="1530"/>
      <c r="DN1210" s="1571"/>
      <c r="DO1210" s="1530"/>
      <c r="DP1210" s="1530"/>
    </row>
    <row r="1211" spans="1:120">
      <c r="A1211" s="1451"/>
      <c r="C1211" s="1451"/>
      <c r="K1211" s="1451"/>
      <c r="L1211" s="1451"/>
      <c r="U1211" s="1530"/>
      <c r="V1211" s="1530"/>
      <c r="W1211" s="1530"/>
      <c r="X1211" s="1530"/>
      <c r="Y1211" s="1530"/>
      <c r="Z1211" s="1530"/>
      <c r="AA1211" s="1530"/>
      <c r="AB1211" s="1530"/>
      <c r="AC1211" s="1530"/>
      <c r="AD1211" s="1530"/>
      <c r="AE1211" s="1530"/>
      <c r="AF1211" s="1530"/>
      <c r="AG1211" s="1530"/>
      <c r="AH1211" s="1530"/>
      <c r="AI1211" s="1530"/>
      <c r="AJ1211" s="1530"/>
      <c r="AK1211" s="1530"/>
      <c r="AL1211" s="1530"/>
      <c r="AM1211" s="1530"/>
      <c r="AN1211" s="1530"/>
      <c r="AO1211" s="1530"/>
      <c r="AP1211" s="1530"/>
      <c r="AQ1211" s="1530"/>
      <c r="AR1211" s="1530"/>
      <c r="AS1211" s="1530"/>
      <c r="AT1211" s="1530"/>
      <c r="AU1211" s="1530"/>
      <c r="AV1211" s="1530"/>
      <c r="AW1211" s="1530"/>
      <c r="AX1211" s="1530"/>
      <c r="AY1211" s="1530"/>
      <c r="AZ1211" s="1530"/>
      <c r="BA1211" s="1530"/>
      <c r="BB1211" s="1530"/>
      <c r="BC1211" s="1530"/>
      <c r="BD1211" s="1530"/>
      <c r="BE1211" s="1530"/>
      <c r="BF1211" s="1530"/>
      <c r="BG1211" s="1530"/>
      <c r="BH1211" s="1530"/>
      <c r="BI1211" s="1530"/>
      <c r="BJ1211" s="1530"/>
      <c r="BK1211" s="1530"/>
      <c r="BL1211" s="1530"/>
      <c r="BM1211" s="1530"/>
      <c r="BN1211" s="1530"/>
      <c r="BW1211" s="1569"/>
      <c r="CO1211" s="1530"/>
      <c r="CP1211" s="1530"/>
      <c r="CQ1211" s="1530"/>
      <c r="CR1211" s="1530"/>
      <c r="CS1211" s="1530"/>
      <c r="CT1211" s="1530"/>
      <c r="CU1211" s="1530"/>
      <c r="CV1211" s="1530"/>
      <c r="CW1211" s="1530"/>
      <c r="CX1211" s="1530"/>
      <c r="CY1211" s="1530"/>
      <c r="CZ1211" s="1530"/>
      <c r="DA1211" s="1530"/>
      <c r="DB1211" s="1530"/>
      <c r="DC1211" s="1530"/>
      <c r="DD1211" s="1530"/>
      <c r="DE1211" s="1530"/>
      <c r="DF1211" s="1530"/>
      <c r="DG1211" s="1530"/>
      <c r="DH1211" s="1530"/>
      <c r="DI1211" s="1530"/>
      <c r="DJ1211" s="1530"/>
      <c r="DK1211" s="1530"/>
      <c r="DL1211" s="1530"/>
      <c r="DM1211" s="1530"/>
      <c r="DN1211" s="1571"/>
      <c r="DO1211" s="1530"/>
      <c r="DP1211" s="1530"/>
    </row>
    <row r="1212" spans="1:120">
      <c r="A1212" s="1451"/>
      <c r="C1212" s="1451"/>
      <c r="K1212" s="1451"/>
      <c r="L1212" s="1451"/>
      <c r="U1212" s="1530"/>
      <c r="V1212" s="1530"/>
      <c r="W1212" s="1530"/>
      <c r="X1212" s="1530"/>
      <c r="Y1212" s="1530"/>
      <c r="Z1212" s="1530"/>
      <c r="AA1212" s="1530"/>
      <c r="AB1212" s="1530"/>
      <c r="AC1212" s="1530"/>
      <c r="AD1212" s="1530"/>
      <c r="AE1212" s="1530"/>
      <c r="AF1212" s="1530"/>
      <c r="AG1212" s="1530"/>
      <c r="AH1212" s="1530"/>
      <c r="AI1212" s="1530"/>
      <c r="AJ1212" s="1530"/>
      <c r="AK1212" s="1530"/>
      <c r="AL1212" s="1530"/>
      <c r="AM1212" s="1530"/>
      <c r="AN1212" s="1530"/>
      <c r="AO1212" s="1530"/>
      <c r="AP1212" s="1530"/>
      <c r="AQ1212" s="1530"/>
      <c r="AR1212" s="1530"/>
      <c r="AS1212" s="1530"/>
      <c r="AT1212" s="1530"/>
      <c r="AU1212" s="1530"/>
      <c r="AV1212" s="1530"/>
      <c r="AW1212" s="1530"/>
      <c r="AX1212" s="1530"/>
      <c r="AY1212" s="1530"/>
      <c r="AZ1212" s="1530"/>
      <c r="BA1212" s="1530"/>
      <c r="BB1212" s="1530"/>
      <c r="BC1212" s="1530"/>
      <c r="BD1212" s="1530"/>
      <c r="BE1212" s="1530"/>
      <c r="BF1212" s="1530"/>
      <c r="BG1212" s="1530"/>
      <c r="BH1212" s="1530"/>
      <c r="BI1212" s="1530"/>
      <c r="BJ1212" s="1530"/>
      <c r="BK1212" s="1530"/>
      <c r="BL1212" s="1530"/>
      <c r="BM1212" s="1530"/>
      <c r="BN1212" s="1530"/>
      <c r="BW1212" s="1569"/>
      <c r="CO1212" s="1530"/>
      <c r="CP1212" s="1530"/>
      <c r="CQ1212" s="1530"/>
      <c r="CR1212" s="1530"/>
      <c r="CS1212" s="1530"/>
      <c r="CT1212" s="1530"/>
      <c r="CU1212" s="1530"/>
      <c r="CV1212" s="1530"/>
      <c r="CW1212" s="1530"/>
      <c r="CX1212" s="1530"/>
      <c r="CY1212" s="1530"/>
      <c r="CZ1212" s="1530"/>
      <c r="DA1212" s="1530"/>
      <c r="DB1212" s="1530"/>
      <c r="DC1212" s="1530"/>
      <c r="DD1212" s="1530"/>
      <c r="DE1212" s="1530"/>
      <c r="DF1212" s="1530"/>
      <c r="DG1212" s="1530"/>
      <c r="DH1212" s="1530"/>
      <c r="DI1212" s="1530"/>
      <c r="DJ1212" s="1530"/>
      <c r="DK1212" s="1530"/>
      <c r="DL1212" s="1530"/>
      <c r="DM1212" s="1530"/>
      <c r="DN1212" s="1571"/>
      <c r="DO1212" s="1530"/>
      <c r="DP1212" s="1530"/>
    </row>
    <row r="1213" spans="1:120">
      <c r="A1213" s="1451"/>
      <c r="C1213" s="1451"/>
      <c r="K1213" s="1451"/>
      <c r="L1213" s="1451"/>
      <c r="U1213" s="1530"/>
      <c r="V1213" s="1530"/>
      <c r="W1213" s="1530"/>
      <c r="X1213" s="1530"/>
      <c r="Y1213" s="1530"/>
      <c r="Z1213" s="1530"/>
      <c r="AA1213" s="1530"/>
      <c r="AB1213" s="1530"/>
      <c r="AC1213" s="1530"/>
      <c r="AD1213" s="1530"/>
      <c r="AE1213" s="1530"/>
      <c r="AF1213" s="1530"/>
      <c r="AG1213" s="1530"/>
      <c r="AH1213" s="1530"/>
      <c r="AI1213" s="1530"/>
      <c r="AJ1213" s="1530"/>
      <c r="AK1213" s="1530"/>
      <c r="AL1213" s="1530"/>
      <c r="AM1213" s="1530"/>
      <c r="AN1213" s="1530"/>
      <c r="AO1213" s="1530"/>
      <c r="AP1213" s="1530"/>
      <c r="AQ1213" s="1530"/>
      <c r="AR1213" s="1530"/>
      <c r="AS1213" s="1530"/>
      <c r="AT1213" s="1530"/>
      <c r="AU1213" s="1530"/>
      <c r="AV1213" s="1530"/>
      <c r="AW1213" s="1530"/>
      <c r="AX1213" s="1530"/>
      <c r="AY1213" s="1530"/>
      <c r="AZ1213" s="1530"/>
      <c r="BA1213" s="1530"/>
      <c r="BB1213" s="1530"/>
      <c r="BC1213" s="1530"/>
      <c r="BD1213" s="1530"/>
      <c r="BE1213" s="1530"/>
      <c r="BF1213" s="1530"/>
      <c r="BG1213" s="1530"/>
      <c r="BH1213" s="1530"/>
      <c r="BI1213" s="1530"/>
      <c r="BJ1213" s="1530"/>
      <c r="BK1213" s="1530"/>
      <c r="BL1213" s="1530"/>
      <c r="BM1213" s="1530"/>
      <c r="BN1213" s="1530"/>
      <c r="BW1213" s="1569"/>
      <c r="CO1213" s="1530"/>
      <c r="CP1213" s="1530"/>
      <c r="CQ1213" s="1530"/>
      <c r="CR1213" s="1530"/>
      <c r="CS1213" s="1530"/>
      <c r="CT1213" s="1530"/>
      <c r="CU1213" s="1530"/>
      <c r="CV1213" s="1530"/>
      <c r="CW1213" s="1530"/>
      <c r="CX1213" s="1530"/>
      <c r="CY1213" s="1530"/>
      <c r="CZ1213" s="1530"/>
      <c r="DA1213" s="1530"/>
      <c r="DB1213" s="1530"/>
      <c r="DC1213" s="1530"/>
      <c r="DD1213" s="1530"/>
      <c r="DE1213" s="1530"/>
      <c r="DF1213" s="1530"/>
      <c r="DG1213" s="1530"/>
      <c r="DH1213" s="1530"/>
      <c r="DI1213" s="1530"/>
      <c r="DJ1213" s="1530"/>
      <c r="DK1213" s="1530"/>
      <c r="DL1213" s="1530"/>
      <c r="DM1213" s="1530"/>
      <c r="DN1213" s="1571"/>
      <c r="DO1213" s="1530"/>
      <c r="DP1213" s="1530"/>
    </row>
    <row r="1214" spans="1:120">
      <c r="A1214" s="1451"/>
      <c r="C1214" s="1451"/>
      <c r="K1214" s="1451"/>
      <c r="L1214" s="1451"/>
      <c r="U1214" s="1530"/>
      <c r="V1214" s="1530"/>
      <c r="W1214" s="1530"/>
      <c r="X1214" s="1530"/>
      <c r="Y1214" s="1530"/>
      <c r="Z1214" s="1530"/>
      <c r="AA1214" s="1530"/>
      <c r="AB1214" s="1530"/>
      <c r="AC1214" s="1530"/>
      <c r="AD1214" s="1530"/>
      <c r="AE1214" s="1530"/>
      <c r="AF1214" s="1530"/>
      <c r="AG1214" s="1530"/>
      <c r="AH1214" s="1530"/>
      <c r="AI1214" s="1530"/>
      <c r="AJ1214" s="1530"/>
      <c r="AK1214" s="1530"/>
      <c r="AL1214" s="1530"/>
      <c r="AM1214" s="1530"/>
      <c r="AN1214" s="1530"/>
      <c r="AO1214" s="1530"/>
      <c r="AP1214" s="1530"/>
      <c r="AQ1214" s="1530"/>
      <c r="AR1214" s="1530"/>
      <c r="AS1214" s="1530"/>
      <c r="AT1214" s="1530"/>
      <c r="AU1214" s="1530"/>
      <c r="AV1214" s="1530"/>
      <c r="AW1214" s="1530"/>
      <c r="AX1214" s="1530"/>
      <c r="AY1214" s="1530"/>
      <c r="AZ1214" s="1530"/>
      <c r="BA1214" s="1530"/>
      <c r="BB1214" s="1530"/>
      <c r="BC1214" s="1530"/>
      <c r="BD1214" s="1530"/>
      <c r="BE1214" s="1530"/>
      <c r="BF1214" s="1530"/>
      <c r="BG1214" s="1530"/>
      <c r="BH1214" s="1530"/>
      <c r="BI1214" s="1530"/>
      <c r="BJ1214" s="1530"/>
      <c r="BK1214" s="1530"/>
      <c r="BL1214" s="1530"/>
      <c r="BM1214" s="1530"/>
      <c r="BN1214" s="1530"/>
      <c r="BW1214" s="1569"/>
      <c r="CO1214" s="1530"/>
      <c r="CP1214" s="1530"/>
      <c r="CQ1214" s="1530"/>
      <c r="CR1214" s="1530"/>
      <c r="CS1214" s="1530"/>
      <c r="CT1214" s="1530"/>
      <c r="CU1214" s="1530"/>
      <c r="CV1214" s="1530"/>
      <c r="CW1214" s="1530"/>
      <c r="CX1214" s="1530"/>
      <c r="CY1214" s="1530"/>
      <c r="CZ1214" s="1530"/>
      <c r="DA1214" s="1530"/>
      <c r="DB1214" s="1530"/>
      <c r="DC1214" s="1530"/>
      <c r="DD1214" s="1530"/>
      <c r="DE1214" s="1530"/>
      <c r="DF1214" s="1530"/>
      <c r="DG1214" s="1530"/>
      <c r="DH1214" s="1530"/>
      <c r="DI1214" s="1530"/>
      <c r="DJ1214" s="1530"/>
      <c r="DK1214" s="1530"/>
      <c r="DL1214" s="1530"/>
      <c r="DM1214" s="1530"/>
      <c r="DN1214" s="1571"/>
      <c r="DO1214" s="1530"/>
      <c r="DP1214" s="1530"/>
    </row>
    <row r="1215" spans="1:120">
      <c r="A1215" s="1451"/>
      <c r="C1215" s="1451"/>
      <c r="K1215" s="1451"/>
      <c r="L1215" s="1451"/>
      <c r="U1215" s="1530"/>
      <c r="V1215" s="1530"/>
      <c r="W1215" s="1530"/>
      <c r="X1215" s="1530"/>
      <c r="Y1215" s="1530"/>
      <c r="Z1215" s="1530"/>
      <c r="AA1215" s="1530"/>
      <c r="AB1215" s="1530"/>
      <c r="AC1215" s="1530"/>
      <c r="AD1215" s="1530"/>
      <c r="AE1215" s="1530"/>
      <c r="AF1215" s="1530"/>
      <c r="AG1215" s="1530"/>
      <c r="AH1215" s="1530"/>
      <c r="AI1215" s="1530"/>
      <c r="AJ1215" s="1530"/>
      <c r="AK1215" s="1530"/>
      <c r="AL1215" s="1530"/>
      <c r="AM1215" s="1530"/>
      <c r="AN1215" s="1530"/>
      <c r="AO1215" s="1530"/>
      <c r="AP1215" s="1530"/>
      <c r="AQ1215" s="1530"/>
      <c r="AR1215" s="1530"/>
      <c r="AS1215" s="1530"/>
      <c r="AT1215" s="1530"/>
      <c r="AU1215" s="1530"/>
      <c r="AV1215" s="1530"/>
      <c r="AW1215" s="1530"/>
      <c r="AX1215" s="1530"/>
      <c r="AY1215" s="1530"/>
      <c r="AZ1215" s="1530"/>
      <c r="BA1215" s="1530"/>
      <c r="BB1215" s="1530"/>
      <c r="BC1215" s="1530"/>
      <c r="BD1215" s="1530"/>
      <c r="BE1215" s="1530"/>
      <c r="BF1215" s="1530"/>
      <c r="BG1215" s="1530"/>
      <c r="BH1215" s="1530"/>
      <c r="BI1215" s="1530"/>
      <c r="BJ1215" s="1530"/>
      <c r="BK1215" s="1530"/>
      <c r="BL1215" s="1530"/>
      <c r="BM1215" s="1530"/>
      <c r="BN1215" s="1530"/>
      <c r="BW1215" s="1569"/>
      <c r="CO1215" s="1530"/>
      <c r="CP1215" s="1530"/>
      <c r="CQ1215" s="1530"/>
      <c r="CR1215" s="1530"/>
      <c r="CS1215" s="1530"/>
      <c r="CT1215" s="1530"/>
      <c r="CU1215" s="1530"/>
      <c r="CV1215" s="1530"/>
      <c r="CW1215" s="1530"/>
      <c r="CX1215" s="1530"/>
      <c r="CY1215" s="1530"/>
      <c r="CZ1215" s="1530"/>
      <c r="DA1215" s="1530"/>
      <c r="DB1215" s="1530"/>
      <c r="DC1215" s="1530"/>
      <c r="DD1215" s="1530"/>
      <c r="DE1215" s="1530"/>
      <c r="DF1215" s="1530"/>
      <c r="DG1215" s="1530"/>
      <c r="DH1215" s="1530"/>
      <c r="DI1215" s="1530"/>
      <c r="DJ1215" s="1530"/>
      <c r="DK1215" s="1530"/>
      <c r="DL1215" s="1530"/>
      <c r="DM1215" s="1530"/>
      <c r="DN1215" s="1571"/>
      <c r="DO1215" s="1530"/>
      <c r="DP1215" s="1530"/>
    </row>
    <row r="1216" spans="1:120">
      <c r="A1216" s="1451"/>
      <c r="C1216" s="1451"/>
      <c r="K1216" s="1451"/>
      <c r="L1216" s="1451"/>
      <c r="U1216" s="1530"/>
      <c r="V1216" s="1530"/>
      <c r="W1216" s="1530"/>
      <c r="X1216" s="1530"/>
      <c r="Y1216" s="1530"/>
      <c r="Z1216" s="1530"/>
      <c r="AA1216" s="1530"/>
      <c r="AB1216" s="1530"/>
      <c r="AC1216" s="1530"/>
      <c r="AD1216" s="1530"/>
      <c r="AE1216" s="1530"/>
      <c r="AF1216" s="1530"/>
      <c r="AG1216" s="1530"/>
      <c r="AH1216" s="1530"/>
      <c r="AI1216" s="1530"/>
      <c r="AJ1216" s="1530"/>
      <c r="AK1216" s="1530"/>
      <c r="AL1216" s="1530"/>
      <c r="AM1216" s="1530"/>
      <c r="AN1216" s="1530"/>
      <c r="AO1216" s="1530"/>
      <c r="AP1216" s="1530"/>
      <c r="AQ1216" s="1530"/>
      <c r="AR1216" s="1530"/>
      <c r="AS1216" s="1530"/>
      <c r="AT1216" s="1530"/>
      <c r="AU1216" s="1530"/>
      <c r="AV1216" s="1530"/>
      <c r="AW1216" s="1530"/>
      <c r="AX1216" s="1530"/>
      <c r="AY1216" s="1530"/>
      <c r="AZ1216" s="1530"/>
      <c r="BA1216" s="1530"/>
      <c r="BB1216" s="1530"/>
      <c r="BC1216" s="1530"/>
      <c r="BD1216" s="1530"/>
      <c r="BE1216" s="1530"/>
      <c r="BF1216" s="1530"/>
      <c r="BG1216" s="1530"/>
      <c r="BH1216" s="1530"/>
      <c r="BI1216" s="1530"/>
      <c r="BJ1216" s="1530"/>
      <c r="BK1216" s="1530"/>
      <c r="BL1216" s="1530"/>
      <c r="BM1216" s="1530"/>
      <c r="BN1216" s="1530"/>
      <c r="BW1216" s="1569"/>
      <c r="CO1216" s="1530"/>
      <c r="CP1216" s="1530"/>
      <c r="CQ1216" s="1530"/>
      <c r="CR1216" s="1530"/>
      <c r="CS1216" s="1530"/>
      <c r="CT1216" s="1530"/>
      <c r="CU1216" s="1530"/>
      <c r="CV1216" s="1530"/>
      <c r="CW1216" s="1530"/>
      <c r="CX1216" s="1530"/>
      <c r="CY1216" s="1530"/>
      <c r="CZ1216" s="1530"/>
      <c r="DA1216" s="1530"/>
      <c r="DB1216" s="1530"/>
      <c r="DC1216" s="1530"/>
      <c r="DD1216" s="1530"/>
      <c r="DE1216" s="1530"/>
      <c r="DF1216" s="1530"/>
      <c r="DG1216" s="1530"/>
      <c r="DH1216" s="1530"/>
      <c r="DI1216" s="1530"/>
      <c r="DJ1216" s="1530"/>
      <c r="DK1216" s="1530"/>
      <c r="DL1216" s="1530"/>
      <c r="DM1216" s="1530"/>
      <c r="DN1216" s="1571"/>
      <c r="DO1216" s="1530"/>
      <c r="DP1216" s="1530"/>
    </row>
    <row r="1217" spans="1:120">
      <c r="A1217" s="1451"/>
      <c r="C1217" s="1451"/>
      <c r="K1217" s="1451"/>
      <c r="L1217" s="1451"/>
      <c r="U1217" s="1530"/>
      <c r="V1217" s="1530"/>
      <c r="W1217" s="1530"/>
      <c r="X1217" s="1530"/>
      <c r="Y1217" s="1530"/>
      <c r="Z1217" s="1530"/>
      <c r="AA1217" s="1530"/>
      <c r="AB1217" s="1530"/>
      <c r="AC1217" s="1530"/>
      <c r="AD1217" s="1530"/>
      <c r="AE1217" s="1530"/>
      <c r="AF1217" s="1530"/>
      <c r="AG1217" s="1530"/>
      <c r="AH1217" s="1530"/>
      <c r="AI1217" s="1530"/>
      <c r="AJ1217" s="1530"/>
      <c r="AK1217" s="1530"/>
      <c r="AL1217" s="1530"/>
      <c r="AM1217" s="1530"/>
      <c r="AN1217" s="1530"/>
      <c r="AO1217" s="1530"/>
      <c r="AP1217" s="1530"/>
      <c r="AQ1217" s="1530"/>
      <c r="AR1217" s="1530"/>
      <c r="AS1217" s="1530"/>
      <c r="AT1217" s="1530"/>
      <c r="AU1217" s="1530"/>
      <c r="AV1217" s="1530"/>
      <c r="AW1217" s="1530"/>
      <c r="AX1217" s="1530"/>
      <c r="AY1217" s="1530"/>
      <c r="AZ1217" s="1530"/>
      <c r="BA1217" s="1530"/>
      <c r="BB1217" s="1530"/>
      <c r="BC1217" s="1530"/>
      <c r="BD1217" s="1530"/>
      <c r="BE1217" s="1530"/>
      <c r="BF1217" s="1530"/>
      <c r="BG1217" s="1530"/>
      <c r="BH1217" s="1530"/>
      <c r="BI1217" s="1530"/>
      <c r="BJ1217" s="1530"/>
      <c r="BK1217" s="1530"/>
      <c r="BL1217" s="1530"/>
      <c r="BM1217" s="1530"/>
      <c r="BN1217" s="1530"/>
      <c r="BW1217" s="1569"/>
      <c r="CO1217" s="1530"/>
      <c r="CP1217" s="1530"/>
      <c r="CQ1217" s="1530"/>
      <c r="CR1217" s="1530"/>
      <c r="CS1217" s="1530"/>
      <c r="CT1217" s="1530"/>
      <c r="CU1217" s="1530"/>
      <c r="CV1217" s="1530"/>
      <c r="CW1217" s="1530"/>
      <c r="CX1217" s="1530"/>
      <c r="CY1217" s="1530"/>
      <c r="CZ1217" s="1530"/>
      <c r="DA1217" s="1530"/>
      <c r="DB1217" s="1530"/>
      <c r="DC1217" s="1530"/>
      <c r="DD1217" s="1530"/>
      <c r="DE1217" s="1530"/>
      <c r="DF1217" s="1530"/>
      <c r="DG1217" s="1530"/>
      <c r="DH1217" s="1530"/>
      <c r="DI1217" s="1530"/>
      <c r="DJ1217" s="1530"/>
      <c r="DK1217" s="1530"/>
      <c r="DL1217" s="1530"/>
      <c r="DM1217" s="1530"/>
      <c r="DN1217" s="1571"/>
      <c r="DO1217" s="1530"/>
      <c r="DP1217" s="1530"/>
    </row>
    <row r="1218" spans="1:120">
      <c r="A1218" s="1451"/>
      <c r="C1218" s="1451"/>
      <c r="K1218" s="1451"/>
      <c r="L1218" s="1451"/>
      <c r="U1218" s="1530"/>
      <c r="V1218" s="1530"/>
      <c r="W1218" s="1530"/>
      <c r="X1218" s="1530"/>
      <c r="Y1218" s="1530"/>
      <c r="Z1218" s="1530"/>
      <c r="AA1218" s="1530"/>
      <c r="AB1218" s="1530"/>
      <c r="AC1218" s="1530"/>
      <c r="AD1218" s="1530"/>
      <c r="AE1218" s="1530"/>
      <c r="AF1218" s="1530"/>
      <c r="AG1218" s="1530"/>
      <c r="AH1218" s="1530"/>
      <c r="AI1218" s="1530"/>
      <c r="AJ1218" s="1530"/>
      <c r="AK1218" s="1530"/>
      <c r="AL1218" s="1530"/>
      <c r="AM1218" s="1530"/>
      <c r="AN1218" s="1530"/>
      <c r="AO1218" s="1530"/>
      <c r="AP1218" s="1530"/>
      <c r="AQ1218" s="1530"/>
      <c r="AR1218" s="1530"/>
      <c r="AS1218" s="1530"/>
      <c r="AT1218" s="1530"/>
      <c r="AU1218" s="1530"/>
      <c r="AV1218" s="1530"/>
      <c r="AW1218" s="1530"/>
      <c r="AX1218" s="1530"/>
      <c r="AY1218" s="1530"/>
      <c r="AZ1218" s="1530"/>
      <c r="BA1218" s="1530"/>
      <c r="BB1218" s="1530"/>
      <c r="BC1218" s="1530"/>
      <c r="BD1218" s="1530"/>
      <c r="BE1218" s="1530"/>
      <c r="BF1218" s="1530"/>
      <c r="BG1218" s="1530"/>
      <c r="BH1218" s="1530"/>
      <c r="BI1218" s="1530"/>
      <c r="BJ1218" s="1530"/>
      <c r="BK1218" s="1530"/>
      <c r="BL1218" s="1530"/>
      <c r="BM1218" s="1530"/>
      <c r="BN1218" s="1530"/>
      <c r="BW1218" s="1569"/>
      <c r="CO1218" s="1530"/>
      <c r="CP1218" s="1530"/>
      <c r="CQ1218" s="1530"/>
      <c r="CR1218" s="1530"/>
      <c r="CS1218" s="1530"/>
      <c r="CT1218" s="1530"/>
      <c r="CU1218" s="1530"/>
      <c r="CV1218" s="1530"/>
      <c r="CW1218" s="1530"/>
      <c r="CX1218" s="1530"/>
      <c r="CY1218" s="1530"/>
      <c r="CZ1218" s="1530"/>
      <c r="DA1218" s="1530"/>
      <c r="DB1218" s="1530"/>
      <c r="DC1218" s="1530"/>
      <c r="DD1218" s="1530"/>
      <c r="DE1218" s="1530"/>
      <c r="DF1218" s="1530"/>
      <c r="DG1218" s="1530"/>
      <c r="DH1218" s="1530"/>
      <c r="DI1218" s="1530"/>
      <c r="DJ1218" s="1530"/>
      <c r="DK1218" s="1530"/>
      <c r="DL1218" s="1530"/>
      <c r="DM1218" s="1530"/>
      <c r="DN1218" s="1571"/>
      <c r="DO1218" s="1530"/>
      <c r="DP1218" s="1530"/>
    </row>
    <row r="1219" spans="1:120">
      <c r="A1219" s="1451"/>
      <c r="C1219" s="1451"/>
      <c r="K1219" s="1451"/>
      <c r="L1219" s="1451"/>
      <c r="U1219" s="1530"/>
      <c r="V1219" s="1530"/>
      <c r="W1219" s="1530"/>
      <c r="X1219" s="1530"/>
      <c r="Y1219" s="1530"/>
      <c r="Z1219" s="1530"/>
      <c r="AA1219" s="1530"/>
      <c r="AB1219" s="1530"/>
      <c r="AC1219" s="1530"/>
      <c r="AD1219" s="1530"/>
      <c r="AE1219" s="1530"/>
      <c r="AF1219" s="1530"/>
      <c r="AG1219" s="1530"/>
      <c r="AH1219" s="1530"/>
      <c r="AI1219" s="1530"/>
      <c r="AJ1219" s="1530"/>
      <c r="AK1219" s="1530"/>
      <c r="AL1219" s="1530"/>
      <c r="AM1219" s="1530"/>
      <c r="AN1219" s="1530"/>
      <c r="AO1219" s="1530"/>
      <c r="AP1219" s="1530"/>
      <c r="AQ1219" s="1530"/>
      <c r="AR1219" s="1530"/>
      <c r="AS1219" s="1530"/>
      <c r="AT1219" s="1530"/>
      <c r="AU1219" s="1530"/>
      <c r="AV1219" s="1530"/>
      <c r="AW1219" s="1530"/>
      <c r="AX1219" s="1530"/>
      <c r="AY1219" s="1530"/>
      <c r="AZ1219" s="1530"/>
      <c r="BA1219" s="1530"/>
      <c r="BB1219" s="1530"/>
      <c r="BC1219" s="1530"/>
      <c r="BD1219" s="1530"/>
      <c r="BE1219" s="1530"/>
      <c r="BF1219" s="1530"/>
      <c r="BG1219" s="1530"/>
      <c r="BH1219" s="1530"/>
      <c r="BI1219" s="1530"/>
      <c r="BJ1219" s="1530"/>
      <c r="BK1219" s="1530"/>
      <c r="BL1219" s="1530"/>
      <c r="BM1219" s="1530"/>
      <c r="BN1219" s="1530"/>
      <c r="BW1219" s="1569"/>
      <c r="CO1219" s="1530"/>
      <c r="CP1219" s="1530"/>
      <c r="CQ1219" s="1530"/>
      <c r="CR1219" s="1530"/>
      <c r="CS1219" s="1530"/>
      <c r="CT1219" s="1530"/>
      <c r="CU1219" s="1530"/>
      <c r="CV1219" s="1530"/>
      <c r="CW1219" s="1530"/>
      <c r="CX1219" s="1530"/>
      <c r="CY1219" s="1530"/>
      <c r="CZ1219" s="1530"/>
      <c r="DA1219" s="1530"/>
      <c r="DB1219" s="1530"/>
      <c r="DC1219" s="1530"/>
      <c r="DD1219" s="1530"/>
      <c r="DE1219" s="1530"/>
      <c r="DF1219" s="1530"/>
      <c r="DG1219" s="1530"/>
      <c r="DH1219" s="1530"/>
      <c r="DI1219" s="1530"/>
      <c r="DJ1219" s="1530"/>
      <c r="DK1219" s="1530"/>
      <c r="DL1219" s="1530"/>
      <c r="DM1219" s="1530"/>
      <c r="DN1219" s="1571"/>
      <c r="DO1219" s="1530"/>
      <c r="DP1219" s="1530"/>
    </row>
    <row r="1220" spans="1:120">
      <c r="A1220" s="1451"/>
      <c r="C1220" s="1451"/>
      <c r="K1220" s="1451"/>
      <c r="L1220" s="1451"/>
      <c r="U1220" s="1530"/>
      <c r="V1220" s="1530"/>
      <c r="W1220" s="1530"/>
      <c r="X1220" s="1530"/>
      <c r="Y1220" s="1530"/>
      <c r="Z1220" s="1530"/>
      <c r="AA1220" s="1530"/>
      <c r="AB1220" s="1530"/>
      <c r="AC1220" s="1530"/>
      <c r="AD1220" s="1530"/>
      <c r="AE1220" s="1530"/>
      <c r="AF1220" s="1530"/>
      <c r="AG1220" s="1530"/>
      <c r="AH1220" s="1530"/>
      <c r="AI1220" s="1530"/>
      <c r="AJ1220" s="1530"/>
      <c r="AK1220" s="1530"/>
      <c r="AL1220" s="1530"/>
      <c r="AM1220" s="1530"/>
      <c r="AN1220" s="1530"/>
      <c r="AO1220" s="1530"/>
      <c r="AP1220" s="1530"/>
      <c r="AQ1220" s="1530"/>
      <c r="AR1220" s="1530"/>
      <c r="AS1220" s="1530"/>
      <c r="AT1220" s="1530"/>
      <c r="AU1220" s="1530"/>
      <c r="AV1220" s="1530"/>
      <c r="AW1220" s="1530"/>
      <c r="AX1220" s="1530"/>
      <c r="AY1220" s="1530"/>
      <c r="AZ1220" s="1530"/>
      <c r="BA1220" s="1530"/>
      <c r="BB1220" s="1530"/>
      <c r="BC1220" s="1530"/>
      <c r="BD1220" s="1530"/>
      <c r="BE1220" s="1530"/>
      <c r="BF1220" s="1530"/>
      <c r="BG1220" s="1530"/>
      <c r="BH1220" s="1530"/>
      <c r="BI1220" s="1530"/>
      <c r="BJ1220" s="1530"/>
      <c r="BK1220" s="1530"/>
      <c r="BL1220" s="1530"/>
      <c r="BM1220" s="1530"/>
      <c r="BN1220" s="1530"/>
      <c r="BW1220" s="1569"/>
      <c r="CO1220" s="1530"/>
      <c r="CP1220" s="1530"/>
      <c r="CQ1220" s="1530"/>
      <c r="CR1220" s="1530"/>
      <c r="CS1220" s="1530"/>
      <c r="CT1220" s="1530"/>
      <c r="CU1220" s="1530"/>
      <c r="CV1220" s="1530"/>
      <c r="CW1220" s="1530"/>
      <c r="CX1220" s="1530"/>
      <c r="CY1220" s="1530"/>
      <c r="CZ1220" s="1530"/>
      <c r="DA1220" s="1530"/>
      <c r="DB1220" s="1530"/>
      <c r="DC1220" s="1530"/>
      <c r="DD1220" s="1530"/>
      <c r="DE1220" s="1530"/>
      <c r="DF1220" s="1530"/>
      <c r="DG1220" s="1530"/>
      <c r="DH1220" s="1530"/>
      <c r="DI1220" s="1530"/>
      <c r="DJ1220" s="1530"/>
      <c r="DK1220" s="1530"/>
      <c r="DL1220" s="1530"/>
      <c r="DM1220" s="1530"/>
      <c r="DN1220" s="1571"/>
      <c r="DO1220" s="1530"/>
      <c r="DP1220" s="1530"/>
    </row>
    <row r="1221" spans="1:120">
      <c r="A1221" s="1451"/>
      <c r="C1221" s="1451"/>
      <c r="K1221" s="1451"/>
      <c r="L1221" s="1451"/>
      <c r="U1221" s="1530"/>
      <c r="V1221" s="1530"/>
      <c r="W1221" s="1530"/>
      <c r="X1221" s="1530"/>
      <c r="Y1221" s="1530"/>
      <c r="Z1221" s="1530"/>
      <c r="AA1221" s="1530"/>
      <c r="AB1221" s="1530"/>
      <c r="AC1221" s="1530"/>
      <c r="AD1221" s="1530"/>
      <c r="AE1221" s="1530"/>
      <c r="AF1221" s="1530"/>
      <c r="AG1221" s="1530"/>
      <c r="AH1221" s="1530"/>
      <c r="AI1221" s="1530"/>
      <c r="AJ1221" s="1530"/>
      <c r="AK1221" s="1530"/>
      <c r="AL1221" s="1530"/>
      <c r="AM1221" s="1530"/>
      <c r="AN1221" s="1530"/>
      <c r="AO1221" s="1530"/>
      <c r="AP1221" s="1530"/>
      <c r="AQ1221" s="1530"/>
      <c r="AR1221" s="1530"/>
      <c r="AS1221" s="1530"/>
      <c r="AT1221" s="1530"/>
      <c r="AU1221" s="1530"/>
      <c r="AV1221" s="1530"/>
      <c r="AW1221" s="1530"/>
      <c r="AX1221" s="1530"/>
      <c r="AY1221" s="1530"/>
      <c r="AZ1221" s="1530"/>
      <c r="BA1221" s="1530"/>
      <c r="BB1221" s="1530"/>
      <c r="BC1221" s="1530"/>
      <c r="BD1221" s="1530"/>
      <c r="BE1221" s="1530"/>
      <c r="BF1221" s="1530"/>
      <c r="BG1221" s="1530"/>
      <c r="BH1221" s="1530"/>
      <c r="BI1221" s="1530"/>
      <c r="BJ1221" s="1530"/>
      <c r="BK1221" s="1530"/>
      <c r="BL1221" s="1530"/>
      <c r="BM1221" s="1530"/>
      <c r="BN1221" s="1530"/>
      <c r="BW1221" s="1569"/>
      <c r="CO1221" s="1530"/>
      <c r="CP1221" s="1530"/>
      <c r="CQ1221" s="1530"/>
      <c r="CR1221" s="1530"/>
      <c r="CS1221" s="1530"/>
      <c r="CT1221" s="1530"/>
      <c r="CU1221" s="1530"/>
      <c r="CV1221" s="1530"/>
      <c r="CW1221" s="1530"/>
      <c r="CX1221" s="1530"/>
      <c r="CY1221" s="1530"/>
      <c r="CZ1221" s="1530"/>
      <c r="DA1221" s="1530"/>
      <c r="DB1221" s="1530"/>
      <c r="DC1221" s="1530"/>
      <c r="DD1221" s="1530"/>
      <c r="DE1221" s="1530"/>
      <c r="DF1221" s="1530"/>
      <c r="DG1221" s="1530"/>
      <c r="DH1221" s="1530"/>
      <c r="DI1221" s="1530"/>
      <c r="DJ1221" s="1530"/>
      <c r="DK1221" s="1530"/>
      <c r="DL1221" s="1530"/>
      <c r="DM1221" s="1530"/>
      <c r="DN1221" s="1571"/>
      <c r="DO1221" s="1530"/>
      <c r="DP1221" s="1530"/>
    </row>
    <row r="1222" spans="1:120">
      <c r="A1222" s="1451"/>
      <c r="C1222" s="1451"/>
      <c r="K1222" s="1451"/>
      <c r="L1222" s="1451"/>
      <c r="U1222" s="1530"/>
      <c r="V1222" s="1530"/>
      <c r="W1222" s="1530"/>
      <c r="X1222" s="1530"/>
      <c r="Y1222" s="1530"/>
      <c r="Z1222" s="1530"/>
      <c r="AA1222" s="1530"/>
      <c r="AB1222" s="1530"/>
      <c r="AC1222" s="1530"/>
      <c r="AD1222" s="1530"/>
      <c r="AE1222" s="1530"/>
      <c r="AF1222" s="1530"/>
      <c r="AG1222" s="1530"/>
      <c r="AH1222" s="1530"/>
      <c r="AI1222" s="1530"/>
      <c r="AJ1222" s="1530"/>
      <c r="AK1222" s="1530"/>
      <c r="AL1222" s="1530"/>
      <c r="AM1222" s="1530"/>
      <c r="AN1222" s="1530"/>
      <c r="AO1222" s="1530"/>
      <c r="AP1222" s="1530"/>
      <c r="AQ1222" s="1530"/>
      <c r="AR1222" s="1530"/>
      <c r="AS1222" s="1530"/>
      <c r="AT1222" s="1530"/>
      <c r="AU1222" s="1530"/>
      <c r="AV1222" s="1530"/>
      <c r="AW1222" s="1530"/>
      <c r="AX1222" s="1530"/>
      <c r="AY1222" s="1530"/>
      <c r="AZ1222" s="1530"/>
      <c r="BA1222" s="1530"/>
      <c r="BB1222" s="1530"/>
      <c r="BC1222" s="1530"/>
      <c r="BD1222" s="1530"/>
      <c r="BE1222" s="1530"/>
      <c r="BF1222" s="1530"/>
      <c r="BG1222" s="1530"/>
      <c r="BH1222" s="1530"/>
      <c r="BI1222" s="1530"/>
      <c r="BJ1222" s="1530"/>
      <c r="BK1222" s="1530"/>
      <c r="BL1222" s="1530"/>
      <c r="BM1222" s="1530"/>
      <c r="BN1222" s="1530"/>
      <c r="BW1222" s="1569"/>
      <c r="CO1222" s="1530"/>
      <c r="CP1222" s="1530"/>
      <c r="CQ1222" s="1530"/>
      <c r="CR1222" s="1530"/>
      <c r="CS1222" s="1530"/>
      <c r="CT1222" s="1530"/>
      <c r="CU1222" s="1530"/>
      <c r="CV1222" s="1530"/>
      <c r="CW1222" s="1530"/>
      <c r="CX1222" s="1530"/>
      <c r="CY1222" s="1530"/>
      <c r="CZ1222" s="1530"/>
      <c r="DA1222" s="1530"/>
      <c r="DB1222" s="1530"/>
      <c r="DC1222" s="1530"/>
      <c r="DD1222" s="1530"/>
      <c r="DE1222" s="1530"/>
      <c r="DF1222" s="1530"/>
      <c r="DG1222" s="1530"/>
      <c r="DH1222" s="1530"/>
      <c r="DI1222" s="1530"/>
      <c r="DJ1222" s="1530"/>
      <c r="DK1222" s="1530"/>
      <c r="DL1222" s="1530"/>
      <c r="DM1222" s="1530"/>
      <c r="DN1222" s="1571"/>
      <c r="DO1222" s="1530"/>
      <c r="DP1222" s="1530"/>
    </row>
    <row r="1223" spans="1:120">
      <c r="A1223" s="1451"/>
      <c r="C1223" s="1451"/>
      <c r="K1223" s="1451"/>
      <c r="L1223" s="1451"/>
      <c r="U1223" s="1530"/>
      <c r="V1223" s="1530"/>
      <c r="W1223" s="1530"/>
      <c r="X1223" s="1530"/>
      <c r="Y1223" s="1530"/>
      <c r="Z1223" s="1530"/>
      <c r="AA1223" s="1530"/>
      <c r="AB1223" s="1530"/>
      <c r="AC1223" s="1530"/>
      <c r="AD1223" s="1530"/>
      <c r="AE1223" s="1530"/>
      <c r="AF1223" s="1530"/>
      <c r="AG1223" s="1530"/>
      <c r="AH1223" s="1530"/>
      <c r="AI1223" s="1530"/>
      <c r="AJ1223" s="1530"/>
      <c r="AK1223" s="1530"/>
      <c r="AL1223" s="1530"/>
      <c r="AM1223" s="1530"/>
      <c r="AN1223" s="1530"/>
      <c r="AO1223" s="1530"/>
      <c r="AP1223" s="1530"/>
      <c r="AQ1223" s="1530"/>
      <c r="AR1223" s="1530"/>
      <c r="AS1223" s="1530"/>
      <c r="AT1223" s="1530"/>
      <c r="AU1223" s="1530"/>
      <c r="AV1223" s="1530"/>
      <c r="AW1223" s="1530"/>
      <c r="AX1223" s="1530"/>
      <c r="AY1223" s="1530"/>
      <c r="AZ1223" s="1530"/>
      <c r="BA1223" s="1530"/>
      <c r="BB1223" s="1530"/>
      <c r="BC1223" s="1530"/>
      <c r="BD1223" s="1530"/>
      <c r="BE1223" s="1530"/>
      <c r="BF1223" s="1530"/>
      <c r="BG1223" s="1530"/>
      <c r="BH1223" s="1530"/>
      <c r="BI1223" s="1530"/>
      <c r="BJ1223" s="1530"/>
      <c r="BK1223" s="1530"/>
      <c r="BL1223" s="1530"/>
      <c r="BM1223" s="1530"/>
      <c r="BN1223" s="1530"/>
      <c r="BW1223" s="1569"/>
      <c r="CO1223" s="1530"/>
      <c r="CP1223" s="1530"/>
      <c r="CQ1223" s="1530"/>
      <c r="CR1223" s="1530"/>
      <c r="CS1223" s="1530"/>
      <c r="CT1223" s="1530"/>
      <c r="CU1223" s="1530"/>
      <c r="CV1223" s="1530"/>
      <c r="CW1223" s="1530"/>
      <c r="CX1223" s="1530"/>
      <c r="CY1223" s="1530"/>
      <c r="CZ1223" s="1530"/>
      <c r="DA1223" s="1530"/>
      <c r="DB1223" s="1530"/>
      <c r="DC1223" s="1530"/>
      <c r="DD1223" s="1530"/>
      <c r="DE1223" s="1530"/>
      <c r="DF1223" s="1530"/>
      <c r="DG1223" s="1530"/>
      <c r="DH1223" s="1530"/>
      <c r="DI1223" s="1530"/>
      <c r="DJ1223" s="1530"/>
      <c r="DK1223" s="1530"/>
      <c r="DL1223" s="1530"/>
      <c r="DM1223" s="1530"/>
      <c r="DN1223" s="1571"/>
      <c r="DO1223" s="1530"/>
      <c r="DP1223" s="1530"/>
    </row>
    <row r="1224" spans="1:120">
      <c r="A1224" s="1451"/>
      <c r="C1224" s="1451"/>
      <c r="K1224" s="1451"/>
      <c r="L1224" s="1451"/>
      <c r="U1224" s="1530"/>
      <c r="V1224" s="1530"/>
      <c r="W1224" s="1530"/>
      <c r="X1224" s="1530"/>
      <c r="Y1224" s="1530"/>
      <c r="Z1224" s="1530"/>
      <c r="AA1224" s="1530"/>
      <c r="AB1224" s="1530"/>
      <c r="AC1224" s="1530"/>
      <c r="AD1224" s="1530"/>
      <c r="AE1224" s="1530"/>
      <c r="AF1224" s="1530"/>
      <c r="AG1224" s="1530"/>
      <c r="AH1224" s="1530"/>
      <c r="AI1224" s="1530"/>
      <c r="AJ1224" s="1530"/>
      <c r="AK1224" s="1530"/>
      <c r="AL1224" s="1530"/>
      <c r="AM1224" s="1530"/>
      <c r="AN1224" s="1530"/>
      <c r="AO1224" s="1530"/>
      <c r="AP1224" s="1530"/>
      <c r="AQ1224" s="1530"/>
      <c r="AR1224" s="1530"/>
      <c r="AS1224" s="1530"/>
      <c r="AT1224" s="1530"/>
      <c r="AU1224" s="1530"/>
      <c r="AV1224" s="1530"/>
      <c r="AW1224" s="1530"/>
      <c r="AX1224" s="1530"/>
      <c r="AY1224" s="1530"/>
      <c r="AZ1224" s="1530"/>
      <c r="BA1224" s="1530"/>
      <c r="BB1224" s="1530"/>
      <c r="BC1224" s="1530"/>
      <c r="BD1224" s="1530"/>
      <c r="BE1224" s="1530"/>
      <c r="BF1224" s="1530"/>
      <c r="BG1224" s="1530"/>
      <c r="BH1224" s="1530"/>
      <c r="BI1224" s="1530"/>
      <c r="BJ1224" s="1530"/>
      <c r="BK1224" s="1530"/>
      <c r="BL1224" s="1530"/>
      <c r="BM1224" s="1530"/>
      <c r="BN1224" s="1530"/>
      <c r="BW1224" s="1569"/>
      <c r="CO1224" s="1530"/>
      <c r="CP1224" s="1530"/>
      <c r="CQ1224" s="1530"/>
      <c r="CR1224" s="1530"/>
      <c r="CS1224" s="1530"/>
      <c r="CT1224" s="1530"/>
      <c r="CU1224" s="1530"/>
      <c r="CV1224" s="1530"/>
      <c r="CW1224" s="1530"/>
      <c r="CX1224" s="1530"/>
      <c r="CY1224" s="1530"/>
      <c r="CZ1224" s="1530"/>
      <c r="DA1224" s="1530"/>
      <c r="DB1224" s="1530"/>
      <c r="DC1224" s="1530"/>
      <c r="DD1224" s="1530"/>
      <c r="DE1224" s="1530"/>
      <c r="DF1224" s="1530"/>
      <c r="DG1224" s="1530"/>
      <c r="DH1224" s="1530"/>
      <c r="DI1224" s="1530"/>
      <c r="DJ1224" s="1530"/>
      <c r="DK1224" s="1530"/>
      <c r="DL1224" s="1530"/>
      <c r="DM1224" s="1530"/>
      <c r="DN1224" s="1571"/>
      <c r="DO1224" s="1530"/>
      <c r="DP1224" s="1530"/>
    </row>
    <row r="1225" spans="1:120">
      <c r="A1225" s="1451"/>
      <c r="C1225" s="1451"/>
      <c r="K1225" s="1451"/>
      <c r="L1225" s="1451"/>
      <c r="U1225" s="1530"/>
      <c r="V1225" s="1530"/>
      <c r="W1225" s="1530"/>
      <c r="X1225" s="1530"/>
      <c r="Y1225" s="1530"/>
      <c r="Z1225" s="1530"/>
      <c r="AA1225" s="1530"/>
      <c r="AB1225" s="1530"/>
      <c r="AC1225" s="1530"/>
      <c r="AD1225" s="1530"/>
      <c r="AE1225" s="1530"/>
      <c r="AF1225" s="1530"/>
      <c r="AG1225" s="1530"/>
      <c r="AH1225" s="1530"/>
      <c r="AI1225" s="1530"/>
      <c r="AJ1225" s="1530"/>
      <c r="AK1225" s="1530"/>
      <c r="AL1225" s="1530"/>
      <c r="AM1225" s="1530"/>
      <c r="AN1225" s="1530"/>
      <c r="AO1225" s="1530"/>
      <c r="AP1225" s="1530"/>
      <c r="AQ1225" s="1530"/>
      <c r="AR1225" s="1530"/>
      <c r="AS1225" s="1530"/>
      <c r="AT1225" s="1530"/>
      <c r="AU1225" s="1530"/>
      <c r="AV1225" s="1530"/>
      <c r="AW1225" s="1530"/>
      <c r="AX1225" s="1530"/>
      <c r="AY1225" s="1530"/>
      <c r="AZ1225" s="1530"/>
      <c r="BA1225" s="1530"/>
      <c r="BB1225" s="1530"/>
      <c r="BC1225" s="1530"/>
      <c r="BD1225" s="1530"/>
      <c r="BE1225" s="1530"/>
      <c r="BF1225" s="1530"/>
      <c r="BG1225" s="1530"/>
      <c r="BH1225" s="1530"/>
      <c r="BI1225" s="1530"/>
      <c r="BJ1225" s="1530"/>
      <c r="BK1225" s="1530"/>
      <c r="BL1225" s="1530"/>
      <c r="BM1225" s="1530"/>
      <c r="BN1225" s="1530"/>
      <c r="BW1225" s="1569"/>
      <c r="CO1225" s="1530"/>
      <c r="CP1225" s="1530"/>
      <c r="CQ1225" s="1530"/>
      <c r="CR1225" s="1530"/>
      <c r="CS1225" s="1530"/>
      <c r="CT1225" s="1530"/>
      <c r="CU1225" s="1530"/>
      <c r="CV1225" s="1530"/>
      <c r="CW1225" s="1530"/>
      <c r="CX1225" s="1530"/>
      <c r="CY1225" s="1530"/>
      <c r="CZ1225" s="1530"/>
      <c r="DA1225" s="1530"/>
      <c r="DB1225" s="1530"/>
      <c r="DC1225" s="1530"/>
      <c r="DD1225" s="1530"/>
      <c r="DE1225" s="1530"/>
      <c r="DF1225" s="1530"/>
      <c r="DG1225" s="1530"/>
      <c r="DH1225" s="1530"/>
      <c r="DI1225" s="1530"/>
      <c r="DJ1225" s="1530"/>
      <c r="DK1225" s="1530"/>
      <c r="DL1225" s="1530"/>
      <c r="DM1225" s="1530"/>
      <c r="DN1225" s="1571"/>
      <c r="DO1225" s="1530"/>
      <c r="DP1225" s="1530"/>
    </row>
    <row r="1226" spans="1:120">
      <c r="A1226" s="1451"/>
      <c r="C1226" s="1451"/>
      <c r="K1226" s="1451"/>
      <c r="L1226" s="1451"/>
      <c r="U1226" s="1530"/>
      <c r="V1226" s="1530"/>
      <c r="W1226" s="1530"/>
      <c r="X1226" s="1530"/>
      <c r="Y1226" s="1530"/>
      <c r="Z1226" s="1530"/>
      <c r="AA1226" s="1530"/>
      <c r="AB1226" s="1530"/>
      <c r="AC1226" s="1530"/>
      <c r="AD1226" s="1530"/>
      <c r="AE1226" s="1530"/>
      <c r="AF1226" s="1530"/>
      <c r="AG1226" s="1530"/>
      <c r="AH1226" s="1530"/>
      <c r="AI1226" s="1530"/>
      <c r="AJ1226" s="1530"/>
      <c r="AK1226" s="1530"/>
      <c r="AL1226" s="1530"/>
      <c r="AM1226" s="1530"/>
      <c r="AN1226" s="1530"/>
      <c r="AO1226" s="1530"/>
      <c r="AP1226" s="1530"/>
      <c r="AQ1226" s="1530"/>
      <c r="AR1226" s="1530"/>
      <c r="AS1226" s="1530"/>
      <c r="AT1226" s="1530"/>
      <c r="AU1226" s="1530"/>
      <c r="AV1226" s="1530"/>
      <c r="AW1226" s="1530"/>
      <c r="AX1226" s="1530"/>
      <c r="AY1226" s="1530"/>
      <c r="AZ1226" s="1530"/>
      <c r="BA1226" s="1530"/>
      <c r="BB1226" s="1530"/>
      <c r="BC1226" s="1530"/>
      <c r="BD1226" s="1530"/>
      <c r="BE1226" s="1530"/>
      <c r="BF1226" s="1530"/>
      <c r="BG1226" s="1530"/>
      <c r="BH1226" s="1530"/>
      <c r="BI1226" s="1530"/>
      <c r="BJ1226" s="1530"/>
      <c r="BK1226" s="1530"/>
      <c r="BL1226" s="1530"/>
      <c r="BM1226" s="1530"/>
      <c r="BN1226" s="1530"/>
      <c r="BW1226" s="1569"/>
      <c r="CO1226" s="1530"/>
      <c r="CP1226" s="1530"/>
      <c r="CQ1226" s="1530"/>
      <c r="CR1226" s="1530"/>
      <c r="CS1226" s="1530"/>
      <c r="CT1226" s="1530"/>
      <c r="CU1226" s="1530"/>
      <c r="CV1226" s="1530"/>
      <c r="CW1226" s="1530"/>
      <c r="CX1226" s="1530"/>
      <c r="CY1226" s="1530"/>
      <c r="CZ1226" s="1530"/>
      <c r="DA1226" s="1530"/>
      <c r="DB1226" s="1530"/>
      <c r="DC1226" s="1530"/>
      <c r="DD1226" s="1530"/>
      <c r="DE1226" s="1530"/>
      <c r="DF1226" s="1530"/>
      <c r="DG1226" s="1530"/>
      <c r="DH1226" s="1530"/>
      <c r="DI1226" s="1530"/>
      <c r="DJ1226" s="1530"/>
      <c r="DK1226" s="1530"/>
      <c r="DL1226" s="1530"/>
      <c r="DM1226" s="1530"/>
      <c r="DN1226" s="1571"/>
      <c r="DO1226" s="1530"/>
      <c r="DP1226" s="1530"/>
    </row>
    <row r="1227" spans="1:120">
      <c r="A1227" s="1451"/>
      <c r="C1227" s="1451"/>
      <c r="K1227" s="1451"/>
      <c r="L1227" s="1451"/>
      <c r="U1227" s="1530"/>
      <c r="V1227" s="1530"/>
      <c r="W1227" s="1530"/>
      <c r="X1227" s="1530"/>
      <c r="Y1227" s="1530"/>
      <c r="Z1227" s="1530"/>
      <c r="AA1227" s="1530"/>
      <c r="AB1227" s="1530"/>
      <c r="AC1227" s="1530"/>
      <c r="AD1227" s="1530"/>
      <c r="AE1227" s="1530"/>
      <c r="AF1227" s="1530"/>
      <c r="AG1227" s="1530"/>
      <c r="AH1227" s="1530"/>
      <c r="AI1227" s="1530"/>
      <c r="AJ1227" s="1530"/>
      <c r="AK1227" s="1530"/>
      <c r="AL1227" s="1530"/>
      <c r="AM1227" s="1530"/>
      <c r="AN1227" s="1530"/>
      <c r="AO1227" s="1530"/>
      <c r="AP1227" s="1530"/>
      <c r="AQ1227" s="1530"/>
      <c r="AR1227" s="1530"/>
      <c r="AS1227" s="1530"/>
      <c r="AT1227" s="1530"/>
      <c r="AU1227" s="1530"/>
      <c r="AV1227" s="1530"/>
      <c r="AW1227" s="1530"/>
      <c r="AX1227" s="1530"/>
      <c r="AY1227" s="1530"/>
      <c r="AZ1227" s="1530"/>
      <c r="BA1227" s="1530"/>
      <c r="BB1227" s="1530"/>
      <c r="BC1227" s="1530"/>
      <c r="BD1227" s="1530"/>
      <c r="BE1227" s="1530"/>
      <c r="BF1227" s="1530"/>
      <c r="BG1227" s="1530"/>
      <c r="BH1227" s="1530"/>
      <c r="BI1227" s="1530"/>
      <c r="BJ1227" s="1530"/>
      <c r="BK1227" s="1530"/>
      <c r="BL1227" s="1530"/>
      <c r="BM1227" s="1530"/>
      <c r="BN1227" s="1530"/>
      <c r="BW1227" s="1569"/>
      <c r="CO1227" s="1530"/>
      <c r="CP1227" s="1530"/>
      <c r="CQ1227" s="1530"/>
      <c r="CR1227" s="1530"/>
      <c r="CS1227" s="1530"/>
      <c r="CT1227" s="1530"/>
      <c r="CU1227" s="1530"/>
      <c r="CV1227" s="1530"/>
      <c r="CW1227" s="1530"/>
      <c r="CX1227" s="1530"/>
      <c r="CY1227" s="1530"/>
      <c r="CZ1227" s="1530"/>
      <c r="DA1227" s="1530"/>
      <c r="DB1227" s="1530"/>
      <c r="DC1227" s="1530"/>
      <c r="DD1227" s="1530"/>
      <c r="DE1227" s="1530"/>
      <c r="DF1227" s="1530"/>
      <c r="DG1227" s="1530"/>
      <c r="DH1227" s="1530"/>
      <c r="DI1227" s="1530"/>
      <c r="DJ1227" s="1530"/>
      <c r="DK1227" s="1530"/>
      <c r="DL1227" s="1530"/>
      <c r="DM1227" s="1530"/>
      <c r="DN1227" s="1571"/>
      <c r="DO1227" s="1530"/>
      <c r="DP1227" s="1530"/>
    </row>
    <row r="1228" spans="1:120">
      <c r="A1228" s="1451"/>
      <c r="C1228" s="1451"/>
      <c r="K1228" s="1451"/>
      <c r="L1228" s="1451"/>
      <c r="U1228" s="1530"/>
      <c r="V1228" s="1530"/>
      <c r="W1228" s="1530"/>
      <c r="X1228" s="1530"/>
      <c r="Y1228" s="1530"/>
      <c r="Z1228" s="1530"/>
      <c r="AA1228" s="1530"/>
      <c r="AB1228" s="1530"/>
      <c r="AC1228" s="1530"/>
      <c r="AD1228" s="1530"/>
      <c r="AE1228" s="1530"/>
      <c r="AF1228" s="1530"/>
      <c r="AG1228" s="1530"/>
      <c r="AH1228" s="1530"/>
      <c r="AI1228" s="1530"/>
      <c r="AJ1228" s="1530"/>
      <c r="AK1228" s="1530"/>
      <c r="AL1228" s="1530"/>
      <c r="AM1228" s="1530"/>
      <c r="AN1228" s="1530"/>
      <c r="AO1228" s="1530"/>
      <c r="AP1228" s="1530"/>
      <c r="AQ1228" s="1530"/>
      <c r="AR1228" s="1530"/>
      <c r="AS1228" s="1530"/>
      <c r="AT1228" s="1530"/>
      <c r="AU1228" s="1530"/>
      <c r="AV1228" s="1530"/>
      <c r="AW1228" s="1530"/>
      <c r="AX1228" s="1530"/>
      <c r="AY1228" s="1530"/>
      <c r="AZ1228" s="1530"/>
      <c r="BA1228" s="1530"/>
      <c r="BB1228" s="1530"/>
      <c r="BC1228" s="1530"/>
      <c r="BD1228" s="1530"/>
      <c r="BE1228" s="1530"/>
      <c r="BF1228" s="1530"/>
      <c r="BG1228" s="1530"/>
      <c r="BH1228" s="1530"/>
      <c r="BI1228" s="1530"/>
      <c r="BJ1228" s="1530"/>
      <c r="BK1228" s="1530"/>
      <c r="BL1228" s="1530"/>
      <c r="BM1228" s="1530"/>
      <c r="BN1228" s="1530"/>
      <c r="BW1228" s="1569"/>
      <c r="CO1228" s="1530"/>
      <c r="CP1228" s="1530"/>
      <c r="CQ1228" s="1530"/>
      <c r="CR1228" s="1530"/>
      <c r="CS1228" s="1530"/>
      <c r="CT1228" s="1530"/>
      <c r="CU1228" s="1530"/>
      <c r="CV1228" s="1530"/>
      <c r="CW1228" s="1530"/>
      <c r="CX1228" s="1530"/>
      <c r="CY1228" s="1530"/>
      <c r="CZ1228" s="1530"/>
      <c r="DA1228" s="1530"/>
      <c r="DB1228" s="1530"/>
      <c r="DC1228" s="1530"/>
      <c r="DD1228" s="1530"/>
      <c r="DE1228" s="1530"/>
      <c r="DF1228" s="1530"/>
      <c r="DG1228" s="1530"/>
      <c r="DH1228" s="1530"/>
      <c r="DI1228" s="1530"/>
      <c r="DJ1228" s="1530"/>
      <c r="DK1228" s="1530"/>
      <c r="DL1228" s="1530"/>
      <c r="DM1228" s="1530"/>
      <c r="DN1228" s="1571"/>
      <c r="DO1228" s="1530"/>
      <c r="DP1228" s="1530"/>
    </row>
    <row r="1229" spans="1:120">
      <c r="A1229" s="1451"/>
      <c r="C1229" s="1451"/>
      <c r="K1229" s="1451"/>
      <c r="L1229" s="1451"/>
      <c r="U1229" s="1530"/>
      <c r="V1229" s="1530"/>
      <c r="W1229" s="1530"/>
      <c r="X1229" s="1530"/>
      <c r="Y1229" s="1530"/>
      <c r="Z1229" s="1530"/>
      <c r="AA1229" s="1530"/>
      <c r="AB1229" s="1530"/>
      <c r="AC1229" s="1530"/>
      <c r="AD1229" s="1530"/>
      <c r="AE1229" s="1530"/>
      <c r="AF1229" s="1530"/>
      <c r="AG1229" s="1530"/>
      <c r="AH1229" s="1530"/>
      <c r="AI1229" s="1530"/>
      <c r="AJ1229" s="1530"/>
      <c r="AK1229" s="1530"/>
      <c r="AL1229" s="1530"/>
      <c r="AM1229" s="1530"/>
      <c r="AN1229" s="1530"/>
      <c r="AO1229" s="1530"/>
      <c r="AP1229" s="1530"/>
      <c r="AQ1229" s="1530"/>
      <c r="AR1229" s="1530"/>
      <c r="AS1229" s="1530"/>
      <c r="AT1229" s="1530"/>
      <c r="AU1229" s="1530"/>
      <c r="AV1229" s="1530"/>
      <c r="AW1229" s="1530"/>
      <c r="AX1229" s="1530"/>
      <c r="AY1229" s="1530"/>
      <c r="AZ1229" s="1530"/>
      <c r="BA1229" s="1530"/>
      <c r="BB1229" s="1530"/>
      <c r="BC1229" s="1530"/>
      <c r="BD1229" s="1530"/>
      <c r="BE1229" s="1530"/>
      <c r="BF1229" s="1530"/>
      <c r="BG1229" s="1530"/>
      <c r="BH1229" s="1530"/>
      <c r="BI1229" s="1530"/>
      <c r="BJ1229" s="1530"/>
      <c r="BK1229" s="1530"/>
      <c r="BL1229" s="1530"/>
      <c r="BM1229" s="1530"/>
      <c r="BN1229" s="1530"/>
      <c r="BW1229" s="1569"/>
      <c r="CO1229" s="1530"/>
      <c r="CP1229" s="1530"/>
      <c r="CQ1229" s="1530"/>
      <c r="CR1229" s="1530"/>
      <c r="CS1229" s="1530"/>
      <c r="CT1229" s="1530"/>
      <c r="CU1229" s="1530"/>
      <c r="CV1229" s="1530"/>
      <c r="CW1229" s="1530"/>
      <c r="CX1229" s="1530"/>
      <c r="CY1229" s="1530"/>
      <c r="CZ1229" s="1530"/>
      <c r="DA1229" s="1530"/>
      <c r="DB1229" s="1530"/>
      <c r="DC1229" s="1530"/>
      <c r="DD1229" s="1530"/>
      <c r="DE1229" s="1530"/>
      <c r="DF1229" s="1530"/>
      <c r="DG1229" s="1530"/>
      <c r="DH1229" s="1530"/>
      <c r="DI1229" s="1530"/>
      <c r="DJ1229" s="1530"/>
      <c r="DK1229" s="1530"/>
      <c r="DL1229" s="1530"/>
      <c r="DM1229" s="1530"/>
      <c r="DN1229" s="1571"/>
      <c r="DO1229" s="1530"/>
      <c r="DP1229" s="1530"/>
    </row>
    <row r="1230" spans="1:120">
      <c r="A1230" s="1451"/>
      <c r="C1230" s="1451"/>
      <c r="K1230" s="1451"/>
      <c r="L1230" s="1451"/>
      <c r="U1230" s="1530"/>
      <c r="V1230" s="1530"/>
      <c r="W1230" s="1530"/>
      <c r="X1230" s="1530"/>
      <c r="Y1230" s="1530"/>
      <c r="Z1230" s="1530"/>
      <c r="AA1230" s="1530"/>
      <c r="AB1230" s="1530"/>
      <c r="AC1230" s="1530"/>
      <c r="AD1230" s="1530"/>
      <c r="AE1230" s="1530"/>
      <c r="AF1230" s="1530"/>
      <c r="AG1230" s="1530"/>
      <c r="AH1230" s="1530"/>
      <c r="AI1230" s="1530"/>
      <c r="AJ1230" s="1530"/>
      <c r="AK1230" s="1530"/>
      <c r="AL1230" s="1530"/>
      <c r="AM1230" s="1530"/>
      <c r="AN1230" s="1530"/>
      <c r="AO1230" s="1530"/>
      <c r="AP1230" s="1530"/>
      <c r="AQ1230" s="1530"/>
      <c r="AR1230" s="1530"/>
      <c r="AS1230" s="1530"/>
      <c r="AT1230" s="1530"/>
      <c r="AU1230" s="1530"/>
      <c r="AV1230" s="1530"/>
      <c r="AW1230" s="1530"/>
      <c r="AX1230" s="1530"/>
      <c r="AY1230" s="1530"/>
      <c r="AZ1230" s="1530"/>
      <c r="BA1230" s="1530"/>
      <c r="BB1230" s="1530"/>
      <c r="BC1230" s="1530"/>
      <c r="BD1230" s="1530"/>
      <c r="BE1230" s="1530"/>
      <c r="BF1230" s="1530"/>
      <c r="BG1230" s="1530"/>
      <c r="BH1230" s="1530"/>
      <c r="BI1230" s="1530"/>
      <c r="BJ1230" s="1530"/>
      <c r="BK1230" s="1530"/>
      <c r="BL1230" s="1530"/>
      <c r="BM1230" s="1530"/>
      <c r="BN1230" s="1530"/>
      <c r="BW1230" s="1569"/>
      <c r="CO1230" s="1530"/>
      <c r="CP1230" s="1530"/>
      <c r="CQ1230" s="1530"/>
      <c r="CR1230" s="1530"/>
      <c r="CS1230" s="1530"/>
      <c r="CT1230" s="1530"/>
      <c r="CU1230" s="1530"/>
      <c r="CV1230" s="1530"/>
      <c r="CW1230" s="1530"/>
      <c r="CX1230" s="1530"/>
      <c r="CY1230" s="1530"/>
      <c r="CZ1230" s="1530"/>
      <c r="DA1230" s="1530"/>
      <c r="DB1230" s="1530"/>
      <c r="DC1230" s="1530"/>
      <c r="DD1230" s="1530"/>
      <c r="DE1230" s="1530"/>
      <c r="DF1230" s="1530"/>
      <c r="DG1230" s="1530"/>
      <c r="DH1230" s="1530"/>
      <c r="DI1230" s="1530"/>
      <c r="DJ1230" s="1530"/>
      <c r="DK1230" s="1530"/>
      <c r="DL1230" s="1530"/>
      <c r="DM1230" s="1530"/>
      <c r="DN1230" s="1571"/>
      <c r="DO1230" s="1530"/>
      <c r="DP1230" s="1530"/>
    </row>
    <row r="1231" spans="1:120">
      <c r="A1231" s="1451"/>
      <c r="C1231" s="1451"/>
      <c r="K1231" s="1451"/>
      <c r="L1231" s="1451"/>
      <c r="U1231" s="1530"/>
      <c r="V1231" s="1530"/>
      <c r="W1231" s="1530"/>
      <c r="X1231" s="1530"/>
      <c r="Y1231" s="1530"/>
      <c r="Z1231" s="1530"/>
      <c r="AA1231" s="1530"/>
      <c r="AB1231" s="1530"/>
      <c r="AC1231" s="1530"/>
      <c r="AD1231" s="1530"/>
      <c r="AE1231" s="1530"/>
      <c r="AF1231" s="1530"/>
      <c r="AG1231" s="1530"/>
      <c r="AH1231" s="1530"/>
      <c r="AI1231" s="1530"/>
      <c r="AJ1231" s="1530"/>
      <c r="AK1231" s="1530"/>
      <c r="AL1231" s="1530"/>
      <c r="AM1231" s="1530"/>
      <c r="AN1231" s="1530"/>
      <c r="AO1231" s="1530"/>
      <c r="AP1231" s="1530"/>
      <c r="AQ1231" s="1530"/>
      <c r="AR1231" s="1530"/>
      <c r="AS1231" s="1530"/>
      <c r="AT1231" s="1530"/>
      <c r="AU1231" s="1530"/>
      <c r="AV1231" s="1530"/>
      <c r="AW1231" s="1530"/>
      <c r="AX1231" s="1530"/>
      <c r="AY1231" s="1530"/>
      <c r="AZ1231" s="1530"/>
      <c r="BA1231" s="1530"/>
      <c r="BB1231" s="1530"/>
      <c r="BC1231" s="1530"/>
      <c r="BD1231" s="1530"/>
      <c r="BE1231" s="1530"/>
      <c r="BF1231" s="1530"/>
      <c r="BG1231" s="1530"/>
      <c r="BH1231" s="1530"/>
      <c r="BI1231" s="1530"/>
      <c r="BJ1231" s="1530"/>
      <c r="BK1231" s="1530"/>
      <c r="BL1231" s="1530"/>
      <c r="BM1231" s="1530"/>
      <c r="BN1231" s="1530"/>
      <c r="BW1231" s="1569"/>
      <c r="CO1231" s="1530"/>
      <c r="CP1231" s="1530"/>
      <c r="CQ1231" s="1530"/>
      <c r="CR1231" s="1530"/>
      <c r="CS1231" s="1530"/>
      <c r="CT1231" s="1530"/>
      <c r="CU1231" s="1530"/>
      <c r="CV1231" s="1530"/>
      <c r="CW1231" s="1530"/>
      <c r="CX1231" s="1530"/>
      <c r="CY1231" s="1530"/>
      <c r="CZ1231" s="1530"/>
      <c r="DA1231" s="1530"/>
      <c r="DB1231" s="1530"/>
      <c r="DC1231" s="1530"/>
      <c r="DD1231" s="1530"/>
      <c r="DE1231" s="1530"/>
      <c r="DF1231" s="1530"/>
      <c r="DG1231" s="1530"/>
      <c r="DH1231" s="1530"/>
      <c r="DI1231" s="1530"/>
      <c r="DJ1231" s="1530"/>
      <c r="DK1231" s="1530"/>
      <c r="DL1231" s="1530"/>
      <c r="DM1231" s="1530"/>
      <c r="DN1231" s="1571"/>
      <c r="DO1231" s="1530"/>
      <c r="DP1231" s="1530"/>
    </row>
    <row r="1232" spans="1:120">
      <c r="A1232" s="1451"/>
      <c r="C1232" s="1451"/>
      <c r="K1232" s="1451"/>
      <c r="L1232" s="1451"/>
      <c r="U1232" s="1530"/>
      <c r="V1232" s="1530"/>
      <c r="W1232" s="1530"/>
      <c r="X1232" s="1530"/>
      <c r="Y1232" s="1530"/>
      <c r="Z1232" s="1530"/>
      <c r="AA1232" s="1530"/>
      <c r="AB1232" s="1530"/>
      <c r="AC1232" s="1530"/>
      <c r="AD1232" s="1530"/>
      <c r="AE1232" s="1530"/>
      <c r="AF1232" s="1530"/>
      <c r="AG1232" s="1530"/>
      <c r="AH1232" s="1530"/>
      <c r="AI1232" s="1530"/>
      <c r="AJ1232" s="1530"/>
      <c r="AK1232" s="1530"/>
      <c r="AL1232" s="1530"/>
      <c r="AM1232" s="1530"/>
      <c r="AN1232" s="1530"/>
      <c r="AO1232" s="1530"/>
      <c r="AP1232" s="1530"/>
      <c r="AQ1232" s="1530"/>
      <c r="AR1232" s="1530"/>
      <c r="AS1232" s="1530"/>
      <c r="AT1232" s="1530"/>
      <c r="AU1232" s="1530"/>
      <c r="AV1232" s="1530"/>
      <c r="AW1232" s="1530"/>
      <c r="AX1232" s="1530"/>
      <c r="AY1232" s="1530"/>
      <c r="AZ1232" s="1530"/>
      <c r="BA1232" s="1530"/>
      <c r="BB1232" s="1530"/>
      <c r="BC1232" s="1530"/>
      <c r="BD1232" s="1530"/>
      <c r="BE1232" s="1530"/>
      <c r="BF1232" s="1530"/>
      <c r="BG1232" s="1530"/>
      <c r="BH1232" s="1530"/>
      <c r="BI1232" s="1530"/>
      <c r="BJ1232" s="1530"/>
      <c r="BK1232" s="1530"/>
      <c r="BL1232" s="1530"/>
      <c r="BM1232" s="1530"/>
      <c r="BN1232" s="1530"/>
      <c r="BW1232" s="1569"/>
      <c r="CO1232" s="1530"/>
      <c r="CP1232" s="1530"/>
      <c r="CQ1232" s="1530"/>
      <c r="CR1232" s="1530"/>
      <c r="CS1232" s="1530"/>
      <c r="CT1232" s="1530"/>
      <c r="CU1232" s="1530"/>
      <c r="CV1232" s="1530"/>
      <c r="CW1232" s="1530"/>
      <c r="CX1232" s="1530"/>
      <c r="CY1232" s="1530"/>
      <c r="CZ1232" s="1530"/>
      <c r="DA1232" s="1530"/>
      <c r="DB1232" s="1530"/>
      <c r="DC1232" s="1530"/>
      <c r="DD1232" s="1530"/>
      <c r="DE1232" s="1530"/>
      <c r="DF1232" s="1530"/>
      <c r="DG1232" s="1530"/>
      <c r="DH1232" s="1530"/>
      <c r="DI1232" s="1530"/>
      <c r="DJ1232" s="1530"/>
      <c r="DK1232" s="1530"/>
      <c r="DL1232" s="1530"/>
      <c r="DM1232" s="1530"/>
      <c r="DN1232" s="1571"/>
      <c r="DO1232" s="1530"/>
      <c r="DP1232" s="1530"/>
    </row>
    <row r="1233" spans="1:120">
      <c r="A1233" s="1451"/>
      <c r="C1233" s="1451"/>
      <c r="K1233" s="1451"/>
      <c r="L1233" s="1451"/>
      <c r="U1233" s="1530"/>
      <c r="V1233" s="1530"/>
      <c r="W1233" s="1530"/>
      <c r="X1233" s="1530"/>
      <c r="Y1233" s="1530"/>
      <c r="Z1233" s="1530"/>
      <c r="AA1233" s="1530"/>
      <c r="AB1233" s="1530"/>
      <c r="AC1233" s="1530"/>
      <c r="AD1233" s="1530"/>
      <c r="AE1233" s="1530"/>
      <c r="AF1233" s="1530"/>
      <c r="AG1233" s="1530"/>
      <c r="AH1233" s="1530"/>
      <c r="AI1233" s="1530"/>
      <c r="AJ1233" s="1530"/>
      <c r="AK1233" s="1530"/>
      <c r="AL1233" s="1530"/>
      <c r="AM1233" s="1530"/>
      <c r="AN1233" s="1530"/>
      <c r="AO1233" s="1530"/>
      <c r="AP1233" s="1530"/>
      <c r="AQ1233" s="1530"/>
      <c r="AR1233" s="1530"/>
      <c r="AS1233" s="1530"/>
      <c r="AT1233" s="1530"/>
      <c r="AU1233" s="1530"/>
      <c r="AV1233" s="1530"/>
      <c r="AW1233" s="1530"/>
      <c r="AX1233" s="1530"/>
      <c r="AY1233" s="1530"/>
      <c r="AZ1233" s="1530"/>
      <c r="BA1233" s="1530"/>
      <c r="BB1233" s="1530"/>
      <c r="BC1233" s="1530"/>
      <c r="BD1233" s="1530"/>
      <c r="BE1233" s="1530"/>
      <c r="BF1233" s="1530"/>
      <c r="BG1233" s="1530"/>
      <c r="BH1233" s="1530"/>
      <c r="BI1233" s="1530"/>
      <c r="BJ1233" s="1530"/>
      <c r="BK1233" s="1530"/>
      <c r="BL1233" s="1530"/>
      <c r="BM1233" s="1530"/>
      <c r="BN1233" s="1530"/>
      <c r="BW1233" s="1569"/>
      <c r="CO1233" s="1530"/>
      <c r="CP1233" s="1530"/>
      <c r="CQ1233" s="1530"/>
      <c r="CR1233" s="1530"/>
      <c r="CS1233" s="1530"/>
      <c r="CT1233" s="1530"/>
      <c r="CU1233" s="1530"/>
      <c r="CV1233" s="1530"/>
      <c r="CW1233" s="1530"/>
      <c r="CX1233" s="1530"/>
      <c r="CY1233" s="1530"/>
      <c r="CZ1233" s="1530"/>
      <c r="DA1233" s="1530"/>
      <c r="DB1233" s="1530"/>
      <c r="DC1233" s="1530"/>
      <c r="DD1233" s="1530"/>
      <c r="DE1233" s="1530"/>
      <c r="DF1233" s="1530"/>
      <c r="DG1233" s="1530"/>
      <c r="DH1233" s="1530"/>
      <c r="DI1233" s="1530"/>
      <c r="DJ1233" s="1530"/>
      <c r="DK1233" s="1530"/>
      <c r="DL1233" s="1530"/>
      <c r="DM1233" s="1530"/>
      <c r="DN1233" s="1571"/>
      <c r="DO1233" s="1530"/>
      <c r="DP1233" s="1530"/>
    </row>
    <row r="1234" spans="1:120">
      <c r="A1234" s="1451"/>
      <c r="C1234" s="1451"/>
      <c r="K1234" s="1451"/>
      <c r="L1234" s="1451"/>
      <c r="U1234" s="1530"/>
      <c r="V1234" s="1530"/>
      <c r="W1234" s="1530"/>
      <c r="X1234" s="1530"/>
      <c r="Y1234" s="1530"/>
      <c r="Z1234" s="1530"/>
      <c r="AA1234" s="1530"/>
      <c r="AB1234" s="1530"/>
      <c r="AC1234" s="1530"/>
      <c r="AD1234" s="1530"/>
      <c r="AE1234" s="1530"/>
      <c r="AF1234" s="1530"/>
      <c r="AG1234" s="1530"/>
      <c r="AH1234" s="1530"/>
      <c r="AI1234" s="1530"/>
      <c r="AJ1234" s="1530"/>
      <c r="AK1234" s="1530"/>
      <c r="AL1234" s="1530"/>
      <c r="AM1234" s="1530"/>
      <c r="AN1234" s="1530"/>
      <c r="AO1234" s="1530"/>
      <c r="AP1234" s="1530"/>
      <c r="AQ1234" s="1530"/>
      <c r="AR1234" s="1530"/>
      <c r="AS1234" s="1530"/>
      <c r="AT1234" s="1530"/>
      <c r="AU1234" s="1530"/>
      <c r="AV1234" s="1530"/>
      <c r="AW1234" s="1530"/>
      <c r="AX1234" s="1530"/>
      <c r="AY1234" s="1530"/>
      <c r="AZ1234" s="1530"/>
      <c r="BA1234" s="1530"/>
      <c r="BB1234" s="1530"/>
      <c r="BC1234" s="1530"/>
      <c r="BD1234" s="1530"/>
      <c r="BE1234" s="1530"/>
      <c r="BF1234" s="1530"/>
      <c r="BG1234" s="1530"/>
      <c r="BH1234" s="1530"/>
      <c r="BI1234" s="1530"/>
      <c r="BJ1234" s="1530"/>
      <c r="BK1234" s="1530"/>
      <c r="BL1234" s="1530"/>
      <c r="BM1234" s="1530"/>
      <c r="BN1234" s="1530"/>
      <c r="BW1234" s="1569"/>
      <c r="CO1234" s="1530"/>
      <c r="CP1234" s="1530"/>
      <c r="CQ1234" s="1530"/>
      <c r="CR1234" s="1530"/>
      <c r="CS1234" s="1530"/>
      <c r="CT1234" s="1530"/>
      <c r="CU1234" s="1530"/>
      <c r="CV1234" s="1530"/>
      <c r="CW1234" s="1530"/>
      <c r="CX1234" s="1530"/>
      <c r="CY1234" s="1530"/>
      <c r="CZ1234" s="1530"/>
      <c r="DA1234" s="1530"/>
      <c r="DB1234" s="1530"/>
      <c r="DC1234" s="1530"/>
      <c r="DD1234" s="1530"/>
      <c r="DE1234" s="1530"/>
      <c r="DF1234" s="1530"/>
      <c r="DG1234" s="1530"/>
      <c r="DH1234" s="1530"/>
      <c r="DI1234" s="1530"/>
      <c r="DJ1234" s="1530"/>
      <c r="DK1234" s="1530"/>
      <c r="DL1234" s="1530"/>
      <c r="DM1234" s="1530"/>
      <c r="DN1234" s="1571"/>
      <c r="DO1234" s="1530"/>
      <c r="DP1234" s="1530"/>
    </row>
    <row r="1235" spans="1:120">
      <c r="A1235" s="1451"/>
      <c r="C1235" s="1451"/>
      <c r="K1235" s="1451"/>
      <c r="L1235" s="1451"/>
      <c r="U1235" s="1530"/>
      <c r="V1235" s="1530"/>
      <c r="W1235" s="1530"/>
      <c r="X1235" s="1530"/>
      <c r="Y1235" s="1530"/>
      <c r="Z1235" s="1530"/>
      <c r="AA1235" s="1530"/>
      <c r="AB1235" s="1530"/>
      <c r="AC1235" s="1530"/>
      <c r="AD1235" s="1530"/>
      <c r="AE1235" s="1530"/>
      <c r="AF1235" s="1530"/>
      <c r="AG1235" s="1530"/>
      <c r="AH1235" s="1530"/>
      <c r="AI1235" s="1530"/>
      <c r="AJ1235" s="1530"/>
      <c r="AK1235" s="1530"/>
      <c r="AL1235" s="1530"/>
      <c r="AM1235" s="1530"/>
      <c r="AN1235" s="1530"/>
      <c r="AO1235" s="1530"/>
      <c r="AP1235" s="1530"/>
      <c r="AQ1235" s="1530"/>
      <c r="AR1235" s="1530"/>
      <c r="AS1235" s="1530"/>
      <c r="AT1235" s="1530"/>
      <c r="AU1235" s="1530"/>
      <c r="AV1235" s="1530"/>
      <c r="AW1235" s="1530"/>
      <c r="AX1235" s="1530"/>
      <c r="AY1235" s="1530"/>
      <c r="AZ1235" s="1530"/>
      <c r="BA1235" s="1530"/>
      <c r="BB1235" s="1530"/>
      <c r="BC1235" s="1530"/>
      <c r="BD1235" s="1530"/>
      <c r="BE1235" s="1530"/>
      <c r="BF1235" s="1530"/>
      <c r="BG1235" s="1530"/>
      <c r="BH1235" s="1530"/>
      <c r="BI1235" s="1530"/>
      <c r="BJ1235" s="1530"/>
      <c r="BK1235" s="1530"/>
      <c r="BL1235" s="1530"/>
      <c r="BM1235" s="1530"/>
      <c r="BN1235" s="1530"/>
      <c r="BW1235" s="1569"/>
      <c r="CO1235" s="1530"/>
      <c r="CP1235" s="1530"/>
      <c r="CQ1235" s="1530"/>
      <c r="CR1235" s="1530"/>
      <c r="CS1235" s="1530"/>
      <c r="CT1235" s="1530"/>
      <c r="CU1235" s="1530"/>
      <c r="CV1235" s="1530"/>
      <c r="CW1235" s="1530"/>
      <c r="CX1235" s="1530"/>
      <c r="CY1235" s="1530"/>
      <c r="CZ1235" s="1530"/>
      <c r="DA1235" s="1530"/>
      <c r="DB1235" s="1530"/>
      <c r="DC1235" s="1530"/>
      <c r="DD1235" s="1530"/>
      <c r="DE1235" s="1530"/>
      <c r="DF1235" s="1530"/>
      <c r="DG1235" s="1530"/>
      <c r="DH1235" s="1530"/>
      <c r="DI1235" s="1530"/>
      <c r="DJ1235" s="1530"/>
      <c r="DK1235" s="1530"/>
      <c r="DL1235" s="1530"/>
      <c r="DM1235" s="1530"/>
      <c r="DN1235" s="1571"/>
      <c r="DO1235" s="1530"/>
      <c r="DP1235" s="1530"/>
    </row>
    <row r="1236" spans="1:120">
      <c r="A1236" s="1451"/>
      <c r="C1236" s="1451"/>
      <c r="K1236" s="1451"/>
      <c r="L1236" s="1451"/>
      <c r="U1236" s="1530"/>
      <c r="V1236" s="1530"/>
      <c r="W1236" s="1530"/>
      <c r="X1236" s="1530"/>
      <c r="Y1236" s="1530"/>
      <c r="Z1236" s="1530"/>
      <c r="AA1236" s="1530"/>
      <c r="AB1236" s="1530"/>
      <c r="AC1236" s="1530"/>
      <c r="AD1236" s="1530"/>
      <c r="AE1236" s="1530"/>
      <c r="AF1236" s="1530"/>
      <c r="AG1236" s="1530"/>
      <c r="AH1236" s="1530"/>
      <c r="AI1236" s="1530"/>
      <c r="AJ1236" s="1530"/>
      <c r="AK1236" s="1530"/>
      <c r="AL1236" s="1530"/>
      <c r="AM1236" s="1530"/>
      <c r="AN1236" s="1530"/>
      <c r="AO1236" s="1530"/>
      <c r="AP1236" s="1530"/>
      <c r="AQ1236" s="1530"/>
      <c r="AR1236" s="1530"/>
      <c r="AS1236" s="1530"/>
      <c r="AT1236" s="1530"/>
      <c r="AU1236" s="1530"/>
      <c r="AV1236" s="1530"/>
      <c r="AW1236" s="1530"/>
      <c r="AX1236" s="1530"/>
      <c r="AY1236" s="1530"/>
      <c r="AZ1236" s="1530"/>
      <c r="BA1236" s="1530"/>
      <c r="BB1236" s="1530"/>
      <c r="BC1236" s="1530"/>
      <c r="BD1236" s="1530"/>
      <c r="BE1236" s="1530"/>
      <c r="BF1236" s="1530"/>
      <c r="BG1236" s="1530"/>
      <c r="BH1236" s="1530"/>
      <c r="BI1236" s="1530"/>
      <c r="BJ1236" s="1530"/>
      <c r="BK1236" s="1530"/>
      <c r="BL1236" s="1530"/>
      <c r="BM1236" s="1530"/>
      <c r="BN1236" s="1530"/>
      <c r="BW1236" s="1569"/>
      <c r="CO1236" s="1530"/>
      <c r="CP1236" s="1530"/>
      <c r="CQ1236" s="1530"/>
      <c r="CR1236" s="1530"/>
      <c r="CS1236" s="1530"/>
      <c r="CT1236" s="1530"/>
      <c r="CU1236" s="1530"/>
      <c r="CV1236" s="1530"/>
      <c r="CW1236" s="1530"/>
      <c r="CX1236" s="1530"/>
      <c r="CY1236" s="1530"/>
      <c r="CZ1236" s="1530"/>
      <c r="DA1236" s="1530"/>
      <c r="DB1236" s="1530"/>
      <c r="DC1236" s="1530"/>
      <c r="DD1236" s="1530"/>
      <c r="DE1236" s="1530"/>
      <c r="DF1236" s="1530"/>
      <c r="DG1236" s="1530"/>
      <c r="DH1236" s="1530"/>
      <c r="DI1236" s="1530"/>
      <c r="DJ1236" s="1530"/>
      <c r="DK1236" s="1530"/>
      <c r="DL1236" s="1530"/>
      <c r="DM1236" s="1530"/>
      <c r="DN1236" s="1571"/>
      <c r="DO1236" s="1530"/>
      <c r="DP1236" s="1530"/>
    </row>
    <row r="1237" spans="1:120">
      <c r="A1237" s="1451"/>
      <c r="C1237" s="1451"/>
      <c r="K1237" s="1451"/>
      <c r="L1237" s="1451"/>
      <c r="U1237" s="1530"/>
      <c r="V1237" s="1530"/>
      <c r="W1237" s="1530"/>
      <c r="X1237" s="1530"/>
      <c r="Y1237" s="1530"/>
      <c r="Z1237" s="1530"/>
      <c r="AA1237" s="1530"/>
      <c r="AB1237" s="1530"/>
      <c r="AC1237" s="1530"/>
      <c r="AD1237" s="1530"/>
      <c r="AE1237" s="1530"/>
      <c r="AF1237" s="1530"/>
      <c r="AG1237" s="1530"/>
      <c r="AH1237" s="1530"/>
      <c r="AI1237" s="1530"/>
      <c r="AJ1237" s="1530"/>
      <c r="AK1237" s="1530"/>
      <c r="AL1237" s="1530"/>
      <c r="AM1237" s="1530"/>
      <c r="AN1237" s="1530"/>
      <c r="AO1237" s="1530"/>
      <c r="AP1237" s="1530"/>
      <c r="AQ1237" s="1530"/>
      <c r="AR1237" s="1530"/>
      <c r="AS1237" s="1530"/>
      <c r="AT1237" s="1530"/>
      <c r="AU1237" s="1530"/>
      <c r="AV1237" s="1530"/>
      <c r="AW1237" s="1530"/>
      <c r="AX1237" s="1530"/>
      <c r="AY1237" s="1530"/>
      <c r="AZ1237" s="1530"/>
      <c r="BA1237" s="1530"/>
      <c r="BB1237" s="1530"/>
      <c r="BC1237" s="1530"/>
      <c r="BD1237" s="1530"/>
      <c r="BE1237" s="1530"/>
      <c r="BF1237" s="1530"/>
      <c r="BG1237" s="1530"/>
      <c r="BH1237" s="1530"/>
      <c r="BI1237" s="1530"/>
      <c r="BJ1237" s="1530"/>
      <c r="BK1237" s="1530"/>
      <c r="BL1237" s="1530"/>
      <c r="BM1237" s="1530"/>
      <c r="BN1237" s="1530"/>
      <c r="BW1237" s="1569"/>
      <c r="CO1237" s="1530"/>
      <c r="CP1237" s="1530"/>
      <c r="CQ1237" s="1530"/>
      <c r="CR1237" s="1530"/>
      <c r="CS1237" s="1530"/>
      <c r="CT1237" s="1530"/>
      <c r="CU1237" s="1530"/>
      <c r="CV1237" s="1530"/>
      <c r="CW1237" s="1530"/>
      <c r="CX1237" s="1530"/>
      <c r="CY1237" s="1530"/>
      <c r="CZ1237" s="1530"/>
      <c r="DA1237" s="1530"/>
      <c r="DB1237" s="1530"/>
      <c r="DC1237" s="1530"/>
      <c r="DD1237" s="1530"/>
      <c r="DE1237" s="1530"/>
      <c r="DF1237" s="1530"/>
      <c r="DG1237" s="1530"/>
      <c r="DH1237" s="1530"/>
      <c r="DI1237" s="1530"/>
      <c r="DJ1237" s="1530"/>
      <c r="DK1237" s="1530"/>
      <c r="DL1237" s="1530"/>
      <c r="DM1237" s="1530"/>
      <c r="DN1237" s="1571"/>
      <c r="DO1237" s="1530"/>
      <c r="DP1237" s="1530"/>
    </row>
    <row r="1238" spans="1:120">
      <c r="A1238" s="1451"/>
      <c r="C1238" s="1451"/>
      <c r="K1238" s="1451"/>
      <c r="L1238" s="1451"/>
      <c r="U1238" s="1530"/>
      <c r="V1238" s="1530"/>
      <c r="W1238" s="1530"/>
      <c r="X1238" s="1530"/>
      <c r="Y1238" s="1530"/>
      <c r="Z1238" s="1530"/>
      <c r="AA1238" s="1530"/>
      <c r="AB1238" s="1530"/>
      <c r="AC1238" s="1530"/>
      <c r="AD1238" s="1530"/>
      <c r="AE1238" s="1530"/>
      <c r="AF1238" s="1530"/>
      <c r="AG1238" s="1530"/>
      <c r="AH1238" s="1530"/>
      <c r="AI1238" s="1530"/>
      <c r="AJ1238" s="1530"/>
      <c r="AK1238" s="1530"/>
      <c r="AL1238" s="1530"/>
      <c r="AM1238" s="1530"/>
      <c r="AN1238" s="1530"/>
      <c r="AO1238" s="1530"/>
      <c r="AP1238" s="1530"/>
      <c r="AQ1238" s="1530"/>
      <c r="AR1238" s="1530"/>
      <c r="AS1238" s="1530"/>
      <c r="AT1238" s="1530"/>
      <c r="AU1238" s="1530"/>
      <c r="AV1238" s="1530"/>
      <c r="AW1238" s="1530"/>
      <c r="AX1238" s="1530"/>
      <c r="AY1238" s="1530"/>
      <c r="AZ1238" s="1530"/>
      <c r="BA1238" s="1530"/>
      <c r="BB1238" s="1530"/>
      <c r="BC1238" s="1530"/>
      <c r="BD1238" s="1530"/>
      <c r="BE1238" s="1530"/>
      <c r="BF1238" s="1530"/>
      <c r="BG1238" s="1530"/>
      <c r="BH1238" s="1530"/>
      <c r="BI1238" s="1530"/>
      <c r="BJ1238" s="1530"/>
      <c r="BK1238" s="1530"/>
      <c r="BL1238" s="1530"/>
      <c r="BM1238" s="1530"/>
      <c r="BN1238" s="1530"/>
      <c r="BW1238" s="1569"/>
      <c r="CO1238" s="1530"/>
      <c r="CP1238" s="1530"/>
      <c r="CQ1238" s="1530"/>
      <c r="CR1238" s="1530"/>
      <c r="CS1238" s="1530"/>
      <c r="CT1238" s="1530"/>
      <c r="CU1238" s="1530"/>
      <c r="CV1238" s="1530"/>
      <c r="CW1238" s="1530"/>
      <c r="CX1238" s="1530"/>
      <c r="CY1238" s="1530"/>
      <c r="CZ1238" s="1530"/>
      <c r="DA1238" s="1530"/>
      <c r="DB1238" s="1530"/>
      <c r="DC1238" s="1530"/>
      <c r="DD1238" s="1530"/>
      <c r="DE1238" s="1530"/>
      <c r="DF1238" s="1530"/>
      <c r="DG1238" s="1530"/>
      <c r="DH1238" s="1530"/>
      <c r="DI1238" s="1530"/>
      <c r="DJ1238" s="1530"/>
      <c r="DK1238" s="1530"/>
      <c r="DL1238" s="1530"/>
      <c r="DM1238" s="1530"/>
      <c r="DN1238" s="1571"/>
      <c r="DO1238" s="1530"/>
      <c r="DP1238" s="1530"/>
    </row>
    <row r="1239" spans="1:120">
      <c r="A1239" s="1451"/>
      <c r="C1239" s="1451"/>
      <c r="K1239" s="1451"/>
      <c r="L1239" s="1451"/>
      <c r="U1239" s="1530"/>
      <c r="V1239" s="1530"/>
      <c r="W1239" s="1530"/>
      <c r="X1239" s="1530"/>
      <c r="Y1239" s="1530"/>
      <c r="Z1239" s="1530"/>
      <c r="AA1239" s="1530"/>
      <c r="AB1239" s="1530"/>
      <c r="AC1239" s="1530"/>
      <c r="AD1239" s="1530"/>
      <c r="AE1239" s="1530"/>
      <c r="AF1239" s="1530"/>
      <c r="AG1239" s="1530"/>
      <c r="AH1239" s="1530"/>
      <c r="AI1239" s="1530"/>
      <c r="AJ1239" s="1530"/>
      <c r="AK1239" s="1530"/>
      <c r="AL1239" s="1530"/>
      <c r="AM1239" s="1530"/>
      <c r="AN1239" s="1530"/>
      <c r="AO1239" s="1530"/>
      <c r="AP1239" s="1530"/>
      <c r="AQ1239" s="1530"/>
      <c r="AR1239" s="1530"/>
      <c r="AS1239" s="1530"/>
      <c r="AT1239" s="1530"/>
      <c r="AU1239" s="1530"/>
      <c r="AV1239" s="1530"/>
      <c r="AW1239" s="1530"/>
      <c r="AX1239" s="1530"/>
      <c r="AY1239" s="1530"/>
      <c r="AZ1239" s="1530"/>
      <c r="BA1239" s="1530"/>
      <c r="BB1239" s="1530"/>
      <c r="BC1239" s="1530"/>
      <c r="BD1239" s="1530"/>
      <c r="BE1239" s="1530"/>
      <c r="BF1239" s="1530"/>
      <c r="BG1239" s="1530"/>
      <c r="BH1239" s="1530"/>
      <c r="BI1239" s="1530"/>
      <c r="BJ1239" s="1530"/>
      <c r="BK1239" s="1530"/>
      <c r="BL1239" s="1530"/>
      <c r="BM1239" s="1530"/>
      <c r="BN1239" s="1530"/>
      <c r="BW1239" s="1569"/>
      <c r="CO1239" s="1530"/>
      <c r="CP1239" s="1530"/>
      <c r="CQ1239" s="1530"/>
      <c r="CR1239" s="1530"/>
      <c r="CS1239" s="1530"/>
      <c r="CT1239" s="1530"/>
      <c r="CU1239" s="1530"/>
      <c r="CV1239" s="1530"/>
      <c r="CW1239" s="1530"/>
      <c r="CX1239" s="1530"/>
      <c r="CY1239" s="1530"/>
      <c r="CZ1239" s="1530"/>
      <c r="DA1239" s="1530"/>
      <c r="DB1239" s="1530"/>
      <c r="DC1239" s="1530"/>
      <c r="DD1239" s="1530"/>
      <c r="DE1239" s="1530"/>
      <c r="DF1239" s="1530"/>
      <c r="DG1239" s="1530"/>
      <c r="DH1239" s="1530"/>
      <c r="DI1239" s="1530"/>
      <c r="DJ1239" s="1530"/>
      <c r="DK1239" s="1530"/>
      <c r="DL1239" s="1530"/>
      <c r="DM1239" s="1530"/>
      <c r="DN1239" s="1571"/>
      <c r="DO1239" s="1530"/>
      <c r="DP1239" s="1530"/>
    </row>
    <row r="1240" spans="1:120">
      <c r="A1240" s="1451"/>
      <c r="C1240" s="1451"/>
      <c r="K1240" s="1451"/>
      <c r="L1240" s="1451"/>
      <c r="U1240" s="1530"/>
      <c r="V1240" s="1530"/>
      <c r="W1240" s="1530"/>
      <c r="X1240" s="1530"/>
      <c r="Y1240" s="1530"/>
      <c r="Z1240" s="1530"/>
      <c r="AA1240" s="1530"/>
      <c r="AB1240" s="1530"/>
      <c r="AC1240" s="1530"/>
      <c r="AD1240" s="1530"/>
      <c r="AE1240" s="1530"/>
      <c r="AF1240" s="1530"/>
      <c r="AG1240" s="1530"/>
      <c r="AH1240" s="1530"/>
      <c r="AI1240" s="1530"/>
      <c r="AJ1240" s="1530"/>
      <c r="AK1240" s="1530"/>
      <c r="AL1240" s="1530"/>
      <c r="AM1240" s="1530"/>
      <c r="AN1240" s="1530"/>
      <c r="AO1240" s="1530"/>
      <c r="AP1240" s="1530"/>
      <c r="AQ1240" s="1530"/>
      <c r="AR1240" s="1530"/>
      <c r="AS1240" s="1530"/>
      <c r="AT1240" s="1530"/>
      <c r="AU1240" s="1530"/>
      <c r="AV1240" s="1530"/>
      <c r="AW1240" s="1530"/>
      <c r="AX1240" s="1530"/>
      <c r="AY1240" s="1530"/>
      <c r="AZ1240" s="1530"/>
      <c r="BA1240" s="1530"/>
      <c r="BB1240" s="1530"/>
      <c r="BC1240" s="1530"/>
      <c r="BD1240" s="1530"/>
      <c r="BE1240" s="1530"/>
      <c r="BF1240" s="1530"/>
      <c r="BG1240" s="1530"/>
      <c r="BH1240" s="1530"/>
      <c r="BI1240" s="1530"/>
      <c r="BJ1240" s="1530"/>
      <c r="BK1240" s="1530"/>
      <c r="BL1240" s="1530"/>
      <c r="BM1240" s="1530"/>
      <c r="BN1240" s="1530"/>
      <c r="BW1240" s="1569"/>
      <c r="CO1240" s="1530"/>
      <c r="CP1240" s="1530"/>
      <c r="CQ1240" s="1530"/>
      <c r="CR1240" s="1530"/>
      <c r="CS1240" s="1530"/>
      <c r="CT1240" s="1530"/>
      <c r="CU1240" s="1530"/>
      <c r="CV1240" s="1530"/>
      <c r="CW1240" s="1530"/>
      <c r="CX1240" s="1530"/>
      <c r="CY1240" s="1530"/>
      <c r="CZ1240" s="1530"/>
      <c r="DA1240" s="1530"/>
      <c r="DB1240" s="1530"/>
      <c r="DC1240" s="1530"/>
      <c r="DD1240" s="1530"/>
      <c r="DE1240" s="1530"/>
      <c r="DF1240" s="1530"/>
      <c r="DG1240" s="1530"/>
      <c r="DH1240" s="1530"/>
      <c r="DI1240" s="1530"/>
      <c r="DJ1240" s="1530"/>
      <c r="DK1240" s="1530"/>
      <c r="DL1240" s="1530"/>
      <c r="DM1240" s="1530"/>
      <c r="DN1240" s="1571"/>
      <c r="DO1240" s="1530"/>
      <c r="DP1240" s="1530"/>
    </row>
    <row r="1241" spans="1:120">
      <c r="A1241" s="1451"/>
      <c r="C1241" s="1451"/>
      <c r="K1241" s="1451"/>
      <c r="L1241" s="1451"/>
      <c r="U1241" s="1530"/>
      <c r="V1241" s="1530"/>
      <c r="W1241" s="1530"/>
      <c r="X1241" s="1530"/>
      <c r="Y1241" s="1530"/>
      <c r="Z1241" s="1530"/>
      <c r="AA1241" s="1530"/>
      <c r="AB1241" s="1530"/>
      <c r="AC1241" s="1530"/>
      <c r="AD1241" s="1530"/>
      <c r="AE1241" s="1530"/>
      <c r="AF1241" s="1530"/>
      <c r="AG1241" s="1530"/>
      <c r="AH1241" s="1530"/>
      <c r="AI1241" s="1530"/>
      <c r="AJ1241" s="1530"/>
      <c r="AK1241" s="1530"/>
      <c r="AL1241" s="1530"/>
      <c r="AM1241" s="1530"/>
      <c r="AN1241" s="1530"/>
      <c r="AO1241" s="1530"/>
      <c r="AP1241" s="1530"/>
      <c r="AQ1241" s="1530"/>
      <c r="AR1241" s="1530"/>
      <c r="AS1241" s="1530"/>
      <c r="AT1241" s="1530"/>
      <c r="AU1241" s="1530"/>
      <c r="AV1241" s="1530"/>
      <c r="AW1241" s="1530"/>
      <c r="AX1241" s="1530"/>
      <c r="AY1241" s="1530"/>
      <c r="AZ1241" s="1530"/>
      <c r="BA1241" s="1530"/>
      <c r="BB1241" s="1530"/>
      <c r="BC1241" s="1530"/>
      <c r="BD1241" s="1530"/>
      <c r="BE1241" s="1530"/>
      <c r="BF1241" s="1530"/>
      <c r="BG1241" s="1530"/>
      <c r="BH1241" s="1530"/>
      <c r="BI1241" s="1530"/>
      <c r="BJ1241" s="1530"/>
      <c r="BK1241" s="1530"/>
      <c r="BL1241" s="1530"/>
      <c r="BM1241" s="1530"/>
      <c r="BN1241" s="1530"/>
      <c r="BW1241" s="1569"/>
      <c r="CO1241" s="1530"/>
      <c r="CP1241" s="1530"/>
      <c r="CQ1241" s="1530"/>
      <c r="CR1241" s="1530"/>
      <c r="CS1241" s="1530"/>
      <c r="CT1241" s="1530"/>
      <c r="CU1241" s="1530"/>
      <c r="CV1241" s="1530"/>
      <c r="CW1241" s="1530"/>
      <c r="CX1241" s="1530"/>
      <c r="CY1241" s="1530"/>
      <c r="CZ1241" s="1530"/>
      <c r="DA1241" s="1530"/>
      <c r="DB1241" s="1530"/>
      <c r="DC1241" s="1530"/>
      <c r="DD1241" s="1530"/>
      <c r="DE1241" s="1530"/>
      <c r="DF1241" s="1530"/>
      <c r="DG1241" s="1530"/>
      <c r="DH1241" s="1530"/>
      <c r="DI1241" s="1530"/>
      <c r="DJ1241" s="1530"/>
      <c r="DK1241" s="1530"/>
      <c r="DL1241" s="1530"/>
      <c r="DM1241" s="1530"/>
      <c r="DN1241" s="1571"/>
      <c r="DO1241" s="1530"/>
      <c r="DP1241" s="1530"/>
    </row>
    <row r="1242" spans="1:120">
      <c r="A1242" s="1451"/>
      <c r="C1242" s="1451"/>
      <c r="K1242" s="1451"/>
      <c r="L1242" s="1451"/>
      <c r="U1242" s="1530"/>
      <c r="V1242" s="1530"/>
      <c r="W1242" s="1530"/>
      <c r="X1242" s="1530"/>
      <c r="Y1242" s="1530"/>
      <c r="Z1242" s="1530"/>
      <c r="AA1242" s="1530"/>
      <c r="AB1242" s="1530"/>
      <c r="AC1242" s="1530"/>
      <c r="AD1242" s="1530"/>
      <c r="AE1242" s="1530"/>
      <c r="AF1242" s="1530"/>
      <c r="AG1242" s="1530"/>
      <c r="AH1242" s="1530"/>
      <c r="AI1242" s="1530"/>
      <c r="AJ1242" s="1530"/>
      <c r="AK1242" s="1530"/>
      <c r="AL1242" s="1530"/>
      <c r="AM1242" s="1530"/>
      <c r="AN1242" s="1530"/>
      <c r="AO1242" s="1530"/>
      <c r="AP1242" s="1530"/>
      <c r="AQ1242" s="1530"/>
      <c r="AR1242" s="1530"/>
      <c r="AS1242" s="1530"/>
      <c r="AT1242" s="1530"/>
      <c r="AU1242" s="1530"/>
      <c r="AV1242" s="1530"/>
      <c r="AW1242" s="1530"/>
      <c r="AX1242" s="1530"/>
      <c r="AY1242" s="1530"/>
      <c r="AZ1242" s="1530"/>
      <c r="BA1242" s="1530"/>
      <c r="BB1242" s="1530"/>
      <c r="BC1242" s="1530"/>
      <c r="BD1242" s="1530"/>
      <c r="BE1242" s="1530"/>
      <c r="BF1242" s="1530"/>
      <c r="BG1242" s="1530"/>
      <c r="BH1242" s="1530"/>
      <c r="BI1242" s="1530"/>
      <c r="BJ1242" s="1530"/>
      <c r="BK1242" s="1530"/>
      <c r="BL1242" s="1530"/>
      <c r="BM1242" s="1530"/>
      <c r="BN1242" s="1530"/>
      <c r="BW1242" s="1569"/>
      <c r="CO1242" s="1530"/>
      <c r="CP1242" s="1530"/>
      <c r="CQ1242" s="1530"/>
      <c r="CR1242" s="1530"/>
      <c r="CS1242" s="1530"/>
      <c r="CT1242" s="1530"/>
      <c r="CU1242" s="1530"/>
      <c r="CV1242" s="1530"/>
      <c r="CW1242" s="1530"/>
      <c r="CX1242" s="1530"/>
      <c r="CY1242" s="1530"/>
      <c r="CZ1242" s="1530"/>
      <c r="DA1242" s="1530"/>
      <c r="DB1242" s="1530"/>
      <c r="DC1242" s="1530"/>
      <c r="DD1242" s="1530"/>
      <c r="DE1242" s="1530"/>
      <c r="DF1242" s="1530"/>
      <c r="DG1242" s="1530"/>
      <c r="DH1242" s="1530"/>
      <c r="DI1242" s="1530"/>
      <c r="DJ1242" s="1530"/>
      <c r="DK1242" s="1530"/>
      <c r="DL1242" s="1530"/>
      <c r="DM1242" s="1530"/>
      <c r="DN1242" s="1571"/>
      <c r="DO1242" s="1530"/>
      <c r="DP1242" s="1530"/>
    </row>
    <row r="1243" spans="1:120">
      <c r="A1243" s="1451"/>
      <c r="C1243" s="1451"/>
      <c r="K1243" s="1451"/>
      <c r="L1243" s="1451"/>
      <c r="U1243" s="1530"/>
      <c r="V1243" s="1530"/>
      <c r="W1243" s="1530"/>
      <c r="X1243" s="1530"/>
      <c r="Y1243" s="1530"/>
      <c r="Z1243" s="1530"/>
      <c r="AA1243" s="1530"/>
      <c r="AB1243" s="1530"/>
      <c r="AC1243" s="1530"/>
      <c r="AD1243" s="1530"/>
      <c r="AE1243" s="1530"/>
      <c r="AF1243" s="1530"/>
      <c r="AG1243" s="1530"/>
      <c r="AH1243" s="1530"/>
      <c r="AI1243" s="1530"/>
      <c r="AJ1243" s="1530"/>
      <c r="AK1243" s="1530"/>
      <c r="AL1243" s="1530"/>
      <c r="AM1243" s="1530"/>
      <c r="AN1243" s="1530"/>
      <c r="AO1243" s="1530"/>
      <c r="AP1243" s="1530"/>
      <c r="AQ1243" s="1530"/>
      <c r="AR1243" s="1530"/>
      <c r="AS1243" s="1530"/>
      <c r="AT1243" s="1530"/>
      <c r="AU1243" s="1530"/>
      <c r="AV1243" s="1530"/>
      <c r="AW1243" s="1530"/>
      <c r="AX1243" s="1530"/>
      <c r="AY1243" s="1530"/>
      <c r="AZ1243" s="1530"/>
      <c r="BA1243" s="1530"/>
      <c r="BB1243" s="1530"/>
      <c r="BC1243" s="1530"/>
      <c r="BD1243" s="1530"/>
      <c r="BE1243" s="1530"/>
      <c r="BF1243" s="1530"/>
      <c r="BG1243" s="1530"/>
      <c r="BH1243" s="1530"/>
      <c r="BI1243" s="1530"/>
      <c r="BJ1243" s="1530"/>
      <c r="BK1243" s="1530"/>
      <c r="BL1243" s="1530"/>
      <c r="BM1243" s="1530"/>
      <c r="BN1243" s="1530"/>
      <c r="BW1243" s="1569"/>
      <c r="CO1243" s="1530"/>
      <c r="CP1243" s="1530"/>
      <c r="CQ1243" s="1530"/>
      <c r="CR1243" s="1530"/>
      <c r="CS1243" s="1530"/>
      <c r="CT1243" s="1530"/>
      <c r="CU1243" s="1530"/>
      <c r="CV1243" s="1530"/>
      <c r="CW1243" s="1530"/>
      <c r="CX1243" s="1530"/>
      <c r="CY1243" s="1530"/>
      <c r="CZ1243" s="1530"/>
      <c r="DA1243" s="1530"/>
      <c r="DB1243" s="1530"/>
      <c r="DC1243" s="1530"/>
      <c r="DD1243" s="1530"/>
      <c r="DE1243" s="1530"/>
      <c r="DF1243" s="1530"/>
      <c r="DG1243" s="1530"/>
      <c r="DH1243" s="1530"/>
      <c r="DI1243" s="1530"/>
      <c r="DJ1243" s="1530"/>
      <c r="DK1243" s="1530"/>
      <c r="DL1243" s="1530"/>
      <c r="DM1243" s="1530"/>
      <c r="DN1243" s="1571"/>
      <c r="DO1243" s="1530"/>
      <c r="DP1243" s="1530"/>
    </row>
    <row r="1244" spans="1:120">
      <c r="A1244" s="1451"/>
      <c r="C1244" s="1451"/>
      <c r="K1244" s="1451"/>
      <c r="L1244" s="1451"/>
      <c r="U1244" s="1530"/>
      <c r="V1244" s="1530"/>
      <c r="W1244" s="1530"/>
      <c r="X1244" s="1530"/>
      <c r="Y1244" s="1530"/>
      <c r="Z1244" s="1530"/>
      <c r="AA1244" s="1530"/>
      <c r="AB1244" s="1530"/>
      <c r="AC1244" s="1530"/>
      <c r="AD1244" s="1530"/>
      <c r="AE1244" s="1530"/>
      <c r="AF1244" s="1530"/>
      <c r="AG1244" s="1530"/>
      <c r="AH1244" s="1530"/>
      <c r="AI1244" s="1530"/>
      <c r="AJ1244" s="1530"/>
      <c r="AK1244" s="1530"/>
      <c r="AL1244" s="1530"/>
      <c r="AM1244" s="1530"/>
      <c r="AN1244" s="1530"/>
      <c r="AO1244" s="1530"/>
      <c r="AP1244" s="1530"/>
      <c r="AQ1244" s="1530"/>
      <c r="AR1244" s="1530"/>
      <c r="AS1244" s="1530"/>
      <c r="AT1244" s="1530"/>
      <c r="AU1244" s="1530"/>
      <c r="AV1244" s="1530"/>
      <c r="AW1244" s="1530"/>
      <c r="AX1244" s="1530"/>
      <c r="AY1244" s="1530"/>
      <c r="AZ1244" s="1530"/>
      <c r="BA1244" s="1530"/>
      <c r="BB1244" s="1530"/>
      <c r="BC1244" s="1530"/>
      <c r="BD1244" s="1530"/>
      <c r="BE1244" s="1530"/>
      <c r="BF1244" s="1530"/>
      <c r="BG1244" s="1530"/>
      <c r="BH1244" s="1530"/>
      <c r="BI1244" s="1530"/>
      <c r="BJ1244" s="1530"/>
      <c r="BK1244" s="1530"/>
      <c r="BL1244" s="1530"/>
      <c r="BM1244" s="1530"/>
      <c r="BN1244" s="1530"/>
      <c r="BW1244" s="1569"/>
      <c r="CO1244" s="1530"/>
      <c r="CP1244" s="1530"/>
      <c r="CQ1244" s="1530"/>
      <c r="CR1244" s="1530"/>
      <c r="CS1244" s="1530"/>
      <c r="CT1244" s="1530"/>
      <c r="CU1244" s="1530"/>
      <c r="CV1244" s="1530"/>
      <c r="CW1244" s="1530"/>
      <c r="CX1244" s="1530"/>
      <c r="CY1244" s="1530"/>
      <c r="CZ1244" s="1530"/>
      <c r="DA1244" s="1530"/>
      <c r="DB1244" s="1530"/>
      <c r="DC1244" s="1530"/>
      <c r="DD1244" s="1530"/>
      <c r="DE1244" s="1530"/>
      <c r="DF1244" s="1530"/>
      <c r="DG1244" s="1530"/>
      <c r="DH1244" s="1530"/>
      <c r="DI1244" s="1530"/>
      <c r="DJ1244" s="1530"/>
      <c r="DK1244" s="1530"/>
      <c r="DL1244" s="1530"/>
      <c r="DM1244" s="1530"/>
      <c r="DN1244" s="1571"/>
      <c r="DO1244" s="1530"/>
      <c r="DP1244" s="1530"/>
    </row>
    <row r="1245" spans="1:120">
      <c r="A1245" s="1451"/>
      <c r="C1245" s="1451"/>
      <c r="K1245" s="1451"/>
      <c r="L1245" s="1451"/>
      <c r="U1245" s="1530"/>
      <c r="V1245" s="1530"/>
      <c r="W1245" s="1530"/>
      <c r="X1245" s="1530"/>
      <c r="Y1245" s="1530"/>
      <c r="Z1245" s="1530"/>
      <c r="AA1245" s="1530"/>
      <c r="AB1245" s="1530"/>
      <c r="AC1245" s="1530"/>
      <c r="AD1245" s="1530"/>
      <c r="AE1245" s="1530"/>
      <c r="AF1245" s="1530"/>
      <c r="AG1245" s="1530"/>
      <c r="AH1245" s="1530"/>
      <c r="AI1245" s="1530"/>
      <c r="AJ1245" s="1530"/>
      <c r="AK1245" s="1530"/>
      <c r="AL1245" s="1530"/>
      <c r="AM1245" s="1530"/>
      <c r="AN1245" s="1530"/>
      <c r="AO1245" s="1530"/>
      <c r="AP1245" s="1530"/>
      <c r="AQ1245" s="1530"/>
      <c r="AR1245" s="1530"/>
      <c r="AS1245" s="1530"/>
      <c r="AT1245" s="1530"/>
      <c r="AU1245" s="1530"/>
      <c r="AV1245" s="1530"/>
      <c r="AW1245" s="1530"/>
      <c r="AX1245" s="1530"/>
      <c r="AY1245" s="1530"/>
      <c r="AZ1245" s="1530"/>
      <c r="BA1245" s="1530"/>
      <c r="BB1245" s="1530"/>
      <c r="BC1245" s="1530"/>
      <c r="BD1245" s="1530"/>
      <c r="BE1245" s="1530"/>
      <c r="BF1245" s="1530"/>
      <c r="BG1245" s="1530"/>
      <c r="BH1245" s="1530"/>
      <c r="BI1245" s="1530"/>
      <c r="BJ1245" s="1530"/>
      <c r="BK1245" s="1530"/>
      <c r="BL1245" s="1530"/>
      <c r="BM1245" s="1530"/>
      <c r="BN1245" s="1530"/>
      <c r="BW1245" s="1569"/>
      <c r="CO1245" s="1530"/>
      <c r="CP1245" s="1530"/>
      <c r="CQ1245" s="1530"/>
      <c r="CR1245" s="1530"/>
      <c r="CS1245" s="1530"/>
      <c r="CT1245" s="1530"/>
      <c r="CU1245" s="1530"/>
      <c r="CV1245" s="1530"/>
      <c r="CW1245" s="1530"/>
      <c r="CX1245" s="1530"/>
      <c r="CY1245" s="1530"/>
      <c r="CZ1245" s="1530"/>
      <c r="DA1245" s="1530"/>
      <c r="DB1245" s="1530"/>
      <c r="DC1245" s="1530"/>
      <c r="DD1245" s="1530"/>
      <c r="DE1245" s="1530"/>
      <c r="DF1245" s="1530"/>
      <c r="DG1245" s="1530"/>
      <c r="DH1245" s="1530"/>
      <c r="DI1245" s="1530"/>
      <c r="DJ1245" s="1530"/>
      <c r="DK1245" s="1530"/>
      <c r="DL1245" s="1530"/>
      <c r="DM1245" s="1530"/>
      <c r="DN1245" s="1571"/>
      <c r="DO1245" s="1530"/>
      <c r="DP1245" s="1530"/>
    </row>
    <row r="1246" spans="1:120">
      <c r="A1246" s="1451"/>
      <c r="C1246" s="1451"/>
      <c r="K1246" s="1451"/>
      <c r="L1246" s="1451"/>
      <c r="U1246" s="1530"/>
      <c r="V1246" s="1530"/>
      <c r="W1246" s="1530"/>
      <c r="X1246" s="1530"/>
      <c r="Y1246" s="1530"/>
      <c r="Z1246" s="1530"/>
      <c r="AA1246" s="1530"/>
      <c r="AB1246" s="1530"/>
      <c r="AC1246" s="1530"/>
      <c r="AD1246" s="1530"/>
      <c r="AE1246" s="1530"/>
      <c r="AF1246" s="1530"/>
      <c r="AG1246" s="1530"/>
      <c r="AH1246" s="1530"/>
      <c r="AI1246" s="1530"/>
      <c r="AJ1246" s="1530"/>
      <c r="AK1246" s="1530"/>
      <c r="AL1246" s="1530"/>
      <c r="AM1246" s="1530"/>
      <c r="AN1246" s="1530"/>
      <c r="AO1246" s="1530"/>
      <c r="AP1246" s="1530"/>
      <c r="AQ1246" s="1530"/>
      <c r="AR1246" s="1530"/>
      <c r="AS1246" s="1530"/>
      <c r="AT1246" s="1530"/>
      <c r="AU1246" s="1530"/>
      <c r="AV1246" s="1530"/>
      <c r="AW1246" s="1530"/>
      <c r="AX1246" s="1530"/>
      <c r="AY1246" s="1530"/>
      <c r="AZ1246" s="1530"/>
      <c r="BA1246" s="1530"/>
      <c r="BB1246" s="1530"/>
      <c r="BC1246" s="1530"/>
      <c r="BD1246" s="1530"/>
      <c r="BE1246" s="1530"/>
      <c r="BF1246" s="1530"/>
      <c r="BG1246" s="1530"/>
      <c r="BH1246" s="1530"/>
      <c r="BI1246" s="1530"/>
      <c r="BJ1246" s="1530"/>
      <c r="BK1246" s="1530"/>
      <c r="BL1246" s="1530"/>
      <c r="BM1246" s="1530"/>
      <c r="BN1246" s="1530"/>
      <c r="BW1246" s="1569"/>
      <c r="CO1246" s="1530"/>
      <c r="CP1246" s="1530"/>
      <c r="CQ1246" s="1530"/>
      <c r="CR1246" s="1530"/>
      <c r="CS1246" s="1530"/>
      <c r="CT1246" s="1530"/>
      <c r="CU1246" s="1530"/>
      <c r="CV1246" s="1530"/>
      <c r="CW1246" s="1530"/>
      <c r="CX1246" s="1530"/>
      <c r="CY1246" s="1530"/>
      <c r="CZ1246" s="1530"/>
      <c r="DA1246" s="1530"/>
      <c r="DB1246" s="1530"/>
      <c r="DC1246" s="1530"/>
      <c r="DD1246" s="1530"/>
      <c r="DE1246" s="1530"/>
      <c r="DF1246" s="1530"/>
      <c r="DG1246" s="1530"/>
      <c r="DH1246" s="1530"/>
      <c r="DI1246" s="1530"/>
      <c r="DJ1246" s="1530"/>
      <c r="DK1246" s="1530"/>
      <c r="DL1246" s="1530"/>
      <c r="DM1246" s="1530"/>
      <c r="DN1246" s="1571"/>
      <c r="DO1246" s="1530"/>
      <c r="DP1246" s="1530"/>
    </row>
    <row r="1247" spans="1:120">
      <c r="A1247" s="1451"/>
      <c r="C1247" s="1451"/>
      <c r="K1247" s="1451"/>
      <c r="L1247" s="1451"/>
      <c r="U1247" s="1530"/>
      <c r="V1247" s="1530"/>
      <c r="W1247" s="1530"/>
      <c r="X1247" s="1530"/>
      <c r="Y1247" s="1530"/>
      <c r="Z1247" s="1530"/>
      <c r="AA1247" s="1530"/>
      <c r="AB1247" s="1530"/>
      <c r="AC1247" s="1530"/>
      <c r="AD1247" s="1530"/>
      <c r="AE1247" s="1530"/>
      <c r="AF1247" s="1530"/>
      <c r="AG1247" s="1530"/>
      <c r="AH1247" s="1530"/>
      <c r="AI1247" s="1530"/>
      <c r="AJ1247" s="1530"/>
      <c r="AK1247" s="1530"/>
      <c r="AL1247" s="1530"/>
      <c r="AM1247" s="1530"/>
      <c r="AN1247" s="1530"/>
      <c r="AO1247" s="1530"/>
      <c r="AP1247" s="1530"/>
      <c r="AQ1247" s="1530"/>
      <c r="AR1247" s="1530"/>
      <c r="AS1247" s="1530"/>
      <c r="AT1247" s="1530"/>
      <c r="AU1247" s="1530"/>
      <c r="AV1247" s="1530"/>
      <c r="AW1247" s="1530"/>
      <c r="AX1247" s="1530"/>
      <c r="AY1247" s="1530"/>
      <c r="AZ1247" s="1530"/>
      <c r="BA1247" s="1530"/>
      <c r="BB1247" s="1530"/>
      <c r="BC1247" s="1530"/>
      <c r="BD1247" s="1530"/>
      <c r="BE1247" s="1530"/>
      <c r="BF1247" s="1530"/>
      <c r="BG1247" s="1530"/>
      <c r="BH1247" s="1530"/>
      <c r="BI1247" s="1530"/>
      <c r="BJ1247" s="1530"/>
      <c r="BK1247" s="1530"/>
      <c r="BL1247" s="1530"/>
      <c r="BM1247" s="1530"/>
      <c r="BN1247" s="1530"/>
      <c r="BW1247" s="1569"/>
      <c r="CO1247" s="1530"/>
      <c r="CP1247" s="1530"/>
      <c r="CQ1247" s="1530"/>
      <c r="CR1247" s="1530"/>
      <c r="CS1247" s="1530"/>
      <c r="CT1247" s="1530"/>
      <c r="CU1247" s="1530"/>
      <c r="CV1247" s="1530"/>
      <c r="CW1247" s="1530"/>
      <c r="CX1247" s="1530"/>
      <c r="CY1247" s="1530"/>
      <c r="CZ1247" s="1530"/>
      <c r="DA1247" s="1530"/>
      <c r="DB1247" s="1530"/>
      <c r="DC1247" s="1530"/>
      <c r="DD1247" s="1530"/>
      <c r="DE1247" s="1530"/>
      <c r="DF1247" s="1530"/>
      <c r="DG1247" s="1530"/>
      <c r="DH1247" s="1530"/>
      <c r="DI1247" s="1530"/>
      <c r="DJ1247" s="1530"/>
      <c r="DK1247" s="1530"/>
      <c r="DL1247" s="1530"/>
      <c r="DM1247" s="1530"/>
      <c r="DN1247" s="1571"/>
      <c r="DO1247" s="1530"/>
      <c r="DP1247" s="1530"/>
    </row>
    <row r="1248" spans="1:120">
      <c r="A1248" s="1451"/>
      <c r="C1248" s="1451"/>
      <c r="K1248" s="1451"/>
      <c r="L1248" s="1451"/>
      <c r="U1248" s="1530"/>
      <c r="V1248" s="1530"/>
      <c r="W1248" s="1530"/>
      <c r="X1248" s="1530"/>
      <c r="Y1248" s="1530"/>
      <c r="Z1248" s="1530"/>
      <c r="AA1248" s="1530"/>
      <c r="AB1248" s="1530"/>
      <c r="AC1248" s="1530"/>
      <c r="AD1248" s="1530"/>
      <c r="AE1248" s="1530"/>
      <c r="AF1248" s="1530"/>
      <c r="AG1248" s="1530"/>
      <c r="AH1248" s="1530"/>
      <c r="AI1248" s="1530"/>
      <c r="AJ1248" s="1530"/>
      <c r="AK1248" s="1530"/>
      <c r="AL1248" s="1530"/>
      <c r="AM1248" s="1530"/>
      <c r="AN1248" s="1530"/>
      <c r="AO1248" s="1530"/>
      <c r="AP1248" s="1530"/>
      <c r="AQ1248" s="1530"/>
      <c r="AR1248" s="1530"/>
      <c r="AS1248" s="1530"/>
      <c r="AT1248" s="1530"/>
      <c r="AU1248" s="1530"/>
      <c r="AV1248" s="1530"/>
      <c r="AW1248" s="1530"/>
      <c r="AX1248" s="1530"/>
      <c r="AY1248" s="1530"/>
      <c r="AZ1248" s="1530"/>
      <c r="BA1248" s="1530"/>
      <c r="BB1248" s="1530"/>
      <c r="BC1248" s="1530"/>
      <c r="BD1248" s="1530"/>
      <c r="BE1248" s="1530"/>
      <c r="BF1248" s="1530"/>
      <c r="BG1248" s="1530"/>
      <c r="BH1248" s="1530"/>
      <c r="BI1248" s="1530"/>
      <c r="BJ1248" s="1530"/>
      <c r="BK1248" s="1530"/>
      <c r="BL1248" s="1530"/>
      <c r="BM1248" s="1530"/>
      <c r="BN1248" s="1530"/>
      <c r="BW1248" s="1569"/>
      <c r="CO1248" s="1530"/>
      <c r="CP1248" s="1530"/>
      <c r="CQ1248" s="1530"/>
      <c r="CR1248" s="1530"/>
      <c r="CS1248" s="1530"/>
      <c r="CT1248" s="1530"/>
      <c r="CU1248" s="1530"/>
      <c r="CV1248" s="1530"/>
      <c r="CW1248" s="1530"/>
      <c r="CX1248" s="1530"/>
      <c r="CY1248" s="1530"/>
      <c r="CZ1248" s="1530"/>
      <c r="DA1248" s="1530"/>
      <c r="DB1248" s="1530"/>
      <c r="DC1248" s="1530"/>
      <c r="DD1248" s="1530"/>
      <c r="DE1248" s="1530"/>
      <c r="DF1248" s="1530"/>
      <c r="DG1248" s="1530"/>
      <c r="DH1248" s="1530"/>
      <c r="DI1248" s="1530"/>
      <c r="DJ1248" s="1530"/>
      <c r="DK1248" s="1530"/>
      <c r="DL1248" s="1530"/>
      <c r="DM1248" s="1530"/>
      <c r="DN1248" s="1571"/>
      <c r="DO1248" s="1530"/>
      <c r="DP1248" s="1530"/>
    </row>
    <row r="1249" spans="1:120">
      <c r="A1249" s="1451"/>
      <c r="C1249" s="1451"/>
      <c r="K1249" s="1451"/>
      <c r="L1249" s="1451"/>
      <c r="U1249" s="1530"/>
      <c r="V1249" s="1530"/>
      <c r="W1249" s="1530"/>
      <c r="X1249" s="1530"/>
      <c r="Y1249" s="1530"/>
      <c r="Z1249" s="1530"/>
      <c r="AA1249" s="1530"/>
      <c r="AB1249" s="1530"/>
      <c r="AC1249" s="1530"/>
      <c r="AD1249" s="1530"/>
      <c r="AE1249" s="1530"/>
      <c r="AF1249" s="1530"/>
      <c r="AG1249" s="1530"/>
      <c r="AH1249" s="1530"/>
      <c r="AI1249" s="1530"/>
      <c r="AJ1249" s="1530"/>
      <c r="AK1249" s="1530"/>
      <c r="AL1249" s="1530"/>
      <c r="AM1249" s="1530"/>
      <c r="AN1249" s="1530"/>
      <c r="AO1249" s="1530"/>
      <c r="AP1249" s="1530"/>
      <c r="AQ1249" s="1530"/>
      <c r="AR1249" s="1530"/>
      <c r="AS1249" s="1530"/>
      <c r="AT1249" s="1530"/>
      <c r="AU1249" s="1530"/>
      <c r="AV1249" s="1530"/>
      <c r="AW1249" s="1530"/>
      <c r="AX1249" s="1530"/>
      <c r="AY1249" s="1530"/>
      <c r="AZ1249" s="1530"/>
      <c r="BA1249" s="1530"/>
      <c r="BB1249" s="1530"/>
      <c r="BC1249" s="1530"/>
      <c r="BD1249" s="1530"/>
      <c r="BE1249" s="1530"/>
      <c r="BF1249" s="1530"/>
      <c r="BG1249" s="1530"/>
      <c r="BH1249" s="1530"/>
      <c r="BI1249" s="1530"/>
      <c r="BJ1249" s="1530"/>
      <c r="BK1249" s="1530"/>
      <c r="BL1249" s="1530"/>
      <c r="BM1249" s="1530"/>
      <c r="BN1249" s="1530"/>
      <c r="BW1249" s="1569"/>
      <c r="CO1249" s="1530"/>
      <c r="CP1249" s="1530"/>
      <c r="CQ1249" s="1530"/>
      <c r="CR1249" s="1530"/>
      <c r="CS1249" s="1530"/>
      <c r="CT1249" s="1530"/>
      <c r="CU1249" s="1530"/>
      <c r="CV1249" s="1530"/>
      <c r="CW1249" s="1530"/>
      <c r="CX1249" s="1530"/>
      <c r="CY1249" s="1530"/>
      <c r="CZ1249" s="1530"/>
      <c r="DA1249" s="1530"/>
      <c r="DB1249" s="1530"/>
      <c r="DC1249" s="1530"/>
      <c r="DD1249" s="1530"/>
      <c r="DE1249" s="1530"/>
      <c r="DF1249" s="1530"/>
      <c r="DG1249" s="1530"/>
      <c r="DH1249" s="1530"/>
      <c r="DI1249" s="1530"/>
      <c r="DJ1249" s="1530"/>
      <c r="DK1249" s="1530"/>
      <c r="DL1249" s="1530"/>
      <c r="DM1249" s="1530"/>
      <c r="DN1249" s="1571"/>
      <c r="DO1249" s="1530"/>
      <c r="DP1249" s="1530"/>
    </row>
    <row r="1250" spans="1:120">
      <c r="A1250" s="1451"/>
      <c r="C1250" s="1451"/>
      <c r="K1250" s="1451"/>
      <c r="L1250" s="1451"/>
      <c r="U1250" s="1530"/>
      <c r="V1250" s="1530"/>
      <c r="W1250" s="1530"/>
      <c r="X1250" s="1530"/>
      <c r="Y1250" s="1530"/>
      <c r="Z1250" s="1530"/>
      <c r="AA1250" s="1530"/>
      <c r="AB1250" s="1530"/>
      <c r="AC1250" s="1530"/>
      <c r="AD1250" s="1530"/>
      <c r="AE1250" s="1530"/>
      <c r="AF1250" s="1530"/>
      <c r="AG1250" s="1530"/>
      <c r="AH1250" s="1530"/>
      <c r="AI1250" s="1530"/>
      <c r="AJ1250" s="1530"/>
      <c r="AK1250" s="1530"/>
      <c r="AL1250" s="1530"/>
      <c r="AM1250" s="1530"/>
      <c r="AN1250" s="1530"/>
      <c r="AO1250" s="1530"/>
      <c r="AP1250" s="1530"/>
      <c r="AQ1250" s="1530"/>
      <c r="AR1250" s="1530"/>
      <c r="AS1250" s="1530"/>
      <c r="AT1250" s="1530"/>
      <c r="AU1250" s="1530"/>
      <c r="AV1250" s="1530"/>
      <c r="AW1250" s="1530"/>
      <c r="AX1250" s="1530"/>
      <c r="AY1250" s="1530"/>
      <c r="AZ1250" s="1530"/>
      <c r="BA1250" s="1530"/>
      <c r="BB1250" s="1530"/>
      <c r="BC1250" s="1530"/>
      <c r="BD1250" s="1530"/>
      <c r="BE1250" s="1530"/>
      <c r="BF1250" s="1530"/>
      <c r="BG1250" s="1530"/>
      <c r="BH1250" s="1530"/>
      <c r="BI1250" s="1530"/>
      <c r="BJ1250" s="1530"/>
      <c r="BK1250" s="1530"/>
      <c r="BL1250" s="1530"/>
      <c r="BM1250" s="1530"/>
      <c r="BN1250" s="1530"/>
      <c r="BW1250" s="1569"/>
      <c r="CO1250" s="1530"/>
      <c r="CP1250" s="1530"/>
      <c r="CQ1250" s="1530"/>
      <c r="CR1250" s="1530"/>
      <c r="CS1250" s="1530"/>
      <c r="CT1250" s="1530"/>
      <c r="CU1250" s="1530"/>
      <c r="CV1250" s="1530"/>
      <c r="CW1250" s="1530"/>
      <c r="CX1250" s="1530"/>
      <c r="CY1250" s="1530"/>
      <c r="CZ1250" s="1530"/>
      <c r="DA1250" s="1530"/>
      <c r="DB1250" s="1530"/>
      <c r="DC1250" s="1530"/>
      <c r="DD1250" s="1530"/>
      <c r="DE1250" s="1530"/>
      <c r="DF1250" s="1530"/>
      <c r="DG1250" s="1530"/>
      <c r="DH1250" s="1530"/>
      <c r="DI1250" s="1530"/>
      <c r="DJ1250" s="1530"/>
      <c r="DK1250" s="1530"/>
      <c r="DL1250" s="1530"/>
      <c r="DM1250" s="1530"/>
      <c r="DN1250" s="1571"/>
      <c r="DO1250" s="1530"/>
      <c r="DP1250" s="1530"/>
    </row>
    <row r="1251" spans="1:120">
      <c r="A1251" s="1451"/>
      <c r="C1251" s="1451"/>
      <c r="K1251" s="1451"/>
      <c r="L1251" s="1451"/>
      <c r="U1251" s="1530"/>
      <c r="V1251" s="1530"/>
      <c r="W1251" s="1530"/>
      <c r="X1251" s="1530"/>
      <c r="Y1251" s="1530"/>
      <c r="Z1251" s="1530"/>
      <c r="AA1251" s="1530"/>
      <c r="AB1251" s="1530"/>
      <c r="AC1251" s="1530"/>
      <c r="AD1251" s="1530"/>
      <c r="AE1251" s="1530"/>
      <c r="AF1251" s="1530"/>
      <c r="AG1251" s="1530"/>
      <c r="AH1251" s="1530"/>
      <c r="AI1251" s="1530"/>
      <c r="AJ1251" s="1530"/>
      <c r="AK1251" s="1530"/>
      <c r="AL1251" s="1530"/>
      <c r="AM1251" s="1530"/>
      <c r="AN1251" s="1530"/>
      <c r="AO1251" s="1530"/>
      <c r="AP1251" s="1530"/>
      <c r="AQ1251" s="1530"/>
      <c r="AR1251" s="1530"/>
      <c r="AS1251" s="1530"/>
      <c r="AT1251" s="1530"/>
      <c r="AU1251" s="1530"/>
      <c r="AV1251" s="1530"/>
      <c r="AW1251" s="1530"/>
      <c r="AX1251" s="1530"/>
      <c r="AY1251" s="1530"/>
      <c r="AZ1251" s="1530"/>
      <c r="BA1251" s="1530"/>
      <c r="BB1251" s="1530"/>
      <c r="BC1251" s="1530"/>
      <c r="BD1251" s="1530"/>
      <c r="BE1251" s="1530"/>
      <c r="BF1251" s="1530"/>
      <c r="BG1251" s="1530"/>
      <c r="BH1251" s="1530"/>
      <c r="BI1251" s="1530"/>
      <c r="BJ1251" s="1530"/>
      <c r="BK1251" s="1530"/>
      <c r="BL1251" s="1530"/>
      <c r="BM1251" s="1530"/>
      <c r="BN1251" s="1530"/>
      <c r="BW1251" s="1569"/>
      <c r="CO1251" s="1530"/>
      <c r="CP1251" s="1530"/>
      <c r="CQ1251" s="1530"/>
      <c r="CR1251" s="1530"/>
      <c r="CS1251" s="1530"/>
      <c r="CT1251" s="1530"/>
      <c r="CU1251" s="1530"/>
      <c r="CV1251" s="1530"/>
      <c r="CW1251" s="1530"/>
      <c r="CX1251" s="1530"/>
      <c r="CY1251" s="1530"/>
      <c r="CZ1251" s="1530"/>
      <c r="DA1251" s="1530"/>
      <c r="DB1251" s="1530"/>
      <c r="DC1251" s="1530"/>
      <c r="DD1251" s="1530"/>
      <c r="DE1251" s="1530"/>
      <c r="DF1251" s="1530"/>
      <c r="DG1251" s="1530"/>
      <c r="DH1251" s="1530"/>
      <c r="DI1251" s="1530"/>
      <c r="DJ1251" s="1530"/>
      <c r="DK1251" s="1530"/>
      <c r="DL1251" s="1530"/>
      <c r="DM1251" s="1530"/>
      <c r="DN1251" s="1571"/>
      <c r="DO1251" s="1530"/>
      <c r="DP1251" s="1530"/>
    </row>
    <row r="1252" spans="1:120">
      <c r="A1252" s="1451"/>
      <c r="C1252" s="1451"/>
      <c r="K1252" s="1451"/>
      <c r="L1252" s="1451"/>
      <c r="U1252" s="1530"/>
      <c r="V1252" s="1530"/>
      <c r="W1252" s="1530"/>
      <c r="X1252" s="1530"/>
      <c r="Y1252" s="1530"/>
      <c r="Z1252" s="1530"/>
      <c r="AA1252" s="1530"/>
      <c r="AB1252" s="1530"/>
      <c r="AC1252" s="1530"/>
      <c r="AD1252" s="1530"/>
      <c r="AE1252" s="1530"/>
      <c r="AF1252" s="1530"/>
      <c r="AG1252" s="1530"/>
      <c r="AH1252" s="1530"/>
      <c r="AI1252" s="1530"/>
      <c r="AJ1252" s="1530"/>
      <c r="AK1252" s="1530"/>
      <c r="AL1252" s="1530"/>
      <c r="AM1252" s="1530"/>
      <c r="AN1252" s="1530"/>
      <c r="AO1252" s="1530"/>
      <c r="AP1252" s="1530"/>
      <c r="AQ1252" s="1530"/>
      <c r="AR1252" s="1530"/>
      <c r="AS1252" s="1530"/>
      <c r="AT1252" s="1530"/>
      <c r="AU1252" s="1530"/>
      <c r="AV1252" s="1530"/>
      <c r="AW1252" s="1530"/>
      <c r="AX1252" s="1530"/>
      <c r="AY1252" s="1530"/>
      <c r="AZ1252" s="1530"/>
      <c r="BA1252" s="1530"/>
      <c r="BB1252" s="1530"/>
      <c r="BC1252" s="1530"/>
      <c r="BD1252" s="1530"/>
      <c r="BE1252" s="1530"/>
      <c r="BF1252" s="1530"/>
      <c r="BG1252" s="1530"/>
      <c r="BH1252" s="1530"/>
      <c r="BI1252" s="1530"/>
      <c r="BJ1252" s="1530"/>
      <c r="BK1252" s="1530"/>
      <c r="BL1252" s="1530"/>
      <c r="BM1252" s="1530"/>
      <c r="BN1252" s="1530"/>
      <c r="BW1252" s="1569"/>
      <c r="CO1252" s="1530"/>
      <c r="CP1252" s="1530"/>
      <c r="CQ1252" s="1530"/>
      <c r="CR1252" s="1530"/>
      <c r="CS1252" s="1530"/>
      <c r="CT1252" s="1530"/>
      <c r="CU1252" s="1530"/>
      <c r="CV1252" s="1530"/>
      <c r="CW1252" s="1530"/>
      <c r="CX1252" s="1530"/>
      <c r="CY1252" s="1530"/>
      <c r="CZ1252" s="1530"/>
      <c r="DA1252" s="1530"/>
      <c r="DB1252" s="1530"/>
      <c r="DC1252" s="1530"/>
      <c r="DD1252" s="1530"/>
      <c r="DE1252" s="1530"/>
      <c r="DF1252" s="1530"/>
      <c r="DG1252" s="1530"/>
      <c r="DH1252" s="1530"/>
      <c r="DI1252" s="1530"/>
      <c r="DJ1252" s="1530"/>
      <c r="DK1252" s="1530"/>
      <c r="DL1252" s="1530"/>
      <c r="DM1252" s="1530"/>
      <c r="DN1252" s="1571"/>
      <c r="DO1252" s="1530"/>
      <c r="DP1252" s="1530"/>
    </row>
    <row r="1253" spans="1:120">
      <c r="A1253" s="1451"/>
      <c r="C1253" s="1451"/>
      <c r="K1253" s="1451"/>
      <c r="L1253" s="1451"/>
      <c r="U1253" s="1530"/>
      <c r="V1253" s="1530"/>
      <c r="W1253" s="1530"/>
      <c r="X1253" s="1530"/>
      <c r="Y1253" s="1530"/>
      <c r="Z1253" s="1530"/>
      <c r="AA1253" s="1530"/>
      <c r="AB1253" s="1530"/>
      <c r="AC1253" s="1530"/>
      <c r="AD1253" s="1530"/>
      <c r="AE1253" s="1530"/>
      <c r="AF1253" s="1530"/>
      <c r="AG1253" s="1530"/>
      <c r="AH1253" s="1530"/>
      <c r="AI1253" s="1530"/>
      <c r="AJ1253" s="1530"/>
      <c r="AK1253" s="1530"/>
      <c r="AL1253" s="1530"/>
      <c r="AM1253" s="1530"/>
      <c r="AN1253" s="1530"/>
      <c r="AO1253" s="1530"/>
      <c r="AP1253" s="1530"/>
      <c r="AQ1253" s="1530"/>
      <c r="AR1253" s="1530"/>
      <c r="AS1253" s="1530"/>
      <c r="AT1253" s="1530"/>
      <c r="AU1253" s="1530"/>
      <c r="AV1253" s="1530"/>
      <c r="AW1253" s="1530"/>
      <c r="AX1253" s="1530"/>
      <c r="AY1253" s="1530"/>
      <c r="AZ1253" s="1530"/>
      <c r="BA1253" s="1530"/>
      <c r="BB1253" s="1530"/>
      <c r="BC1253" s="1530"/>
      <c r="BD1253" s="1530"/>
      <c r="BE1253" s="1530"/>
      <c r="BF1253" s="1530"/>
      <c r="BG1253" s="1530"/>
      <c r="BH1253" s="1530"/>
      <c r="BI1253" s="1530"/>
      <c r="BJ1253" s="1530"/>
      <c r="BK1253" s="1530"/>
      <c r="BL1253" s="1530"/>
      <c r="BM1253" s="1530"/>
      <c r="BN1253" s="1530"/>
      <c r="BW1253" s="1569"/>
      <c r="CO1253" s="1530"/>
      <c r="CP1253" s="1530"/>
      <c r="CQ1253" s="1530"/>
      <c r="CR1253" s="1530"/>
      <c r="CS1253" s="1530"/>
      <c r="CT1253" s="1530"/>
      <c r="CU1253" s="1530"/>
      <c r="CV1253" s="1530"/>
      <c r="CW1253" s="1530"/>
      <c r="CX1253" s="1530"/>
      <c r="CY1253" s="1530"/>
      <c r="CZ1253" s="1530"/>
      <c r="DA1253" s="1530"/>
      <c r="DB1253" s="1530"/>
      <c r="DC1253" s="1530"/>
      <c r="DD1253" s="1530"/>
      <c r="DE1253" s="1530"/>
      <c r="DF1253" s="1530"/>
      <c r="DG1253" s="1530"/>
      <c r="DH1253" s="1530"/>
      <c r="DI1253" s="1530"/>
      <c r="DJ1253" s="1530"/>
      <c r="DK1253" s="1530"/>
      <c r="DL1253" s="1530"/>
      <c r="DM1253" s="1530"/>
      <c r="DN1253" s="1571"/>
      <c r="DO1253" s="1530"/>
      <c r="DP1253" s="1530"/>
    </row>
    <row r="1254" spans="1:120">
      <c r="A1254" s="1451"/>
      <c r="C1254" s="1451"/>
      <c r="K1254" s="1451"/>
      <c r="L1254" s="1451"/>
      <c r="U1254" s="1530"/>
      <c r="V1254" s="1530"/>
      <c r="W1254" s="1530"/>
      <c r="X1254" s="1530"/>
      <c r="Y1254" s="1530"/>
      <c r="Z1254" s="1530"/>
      <c r="AA1254" s="1530"/>
      <c r="AB1254" s="1530"/>
      <c r="AC1254" s="1530"/>
      <c r="AD1254" s="1530"/>
      <c r="AE1254" s="1530"/>
      <c r="AF1254" s="1530"/>
      <c r="AG1254" s="1530"/>
      <c r="AH1254" s="1530"/>
      <c r="AI1254" s="1530"/>
      <c r="AJ1254" s="1530"/>
      <c r="AK1254" s="1530"/>
      <c r="AL1254" s="1530"/>
      <c r="AM1254" s="1530"/>
      <c r="AN1254" s="1530"/>
      <c r="AO1254" s="1530"/>
      <c r="AP1254" s="1530"/>
      <c r="AQ1254" s="1530"/>
      <c r="AR1254" s="1530"/>
      <c r="AS1254" s="1530"/>
      <c r="AT1254" s="1530"/>
      <c r="AU1254" s="1530"/>
      <c r="AV1254" s="1530"/>
      <c r="AW1254" s="1530"/>
      <c r="AX1254" s="1530"/>
      <c r="AY1254" s="1530"/>
      <c r="AZ1254" s="1530"/>
      <c r="BA1254" s="1530"/>
      <c r="BB1254" s="1530"/>
      <c r="BC1254" s="1530"/>
      <c r="BD1254" s="1530"/>
      <c r="BE1254" s="1530"/>
      <c r="BF1254" s="1530"/>
      <c r="BG1254" s="1530"/>
      <c r="BH1254" s="1530"/>
      <c r="BI1254" s="1530"/>
      <c r="BJ1254" s="1530"/>
      <c r="BK1254" s="1530"/>
      <c r="BL1254" s="1530"/>
      <c r="BM1254" s="1530"/>
      <c r="BN1254" s="1530"/>
      <c r="BW1254" s="1569"/>
      <c r="CO1254" s="1530"/>
      <c r="CP1254" s="1530"/>
      <c r="CQ1254" s="1530"/>
      <c r="CR1254" s="1530"/>
      <c r="CS1254" s="1530"/>
      <c r="CT1254" s="1530"/>
      <c r="CU1254" s="1530"/>
      <c r="CV1254" s="1530"/>
      <c r="CW1254" s="1530"/>
      <c r="CX1254" s="1530"/>
      <c r="CY1254" s="1530"/>
      <c r="CZ1254" s="1530"/>
      <c r="DA1254" s="1530"/>
      <c r="DB1254" s="1530"/>
      <c r="DC1254" s="1530"/>
      <c r="DD1254" s="1530"/>
      <c r="DE1254" s="1530"/>
      <c r="DF1254" s="1530"/>
      <c r="DG1254" s="1530"/>
      <c r="DH1254" s="1530"/>
      <c r="DI1254" s="1530"/>
      <c r="DJ1254" s="1530"/>
      <c r="DK1254" s="1530"/>
      <c r="DL1254" s="1530"/>
      <c r="DM1254" s="1530"/>
      <c r="DN1254" s="1571"/>
      <c r="DO1254" s="1530"/>
      <c r="DP1254" s="1530"/>
    </row>
    <row r="1255" spans="1:120">
      <c r="A1255" s="1451"/>
      <c r="C1255" s="1451"/>
      <c r="K1255" s="1451"/>
      <c r="L1255" s="1451"/>
      <c r="U1255" s="1530"/>
      <c r="V1255" s="1530"/>
      <c r="W1255" s="1530"/>
      <c r="X1255" s="1530"/>
      <c r="Y1255" s="1530"/>
      <c r="Z1255" s="1530"/>
      <c r="AA1255" s="1530"/>
      <c r="AB1255" s="1530"/>
      <c r="AC1255" s="1530"/>
      <c r="AD1255" s="1530"/>
      <c r="AE1255" s="1530"/>
      <c r="AF1255" s="1530"/>
      <c r="AG1255" s="1530"/>
      <c r="AH1255" s="1530"/>
      <c r="AI1255" s="1530"/>
      <c r="AJ1255" s="1530"/>
      <c r="AK1255" s="1530"/>
      <c r="AL1255" s="1530"/>
      <c r="AM1255" s="1530"/>
      <c r="AN1255" s="1530"/>
      <c r="AO1255" s="1530"/>
      <c r="AP1255" s="1530"/>
      <c r="AQ1255" s="1530"/>
      <c r="AR1255" s="1530"/>
      <c r="AS1255" s="1530"/>
      <c r="AT1255" s="1530"/>
      <c r="AU1255" s="1530"/>
      <c r="AV1255" s="1530"/>
      <c r="AW1255" s="1530"/>
      <c r="AX1255" s="1530"/>
      <c r="AY1255" s="1530"/>
      <c r="AZ1255" s="1530"/>
      <c r="BA1255" s="1530"/>
      <c r="BB1255" s="1530"/>
      <c r="BC1255" s="1530"/>
      <c r="BD1255" s="1530"/>
      <c r="BE1255" s="1530"/>
      <c r="BF1255" s="1530"/>
      <c r="BG1255" s="1530"/>
      <c r="BH1255" s="1530"/>
      <c r="BI1255" s="1530"/>
      <c r="BJ1255" s="1530"/>
      <c r="BK1255" s="1530"/>
      <c r="BL1255" s="1530"/>
      <c r="BM1255" s="1530"/>
      <c r="BN1255" s="1530"/>
      <c r="BW1255" s="1569"/>
      <c r="CO1255" s="1530"/>
      <c r="CP1255" s="1530"/>
      <c r="CQ1255" s="1530"/>
      <c r="CR1255" s="1530"/>
      <c r="CS1255" s="1530"/>
      <c r="CT1255" s="1530"/>
      <c r="CU1255" s="1530"/>
      <c r="CV1255" s="1530"/>
      <c r="CW1255" s="1530"/>
      <c r="CX1255" s="1530"/>
      <c r="CY1255" s="1530"/>
      <c r="CZ1255" s="1530"/>
      <c r="DA1255" s="1530"/>
      <c r="DB1255" s="1530"/>
      <c r="DC1255" s="1530"/>
      <c r="DD1255" s="1530"/>
      <c r="DE1255" s="1530"/>
      <c r="DF1255" s="1530"/>
      <c r="DG1255" s="1530"/>
      <c r="DH1255" s="1530"/>
      <c r="DI1255" s="1530"/>
      <c r="DJ1255" s="1530"/>
      <c r="DK1255" s="1530"/>
      <c r="DL1255" s="1530"/>
      <c r="DM1255" s="1530"/>
      <c r="DN1255" s="1571"/>
      <c r="DO1255" s="1530"/>
      <c r="DP1255" s="1530"/>
    </row>
    <row r="1256" spans="1:120">
      <c r="A1256" s="1451"/>
      <c r="C1256" s="1451"/>
      <c r="K1256" s="1451"/>
      <c r="L1256" s="1451"/>
      <c r="U1256" s="1530"/>
      <c r="V1256" s="1530"/>
      <c r="W1256" s="1530"/>
      <c r="X1256" s="1530"/>
      <c r="Y1256" s="1530"/>
      <c r="Z1256" s="1530"/>
      <c r="AA1256" s="1530"/>
      <c r="AB1256" s="1530"/>
      <c r="AC1256" s="1530"/>
      <c r="AD1256" s="1530"/>
      <c r="AE1256" s="1530"/>
      <c r="AF1256" s="1530"/>
      <c r="AG1256" s="1530"/>
      <c r="AH1256" s="1530"/>
      <c r="AI1256" s="1530"/>
      <c r="AJ1256" s="1530"/>
      <c r="AK1256" s="1530"/>
      <c r="AL1256" s="1530"/>
      <c r="AM1256" s="1530"/>
      <c r="AN1256" s="1530"/>
      <c r="AO1256" s="1530"/>
      <c r="AP1256" s="1530"/>
      <c r="AQ1256" s="1530"/>
      <c r="AR1256" s="1530"/>
      <c r="AS1256" s="1530"/>
      <c r="AT1256" s="1530"/>
      <c r="AU1256" s="1530"/>
      <c r="AV1256" s="1530"/>
      <c r="AW1256" s="1530"/>
      <c r="AX1256" s="1530"/>
      <c r="AY1256" s="1530"/>
      <c r="AZ1256" s="1530"/>
      <c r="BA1256" s="1530"/>
      <c r="BB1256" s="1530"/>
      <c r="BC1256" s="1530"/>
      <c r="BD1256" s="1530"/>
      <c r="BE1256" s="1530"/>
      <c r="BF1256" s="1530"/>
      <c r="BG1256" s="1530"/>
      <c r="BH1256" s="1530"/>
      <c r="BI1256" s="1530"/>
      <c r="BJ1256" s="1530"/>
      <c r="BK1256" s="1530"/>
      <c r="BL1256" s="1530"/>
      <c r="BM1256" s="1530"/>
      <c r="BN1256" s="1530"/>
      <c r="BW1256" s="1569"/>
      <c r="CO1256" s="1530"/>
      <c r="CP1256" s="1530"/>
      <c r="CQ1256" s="1530"/>
      <c r="CR1256" s="1530"/>
      <c r="CS1256" s="1530"/>
      <c r="CT1256" s="1530"/>
      <c r="CU1256" s="1530"/>
      <c r="CV1256" s="1530"/>
      <c r="CW1256" s="1530"/>
      <c r="CX1256" s="1530"/>
      <c r="CY1256" s="1530"/>
      <c r="CZ1256" s="1530"/>
      <c r="DA1256" s="1530"/>
      <c r="DB1256" s="1530"/>
      <c r="DC1256" s="1530"/>
      <c r="DD1256" s="1530"/>
      <c r="DE1256" s="1530"/>
      <c r="DF1256" s="1530"/>
      <c r="DG1256" s="1530"/>
      <c r="DH1256" s="1530"/>
      <c r="DI1256" s="1530"/>
      <c r="DJ1256" s="1530"/>
      <c r="DK1256" s="1530"/>
      <c r="DL1256" s="1530"/>
      <c r="DM1256" s="1530"/>
      <c r="DN1256" s="1571"/>
      <c r="DO1256" s="1530"/>
      <c r="DP1256" s="1530"/>
    </row>
    <row r="1257" spans="1:120">
      <c r="A1257" s="1451"/>
      <c r="C1257" s="1451"/>
      <c r="K1257" s="1451"/>
      <c r="L1257" s="1451"/>
      <c r="U1257" s="1530"/>
      <c r="V1257" s="1530"/>
      <c r="W1257" s="1530"/>
      <c r="X1257" s="1530"/>
      <c r="Y1257" s="1530"/>
      <c r="Z1257" s="1530"/>
      <c r="AA1257" s="1530"/>
      <c r="AB1257" s="1530"/>
      <c r="AC1257" s="1530"/>
      <c r="AD1257" s="1530"/>
      <c r="AE1257" s="1530"/>
      <c r="AF1257" s="1530"/>
      <c r="AG1257" s="1530"/>
      <c r="AH1257" s="1530"/>
      <c r="AI1257" s="1530"/>
      <c r="AJ1257" s="1530"/>
      <c r="AK1257" s="1530"/>
      <c r="AL1257" s="1530"/>
      <c r="AM1257" s="1530"/>
      <c r="AN1257" s="1530"/>
      <c r="AO1257" s="1530"/>
      <c r="AP1257" s="1530"/>
      <c r="AQ1257" s="1530"/>
      <c r="AR1257" s="1530"/>
      <c r="AS1257" s="1530"/>
      <c r="AT1257" s="1530"/>
      <c r="AU1257" s="1530"/>
      <c r="AV1257" s="1530"/>
      <c r="AW1257" s="1530"/>
      <c r="AX1257" s="1530"/>
      <c r="AY1257" s="1530"/>
      <c r="AZ1257" s="1530"/>
      <c r="BA1257" s="1530"/>
      <c r="BB1257" s="1530"/>
      <c r="BC1257" s="1530"/>
      <c r="BD1257" s="1530"/>
      <c r="BE1257" s="1530"/>
      <c r="BF1257" s="1530"/>
      <c r="BG1257" s="1530"/>
      <c r="BH1257" s="1530"/>
      <c r="BI1257" s="1530"/>
      <c r="BJ1257" s="1530"/>
      <c r="BK1257" s="1530"/>
      <c r="BL1257" s="1530"/>
      <c r="BM1257" s="1530"/>
      <c r="BN1257" s="1530"/>
      <c r="BW1257" s="1569"/>
      <c r="CO1257" s="1530"/>
      <c r="CP1257" s="1530"/>
      <c r="CQ1257" s="1530"/>
      <c r="CR1257" s="1530"/>
      <c r="CS1257" s="1530"/>
      <c r="CT1257" s="1530"/>
      <c r="CU1257" s="1530"/>
      <c r="CV1257" s="1530"/>
      <c r="CW1257" s="1530"/>
      <c r="CX1257" s="1530"/>
      <c r="CY1257" s="1530"/>
      <c r="CZ1257" s="1530"/>
      <c r="DA1257" s="1530"/>
      <c r="DB1257" s="1530"/>
      <c r="DC1257" s="1530"/>
      <c r="DD1257" s="1530"/>
      <c r="DE1257" s="1530"/>
      <c r="DF1257" s="1530"/>
      <c r="DG1257" s="1530"/>
      <c r="DH1257" s="1530"/>
      <c r="DI1257" s="1530"/>
      <c r="DJ1257" s="1530"/>
      <c r="DK1257" s="1530"/>
      <c r="DL1257" s="1530"/>
      <c r="DM1257" s="1530"/>
      <c r="DN1257" s="1571"/>
      <c r="DO1257" s="1530"/>
      <c r="DP1257" s="1530"/>
    </row>
    <row r="1258" spans="1:120">
      <c r="A1258" s="1451"/>
      <c r="C1258" s="1451"/>
      <c r="K1258" s="1451"/>
      <c r="L1258" s="1451"/>
      <c r="U1258" s="1530"/>
      <c r="V1258" s="1530"/>
      <c r="W1258" s="1530"/>
      <c r="X1258" s="1530"/>
      <c r="Y1258" s="1530"/>
      <c r="Z1258" s="1530"/>
      <c r="AA1258" s="1530"/>
      <c r="AB1258" s="1530"/>
      <c r="AC1258" s="1530"/>
      <c r="AD1258" s="1530"/>
      <c r="AE1258" s="1530"/>
      <c r="AF1258" s="1530"/>
      <c r="AG1258" s="1530"/>
      <c r="AH1258" s="1530"/>
      <c r="AI1258" s="1530"/>
      <c r="AJ1258" s="1530"/>
      <c r="AK1258" s="1530"/>
      <c r="AL1258" s="1530"/>
      <c r="AM1258" s="1530"/>
      <c r="AN1258" s="1530"/>
      <c r="AO1258" s="1530"/>
      <c r="AP1258" s="1530"/>
      <c r="AQ1258" s="1530"/>
      <c r="AR1258" s="1530"/>
      <c r="AS1258" s="1530"/>
      <c r="AT1258" s="1530"/>
      <c r="AU1258" s="1530"/>
      <c r="AV1258" s="1530"/>
      <c r="AW1258" s="1530"/>
      <c r="AX1258" s="1530"/>
      <c r="AY1258" s="1530"/>
      <c r="AZ1258" s="1530"/>
      <c r="BA1258" s="1530"/>
      <c r="BB1258" s="1530"/>
      <c r="BC1258" s="1530"/>
      <c r="BD1258" s="1530"/>
      <c r="BE1258" s="1530"/>
      <c r="BF1258" s="1530"/>
      <c r="BG1258" s="1530"/>
      <c r="BH1258" s="1530"/>
      <c r="BI1258" s="1530"/>
      <c r="BJ1258" s="1530"/>
      <c r="BK1258" s="1530"/>
      <c r="BL1258" s="1530"/>
      <c r="BM1258" s="1530"/>
      <c r="BN1258" s="1530"/>
      <c r="BW1258" s="1569"/>
      <c r="CO1258" s="1530"/>
      <c r="CP1258" s="1530"/>
      <c r="CQ1258" s="1530"/>
      <c r="CR1258" s="1530"/>
      <c r="CS1258" s="1530"/>
      <c r="CT1258" s="1530"/>
      <c r="CU1258" s="1530"/>
      <c r="CV1258" s="1530"/>
      <c r="CW1258" s="1530"/>
      <c r="CX1258" s="1530"/>
      <c r="CY1258" s="1530"/>
      <c r="CZ1258" s="1530"/>
      <c r="DA1258" s="1530"/>
      <c r="DB1258" s="1530"/>
      <c r="DC1258" s="1530"/>
      <c r="DD1258" s="1530"/>
      <c r="DE1258" s="1530"/>
      <c r="DF1258" s="1530"/>
      <c r="DG1258" s="1530"/>
      <c r="DH1258" s="1530"/>
      <c r="DI1258" s="1530"/>
      <c r="DJ1258" s="1530"/>
      <c r="DK1258" s="1530"/>
      <c r="DL1258" s="1530"/>
      <c r="DM1258" s="1530"/>
      <c r="DN1258" s="1571"/>
      <c r="DO1258" s="1530"/>
      <c r="DP1258" s="1530"/>
    </row>
    <row r="1259" spans="1:120">
      <c r="A1259" s="1451"/>
      <c r="C1259" s="1451"/>
      <c r="K1259" s="1451"/>
      <c r="L1259" s="1451"/>
      <c r="U1259" s="1530"/>
      <c r="V1259" s="1530"/>
      <c r="W1259" s="1530"/>
      <c r="X1259" s="1530"/>
      <c r="Y1259" s="1530"/>
      <c r="Z1259" s="1530"/>
      <c r="AA1259" s="1530"/>
      <c r="AB1259" s="1530"/>
      <c r="AC1259" s="1530"/>
      <c r="AD1259" s="1530"/>
      <c r="AE1259" s="1530"/>
      <c r="AF1259" s="1530"/>
      <c r="AG1259" s="1530"/>
      <c r="AH1259" s="1530"/>
      <c r="AI1259" s="1530"/>
      <c r="AJ1259" s="1530"/>
      <c r="AK1259" s="1530"/>
      <c r="AL1259" s="1530"/>
      <c r="AM1259" s="1530"/>
      <c r="AN1259" s="1530"/>
      <c r="AO1259" s="1530"/>
      <c r="AP1259" s="1530"/>
      <c r="AQ1259" s="1530"/>
      <c r="AR1259" s="1530"/>
      <c r="AS1259" s="1530"/>
      <c r="AT1259" s="1530"/>
      <c r="AU1259" s="1530"/>
      <c r="AV1259" s="1530"/>
      <c r="AW1259" s="1530"/>
      <c r="AX1259" s="1530"/>
      <c r="AY1259" s="1530"/>
      <c r="AZ1259" s="1530"/>
      <c r="BA1259" s="1530"/>
      <c r="BB1259" s="1530"/>
      <c r="BC1259" s="1530"/>
      <c r="BD1259" s="1530"/>
      <c r="BE1259" s="1530"/>
      <c r="BF1259" s="1530"/>
      <c r="BG1259" s="1530"/>
      <c r="BH1259" s="1530"/>
      <c r="BI1259" s="1530"/>
      <c r="BJ1259" s="1530"/>
      <c r="BK1259" s="1530"/>
      <c r="BL1259" s="1530"/>
      <c r="BM1259" s="1530"/>
      <c r="BN1259" s="1530"/>
      <c r="BW1259" s="1569"/>
      <c r="CO1259" s="1530"/>
      <c r="CP1259" s="1530"/>
      <c r="CQ1259" s="1530"/>
      <c r="CR1259" s="1530"/>
      <c r="CS1259" s="1530"/>
      <c r="CT1259" s="1530"/>
      <c r="CU1259" s="1530"/>
      <c r="CV1259" s="1530"/>
      <c r="CW1259" s="1530"/>
      <c r="CX1259" s="1530"/>
      <c r="CY1259" s="1530"/>
      <c r="CZ1259" s="1530"/>
      <c r="DA1259" s="1530"/>
      <c r="DB1259" s="1530"/>
      <c r="DC1259" s="1530"/>
      <c r="DD1259" s="1530"/>
      <c r="DE1259" s="1530"/>
      <c r="DF1259" s="1530"/>
      <c r="DG1259" s="1530"/>
      <c r="DH1259" s="1530"/>
      <c r="DI1259" s="1530"/>
      <c r="DJ1259" s="1530"/>
      <c r="DK1259" s="1530"/>
      <c r="DL1259" s="1530"/>
      <c r="DM1259" s="1530"/>
      <c r="DN1259" s="1571"/>
      <c r="DO1259" s="1530"/>
      <c r="DP1259" s="1530"/>
    </row>
    <row r="1260" spans="1:120">
      <c r="A1260" s="1451"/>
      <c r="C1260" s="1451"/>
      <c r="K1260" s="1451"/>
      <c r="L1260" s="1451"/>
      <c r="U1260" s="1530"/>
      <c r="V1260" s="1530"/>
      <c r="W1260" s="1530"/>
      <c r="X1260" s="1530"/>
      <c r="Y1260" s="1530"/>
      <c r="Z1260" s="1530"/>
      <c r="AA1260" s="1530"/>
      <c r="AB1260" s="1530"/>
      <c r="AC1260" s="1530"/>
      <c r="AD1260" s="1530"/>
      <c r="AE1260" s="1530"/>
      <c r="AF1260" s="1530"/>
      <c r="AG1260" s="1530"/>
      <c r="AH1260" s="1530"/>
      <c r="AI1260" s="1530"/>
      <c r="AJ1260" s="1530"/>
      <c r="AK1260" s="1530"/>
      <c r="AL1260" s="1530"/>
      <c r="AM1260" s="1530"/>
      <c r="AN1260" s="1530"/>
      <c r="AO1260" s="1530"/>
      <c r="AP1260" s="1530"/>
      <c r="AQ1260" s="1530"/>
      <c r="AR1260" s="1530"/>
      <c r="AS1260" s="1530"/>
      <c r="AT1260" s="1530"/>
      <c r="AU1260" s="1530"/>
      <c r="AV1260" s="1530"/>
      <c r="AW1260" s="1530"/>
      <c r="AX1260" s="1530"/>
      <c r="AY1260" s="1530"/>
      <c r="AZ1260" s="1530"/>
      <c r="BA1260" s="1530"/>
      <c r="BB1260" s="1530"/>
      <c r="BC1260" s="1530"/>
      <c r="BD1260" s="1530"/>
      <c r="BE1260" s="1530"/>
      <c r="BF1260" s="1530"/>
      <c r="BG1260" s="1530"/>
      <c r="BH1260" s="1530"/>
      <c r="BI1260" s="1530"/>
      <c r="BJ1260" s="1530"/>
      <c r="BK1260" s="1530"/>
      <c r="BL1260" s="1530"/>
      <c r="BM1260" s="1530"/>
      <c r="BN1260" s="1530"/>
      <c r="BW1260" s="1569"/>
      <c r="CO1260" s="1530"/>
      <c r="CP1260" s="1530"/>
      <c r="CQ1260" s="1530"/>
      <c r="CR1260" s="1530"/>
      <c r="CS1260" s="1530"/>
      <c r="CT1260" s="1530"/>
      <c r="CU1260" s="1530"/>
      <c r="CV1260" s="1530"/>
      <c r="CW1260" s="1530"/>
      <c r="CX1260" s="1530"/>
      <c r="CY1260" s="1530"/>
      <c r="CZ1260" s="1530"/>
      <c r="DA1260" s="1530"/>
      <c r="DB1260" s="1530"/>
      <c r="DC1260" s="1530"/>
      <c r="DD1260" s="1530"/>
      <c r="DE1260" s="1530"/>
      <c r="DF1260" s="1530"/>
      <c r="DG1260" s="1530"/>
      <c r="DH1260" s="1530"/>
      <c r="DI1260" s="1530"/>
      <c r="DJ1260" s="1530"/>
      <c r="DK1260" s="1530"/>
      <c r="DL1260" s="1530"/>
      <c r="DM1260" s="1530"/>
      <c r="DN1260" s="1571"/>
      <c r="DO1260" s="1530"/>
      <c r="DP1260" s="1530"/>
    </row>
    <row r="1261" spans="1:120">
      <c r="A1261" s="1451"/>
      <c r="C1261" s="1451"/>
      <c r="K1261" s="1451"/>
      <c r="L1261" s="1451"/>
      <c r="U1261" s="1530"/>
      <c r="V1261" s="1530"/>
      <c r="W1261" s="1530"/>
      <c r="X1261" s="1530"/>
      <c r="Y1261" s="1530"/>
      <c r="Z1261" s="1530"/>
      <c r="AA1261" s="1530"/>
      <c r="AB1261" s="1530"/>
      <c r="AC1261" s="1530"/>
      <c r="AD1261" s="1530"/>
      <c r="AE1261" s="1530"/>
      <c r="AF1261" s="1530"/>
      <c r="AG1261" s="1530"/>
      <c r="AH1261" s="1530"/>
      <c r="AI1261" s="1530"/>
      <c r="AJ1261" s="1530"/>
      <c r="AK1261" s="1530"/>
      <c r="AL1261" s="1530"/>
      <c r="AM1261" s="1530"/>
      <c r="AN1261" s="1530"/>
      <c r="AO1261" s="1530"/>
      <c r="AP1261" s="1530"/>
      <c r="AQ1261" s="1530"/>
      <c r="AR1261" s="1530"/>
      <c r="AS1261" s="1530"/>
      <c r="AT1261" s="1530"/>
      <c r="AU1261" s="1530"/>
      <c r="AV1261" s="1530"/>
      <c r="AW1261" s="1530"/>
      <c r="AX1261" s="1530"/>
      <c r="AY1261" s="1530"/>
      <c r="AZ1261" s="1530"/>
      <c r="BA1261" s="1530"/>
      <c r="BB1261" s="1530"/>
      <c r="BC1261" s="1530"/>
      <c r="BD1261" s="1530"/>
      <c r="BE1261" s="1530"/>
      <c r="BF1261" s="1530"/>
      <c r="BG1261" s="1530"/>
      <c r="BH1261" s="1530"/>
      <c r="BI1261" s="1530"/>
      <c r="BJ1261" s="1530"/>
      <c r="BK1261" s="1530"/>
      <c r="BL1261" s="1530"/>
      <c r="BM1261" s="1530"/>
      <c r="BN1261" s="1530"/>
      <c r="BW1261" s="1569"/>
      <c r="CO1261" s="1530"/>
      <c r="CP1261" s="1530"/>
      <c r="CQ1261" s="1530"/>
      <c r="CR1261" s="1530"/>
      <c r="CS1261" s="1530"/>
      <c r="CT1261" s="1530"/>
      <c r="CU1261" s="1530"/>
      <c r="CV1261" s="1530"/>
      <c r="CW1261" s="1530"/>
      <c r="CX1261" s="1530"/>
      <c r="CY1261" s="1530"/>
      <c r="CZ1261" s="1530"/>
      <c r="DA1261" s="1530"/>
      <c r="DB1261" s="1530"/>
      <c r="DC1261" s="1530"/>
      <c r="DD1261" s="1530"/>
      <c r="DE1261" s="1530"/>
      <c r="DF1261" s="1530"/>
      <c r="DG1261" s="1530"/>
      <c r="DH1261" s="1530"/>
      <c r="DI1261" s="1530"/>
      <c r="DJ1261" s="1530"/>
      <c r="DK1261" s="1530"/>
      <c r="DL1261" s="1530"/>
      <c r="DM1261" s="1530"/>
      <c r="DN1261" s="1571"/>
      <c r="DO1261" s="1530"/>
      <c r="DP1261" s="1530"/>
    </row>
    <row r="1262" spans="1:120">
      <c r="A1262" s="1451"/>
      <c r="C1262" s="1451"/>
      <c r="K1262" s="1451"/>
      <c r="L1262" s="1451"/>
      <c r="U1262" s="1530"/>
      <c r="V1262" s="1530"/>
      <c r="W1262" s="1530"/>
      <c r="X1262" s="1530"/>
      <c r="Y1262" s="1530"/>
      <c r="Z1262" s="1530"/>
      <c r="AA1262" s="1530"/>
      <c r="AB1262" s="1530"/>
      <c r="AC1262" s="1530"/>
      <c r="AD1262" s="1530"/>
      <c r="AE1262" s="1530"/>
      <c r="AF1262" s="1530"/>
      <c r="AG1262" s="1530"/>
      <c r="AH1262" s="1530"/>
      <c r="AI1262" s="1530"/>
      <c r="AJ1262" s="1530"/>
      <c r="AK1262" s="1530"/>
      <c r="AL1262" s="1530"/>
      <c r="AM1262" s="1530"/>
      <c r="AN1262" s="1530"/>
      <c r="AO1262" s="1530"/>
      <c r="AP1262" s="1530"/>
      <c r="AQ1262" s="1530"/>
      <c r="AR1262" s="1530"/>
      <c r="AS1262" s="1530"/>
      <c r="AT1262" s="1530"/>
      <c r="AU1262" s="1530"/>
      <c r="AV1262" s="1530"/>
      <c r="AW1262" s="1530"/>
      <c r="AX1262" s="1530"/>
      <c r="AY1262" s="1530"/>
      <c r="AZ1262" s="1530"/>
      <c r="BA1262" s="1530"/>
      <c r="BB1262" s="1530"/>
      <c r="BC1262" s="1530"/>
      <c r="BD1262" s="1530"/>
      <c r="BE1262" s="1530"/>
      <c r="BF1262" s="1530"/>
      <c r="BG1262" s="1530"/>
      <c r="BH1262" s="1530"/>
      <c r="BI1262" s="1530"/>
      <c r="BJ1262" s="1530"/>
      <c r="BK1262" s="1530"/>
      <c r="BL1262" s="1530"/>
      <c r="BM1262" s="1530"/>
      <c r="BN1262" s="1530"/>
      <c r="BW1262" s="1569"/>
      <c r="CO1262" s="1530"/>
      <c r="CP1262" s="1530"/>
      <c r="CQ1262" s="1530"/>
      <c r="CR1262" s="1530"/>
      <c r="CS1262" s="1530"/>
      <c r="CT1262" s="1530"/>
      <c r="CU1262" s="1530"/>
      <c r="CV1262" s="1530"/>
      <c r="CW1262" s="1530"/>
      <c r="CX1262" s="1530"/>
      <c r="CY1262" s="1530"/>
      <c r="CZ1262" s="1530"/>
      <c r="DA1262" s="1530"/>
      <c r="DB1262" s="1530"/>
      <c r="DC1262" s="1530"/>
      <c r="DD1262" s="1530"/>
      <c r="DE1262" s="1530"/>
      <c r="DF1262" s="1530"/>
      <c r="DG1262" s="1530"/>
      <c r="DH1262" s="1530"/>
      <c r="DI1262" s="1530"/>
      <c r="DJ1262" s="1530"/>
      <c r="DK1262" s="1530"/>
      <c r="DL1262" s="1530"/>
      <c r="DM1262" s="1530"/>
      <c r="DN1262" s="1571"/>
      <c r="DO1262" s="1530"/>
      <c r="DP1262" s="1530"/>
    </row>
    <row r="1263" spans="1:120">
      <c r="A1263" s="1451"/>
      <c r="C1263" s="1451"/>
      <c r="K1263" s="1451"/>
      <c r="L1263" s="1451"/>
      <c r="U1263" s="1530"/>
      <c r="V1263" s="1530"/>
      <c r="W1263" s="1530"/>
      <c r="X1263" s="1530"/>
      <c r="Y1263" s="1530"/>
      <c r="Z1263" s="1530"/>
      <c r="AA1263" s="1530"/>
      <c r="AB1263" s="1530"/>
      <c r="AC1263" s="1530"/>
      <c r="AD1263" s="1530"/>
      <c r="AE1263" s="1530"/>
      <c r="AF1263" s="1530"/>
      <c r="AG1263" s="1530"/>
      <c r="AH1263" s="1530"/>
      <c r="AI1263" s="1530"/>
      <c r="AJ1263" s="1530"/>
      <c r="AK1263" s="1530"/>
      <c r="AL1263" s="1530"/>
      <c r="AM1263" s="1530"/>
      <c r="AN1263" s="1530"/>
      <c r="AO1263" s="1530"/>
      <c r="AP1263" s="1530"/>
      <c r="AQ1263" s="1530"/>
      <c r="AR1263" s="1530"/>
      <c r="AS1263" s="1530"/>
      <c r="AT1263" s="1530"/>
      <c r="AU1263" s="1530"/>
      <c r="AV1263" s="1530"/>
      <c r="AW1263" s="1530"/>
      <c r="AX1263" s="1530"/>
      <c r="AY1263" s="1530"/>
      <c r="AZ1263" s="1530"/>
      <c r="BA1263" s="1530"/>
      <c r="BB1263" s="1530"/>
      <c r="BC1263" s="1530"/>
      <c r="BD1263" s="1530"/>
      <c r="BE1263" s="1530"/>
      <c r="BF1263" s="1530"/>
      <c r="BG1263" s="1530"/>
      <c r="BH1263" s="1530"/>
      <c r="BI1263" s="1530"/>
      <c r="BJ1263" s="1530"/>
      <c r="BK1263" s="1530"/>
      <c r="BL1263" s="1530"/>
      <c r="BM1263" s="1530"/>
      <c r="BN1263" s="1530"/>
      <c r="BW1263" s="1569"/>
      <c r="CO1263" s="1530"/>
      <c r="CP1263" s="1530"/>
      <c r="CQ1263" s="1530"/>
      <c r="CR1263" s="1530"/>
      <c r="CS1263" s="1530"/>
      <c r="CT1263" s="1530"/>
      <c r="CU1263" s="1530"/>
      <c r="CV1263" s="1530"/>
      <c r="CW1263" s="1530"/>
      <c r="CX1263" s="1530"/>
      <c r="CY1263" s="1530"/>
      <c r="CZ1263" s="1530"/>
      <c r="DA1263" s="1530"/>
      <c r="DB1263" s="1530"/>
      <c r="DC1263" s="1530"/>
      <c r="DD1263" s="1530"/>
      <c r="DE1263" s="1530"/>
      <c r="DF1263" s="1530"/>
      <c r="DG1263" s="1530"/>
      <c r="DH1263" s="1530"/>
      <c r="DI1263" s="1530"/>
      <c r="DJ1263" s="1530"/>
      <c r="DK1263" s="1530"/>
      <c r="DL1263" s="1530"/>
      <c r="DM1263" s="1530"/>
      <c r="DN1263" s="1571"/>
      <c r="DO1263" s="1530"/>
      <c r="DP1263" s="1530"/>
    </row>
    <row r="1264" spans="1:120">
      <c r="A1264" s="1451"/>
      <c r="C1264" s="1451"/>
      <c r="K1264" s="1451"/>
      <c r="L1264" s="1451"/>
      <c r="U1264" s="1530"/>
      <c r="V1264" s="1530"/>
      <c r="W1264" s="1530"/>
      <c r="X1264" s="1530"/>
      <c r="Y1264" s="1530"/>
      <c r="Z1264" s="1530"/>
      <c r="AA1264" s="1530"/>
      <c r="AB1264" s="1530"/>
      <c r="AC1264" s="1530"/>
      <c r="AD1264" s="1530"/>
      <c r="AE1264" s="1530"/>
      <c r="AF1264" s="1530"/>
      <c r="AG1264" s="1530"/>
      <c r="AH1264" s="1530"/>
      <c r="AI1264" s="1530"/>
      <c r="AJ1264" s="1530"/>
      <c r="AK1264" s="1530"/>
      <c r="AL1264" s="1530"/>
      <c r="AM1264" s="1530"/>
      <c r="AN1264" s="1530"/>
      <c r="AO1264" s="1530"/>
      <c r="AP1264" s="1530"/>
      <c r="AQ1264" s="1530"/>
      <c r="AR1264" s="1530"/>
      <c r="AS1264" s="1530"/>
      <c r="AT1264" s="1530"/>
      <c r="AU1264" s="1530"/>
      <c r="AV1264" s="1530"/>
      <c r="AW1264" s="1530"/>
      <c r="AX1264" s="1530"/>
      <c r="AY1264" s="1530"/>
      <c r="AZ1264" s="1530"/>
      <c r="BA1264" s="1530"/>
      <c r="BB1264" s="1530"/>
      <c r="BC1264" s="1530"/>
      <c r="BD1264" s="1530"/>
      <c r="BE1264" s="1530"/>
      <c r="BF1264" s="1530"/>
      <c r="BG1264" s="1530"/>
      <c r="BH1264" s="1530"/>
      <c r="BI1264" s="1530"/>
      <c r="BJ1264" s="1530"/>
      <c r="BK1264" s="1530"/>
      <c r="BL1264" s="1530"/>
      <c r="BM1264" s="1530"/>
      <c r="BN1264" s="1530"/>
      <c r="BW1264" s="1569"/>
      <c r="CO1264" s="1530"/>
      <c r="CP1264" s="1530"/>
      <c r="CQ1264" s="1530"/>
      <c r="CR1264" s="1530"/>
      <c r="CS1264" s="1530"/>
      <c r="CT1264" s="1530"/>
      <c r="CU1264" s="1530"/>
      <c r="CV1264" s="1530"/>
      <c r="CW1264" s="1530"/>
      <c r="CX1264" s="1530"/>
      <c r="CY1264" s="1530"/>
      <c r="CZ1264" s="1530"/>
      <c r="DA1264" s="1530"/>
      <c r="DB1264" s="1530"/>
      <c r="DC1264" s="1530"/>
      <c r="DD1264" s="1530"/>
      <c r="DE1264" s="1530"/>
      <c r="DF1264" s="1530"/>
      <c r="DG1264" s="1530"/>
      <c r="DH1264" s="1530"/>
      <c r="DI1264" s="1530"/>
      <c r="DJ1264" s="1530"/>
      <c r="DK1264" s="1530"/>
      <c r="DL1264" s="1530"/>
      <c r="DM1264" s="1530"/>
      <c r="DN1264" s="1571"/>
      <c r="DO1264" s="1530"/>
      <c r="DP1264" s="1530"/>
    </row>
    <row r="1265" spans="1:120">
      <c r="A1265" s="1451"/>
      <c r="C1265" s="1451"/>
      <c r="K1265" s="1451"/>
      <c r="L1265" s="1451"/>
      <c r="U1265" s="1530"/>
      <c r="V1265" s="1530"/>
      <c r="W1265" s="1530"/>
      <c r="X1265" s="1530"/>
      <c r="Y1265" s="1530"/>
      <c r="Z1265" s="1530"/>
      <c r="AA1265" s="1530"/>
      <c r="AB1265" s="1530"/>
      <c r="AC1265" s="1530"/>
      <c r="AD1265" s="1530"/>
      <c r="AE1265" s="1530"/>
      <c r="AF1265" s="1530"/>
      <c r="AG1265" s="1530"/>
      <c r="AH1265" s="1530"/>
      <c r="AI1265" s="1530"/>
      <c r="AJ1265" s="1530"/>
      <c r="AK1265" s="1530"/>
      <c r="AL1265" s="1530"/>
      <c r="AM1265" s="1530"/>
      <c r="AN1265" s="1530"/>
      <c r="AO1265" s="1530"/>
      <c r="AP1265" s="1530"/>
      <c r="AQ1265" s="1530"/>
      <c r="AR1265" s="1530"/>
      <c r="AS1265" s="1530"/>
      <c r="AT1265" s="1530"/>
      <c r="AU1265" s="1530"/>
      <c r="AV1265" s="1530"/>
      <c r="AW1265" s="1530"/>
      <c r="AX1265" s="1530"/>
      <c r="AY1265" s="1530"/>
      <c r="AZ1265" s="1530"/>
      <c r="BA1265" s="1530"/>
      <c r="BB1265" s="1530"/>
      <c r="BC1265" s="1530"/>
      <c r="BD1265" s="1530"/>
      <c r="BE1265" s="1530"/>
      <c r="BF1265" s="1530"/>
      <c r="BG1265" s="1530"/>
      <c r="BH1265" s="1530"/>
      <c r="BI1265" s="1530"/>
      <c r="BJ1265" s="1530"/>
      <c r="BK1265" s="1530"/>
      <c r="BL1265" s="1530"/>
      <c r="BM1265" s="1530"/>
      <c r="BN1265" s="1530"/>
      <c r="BW1265" s="1569"/>
      <c r="CO1265" s="1530"/>
      <c r="CP1265" s="1530"/>
      <c r="CQ1265" s="1530"/>
      <c r="CR1265" s="1530"/>
      <c r="CS1265" s="1530"/>
      <c r="CT1265" s="1530"/>
      <c r="CU1265" s="1530"/>
      <c r="CV1265" s="1530"/>
      <c r="CW1265" s="1530"/>
      <c r="CX1265" s="1530"/>
      <c r="CY1265" s="1530"/>
      <c r="CZ1265" s="1530"/>
      <c r="DA1265" s="1530"/>
      <c r="DB1265" s="1530"/>
      <c r="DC1265" s="1530"/>
      <c r="DD1265" s="1530"/>
      <c r="DE1265" s="1530"/>
      <c r="DF1265" s="1530"/>
      <c r="DG1265" s="1530"/>
      <c r="DH1265" s="1530"/>
      <c r="DI1265" s="1530"/>
      <c r="DJ1265" s="1530"/>
      <c r="DK1265" s="1530"/>
      <c r="DL1265" s="1530"/>
      <c r="DM1265" s="1530"/>
      <c r="DN1265" s="1571"/>
      <c r="DO1265" s="1530"/>
      <c r="DP1265" s="1530"/>
    </row>
    <row r="1266" spans="1:120">
      <c r="A1266" s="1451"/>
      <c r="C1266" s="1451"/>
      <c r="K1266" s="1451"/>
      <c r="L1266" s="1451"/>
      <c r="U1266" s="1530"/>
      <c r="V1266" s="1530"/>
      <c r="W1266" s="1530"/>
      <c r="X1266" s="1530"/>
      <c r="Y1266" s="1530"/>
      <c r="Z1266" s="1530"/>
      <c r="AA1266" s="1530"/>
      <c r="AB1266" s="1530"/>
      <c r="AC1266" s="1530"/>
      <c r="AD1266" s="1530"/>
      <c r="AE1266" s="1530"/>
      <c r="AF1266" s="1530"/>
      <c r="AG1266" s="1530"/>
      <c r="AH1266" s="1530"/>
      <c r="AI1266" s="1530"/>
      <c r="AJ1266" s="1530"/>
      <c r="AK1266" s="1530"/>
      <c r="AL1266" s="1530"/>
      <c r="AM1266" s="1530"/>
      <c r="AN1266" s="1530"/>
      <c r="AO1266" s="1530"/>
      <c r="AP1266" s="1530"/>
      <c r="AQ1266" s="1530"/>
      <c r="AR1266" s="1530"/>
      <c r="AS1266" s="1530"/>
      <c r="AT1266" s="1530"/>
      <c r="AU1266" s="1530"/>
      <c r="AV1266" s="1530"/>
      <c r="AW1266" s="1530"/>
      <c r="AX1266" s="1530"/>
      <c r="AY1266" s="1530"/>
      <c r="AZ1266" s="1530"/>
      <c r="BA1266" s="1530"/>
      <c r="BB1266" s="1530"/>
      <c r="BC1266" s="1530"/>
      <c r="BD1266" s="1530"/>
      <c r="BE1266" s="1530"/>
      <c r="BF1266" s="1530"/>
      <c r="BG1266" s="1530"/>
      <c r="BH1266" s="1530"/>
      <c r="BI1266" s="1530"/>
      <c r="BJ1266" s="1530"/>
      <c r="BK1266" s="1530"/>
      <c r="BL1266" s="1530"/>
      <c r="BM1266" s="1530"/>
      <c r="BN1266" s="1530"/>
      <c r="BW1266" s="1569"/>
      <c r="CO1266" s="1530"/>
      <c r="CP1266" s="1530"/>
      <c r="CQ1266" s="1530"/>
      <c r="CR1266" s="1530"/>
      <c r="CS1266" s="1530"/>
      <c r="CT1266" s="1530"/>
      <c r="CU1266" s="1530"/>
      <c r="CV1266" s="1530"/>
      <c r="CW1266" s="1530"/>
      <c r="CX1266" s="1530"/>
      <c r="CY1266" s="1530"/>
      <c r="CZ1266" s="1530"/>
      <c r="DA1266" s="1530"/>
      <c r="DB1266" s="1530"/>
      <c r="DC1266" s="1530"/>
      <c r="DD1266" s="1530"/>
      <c r="DE1266" s="1530"/>
      <c r="DF1266" s="1530"/>
      <c r="DG1266" s="1530"/>
      <c r="DH1266" s="1530"/>
      <c r="DI1266" s="1530"/>
      <c r="DJ1266" s="1530"/>
      <c r="DK1266" s="1530"/>
      <c r="DL1266" s="1530"/>
      <c r="DM1266" s="1530"/>
      <c r="DN1266" s="1571"/>
      <c r="DO1266" s="1530"/>
      <c r="DP1266" s="1530"/>
    </row>
    <row r="1267" spans="1:120">
      <c r="A1267" s="1451"/>
      <c r="C1267" s="1451"/>
      <c r="K1267" s="1451"/>
      <c r="L1267" s="1451"/>
      <c r="U1267" s="1530"/>
      <c r="V1267" s="1530"/>
      <c r="W1267" s="1530"/>
      <c r="X1267" s="1530"/>
      <c r="Y1267" s="1530"/>
      <c r="Z1267" s="1530"/>
      <c r="AA1267" s="1530"/>
      <c r="AB1267" s="1530"/>
      <c r="AC1267" s="1530"/>
      <c r="AD1267" s="1530"/>
      <c r="AE1267" s="1530"/>
      <c r="AF1267" s="1530"/>
      <c r="AG1267" s="1530"/>
      <c r="AH1267" s="1530"/>
      <c r="AI1267" s="1530"/>
      <c r="AJ1267" s="1530"/>
      <c r="AK1267" s="1530"/>
      <c r="AL1267" s="1530"/>
      <c r="AM1267" s="1530"/>
      <c r="AN1267" s="1530"/>
      <c r="AO1267" s="1530"/>
      <c r="AP1267" s="1530"/>
      <c r="AQ1267" s="1530"/>
      <c r="AR1267" s="1530"/>
      <c r="AS1267" s="1530"/>
      <c r="AT1267" s="1530"/>
      <c r="AU1267" s="1530"/>
      <c r="AV1267" s="1530"/>
      <c r="AW1267" s="1530"/>
      <c r="AX1267" s="1530"/>
      <c r="AY1267" s="1530"/>
      <c r="AZ1267" s="1530"/>
      <c r="BA1267" s="1530"/>
      <c r="BB1267" s="1530"/>
      <c r="BC1267" s="1530"/>
      <c r="BD1267" s="1530"/>
      <c r="BE1267" s="1530"/>
      <c r="BF1267" s="1530"/>
      <c r="BG1267" s="1530"/>
      <c r="BH1267" s="1530"/>
      <c r="BI1267" s="1530"/>
      <c r="BJ1267" s="1530"/>
      <c r="BK1267" s="1530"/>
      <c r="BL1267" s="1530"/>
      <c r="BM1267" s="1530"/>
      <c r="BN1267" s="1530"/>
      <c r="BW1267" s="1569"/>
      <c r="CO1267" s="1530"/>
      <c r="CP1267" s="1530"/>
      <c r="CQ1267" s="1530"/>
      <c r="CR1267" s="1530"/>
      <c r="CS1267" s="1530"/>
      <c r="CT1267" s="1530"/>
      <c r="CU1267" s="1530"/>
      <c r="CV1267" s="1530"/>
      <c r="CW1267" s="1530"/>
      <c r="CX1267" s="1530"/>
      <c r="CY1267" s="1530"/>
      <c r="CZ1267" s="1530"/>
      <c r="DA1267" s="1530"/>
      <c r="DB1267" s="1530"/>
      <c r="DC1267" s="1530"/>
      <c r="DD1267" s="1530"/>
      <c r="DE1267" s="1530"/>
      <c r="DF1267" s="1530"/>
      <c r="DG1267" s="1530"/>
      <c r="DH1267" s="1530"/>
      <c r="DI1267" s="1530"/>
      <c r="DJ1267" s="1530"/>
      <c r="DK1267" s="1530"/>
      <c r="DL1267" s="1530"/>
      <c r="DM1267" s="1530"/>
      <c r="DN1267" s="1571"/>
      <c r="DO1267" s="1530"/>
      <c r="DP1267" s="1530"/>
    </row>
    <row r="1268" spans="1:120">
      <c r="A1268" s="1451"/>
      <c r="C1268" s="1451"/>
      <c r="K1268" s="1451"/>
      <c r="L1268" s="1451"/>
      <c r="U1268" s="1530"/>
      <c r="V1268" s="1530"/>
      <c r="W1268" s="1530"/>
      <c r="X1268" s="1530"/>
      <c r="Y1268" s="1530"/>
      <c r="Z1268" s="1530"/>
      <c r="AA1268" s="1530"/>
      <c r="AB1268" s="1530"/>
      <c r="AC1268" s="1530"/>
      <c r="AD1268" s="1530"/>
      <c r="AE1268" s="1530"/>
      <c r="AF1268" s="1530"/>
      <c r="AG1268" s="1530"/>
      <c r="AH1268" s="1530"/>
      <c r="AI1268" s="1530"/>
      <c r="AJ1268" s="1530"/>
      <c r="AK1268" s="1530"/>
      <c r="AL1268" s="1530"/>
      <c r="AM1268" s="1530"/>
      <c r="AN1268" s="1530"/>
      <c r="AO1268" s="1530"/>
      <c r="AP1268" s="1530"/>
      <c r="AQ1268" s="1530"/>
      <c r="AR1268" s="1530"/>
      <c r="AS1268" s="1530"/>
      <c r="AT1268" s="1530"/>
      <c r="AU1268" s="1530"/>
      <c r="AV1268" s="1530"/>
      <c r="AW1268" s="1530"/>
      <c r="AX1268" s="1530"/>
      <c r="AY1268" s="1530"/>
      <c r="AZ1268" s="1530"/>
      <c r="BA1268" s="1530"/>
      <c r="BB1268" s="1530"/>
      <c r="BC1268" s="1530"/>
      <c r="BD1268" s="1530"/>
      <c r="BE1268" s="1530"/>
      <c r="BF1268" s="1530"/>
      <c r="BG1268" s="1530"/>
      <c r="BH1268" s="1530"/>
      <c r="BI1268" s="1530"/>
      <c r="BJ1268" s="1530"/>
      <c r="BK1268" s="1530"/>
      <c r="BL1268" s="1530"/>
      <c r="BM1268" s="1530"/>
      <c r="BN1268" s="1530"/>
      <c r="BW1268" s="1569"/>
      <c r="CO1268" s="1530"/>
      <c r="CP1268" s="1530"/>
      <c r="CQ1268" s="1530"/>
      <c r="CR1268" s="1530"/>
      <c r="CS1268" s="1530"/>
      <c r="CT1268" s="1530"/>
      <c r="CU1268" s="1530"/>
      <c r="CV1268" s="1530"/>
      <c r="CW1268" s="1530"/>
      <c r="CX1268" s="1530"/>
      <c r="CY1268" s="1530"/>
      <c r="CZ1268" s="1530"/>
      <c r="DA1268" s="1530"/>
      <c r="DB1268" s="1530"/>
      <c r="DC1268" s="1530"/>
      <c r="DD1268" s="1530"/>
      <c r="DE1268" s="1530"/>
      <c r="DF1268" s="1530"/>
      <c r="DG1268" s="1530"/>
      <c r="DH1268" s="1530"/>
      <c r="DI1268" s="1530"/>
      <c r="DJ1268" s="1530"/>
      <c r="DK1268" s="1530"/>
      <c r="DL1268" s="1530"/>
      <c r="DM1268" s="1530"/>
      <c r="DN1268" s="1571"/>
      <c r="DO1268" s="1530"/>
      <c r="DP1268" s="1530"/>
    </row>
    <row r="1269" spans="1:120">
      <c r="A1269" s="1451"/>
      <c r="C1269" s="1451"/>
      <c r="K1269" s="1451"/>
      <c r="L1269" s="1451"/>
      <c r="U1269" s="1530"/>
      <c r="V1269" s="1530"/>
      <c r="W1269" s="1530"/>
      <c r="X1269" s="1530"/>
      <c r="Y1269" s="1530"/>
      <c r="Z1269" s="1530"/>
      <c r="AA1269" s="1530"/>
      <c r="AB1269" s="1530"/>
      <c r="AC1269" s="1530"/>
      <c r="AD1269" s="1530"/>
      <c r="AE1269" s="1530"/>
      <c r="AF1269" s="1530"/>
      <c r="AG1269" s="1530"/>
      <c r="AH1269" s="1530"/>
      <c r="AI1269" s="1530"/>
      <c r="AJ1269" s="1530"/>
      <c r="AK1269" s="1530"/>
      <c r="AL1269" s="1530"/>
      <c r="AM1269" s="1530"/>
      <c r="AN1269" s="1530"/>
      <c r="AO1269" s="1530"/>
      <c r="AP1269" s="1530"/>
      <c r="AQ1269" s="1530"/>
      <c r="AR1269" s="1530"/>
      <c r="AS1269" s="1530"/>
      <c r="AT1269" s="1530"/>
      <c r="AU1269" s="1530"/>
      <c r="AV1269" s="1530"/>
      <c r="AW1269" s="1530"/>
      <c r="AX1269" s="1530"/>
      <c r="AY1269" s="1530"/>
      <c r="AZ1269" s="1530"/>
      <c r="BA1269" s="1530"/>
      <c r="BB1269" s="1530"/>
      <c r="BC1269" s="1530"/>
      <c r="BD1269" s="1530"/>
      <c r="BE1269" s="1530"/>
      <c r="BF1269" s="1530"/>
      <c r="BG1269" s="1530"/>
      <c r="BH1269" s="1530"/>
      <c r="BI1269" s="1530"/>
      <c r="BJ1269" s="1530"/>
      <c r="BK1269" s="1530"/>
      <c r="BL1269" s="1530"/>
      <c r="BM1269" s="1530"/>
      <c r="BN1269" s="1530"/>
      <c r="BW1269" s="1569"/>
      <c r="CO1269" s="1530"/>
      <c r="CP1269" s="1530"/>
      <c r="CQ1269" s="1530"/>
      <c r="CR1269" s="1530"/>
      <c r="CS1269" s="1530"/>
      <c r="CT1269" s="1530"/>
      <c r="CU1269" s="1530"/>
      <c r="CV1269" s="1530"/>
      <c r="CW1269" s="1530"/>
      <c r="CX1269" s="1530"/>
      <c r="CY1269" s="1530"/>
      <c r="CZ1269" s="1530"/>
      <c r="DA1269" s="1530"/>
      <c r="DB1269" s="1530"/>
      <c r="DC1269" s="1530"/>
      <c r="DD1269" s="1530"/>
      <c r="DE1269" s="1530"/>
      <c r="DF1269" s="1530"/>
      <c r="DG1269" s="1530"/>
      <c r="DH1269" s="1530"/>
      <c r="DI1269" s="1530"/>
      <c r="DJ1269" s="1530"/>
      <c r="DK1269" s="1530"/>
      <c r="DL1269" s="1530"/>
      <c r="DM1269" s="1530"/>
      <c r="DN1269" s="1571"/>
      <c r="DO1269" s="1530"/>
      <c r="DP1269" s="1530"/>
    </row>
    <row r="1270" spans="1:120">
      <c r="A1270" s="1451"/>
      <c r="C1270" s="1451"/>
      <c r="K1270" s="1451"/>
      <c r="L1270" s="1451"/>
      <c r="U1270" s="1530"/>
      <c r="V1270" s="1530"/>
      <c r="W1270" s="1530"/>
      <c r="X1270" s="1530"/>
      <c r="Y1270" s="1530"/>
      <c r="Z1270" s="1530"/>
      <c r="AA1270" s="1530"/>
      <c r="AB1270" s="1530"/>
      <c r="AC1270" s="1530"/>
      <c r="AD1270" s="1530"/>
      <c r="AE1270" s="1530"/>
      <c r="AF1270" s="1530"/>
      <c r="AG1270" s="1530"/>
      <c r="AH1270" s="1530"/>
      <c r="AI1270" s="1530"/>
      <c r="AJ1270" s="1530"/>
      <c r="AK1270" s="1530"/>
      <c r="AL1270" s="1530"/>
      <c r="AM1270" s="1530"/>
      <c r="AN1270" s="1530"/>
      <c r="AO1270" s="1530"/>
      <c r="AP1270" s="1530"/>
      <c r="AQ1270" s="1530"/>
      <c r="AR1270" s="1530"/>
      <c r="AS1270" s="1530"/>
      <c r="AT1270" s="1530"/>
      <c r="AU1270" s="1530"/>
      <c r="AV1270" s="1530"/>
      <c r="AW1270" s="1530"/>
      <c r="AX1270" s="1530"/>
      <c r="AY1270" s="1530"/>
      <c r="AZ1270" s="1530"/>
      <c r="BA1270" s="1530"/>
      <c r="BB1270" s="1530"/>
      <c r="BC1270" s="1530"/>
      <c r="BD1270" s="1530"/>
      <c r="BE1270" s="1530"/>
      <c r="BF1270" s="1530"/>
      <c r="BG1270" s="1530"/>
      <c r="BH1270" s="1530"/>
      <c r="BI1270" s="1530"/>
      <c r="BJ1270" s="1530"/>
      <c r="BK1270" s="1530"/>
      <c r="BL1270" s="1530"/>
      <c r="BM1270" s="1530"/>
      <c r="BN1270" s="1530"/>
      <c r="BW1270" s="1569"/>
      <c r="CO1270" s="1530"/>
      <c r="CP1270" s="1530"/>
      <c r="CQ1270" s="1530"/>
      <c r="CR1270" s="1530"/>
      <c r="CS1270" s="1530"/>
      <c r="CT1270" s="1530"/>
      <c r="CU1270" s="1530"/>
      <c r="CV1270" s="1530"/>
      <c r="CW1270" s="1530"/>
      <c r="CX1270" s="1530"/>
      <c r="CY1270" s="1530"/>
      <c r="CZ1270" s="1530"/>
      <c r="DA1270" s="1530"/>
      <c r="DB1270" s="1530"/>
      <c r="DC1270" s="1530"/>
      <c r="DD1270" s="1530"/>
      <c r="DE1270" s="1530"/>
      <c r="DF1270" s="1530"/>
      <c r="DG1270" s="1530"/>
      <c r="DH1270" s="1530"/>
      <c r="DI1270" s="1530"/>
      <c r="DJ1270" s="1530"/>
      <c r="DK1270" s="1530"/>
      <c r="DL1270" s="1530"/>
      <c r="DM1270" s="1530"/>
      <c r="DN1270" s="1571"/>
      <c r="DO1270" s="1530"/>
      <c r="DP1270" s="1530"/>
    </row>
    <row r="1271" spans="1:120">
      <c r="A1271" s="1451"/>
      <c r="C1271" s="1451"/>
      <c r="K1271" s="1451"/>
      <c r="L1271" s="1451"/>
      <c r="U1271" s="1530"/>
      <c r="V1271" s="1530"/>
      <c r="W1271" s="1530"/>
      <c r="X1271" s="1530"/>
      <c r="Y1271" s="1530"/>
      <c r="Z1271" s="1530"/>
      <c r="AA1271" s="1530"/>
      <c r="AB1271" s="1530"/>
      <c r="AC1271" s="1530"/>
      <c r="AD1271" s="1530"/>
      <c r="AE1271" s="1530"/>
      <c r="AF1271" s="1530"/>
      <c r="AG1271" s="1530"/>
      <c r="AH1271" s="1530"/>
      <c r="AI1271" s="1530"/>
      <c r="AJ1271" s="1530"/>
      <c r="AK1271" s="1530"/>
      <c r="AL1271" s="1530"/>
      <c r="AM1271" s="1530"/>
      <c r="AN1271" s="1530"/>
      <c r="AO1271" s="1530"/>
      <c r="AP1271" s="1530"/>
      <c r="AQ1271" s="1530"/>
      <c r="AR1271" s="1530"/>
      <c r="AS1271" s="1530"/>
      <c r="AT1271" s="1530"/>
      <c r="AU1271" s="1530"/>
      <c r="AV1271" s="1530"/>
      <c r="AW1271" s="1530"/>
      <c r="AX1271" s="1530"/>
      <c r="AY1271" s="1530"/>
      <c r="AZ1271" s="1530"/>
      <c r="BA1271" s="1530"/>
      <c r="BB1271" s="1530"/>
      <c r="BC1271" s="1530"/>
      <c r="BD1271" s="1530"/>
      <c r="BE1271" s="1530"/>
      <c r="BF1271" s="1530"/>
      <c r="BG1271" s="1530"/>
      <c r="BH1271" s="1530"/>
      <c r="BI1271" s="1530"/>
      <c r="BJ1271" s="1530"/>
      <c r="BK1271" s="1530"/>
      <c r="BL1271" s="1530"/>
      <c r="BM1271" s="1530"/>
      <c r="BN1271" s="1530"/>
      <c r="BW1271" s="1569"/>
      <c r="CO1271" s="1530"/>
      <c r="CP1271" s="1530"/>
      <c r="CQ1271" s="1530"/>
      <c r="CR1271" s="1530"/>
      <c r="CS1271" s="1530"/>
      <c r="CT1271" s="1530"/>
      <c r="CU1271" s="1530"/>
      <c r="CV1271" s="1530"/>
      <c r="CW1271" s="1530"/>
      <c r="CX1271" s="1530"/>
      <c r="CY1271" s="1530"/>
      <c r="CZ1271" s="1530"/>
      <c r="DA1271" s="1530"/>
      <c r="DB1271" s="1530"/>
      <c r="DC1271" s="1530"/>
      <c r="DD1271" s="1530"/>
      <c r="DE1271" s="1530"/>
      <c r="DF1271" s="1530"/>
      <c r="DG1271" s="1530"/>
      <c r="DH1271" s="1530"/>
      <c r="DI1271" s="1530"/>
      <c r="DJ1271" s="1530"/>
      <c r="DK1271" s="1530"/>
      <c r="DL1271" s="1530"/>
      <c r="DM1271" s="1530"/>
      <c r="DN1271" s="1571"/>
      <c r="DO1271" s="1530"/>
      <c r="DP1271" s="1530"/>
    </row>
    <row r="1272" spans="1:120">
      <c r="A1272" s="1451"/>
      <c r="C1272" s="1451"/>
      <c r="K1272" s="1451"/>
      <c r="L1272" s="1451"/>
      <c r="U1272" s="1530"/>
      <c r="V1272" s="1530"/>
      <c r="W1272" s="1530"/>
      <c r="X1272" s="1530"/>
      <c r="Y1272" s="1530"/>
      <c r="Z1272" s="1530"/>
      <c r="AA1272" s="1530"/>
      <c r="AB1272" s="1530"/>
      <c r="AC1272" s="1530"/>
      <c r="AD1272" s="1530"/>
      <c r="AE1272" s="1530"/>
      <c r="AF1272" s="1530"/>
      <c r="AG1272" s="1530"/>
      <c r="AH1272" s="1530"/>
      <c r="AI1272" s="1530"/>
      <c r="AJ1272" s="1530"/>
      <c r="AK1272" s="1530"/>
      <c r="AL1272" s="1530"/>
      <c r="AM1272" s="1530"/>
      <c r="AN1272" s="1530"/>
      <c r="AO1272" s="1530"/>
      <c r="AP1272" s="1530"/>
      <c r="AQ1272" s="1530"/>
      <c r="AR1272" s="1530"/>
      <c r="AS1272" s="1530"/>
      <c r="AT1272" s="1530"/>
      <c r="AU1272" s="1530"/>
      <c r="AV1272" s="1530"/>
      <c r="AW1272" s="1530"/>
      <c r="AX1272" s="1530"/>
      <c r="AY1272" s="1530"/>
      <c r="AZ1272" s="1530"/>
      <c r="BA1272" s="1530"/>
      <c r="BB1272" s="1530"/>
      <c r="BC1272" s="1530"/>
      <c r="BD1272" s="1530"/>
      <c r="BE1272" s="1530"/>
      <c r="BF1272" s="1530"/>
      <c r="BG1272" s="1530"/>
      <c r="BH1272" s="1530"/>
      <c r="BI1272" s="1530"/>
      <c r="BJ1272" s="1530"/>
      <c r="BK1272" s="1530"/>
      <c r="BL1272" s="1530"/>
      <c r="BM1272" s="1530"/>
      <c r="BN1272" s="1530"/>
      <c r="BW1272" s="1569"/>
      <c r="CO1272" s="1530"/>
      <c r="CP1272" s="1530"/>
      <c r="CQ1272" s="1530"/>
      <c r="CR1272" s="1530"/>
      <c r="CS1272" s="1530"/>
      <c r="CT1272" s="1530"/>
      <c r="CU1272" s="1530"/>
      <c r="CV1272" s="1530"/>
      <c r="CW1272" s="1530"/>
      <c r="CX1272" s="1530"/>
      <c r="CY1272" s="1530"/>
      <c r="CZ1272" s="1530"/>
      <c r="DA1272" s="1530"/>
      <c r="DB1272" s="1530"/>
      <c r="DC1272" s="1530"/>
      <c r="DD1272" s="1530"/>
      <c r="DE1272" s="1530"/>
      <c r="DF1272" s="1530"/>
      <c r="DG1272" s="1530"/>
      <c r="DH1272" s="1530"/>
      <c r="DI1272" s="1530"/>
      <c r="DJ1272" s="1530"/>
      <c r="DK1272" s="1530"/>
      <c r="DL1272" s="1530"/>
      <c r="DM1272" s="1530"/>
      <c r="DN1272" s="1571"/>
      <c r="DO1272" s="1530"/>
      <c r="DP1272" s="1530"/>
    </row>
    <row r="1273" spans="1:120">
      <c r="A1273" s="1451"/>
      <c r="C1273" s="1451"/>
      <c r="K1273" s="1451"/>
      <c r="L1273" s="1451"/>
      <c r="U1273" s="1530"/>
      <c r="V1273" s="1530"/>
      <c r="W1273" s="1530"/>
      <c r="X1273" s="1530"/>
      <c r="Y1273" s="1530"/>
      <c r="Z1273" s="1530"/>
      <c r="AA1273" s="1530"/>
      <c r="AB1273" s="1530"/>
      <c r="AC1273" s="1530"/>
      <c r="AD1273" s="1530"/>
      <c r="AE1273" s="1530"/>
      <c r="AF1273" s="1530"/>
      <c r="AG1273" s="1530"/>
      <c r="AH1273" s="1530"/>
      <c r="AI1273" s="1530"/>
      <c r="AJ1273" s="1530"/>
      <c r="AK1273" s="1530"/>
      <c r="AL1273" s="1530"/>
      <c r="AM1273" s="1530"/>
      <c r="AN1273" s="1530"/>
      <c r="AO1273" s="1530"/>
      <c r="AP1273" s="1530"/>
      <c r="AQ1273" s="1530"/>
      <c r="AR1273" s="1530"/>
      <c r="AS1273" s="1530"/>
      <c r="AT1273" s="1530"/>
      <c r="AU1273" s="1530"/>
      <c r="AV1273" s="1530"/>
      <c r="AW1273" s="1530"/>
      <c r="AX1273" s="1530"/>
      <c r="AY1273" s="1530"/>
      <c r="AZ1273" s="1530"/>
      <c r="BA1273" s="1530"/>
      <c r="BB1273" s="1530"/>
      <c r="BC1273" s="1530"/>
      <c r="BD1273" s="1530"/>
      <c r="BE1273" s="1530"/>
      <c r="BF1273" s="1530"/>
      <c r="BG1273" s="1530"/>
      <c r="BH1273" s="1530"/>
      <c r="BI1273" s="1530"/>
      <c r="BJ1273" s="1530"/>
      <c r="BK1273" s="1530"/>
      <c r="BL1273" s="1530"/>
      <c r="BM1273" s="1530"/>
      <c r="BN1273" s="1530"/>
      <c r="BW1273" s="1569"/>
      <c r="CO1273" s="1530"/>
      <c r="CP1273" s="1530"/>
      <c r="CQ1273" s="1530"/>
      <c r="CR1273" s="1530"/>
      <c r="CS1273" s="1530"/>
      <c r="CT1273" s="1530"/>
      <c r="CU1273" s="1530"/>
      <c r="CV1273" s="1530"/>
      <c r="CW1273" s="1530"/>
      <c r="CX1273" s="1530"/>
      <c r="CY1273" s="1530"/>
      <c r="CZ1273" s="1530"/>
      <c r="DA1273" s="1530"/>
      <c r="DB1273" s="1530"/>
      <c r="DC1273" s="1530"/>
      <c r="DD1273" s="1530"/>
      <c r="DE1273" s="1530"/>
      <c r="DF1273" s="1530"/>
      <c r="DG1273" s="1530"/>
      <c r="DH1273" s="1530"/>
      <c r="DI1273" s="1530"/>
      <c r="DJ1273" s="1530"/>
      <c r="DK1273" s="1530"/>
      <c r="DL1273" s="1530"/>
      <c r="DM1273" s="1530"/>
      <c r="DN1273" s="1571"/>
      <c r="DO1273" s="1530"/>
      <c r="DP1273" s="1530"/>
    </row>
    <row r="1274" spans="1:120">
      <c r="A1274" s="1451"/>
      <c r="C1274" s="1451"/>
      <c r="K1274" s="1451"/>
      <c r="L1274" s="1451"/>
      <c r="U1274" s="1530"/>
      <c r="V1274" s="1530"/>
      <c r="W1274" s="1530"/>
      <c r="X1274" s="1530"/>
      <c r="Y1274" s="1530"/>
      <c r="Z1274" s="1530"/>
      <c r="AA1274" s="1530"/>
      <c r="AB1274" s="1530"/>
      <c r="AC1274" s="1530"/>
      <c r="AD1274" s="1530"/>
      <c r="AE1274" s="1530"/>
      <c r="AF1274" s="1530"/>
      <c r="AG1274" s="1530"/>
      <c r="AH1274" s="1530"/>
      <c r="AI1274" s="1530"/>
      <c r="AJ1274" s="1530"/>
      <c r="AK1274" s="1530"/>
      <c r="AL1274" s="1530"/>
      <c r="AM1274" s="1530"/>
      <c r="AN1274" s="1530"/>
      <c r="AO1274" s="1530"/>
      <c r="AP1274" s="1530"/>
      <c r="AQ1274" s="1530"/>
      <c r="AR1274" s="1530"/>
      <c r="AS1274" s="1530"/>
      <c r="AT1274" s="1530"/>
      <c r="AU1274" s="1530"/>
      <c r="AV1274" s="1530"/>
      <c r="AW1274" s="1530"/>
      <c r="AX1274" s="1530"/>
      <c r="AY1274" s="1530"/>
      <c r="AZ1274" s="1530"/>
      <c r="BA1274" s="1530"/>
      <c r="BB1274" s="1530"/>
      <c r="BC1274" s="1530"/>
      <c r="BD1274" s="1530"/>
      <c r="BE1274" s="1530"/>
      <c r="BF1274" s="1530"/>
      <c r="BG1274" s="1530"/>
      <c r="BH1274" s="1530"/>
      <c r="BI1274" s="1530"/>
      <c r="BJ1274" s="1530"/>
      <c r="BK1274" s="1530"/>
      <c r="BL1274" s="1530"/>
      <c r="BM1274" s="1530"/>
      <c r="BN1274" s="1530"/>
      <c r="BW1274" s="1569"/>
      <c r="CO1274" s="1530"/>
      <c r="CP1274" s="1530"/>
      <c r="CQ1274" s="1530"/>
      <c r="CR1274" s="1530"/>
      <c r="CS1274" s="1530"/>
      <c r="CT1274" s="1530"/>
      <c r="CU1274" s="1530"/>
      <c r="CV1274" s="1530"/>
      <c r="CW1274" s="1530"/>
      <c r="CX1274" s="1530"/>
      <c r="CY1274" s="1530"/>
      <c r="CZ1274" s="1530"/>
      <c r="DA1274" s="1530"/>
      <c r="DB1274" s="1530"/>
      <c r="DC1274" s="1530"/>
      <c r="DD1274" s="1530"/>
      <c r="DE1274" s="1530"/>
      <c r="DF1274" s="1530"/>
      <c r="DG1274" s="1530"/>
      <c r="DH1274" s="1530"/>
      <c r="DI1274" s="1530"/>
      <c r="DJ1274" s="1530"/>
      <c r="DK1274" s="1530"/>
      <c r="DL1274" s="1530"/>
      <c r="DM1274" s="1530"/>
      <c r="DN1274" s="1571"/>
      <c r="DO1274" s="1530"/>
      <c r="DP1274" s="1530"/>
    </row>
    <row r="1275" spans="1:120">
      <c r="A1275" s="1451"/>
      <c r="C1275" s="1451"/>
      <c r="K1275" s="1451"/>
      <c r="L1275" s="1451"/>
      <c r="U1275" s="1530"/>
      <c r="V1275" s="1530"/>
      <c r="W1275" s="1530"/>
      <c r="X1275" s="1530"/>
      <c r="Y1275" s="1530"/>
      <c r="Z1275" s="1530"/>
      <c r="AA1275" s="1530"/>
      <c r="AB1275" s="1530"/>
      <c r="AC1275" s="1530"/>
      <c r="AD1275" s="1530"/>
      <c r="AE1275" s="1530"/>
      <c r="AF1275" s="1530"/>
      <c r="AG1275" s="1530"/>
      <c r="AH1275" s="1530"/>
      <c r="AI1275" s="1530"/>
      <c r="AJ1275" s="1530"/>
      <c r="AK1275" s="1530"/>
      <c r="AL1275" s="1530"/>
      <c r="AM1275" s="1530"/>
      <c r="AN1275" s="1530"/>
      <c r="AO1275" s="1530"/>
      <c r="AP1275" s="1530"/>
      <c r="AQ1275" s="1530"/>
      <c r="AR1275" s="1530"/>
      <c r="AS1275" s="1530"/>
      <c r="AT1275" s="1530"/>
      <c r="AU1275" s="1530"/>
      <c r="AV1275" s="1530"/>
      <c r="AW1275" s="1530"/>
      <c r="AX1275" s="1530"/>
      <c r="AY1275" s="1530"/>
      <c r="AZ1275" s="1530"/>
      <c r="BA1275" s="1530"/>
      <c r="BB1275" s="1530"/>
      <c r="BC1275" s="1530"/>
      <c r="BD1275" s="1530"/>
      <c r="BE1275" s="1530"/>
      <c r="BF1275" s="1530"/>
      <c r="BG1275" s="1530"/>
      <c r="BH1275" s="1530"/>
      <c r="BI1275" s="1530"/>
      <c r="BJ1275" s="1530"/>
      <c r="BK1275" s="1530"/>
      <c r="BL1275" s="1530"/>
      <c r="BM1275" s="1530"/>
      <c r="BN1275" s="1530"/>
      <c r="BW1275" s="1569"/>
      <c r="CO1275" s="1530"/>
      <c r="CP1275" s="1530"/>
      <c r="CQ1275" s="1530"/>
      <c r="CR1275" s="1530"/>
      <c r="CS1275" s="1530"/>
      <c r="CT1275" s="1530"/>
      <c r="CU1275" s="1530"/>
      <c r="CV1275" s="1530"/>
      <c r="CW1275" s="1530"/>
      <c r="CX1275" s="1530"/>
      <c r="CY1275" s="1530"/>
      <c r="CZ1275" s="1530"/>
      <c r="DA1275" s="1530"/>
      <c r="DB1275" s="1530"/>
      <c r="DC1275" s="1530"/>
      <c r="DD1275" s="1530"/>
      <c r="DE1275" s="1530"/>
      <c r="DF1275" s="1530"/>
      <c r="DG1275" s="1530"/>
      <c r="DH1275" s="1530"/>
      <c r="DI1275" s="1530"/>
      <c r="DJ1275" s="1530"/>
      <c r="DK1275" s="1530"/>
      <c r="DL1275" s="1530"/>
      <c r="DM1275" s="1530"/>
      <c r="DN1275" s="1571"/>
      <c r="DO1275" s="1530"/>
      <c r="DP1275" s="1530"/>
    </row>
    <row r="1276" spans="1:120">
      <c r="A1276" s="1451"/>
      <c r="C1276" s="1451"/>
      <c r="K1276" s="1451"/>
      <c r="L1276" s="1451"/>
      <c r="U1276" s="1530"/>
      <c r="V1276" s="1530"/>
      <c r="W1276" s="1530"/>
      <c r="X1276" s="1530"/>
      <c r="Y1276" s="1530"/>
      <c r="Z1276" s="1530"/>
      <c r="AA1276" s="1530"/>
      <c r="AB1276" s="1530"/>
      <c r="AC1276" s="1530"/>
      <c r="AD1276" s="1530"/>
      <c r="AE1276" s="1530"/>
      <c r="AF1276" s="1530"/>
      <c r="AG1276" s="1530"/>
      <c r="AH1276" s="1530"/>
      <c r="AI1276" s="1530"/>
      <c r="AJ1276" s="1530"/>
      <c r="AK1276" s="1530"/>
      <c r="AL1276" s="1530"/>
      <c r="AM1276" s="1530"/>
      <c r="AN1276" s="1530"/>
      <c r="AO1276" s="1530"/>
      <c r="AP1276" s="1530"/>
      <c r="AQ1276" s="1530"/>
      <c r="AR1276" s="1530"/>
      <c r="AS1276" s="1530"/>
      <c r="AT1276" s="1530"/>
      <c r="AU1276" s="1530"/>
      <c r="AV1276" s="1530"/>
      <c r="AW1276" s="1530"/>
      <c r="AX1276" s="1530"/>
      <c r="AY1276" s="1530"/>
      <c r="AZ1276" s="1530"/>
      <c r="BA1276" s="1530"/>
      <c r="BB1276" s="1530"/>
      <c r="BC1276" s="1530"/>
      <c r="BD1276" s="1530"/>
      <c r="BE1276" s="1530"/>
      <c r="BF1276" s="1530"/>
      <c r="BG1276" s="1530"/>
      <c r="BH1276" s="1530"/>
      <c r="BI1276" s="1530"/>
      <c r="BJ1276" s="1530"/>
      <c r="BK1276" s="1530"/>
      <c r="BL1276" s="1530"/>
      <c r="BM1276" s="1530"/>
      <c r="BN1276" s="1530"/>
      <c r="BW1276" s="1569"/>
      <c r="CO1276" s="1530"/>
      <c r="CP1276" s="1530"/>
      <c r="CQ1276" s="1530"/>
      <c r="CR1276" s="1530"/>
      <c r="CS1276" s="1530"/>
      <c r="CT1276" s="1530"/>
      <c r="CU1276" s="1530"/>
      <c r="CV1276" s="1530"/>
      <c r="CW1276" s="1530"/>
      <c r="CX1276" s="1530"/>
      <c r="CY1276" s="1530"/>
      <c r="CZ1276" s="1530"/>
      <c r="DA1276" s="1530"/>
      <c r="DB1276" s="1530"/>
      <c r="DC1276" s="1530"/>
      <c r="DD1276" s="1530"/>
      <c r="DE1276" s="1530"/>
      <c r="DF1276" s="1530"/>
      <c r="DG1276" s="1530"/>
      <c r="DH1276" s="1530"/>
      <c r="DI1276" s="1530"/>
      <c r="DJ1276" s="1530"/>
      <c r="DK1276" s="1530"/>
      <c r="DL1276" s="1530"/>
      <c r="DM1276" s="1530"/>
      <c r="DN1276" s="1571"/>
      <c r="DO1276" s="1530"/>
      <c r="DP1276" s="1530"/>
    </row>
    <row r="1277" spans="1:120">
      <c r="A1277" s="1451"/>
      <c r="C1277" s="1451"/>
      <c r="K1277" s="1451"/>
      <c r="L1277" s="1451"/>
      <c r="U1277" s="1530"/>
      <c r="V1277" s="1530"/>
      <c r="W1277" s="1530"/>
      <c r="X1277" s="1530"/>
      <c r="Y1277" s="1530"/>
      <c r="Z1277" s="1530"/>
      <c r="AA1277" s="1530"/>
      <c r="AB1277" s="1530"/>
      <c r="AC1277" s="1530"/>
      <c r="AD1277" s="1530"/>
      <c r="AE1277" s="1530"/>
      <c r="AF1277" s="1530"/>
      <c r="AG1277" s="1530"/>
      <c r="AH1277" s="1530"/>
      <c r="AI1277" s="1530"/>
      <c r="AJ1277" s="1530"/>
      <c r="AK1277" s="1530"/>
      <c r="AL1277" s="1530"/>
      <c r="AM1277" s="1530"/>
      <c r="AN1277" s="1530"/>
      <c r="AO1277" s="1530"/>
      <c r="AP1277" s="1530"/>
      <c r="AQ1277" s="1530"/>
      <c r="AR1277" s="1530"/>
      <c r="AS1277" s="1530"/>
      <c r="AT1277" s="1530"/>
      <c r="AU1277" s="1530"/>
      <c r="AV1277" s="1530"/>
      <c r="AW1277" s="1530"/>
      <c r="AX1277" s="1530"/>
      <c r="AY1277" s="1530"/>
      <c r="AZ1277" s="1530"/>
      <c r="BA1277" s="1530"/>
      <c r="BB1277" s="1530"/>
      <c r="BC1277" s="1530"/>
      <c r="BD1277" s="1530"/>
      <c r="BE1277" s="1530"/>
      <c r="BF1277" s="1530"/>
      <c r="BG1277" s="1530"/>
      <c r="BH1277" s="1530"/>
      <c r="BI1277" s="1530"/>
      <c r="BJ1277" s="1530"/>
      <c r="BK1277" s="1530"/>
      <c r="BL1277" s="1530"/>
      <c r="BM1277" s="1530"/>
      <c r="BN1277" s="1530"/>
      <c r="BW1277" s="1569"/>
      <c r="CO1277" s="1530"/>
      <c r="CP1277" s="1530"/>
      <c r="CQ1277" s="1530"/>
      <c r="CR1277" s="1530"/>
      <c r="CS1277" s="1530"/>
      <c r="CT1277" s="1530"/>
      <c r="CU1277" s="1530"/>
      <c r="CV1277" s="1530"/>
      <c r="CW1277" s="1530"/>
      <c r="CX1277" s="1530"/>
      <c r="CY1277" s="1530"/>
      <c r="CZ1277" s="1530"/>
      <c r="DA1277" s="1530"/>
      <c r="DB1277" s="1530"/>
      <c r="DC1277" s="1530"/>
      <c r="DD1277" s="1530"/>
      <c r="DE1277" s="1530"/>
      <c r="DF1277" s="1530"/>
      <c r="DG1277" s="1530"/>
      <c r="DH1277" s="1530"/>
      <c r="DI1277" s="1530"/>
      <c r="DJ1277" s="1530"/>
      <c r="DK1277" s="1530"/>
      <c r="DL1277" s="1530"/>
      <c r="DM1277" s="1530"/>
      <c r="DN1277" s="1571"/>
      <c r="DO1277" s="1530"/>
      <c r="DP1277" s="1530"/>
    </row>
    <row r="1278" spans="1:120">
      <c r="A1278" s="1451"/>
      <c r="C1278" s="1451"/>
      <c r="K1278" s="1451"/>
      <c r="L1278" s="1451"/>
      <c r="U1278" s="1530"/>
      <c r="V1278" s="1530"/>
      <c r="W1278" s="1530"/>
      <c r="X1278" s="1530"/>
      <c r="Y1278" s="1530"/>
      <c r="Z1278" s="1530"/>
      <c r="AA1278" s="1530"/>
      <c r="AB1278" s="1530"/>
      <c r="AC1278" s="1530"/>
      <c r="AD1278" s="1530"/>
      <c r="AE1278" s="1530"/>
      <c r="AF1278" s="1530"/>
      <c r="AG1278" s="1530"/>
      <c r="AH1278" s="1530"/>
      <c r="AI1278" s="1530"/>
      <c r="AJ1278" s="1530"/>
      <c r="AK1278" s="1530"/>
      <c r="AL1278" s="1530"/>
      <c r="AM1278" s="1530"/>
      <c r="AN1278" s="1530"/>
      <c r="AO1278" s="1530"/>
      <c r="AP1278" s="1530"/>
      <c r="AQ1278" s="1530"/>
      <c r="AR1278" s="1530"/>
      <c r="AS1278" s="1530"/>
      <c r="AT1278" s="1530"/>
      <c r="AU1278" s="1530"/>
      <c r="AV1278" s="1530"/>
      <c r="AW1278" s="1530"/>
      <c r="AX1278" s="1530"/>
      <c r="AY1278" s="1530"/>
      <c r="AZ1278" s="1530"/>
      <c r="BA1278" s="1530"/>
      <c r="BB1278" s="1530"/>
      <c r="BC1278" s="1530"/>
      <c r="BD1278" s="1530"/>
      <c r="BE1278" s="1530"/>
      <c r="BF1278" s="1530"/>
      <c r="BG1278" s="1530"/>
      <c r="BH1278" s="1530"/>
      <c r="BI1278" s="1530"/>
      <c r="BJ1278" s="1530"/>
      <c r="BK1278" s="1530"/>
      <c r="BL1278" s="1530"/>
      <c r="BM1278" s="1530"/>
      <c r="BN1278" s="1530"/>
      <c r="BW1278" s="1569"/>
      <c r="CO1278" s="1530"/>
      <c r="CP1278" s="1530"/>
      <c r="CQ1278" s="1530"/>
      <c r="CR1278" s="1530"/>
      <c r="CS1278" s="1530"/>
      <c r="CT1278" s="1530"/>
      <c r="CU1278" s="1530"/>
      <c r="CV1278" s="1530"/>
      <c r="CW1278" s="1530"/>
      <c r="CX1278" s="1530"/>
      <c r="CY1278" s="1530"/>
      <c r="CZ1278" s="1530"/>
      <c r="DA1278" s="1530"/>
      <c r="DB1278" s="1530"/>
      <c r="DC1278" s="1530"/>
      <c r="DD1278" s="1530"/>
      <c r="DE1278" s="1530"/>
      <c r="DF1278" s="1530"/>
      <c r="DG1278" s="1530"/>
      <c r="DH1278" s="1530"/>
      <c r="DI1278" s="1530"/>
      <c r="DJ1278" s="1530"/>
      <c r="DK1278" s="1530"/>
      <c r="DL1278" s="1530"/>
      <c r="DM1278" s="1530"/>
      <c r="DN1278" s="1571"/>
      <c r="DO1278" s="1530"/>
      <c r="DP1278" s="1530"/>
    </row>
    <row r="1279" spans="1:120">
      <c r="A1279" s="1451"/>
      <c r="C1279" s="1451"/>
      <c r="K1279" s="1451"/>
      <c r="L1279" s="1451"/>
      <c r="U1279" s="1530"/>
      <c r="V1279" s="1530"/>
      <c r="W1279" s="1530"/>
      <c r="X1279" s="1530"/>
      <c r="Y1279" s="1530"/>
      <c r="Z1279" s="1530"/>
      <c r="AA1279" s="1530"/>
      <c r="AB1279" s="1530"/>
      <c r="AC1279" s="1530"/>
      <c r="AD1279" s="1530"/>
      <c r="AE1279" s="1530"/>
      <c r="AF1279" s="1530"/>
      <c r="AG1279" s="1530"/>
      <c r="AH1279" s="1530"/>
      <c r="AI1279" s="1530"/>
      <c r="AJ1279" s="1530"/>
      <c r="AK1279" s="1530"/>
      <c r="AL1279" s="1530"/>
      <c r="AM1279" s="1530"/>
      <c r="AN1279" s="1530"/>
      <c r="AO1279" s="1530"/>
      <c r="AP1279" s="1530"/>
      <c r="AQ1279" s="1530"/>
      <c r="AR1279" s="1530"/>
      <c r="AS1279" s="1530"/>
      <c r="AT1279" s="1530"/>
      <c r="AU1279" s="1530"/>
      <c r="AV1279" s="1530"/>
      <c r="AW1279" s="1530"/>
      <c r="AX1279" s="1530"/>
      <c r="AY1279" s="1530"/>
      <c r="AZ1279" s="1530"/>
      <c r="BA1279" s="1530"/>
      <c r="BB1279" s="1530"/>
      <c r="BC1279" s="1530"/>
      <c r="BD1279" s="1530"/>
      <c r="BE1279" s="1530"/>
      <c r="BF1279" s="1530"/>
      <c r="BG1279" s="1530"/>
      <c r="BH1279" s="1530"/>
      <c r="BI1279" s="1530"/>
      <c r="BJ1279" s="1530"/>
      <c r="BK1279" s="1530"/>
      <c r="BL1279" s="1530"/>
      <c r="BM1279" s="1530"/>
      <c r="BN1279" s="1530"/>
      <c r="BW1279" s="1569"/>
      <c r="CO1279" s="1530"/>
      <c r="CP1279" s="1530"/>
      <c r="CQ1279" s="1530"/>
      <c r="CR1279" s="1530"/>
      <c r="CS1279" s="1530"/>
      <c r="CT1279" s="1530"/>
      <c r="CU1279" s="1530"/>
      <c r="CV1279" s="1530"/>
      <c r="CW1279" s="1530"/>
      <c r="CX1279" s="1530"/>
      <c r="CY1279" s="1530"/>
      <c r="CZ1279" s="1530"/>
      <c r="DA1279" s="1530"/>
      <c r="DB1279" s="1530"/>
      <c r="DC1279" s="1530"/>
      <c r="DD1279" s="1530"/>
      <c r="DE1279" s="1530"/>
      <c r="DF1279" s="1530"/>
      <c r="DG1279" s="1530"/>
      <c r="DH1279" s="1530"/>
      <c r="DI1279" s="1530"/>
      <c r="DJ1279" s="1530"/>
      <c r="DK1279" s="1530"/>
      <c r="DL1279" s="1530"/>
      <c r="DM1279" s="1530"/>
      <c r="DN1279" s="1571"/>
      <c r="DO1279" s="1530"/>
      <c r="DP1279" s="1530"/>
    </row>
    <row r="1280" spans="1:120">
      <c r="A1280" s="1451"/>
      <c r="C1280" s="1451"/>
      <c r="K1280" s="1451"/>
      <c r="L1280" s="1451"/>
      <c r="U1280" s="1530"/>
      <c r="V1280" s="1530"/>
      <c r="W1280" s="1530"/>
      <c r="X1280" s="1530"/>
      <c r="Y1280" s="1530"/>
      <c r="Z1280" s="1530"/>
      <c r="AA1280" s="1530"/>
      <c r="AB1280" s="1530"/>
      <c r="AC1280" s="1530"/>
      <c r="AD1280" s="1530"/>
      <c r="AE1280" s="1530"/>
      <c r="AF1280" s="1530"/>
      <c r="AG1280" s="1530"/>
      <c r="AH1280" s="1530"/>
      <c r="AI1280" s="1530"/>
      <c r="AJ1280" s="1530"/>
      <c r="AK1280" s="1530"/>
      <c r="AL1280" s="1530"/>
      <c r="AM1280" s="1530"/>
      <c r="AN1280" s="1530"/>
      <c r="AO1280" s="1530"/>
      <c r="AP1280" s="1530"/>
      <c r="AQ1280" s="1530"/>
      <c r="AR1280" s="1530"/>
      <c r="AS1280" s="1530"/>
      <c r="AT1280" s="1530"/>
      <c r="AU1280" s="1530"/>
      <c r="AV1280" s="1530"/>
      <c r="AW1280" s="1530"/>
      <c r="AX1280" s="1530"/>
      <c r="AY1280" s="1530"/>
      <c r="AZ1280" s="1530"/>
      <c r="BA1280" s="1530"/>
      <c r="BB1280" s="1530"/>
      <c r="BC1280" s="1530"/>
      <c r="BD1280" s="1530"/>
      <c r="BE1280" s="1530"/>
      <c r="BF1280" s="1530"/>
      <c r="BG1280" s="1530"/>
      <c r="BH1280" s="1530"/>
      <c r="BI1280" s="1530"/>
      <c r="BJ1280" s="1530"/>
      <c r="BK1280" s="1530"/>
      <c r="BL1280" s="1530"/>
      <c r="BM1280" s="1530"/>
      <c r="BN1280" s="1530"/>
      <c r="BW1280" s="1569"/>
      <c r="CO1280" s="1530"/>
      <c r="CP1280" s="1530"/>
      <c r="CQ1280" s="1530"/>
      <c r="CR1280" s="1530"/>
      <c r="CS1280" s="1530"/>
      <c r="CT1280" s="1530"/>
      <c r="CU1280" s="1530"/>
      <c r="CV1280" s="1530"/>
      <c r="CW1280" s="1530"/>
      <c r="CX1280" s="1530"/>
      <c r="CY1280" s="1530"/>
      <c r="CZ1280" s="1530"/>
      <c r="DA1280" s="1530"/>
      <c r="DB1280" s="1530"/>
      <c r="DC1280" s="1530"/>
      <c r="DD1280" s="1530"/>
      <c r="DE1280" s="1530"/>
      <c r="DF1280" s="1530"/>
      <c r="DG1280" s="1530"/>
      <c r="DH1280" s="1530"/>
      <c r="DI1280" s="1530"/>
      <c r="DJ1280" s="1530"/>
      <c r="DK1280" s="1530"/>
      <c r="DL1280" s="1530"/>
      <c r="DM1280" s="1530"/>
      <c r="DN1280" s="1571"/>
      <c r="DO1280" s="1530"/>
      <c r="DP1280" s="1530"/>
    </row>
    <row r="1281" spans="1:120">
      <c r="A1281" s="1451"/>
      <c r="C1281" s="1451"/>
      <c r="K1281" s="1451"/>
      <c r="L1281" s="1451"/>
      <c r="U1281" s="1530"/>
      <c r="V1281" s="1530"/>
      <c r="W1281" s="1530"/>
      <c r="X1281" s="1530"/>
      <c r="Y1281" s="1530"/>
      <c r="Z1281" s="1530"/>
      <c r="AA1281" s="1530"/>
      <c r="AB1281" s="1530"/>
      <c r="AC1281" s="1530"/>
      <c r="AD1281" s="1530"/>
      <c r="AE1281" s="1530"/>
      <c r="AF1281" s="1530"/>
      <c r="AG1281" s="1530"/>
      <c r="AH1281" s="1530"/>
      <c r="AI1281" s="1530"/>
      <c r="AJ1281" s="1530"/>
      <c r="AK1281" s="1530"/>
      <c r="AL1281" s="1530"/>
      <c r="AM1281" s="1530"/>
      <c r="AN1281" s="1530"/>
      <c r="AO1281" s="1530"/>
      <c r="AP1281" s="1530"/>
      <c r="AQ1281" s="1530"/>
      <c r="AR1281" s="1530"/>
      <c r="AS1281" s="1530"/>
      <c r="AT1281" s="1530"/>
      <c r="AU1281" s="1530"/>
      <c r="AV1281" s="1530"/>
      <c r="AW1281" s="1530"/>
      <c r="AX1281" s="1530"/>
      <c r="AY1281" s="1530"/>
      <c r="AZ1281" s="1530"/>
      <c r="BA1281" s="1530"/>
      <c r="BB1281" s="1530"/>
      <c r="BC1281" s="1530"/>
      <c r="BD1281" s="1530"/>
      <c r="BE1281" s="1530"/>
      <c r="BF1281" s="1530"/>
      <c r="BG1281" s="1530"/>
      <c r="BH1281" s="1530"/>
      <c r="BI1281" s="1530"/>
      <c r="BJ1281" s="1530"/>
      <c r="BK1281" s="1530"/>
      <c r="BL1281" s="1530"/>
      <c r="BM1281" s="1530"/>
      <c r="BN1281" s="1530"/>
      <c r="BW1281" s="1569"/>
      <c r="CO1281" s="1530"/>
      <c r="CP1281" s="1530"/>
      <c r="CQ1281" s="1530"/>
      <c r="CR1281" s="1530"/>
      <c r="CS1281" s="1530"/>
      <c r="CT1281" s="1530"/>
      <c r="CU1281" s="1530"/>
      <c r="CV1281" s="1530"/>
      <c r="CW1281" s="1530"/>
      <c r="CX1281" s="1530"/>
      <c r="CY1281" s="1530"/>
      <c r="CZ1281" s="1530"/>
      <c r="DA1281" s="1530"/>
      <c r="DB1281" s="1530"/>
      <c r="DC1281" s="1530"/>
      <c r="DD1281" s="1530"/>
      <c r="DE1281" s="1530"/>
      <c r="DF1281" s="1530"/>
      <c r="DG1281" s="1530"/>
      <c r="DH1281" s="1530"/>
      <c r="DI1281" s="1530"/>
      <c r="DJ1281" s="1530"/>
      <c r="DK1281" s="1530"/>
      <c r="DL1281" s="1530"/>
      <c r="DM1281" s="1530"/>
      <c r="DN1281" s="1571"/>
      <c r="DO1281" s="1530"/>
      <c r="DP1281" s="1530"/>
    </row>
    <row r="1282" spans="1:120">
      <c r="A1282" s="1451"/>
      <c r="C1282" s="1451"/>
      <c r="K1282" s="1451"/>
      <c r="L1282" s="1451"/>
      <c r="U1282" s="1530"/>
      <c r="V1282" s="1530"/>
      <c r="W1282" s="1530"/>
      <c r="X1282" s="1530"/>
      <c r="Y1282" s="1530"/>
      <c r="Z1282" s="1530"/>
      <c r="AA1282" s="1530"/>
      <c r="AB1282" s="1530"/>
      <c r="AC1282" s="1530"/>
      <c r="AD1282" s="1530"/>
      <c r="AE1282" s="1530"/>
      <c r="AF1282" s="1530"/>
      <c r="AG1282" s="1530"/>
      <c r="AH1282" s="1530"/>
      <c r="AI1282" s="1530"/>
      <c r="AJ1282" s="1530"/>
      <c r="AK1282" s="1530"/>
      <c r="AL1282" s="1530"/>
      <c r="AM1282" s="1530"/>
      <c r="AN1282" s="1530"/>
      <c r="AO1282" s="1530"/>
      <c r="AP1282" s="1530"/>
      <c r="AQ1282" s="1530"/>
      <c r="AR1282" s="1530"/>
      <c r="AS1282" s="1530"/>
      <c r="AT1282" s="1530"/>
      <c r="AU1282" s="1530"/>
      <c r="AV1282" s="1530"/>
      <c r="AW1282" s="1530"/>
      <c r="AX1282" s="1530"/>
      <c r="AY1282" s="1530"/>
      <c r="AZ1282" s="1530"/>
      <c r="BA1282" s="1530"/>
      <c r="BB1282" s="1530"/>
      <c r="BC1282" s="1530"/>
      <c r="BD1282" s="1530"/>
      <c r="BE1282" s="1530"/>
      <c r="BF1282" s="1530"/>
      <c r="BG1282" s="1530"/>
      <c r="BH1282" s="1530"/>
      <c r="BI1282" s="1530"/>
      <c r="BJ1282" s="1530"/>
      <c r="BK1282" s="1530"/>
      <c r="BL1282" s="1530"/>
      <c r="BM1282" s="1530"/>
      <c r="BN1282" s="1530"/>
      <c r="BW1282" s="1569"/>
      <c r="CO1282" s="1530"/>
      <c r="CP1282" s="1530"/>
      <c r="CQ1282" s="1530"/>
      <c r="CR1282" s="1530"/>
      <c r="CS1282" s="1530"/>
      <c r="CT1282" s="1530"/>
      <c r="CU1282" s="1530"/>
      <c r="CV1282" s="1530"/>
      <c r="CW1282" s="1530"/>
      <c r="CX1282" s="1530"/>
      <c r="CY1282" s="1530"/>
      <c r="CZ1282" s="1530"/>
      <c r="DA1282" s="1530"/>
      <c r="DB1282" s="1530"/>
      <c r="DC1282" s="1530"/>
      <c r="DD1282" s="1530"/>
      <c r="DE1282" s="1530"/>
      <c r="DF1282" s="1530"/>
      <c r="DG1282" s="1530"/>
      <c r="DH1282" s="1530"/>
      <c r="DI1282" s="1530"/>
      <c r="DJ1282" s="1530"/>
      <c r="DK1282" s="1530"/>
      <c r="DL1282" s="1530"/>
      <c r="DM1282" s="1530"/>
      <c r="DN1282" s="1571"/>
      <c r="DO1282" s="1530"/>
      <c r="DP1282" s="1530"/>
    </row>
    <row r="1283" spans="1:120">
      <c r="A1283" s="1451"/>
      <c r="C1283" s="1451"/>
      <c r="K1283" s="1451"/>
      <c r="L1283" s="1451"/>
      <c r="U1283" s="1530"/>
      <c r="V1283" s="1530"/>
      <c r="W1283" s="1530"/>
      <c r="X1283" s="1530"/>
      <c r="Y1283" s="1530"/>
      <c r="Z1283" s="1530"/>
      <c r="AA1283" s="1530"/>
      <c r="AB1283" s="1530"/>
      <c r="AC1283" s="1530"/>
      <c r="AD1283" s="1530"/>
      <c r="AE1283" s="1530"/>
      <c r="AF1283" s="1530"/>
      <c r="AG1283" s="1530"/>
      <c r="AH1283" s="1530"/>
      <c r="AI1283" s="1530"/>
      <c r="AJ1283" s="1530"/>
      <c r="AK1283" s="1530"/>
      <c r="AL1283" s="1530"/>
      <c r="AM1283" s="1530"/>
      <c r="AN1283" s="1530"/>
      <c r="AO1283" s="1530"/>
      <c r="AP1283" s="1530"/>
      <c r="AQ1283" s="1530"/>
      <c r="AR1283" s="1530"/>
      <c r="AS1283" s="1530"/>
      <c r="AT1283" s="1530"/>
      <c r="AU1283" s="1530"/>
      <c r="AV1283" s="1530"/>
      <c r="AW1283" s="1530"/>
      <c r="AX1283" s="1530"/>
      <c r="AY1283" s="1530"/>
      <c r="AZ1283" s="1530"/>
      <c r="BA1283" s="1530"/>
      <c r="BB1283" s="1530"/>
      <c r="BC1283" s="1530"/>
      <c r="BD1283" s="1530"/>
      <c r="BE1283" s="1530"/>
      <c r="BF1283" s="1530"/>
      <c r="BG1283" s="1530"/>
      <c r="BH1283" s="1530"/>
      <c r="BI1283" s="1530"/>
      <c r="BJ1283" s="1530"/>
      <c r="BK1283" s="1530"/>
      <c r="BL1283" s="1530"/>
      <c r="BM1283" s="1530"/>
      <c r="BN1283" s="1530"/>
      <c r="BW1283" s="1569"/>
      <c r="CO1283" s="1530"/>
      <c r="CP1283" s="1530"/>
      <c r="CQ1283" s="1530"/>
      <c r="CR1283" s="1530"/>
      <c r="CS1283" s="1530"/>
      <c r="CT1283" s="1530"/>
      <c r="CU1283" s="1530"/>
      <c r="CV1283" s="1530"/>
      <c r="CW1283" s="1530"/>
      <c r="CX1283" s="1530"/>
      <c r="CY1283" s="1530"/>
      <c r="CZ1283" s="1530"/>
      <c r="DA1283" s="1530"/>
      <c r="DB1283" s="1530"/>
      <c r="DC1283" s="1530"/>
      <c r="DD1283" s="1530"/>
      <c r="DE1283" s="1530"/>
      <c r="DF1283" s="1530"/>
      <c r="DG1283" s="1530"/>
      <c r="DH1283" s="1530"/>
      <c r="DI1283" s="1530"/>
      <c r="DJ1283" s="1530"/>
      <c r="DK1283" s="1530"/>
      <c r="DL1283" s="1530"/>
      <c r="DM1283" s="1530"/>
      <c r="DN1283" s="1571"/>
      <c r="DO1283" s="1530"/>
      <c r="DP1283" s="1530"/>
    </row>
    <row r="1284" spans="1:120">
      <c r="A1284" s="1451"/>
      <c r="C1284" s="1451"/>
      <c r="K1284" s="1451"/>
      <c r="L1284" s="1451"/>
      <c r="U1284" s="1530"/>
      <c r="V1284" s="1530"/>
      <c r="W1284" s="1530"/>
      <c r="X1284" s="1530"/>
      <c r="Y1284" s="1530"/>
      <c r="Z1284" s="1530"/>
      <c r="AA1284" s="1530"/>
      <c r="AB1284" s="1530"/>
      <c r="AC1284" s="1530"/>
      <c r="AD1284" s="1530"/>
      <c r="AE1284" s="1530"/>
      <c r="AF1284" s="1530"/>
      <c r="AG1284" s="1530"/>
      <c r="AH1284" s="1530"/>
      <c r="AI1284" s="1530"/>
      <c r="AJ1284" s="1530"/>
      <c r="AK1284" s="1530"/>
      <c r="AL1284" s="1530"/>
      <c r="AM1284" s="1530"/>
      <c r="AN1284" s="1530"/>
      <c r="AO1284" s="1530"/>
      <c r="AP1284" s="1530"/>
      <c r="AQ1284" s="1530"/>
      <c r="AR1284" s="1530"/>
      <c r="AS1284" s="1530"/>
      <c r="AT1284" s="1530"/>
      <c r="AU1284" s="1530"/>
      <c r="AV1284" s="1530"/>
      <c r="AW1284" s="1530"/>
      <c r="AX1284" s="1530"/>
      <c r="AY1284" s="1530"/>
      <c r="AZ1284" s="1530"/>
      <c r="BA1284" s="1530"/>
      <c r="BB1284" s="1530"/>
      <c r="BC1284" s="1530"/>
      <c r="BD1284" s="1530"/>
      <c r="BE1284" s="1530"/>
      <c r="BF1284" s="1530"/>
      <c r="BG1284" s="1530"/>
      <c r="BH1284" s="1530"/>
      <c r="BI1284" s="1530"/>
      <c r="BJ1284" s="1530"/>
      <c r="BK1284" s="1530"/>
      <c r="BL1284" s="1530"/>
      <c r="BM1284" s="1530"/>
      <c r="BN1284" s="1530"/>
      <c r="BW1284" s="1569"/>
      <c r="CO1284" s="1530"/>
      <c r="CP1284" s="1530"/>
      <c r="CQ1284" s="1530"/>
      <c r="CR1284" s="1530"/>
      <c r="CS1284" s="1530"/>
      <c r="CT1284" s="1530"/>
      <c r="CU1284" s="1530"/>
      <c r="CV1284" s="1530"/>
      <c r="CW1284" s="1530"/>
      <c r="CX1284" s="1530"/>
      <c r="CY1284" s="1530"/>
      <c r="CZ1284" s="1530"/>
      <c r="DA1284" s="1530"/>
      <c r="DB1284" s="1530"/>
      <c r="DC1284" s="1530"/>
      <c r="DD1284" s="1530"/>
      <c r="DE1284" s="1530"/>
      <c r="DF1284" s="1530"/>
      <c r="DG1284" s="1530"/>
      <c r="DH1284" s="1530"/>
      <c r="DI1284" s="1530"/>
      <c r="DJ1284" s="1530"/>
      <c r="DK1284" s="1530"/>
      <c r="DL1284" s="1530"/>
      <c r="DM1284" s="1530"/>
      <c r="DN1284" s="1571"/>
      <c r="DO1284" s="1530"/>
      <c r="DP1284" s="1530"/>
    </row>
    <row r="1285" spans="1:120">
      <c r="A1285" s="1451"/>
      <c r="C1285" s="1451"/>
      <c r="K1285" s="1451"/>
      <c r="L1285" s="1451"/>
      <c r="U1285" s="1530"/>
      <c r="V1285" s="1530"/>
      <c r="W1285" s="1530"/>
      <c r="X1285" s="1530"/>
      <c r="Y1285" s="1530"/>
      <c r="Z1285" s="1530"/>
      <c r="AA1285" s="1530"/>
      <c r="AB1285" s="1530"/>
      <c r="AC1285" s="1530"/>
      <c r="AD1285" s="1530"/>
      <c r="AE1285" s="1530"/>
      <c r="AF1285" s="1530"/>
      <c r="AG1285" s="1530"/>
      <c r="AH1285" s="1530"/>
      <c r="AI1285" s="1530"/>
      <c r="AJ1285" s="1530"/>
      <c r="AK1285" s="1530"/>
      <c r="AL1285" s="1530"/>
      <c r="AM1285" s="1530"/>
      <c r="AN1285" s="1530"/>
      <c r="AO1285" s="1530"/>
      <c r="AP1285" s="1530"/>
      <c r="AQ1285" s="1530"/>
      <c r="AR1285" s="1530"/>
      <c r="AS1285" s="1530"/>
      <c r="AT1285" s="1530"/>
      <c r="AU1285" s="1530"/>
      <c r="AV1285" s="1530"/>
      <c r="AW1285" s="1530"/>
      <c r="AX1285" s="1530"/>
      <c r="AY1285" s="1530"/>
      <c r="AZ1285" s="1530"/>
      <c r="BA1285" s="1530"/>
      <c r="BB1285" s="1530"/>
      <c r="BC1285" s="1530"/>
      <c r="BD1285" s="1530"/>
      <c r="BE1285" s="1530"/>
      <c r="BF1285" s="1530"/>
      <c r="BG1285" s="1530"/>
      <c r="BH1285" s="1530"/>
      <c r="BI1285" s="1530"/>
      <c r="BJ1285" s="1530"/>
      <c r="BK1285" s="1530"/>
      <c r="BL1285" s="1530"/>
      <c r="BM1285" s="1530"/>
      <c r="BN1285" s="1530"/>
      <c r="BW1285" s="1569"/>
      <c r="CO1285" s="1530"/>
      <c r="CP1285" s="1530"/>
      <c r="CQ1285" s="1530"/>
      <c r="CR1285" s="1530"/>
      <c r="CS1285" s="1530"/>
      <c r="CT1285" s="1530"/>
      <c r="CU1285" s="1530"/>
      <c r="CV1285" s="1530"/>
      <c r="CW1285" s="1530"/>
      <c r="CX1285" s="1530"/>
      <c r="CY1285" s="1530"/>
      <c r="CZ1285" s="1530"/>
      <c r="DA1285" s="1530"/>
      <c r="DB1285" s="1530"/>
      <c r="DC1285" s="1530"/>
      <c r="DD1285" s="1530"/>
      <c r="DE1285" s="1530"/>
      <c r="DF1285" s="1530"/>
      <c r="DG1285" s="1530"/>
      <c r="DH1285" s="1530"/>
      <c r="DI1285" s="1530"/>
      <c r="DJ1285" s="1530"/>
      <c r="DK1285" s="1530"/>
      <c r="DL1285" s="1530"/>
      <c r="DM1285" s="1530"/>
      <c r="DN1285" s="1571"/>
      <c r="DO1285" s="1530"/>
      <c r="DP1285" s="1530"/>
    </row>
    <row r="1286" spans="1:120">
      <c r="A1286" s="1451"/>
      <c r="C1286" s="1451"/>
      <c r="K1286" s="1451"/>
      <c r="L1286" s="1451"/>
      <c r="U1286" s="1530"/>
      <c r="V1286" s="1530"/>
      <c r="W1286" s="1530"/>
      <c r="X1286" s="1530"/>
      <c r="Y1286" s="1530"/>
      <c r="Z1286" s="1530"/>
      <c r="AA1286" s="1530"/>
      <c r="AB1286" s="1530"/>
      <c r="AC1286" s="1530"/>
      <c r="AD1286" s="1530"/>
      <c r="AE1286" s="1530"/>
      <c r="AF1286" s="1530"/>
      <c r="AG1286" s="1530"/>
      <c r="AH1286" s="1530"/>
      <c r="AI1286" s="1530"/>
      <c r="AJ1286" s="1530"/>
      <c r="AK1286" s="1530"/>
      <c r="AL1286" s="1530"/>
      <c r="AM1286" s="1530"/>
      <c r="AN1286" s="1530"/>
      <c r="AO1286" s="1530"/>
      <c r="AP1286" s="1530"/>
      <c r="AQ1286" s="1530"/>
      <c r="AR1286" s="1530"/>
      <c r="AS1286" s="1530"/>
      <c r="AT1286" s="1530"/>
      <c r="AU1286" s="1530"/>
      <c r="AV1286" s="1530"/>
      <c r="AW1286" s="1530"/>
      <c r="AX1286" s="1530"/>
      <c r="AY1286" s="1530"/>
      <c r="AZ1286" s="1530"/>
      <c r="BA1286" s="1530"/>
      <c r="BB1286" s="1530"/>
      <c r="BC1286" s="1530"/>
      <c r="BD1286" s="1530"/>
      <c r="BE1286" s="1530"/>
      <c r="BF1286" s="1530"/>
      <c r="BG1286" s="1530"/>
      <c r="BH1286" s="1530"/>
      <c r="BI1286" s="1530"/>
      <c r="BJ1286" s="1530"/>
      <c r="BK1286" s="1530"/>
      <c r="BL1286" s="1530"/>
      <c r="BM1286" s="1530"/>
      <c r="BN1286" s="1530"/>
      <c r="BW1286" s="1569"/>
      <c r="CO1286" s="1530"/>
      <c r="CP1286" s="1530"/>
      <c r="CQ1286" s="1530"/>
      <c r="CR1286" s="1530"/>
      <c r="CS1286" s="1530"/>
      <c r="CT1286" s="1530"/>
      <c r="CU1286" s="1530"/>
      <c r="CV1286" s="1530"/>
      <c r="CW1286" s="1530"/>
      <c r="CX1286" s="1530"/>
      <c r="CY1286" s="1530"/>
      <c r="CZ1286" s="1530"/>
      <c r="DA1286" s="1530"/>
      <c r="DB1286" s="1530"/>
      <c r="DC1286" s="1530"/>
      <c r="DD1286" s="1530"/>
      <c r="DE1286" s="1530"/>
      <c r="DF1286" s="1530"/>
      <c r="DG1286" s="1530"/>
      <c r="DH1286" s="1530"/>
      <c r="DI1286" s="1530"/>
      <c r="DJ1286" s="1530"/>
      <c r="DK1286" s="1530"/>
      <c r="DL1286" s="1530"/>
      <c r="DM1286" s="1530"/>
      <c r="DN1286" s="1571"/>
      <c r="DO1286" s="1530"/>
      <c r="DP1286" s="1530"/>
    </row>
    <row r="1287" spans="1:120">
      <c r="A1287" s="1451"/>
      <c r="C1287" s="1451"/>
      <c r="K1287" s="1451"/>
      <c r="L1287" s="1451"/>
      <c r="U1287" s="1530"/>
      <c r="V1287" s="1530"/>
      <c r="W1287" s="1530"/>
      <c r="X1287" s="1530"/>
      <c r="Y1287" s="1530"/>
      <c r="Z1287" s="1530"/>
      <c r="AA1287" s="1530"/>
      <c r="AB1287" s="1530"/>
      <c r="AC1287" s="1530"/>
      <c r="AD1287" s="1530"/>
      <c r="AE1287" s="1530"/>
      <c r="AF1287" s="1530"/>
      <c r="AG1287" s="1530"/>
      <c r="AH1287" s="1530"/>
      <c r="AI1287" s="1530"/>
      <c r="AJ1287" s="1530"/>
      <c r="AK1287" s="1530"/>
      <c r="AL1287" s="1530"/>
      <c r="AM1287" s="1530"/>
      <c r="AN1287" s="1530"/>
      <c r="AO1287" s="1530"/>
      <c r="AP1287" s="1530"/>
      <c r="AQ1287" s="1530"/>
      <c r="AR1287" s="1530"/>
      <c r="AS1287" s="1530"/>
      <c r="AT1287" s="1530"/>
      <c r="AU1287" s="1530"/>
      <c r="AV1287" s="1530"/>
      <c r="AW1287" s="1530"/>
      <c r="AX1287" s="1530"/>
      <c r="AY1287" s="1530"/>
      <c r="AZ1287" s="1530"/>
      <c r="BA1287" s="1530"/>
      <c r="BB1287" s="1530"/>
      <c r="BC1287" s="1530"/>
      <c r="BD1287" s="1530"/>
      <c r="BE1287" s="1530"/>
      <c r="BF1287" s="1530"/>
      <c r="BG1287" s="1530"/>
      <c r="BH1287" s="1530"/>
      <c r="BI1287" s="1530"/>
      <c r="BJ1287" s="1530"/>
      <c r="BK1287" s="1530"/>
      <c r="BL1287" s="1530"/>
      <c r="BM1287" s="1530"/>
      <c r="BN1287" s="1530"/>
      <c r="BW1287" s="1569"/>
      <c r="CO1287" s="1530"/>
      <c r="CP1287" s="1530"/>
      <c r="CQ1287" s="1530"/>
      <c r="CR1287" s="1530"/>
      <c r="CS1287" s="1530"/>
      <c r="CT1287" s="1530"/>
      <c r="CU1287" s="1530"/>
      <c r="CV1287" s="1530"/>
      <c r="CW1287" s="1530"/>
      <c r="CX1287" s="1530"/>
      <c r="CY1287" s="1530"/>
      <c r="CZ1287" s="1530"/>
      <c r="DA1287" s="1530"/>
      <c r="DB1287" s="1530"/>
      <c r="DC1287" s="1530"/>
      <c r="DD1287" s="1530"/>
      <c r="DE1287" s="1530"/>
      <c r="DF1287" s="1530"/>
      <c r="DG1287" s="1530"/>
      <c r="DH1287" s="1530"/>
      <c r="DI1287" s="1530"/>
      <c r="DJ1287" s="1530"/>
      <c r="DK1287" s="1530"/>
      <c r="DL1287" s="1530"/>
      <c r="DM1287" s="1530"/>
      <c r="DN1287" s="1571"/>
      <c r="DO1287" s="1530"/>
      <c r="DP1287" s="1530"/>
    </row>
    <row r="1288" spans="1:120">
      <c r="A1288" s="1451"/>
      <c r="C1288" s="1451"/>
      <c r="K1288" s="1451"/>
      <c r="L1288" s="1451"/>
      <c r="U1288" s="1530"/>
      <c r="V1288" s="1530"/>
      <c r="W1288" s="1530"/>
      <c r="X1288" s="1530"/>
      <c r="Y1288" s="1530"/>
      <c r="Z1288" s="1530"/>
      <c r="AA1288" s="1530"/>
      <c r="AB1288" s="1530"/>
      <c r="AC1288" s="1530"/>
      <c r="AD1288" s="1530"/>
      <c r="AE1288" s="1530"/>
      <c r="AF1288" s="1530"/>
      <c r="AG1288" s="1530"/>
      <c r="AH1288" s="1530"/>
      <c r="AI1288" s="1530"/>
      <c r="AJ1288" s="1530"/>
      <c r="AK1288" s="1530"/>
      <c r="AL1288" s="1530"/>
      <c r="AM1288" s="1530"/>
      <c r="AN1288" s="1530"/>
      <c r="AO1288" s="1530"/>
      <c r="AP1288" s="1530"/>
      <c r="AQ1288" s="1530"/>
      <c r="AR1288" s="1530"/>
      <c r="AS1288" s="1530"/>
      <c r="AT1288" s="1530"/>
      <c r="AU1288" s="1530"/>
      <c r="AV1288" s="1530"/>
      <c r="AW1288" s="1530"/>
      <c r="AX1288" s="1530"/>
      <c r="AY1288" s="1530"/>
      <c r="AZ1288" s="1530"/>
      <c r="BA1288" s="1530"/>
      <c r="BB1288" s="1530"/>
      <c r="BC1288" s="1530"/>
      <c r="BD1288" s="1530"/>
      <c r="BE1288" s="1530"/>
      <c r="BF1288" s="1530"/>
      <c r="BG1288" s="1530"/>
      <c r="BH1288" s="1530"/>
      <c r="BI1288" s="1530"/>
      <c r="BJ1288" s="1530"/>
      <c r="BK1288" s="1530"/>
      <c r="BL1288" s="1530"/>
      <c r="BM1288" s="1530"/>
      <c r="BN1288" s="1530"/>
      <c r="BW1288" s="1569"/>
      <c r="CO1288" s="1530"/>
      <c r="CP1288" s="1530"/>
      <c r="CQ1288" s="1530"/>
      <c r="CR1288" s="1530"/>
      <c r="CS1288" s="1530"/>
      <c r="CT1288" s="1530"/>
      <c r="CU1288" s="1530"/>
      <c r="CV1288" s="1530"/>
      <c r="CW1288" s="1530"/>
      <c r="CX1288" s="1530"/>
      <c r="CY1288" s="1530"/>
      <c r="CZ1288" s="1530"/>
      <c r="DA1288" s="1530"/>
      <c r="DB1288" s="1530"/>
      <c r="DC1288" s="1530"/>
      <c r="DD1288" s="1530"/>
      <c r="DE1288" s="1530"/>
      <c r="DF1288" s="1530"/>
      <c r="DG1288" s="1530"/>
      <c r="DH1288" s="1530"/>
      <c r="DI1288" s="1530"/>
      <c r="DJ1288" s="1530"/>
      <c r="DK1288" s="1530"/>
      <c r="DL1288" s="1530"/>
      <c r="DM1288" s="1530"/>
      <c r="DN1288" s="1571"/>
      <c r="DO1288" s="1530"/>
      <c r="DP1288" s="1530"/>
    </row>
    <row r="1289" spans="1:120">
      <c r="A1289" s="1451"/>
      <c r="C1289" s="1451"/>
      <c r="K1289" s="1451"/>
      <c r="L1289" s="1451"/>
      <c r="U1289" s="1530"/>
      <c r="V1289" s="1530"/>
      <c r="W1289" s="1530"/>
      <c r="X1289" s="1530"/>
      <c r="Y1289" s="1530"/>
      <c r="Z1289" s="1530"/>
      <c r="AA1289" s="1530"/>
      <c r="AB1289" s="1530"/>
      <c r="AC1289" s="1530"/>
      <c r="AD1289" s="1530"/>
      <c r="AE1289" s="1530"/>
      <c r="AF1289" s="1530"/>
      <c r="AG1289" s="1530"/>
      <c r="AH1289" s="1530"/>
      <c r="AI1289" s="1530"/>
      <c r="AJ1289" s="1530"/>
      <c r="AK1289" s="1530"/>
      <c r="AL1289" s="1530"/>
      <c r="AM1289" s="1530"/>
      <c r="AN1289" s="1530"/>
      <c r="AO1289" s="1530"/>
      <c r="AP1289" s="1530"/>
      <c r="AQ1289" s="1530"/>
      <c r="AR1289" s="1530"/>
      <c r="AS1289" s="1530"/>
      <c r="AT1289" s="1530"/>
      <c r="AU1289" s="1530"/>
      <c r="AV1289" s="1530"/>
      <c r="AW1289" s="1530"/>
      <c r="AX1289" s="1530"/>
      <c r="AY1289" s="1530"/>
      <c r="AZ1289" s="1530"/>
      <c r="BA1289" s="1530"/>
      <c r="BB1289" s="1530"/>
      <c r="BC1289" s="1530"/>
      <c r="BD1289" s="1530"/>
      <c r="BE1289" s="1530"/>
      <c r="BF1289" s="1530"/>
      <c r="BG1289" s="1530"/>
      <c r="BH1289" s="1530"/>
      <c r="BI1289" s="1530"/>
      <c r="BJ1289" s="1530"/>
      <c r="BK1289" s="1530"/>
      <c r="BL1289" s="1530"/>
      <c r="BM1289" s="1530"/>
      <c r="BN1289" s="1530"/>
      <c r="BW1289" s="1569"/>
      <c r="CO1289" s="1530"/>
      <c r="CP1289" s="1530"/>
      <c r="CQ1289" s="1530"/>
      <c r="CR1289" s="1530"/>
      <c r="CS1289" s="1530"/>
      <c r="CT1289" s="1530"/>
      <c r="CU1289" s="1530"/>
      <c r="CV1289" s="1530"/>
      <c r="CW1289" s="1530"/>
      <c r="CX1289" s="1530"/>
      <c r="CY1289" s="1530"/>
      <c r="CZ1289" s="1530"/>
      <c r="DA1289" s="1530"/>
      <c r="DB1289" s="1530"/>
      <c r="DC1289" s="1530"/>
      <c r="DD1289" s="1530"/>
      <c r="DE1289" s="1530"/>
      <c r="DF1289" s="1530"/>
      <c r="DG1289" s="1530"/>
      <c r="DH1289" s="1530"/>
      <c r="DI1289" s="1530"/>
      <c r="DJ1289" s="1530"/>
      <c r="DK1289" s="1530"/>
      <c r="DL1289" s="1530"/>
      <c r="DM1289" s="1530"/>
      <c r="DN1289" s="1571"/>
      <c r="DO1289" s="1530"/>
      <c r="DP1289" s="1530"/>
    </row>
    <row r="1290" spans="1:120">
      <c r="A1290" s="1451"/>
      <c r="C1290" s="1451"/>
      <c r="K1290" s="1451"/>
      <c r="L1290" s="1451"/>
      <c r="U1290" s="1530"/>
      <c r="V1290" s="1530"/>
      <c r="W1290" s="1530"/>
      <c r="X1290" s="1530"/>
      <c r="Y1290" s="1530"/>
      <c r="Z1290" s="1530"/>
      <c r="AA1290" s="1530"/>
      <c r="AB1290" s="1530"/>
      <c r="AC1290" s="1530"/>
      <c r="AD1290" s="1530"/>
      <c r="AE1290" s="1530"/>
      <c r="AF1290" s="1530"/>
      <c r="AG1290" s="1530"/>
      <c r="AH1290" s="1530"/>
      <c r="AI1290" s="1530"/>
      <c r="AJ1290" s="1530"/>
      <c r="AK1290" s="1530"/>
      <c r="AL1290" s="1530"/>
      <c r="AM1290" s="1530"/>
      <c r="AN1290" s="1530"/>
      <c r="AO1290" s="1530"/>
      <c r="AP1290" s="1530"/>
      <c r="AQ1290" s="1530"/>
      <c r="AR1290" s="1530"/>
      <c r="AS1290" s="1530"/>
      <c r="AT1290" s="1530"/>
      <c r="AU1290" s="1530"/>
      <c r="AV1290" s="1530"/>
      <c r="AW1290" s="1530"/>
      <c r="AX1290" s="1530"/>
      <c r="AY1290" s="1530"/>
      <c r="AZ1290" s="1530"/>
      <c r="BA1290" s="1530"/>
      <c r="BB1290" s="1530"/>
      <c r="BC1290" s="1530"/>
      <c r="BD1290" s="1530"/>
      <c r="BE1290" s="1530"/>
      <c r="BF1290" s="1530"/>
      <c r="BG1290" s="1530"/>
      <c r="BH1290" s="1530"/>
      <c r="BI1290" s="1530"/>
      <c r="BJ1290" s="1530"/>
      <c r="BK1290" s="1530"/>
      <c r="BL1290" s="1530"/>
      <c r="BM1290" s="1530"/>
      <c r="BN1290" s="1530"/>
      <c r="BW1290" s="1569"/>
      <c r="CO1290" s="1530"/>
      <c r="CP1290" s="1530"/>
      <c r="CQ1290" s="1530"/>
      <c r="CR1290" s="1530"/>
      <c r="CS1290" s="1530"/>
      <c r="CT1290" s="1530"/>
      <c r="CU1290" s="1530"/>
      <c r="CV1290" s="1530"/>
      <c r="CW1290" s="1530"/>
      <c r="CX1290" s="1530"/>
      <c r="CY1290" s="1530"/>
      <c r="CZ1290" s="1530"/>
      <c r="DA1290" s="1530"/>
      <c r="DB1290" s="1530"/>
      <c r="DC1290" s="1530"/>
      <c r="DD1290" s="1530"/>
      <c r="DE1290" s="1530"/>
      <c r="DF1290" s="1530"/>
      <c r="DG1290" s="1530"/>
      <c r="DH1290" s="1530"/>
      <c r="DI1290" s="1530"/>
      <c r="DJ1290" s="1530"/>
      <c r="DK1290" s="1530"/>
      <c r="DL1290" s="1530"/>
      <c r="DM1290" s="1530"/>
      <c r="DN1290" s="1571"/>
      <c r="DO1290" s="1530"/>
      <c r="DP1290" s="1530"/>
    </row>
    <row r="1291" spans="1:120">
      <c r="A1291" s="1451"/>
      <c r="C1291" s="1451"/>
      <c r="K1291" s="1451"/>
      <c r="L1291" s="1451"/>
      <c r="U1291" s="1530"/>
      <c r="V1291" s="1530"/>
      <c r="W1291" s="1530"/>
      <c r="X1291" s="1530"/>
      <c r="Y1291" s="1530"/>
      <c r="Z1291" s="1530"/>
      <c r="AA1291" s="1530"/>
      <c r="AB1291" s="1530"/>
      <c r="AC1291" s="1530"/>
      <c r="AD1291" s="1530"/>
      <c r="AE1291" s="1530"/>
      <c r="AF1291" s="1530"/>
      <c r="AG1291" s="1530"/>
      <c r="AH1291" s="1530"/>
      <c r="AI1291" s="1530"/>
      <c r="AJ1291" s="1530"/>
      <c r="AK1291" s="1530"/>
      <c r="AL1291" s="1530"/>
      <c r="AM1291" s="1530"/>
      <c r="AN1291" s="1530"/>
      <c r="AO1291" s="1530"/>
      <c r="AP1291" s="1530"/>
      <c r="AQ1291" s="1530"/>
      <c r="AR1291" s="1530"/>
      <c r="AS1291" s="1530"/>
      <c r="AT1291" s="1530"/>
      <c r="AU1291" s="1530"/>
      <c r="AV1291" s="1530"/>
      <c r="AW1291" s="1530"/>
      <c r="AX1291" s="1530"/>
      <c r="AY1291" s="1530"/>
      <c r="AZ1291" s="1530"/>
      <c r="BA1291" s="1530"/>
      <c r="BB1291" s="1530"/>
      <c r="BC1291" s="1530"/>
      <c r="BD1291" s="1530"/>
      <c r="BE1291" s="1530"/>
      <c r="BF1291" s="1530"/>
      <c r="BG1291" s="1530"/>
      <c r="BH1291" s="1530"/>
      <c r="BI1291" s="1530"/>
      <c r="BJ1291" s="1530"/>
      <c r="BK1291" s="1530"/>
      <c r="BL1291" s="1530"/>
      <c r="BM1291" s="1530"/>
      <c r="BN1291" s="1530"/>
      <c r="BW1291" s="1569"/>
      <c r="CO1291" s="1530"/>
      <c r="CP1291" s="1530"/>
      <c r="CQ1291" s="1530"/>
      <c r="CR1291" s="1530"/>
      <c r="CS1291" s="1530"/>
      <c r="CT1291" s="1530"/>
      <c r="CU1291" s="1530"/>
      <c r="CV1291" s="1530"/>
      <c r="CW1291" s="1530"/>
      <c r="CX1291" s="1530"/>
      <c r="CY1291" s="1530"/>
      <c r="CZ1291" s="1530"/>
      <c r="DA1291" s="1530"/>
      <c r="DB1291" s="1530"/>
      <c r="DC1291" s="1530"/>
      <c r="DD1291" s="1530"/>
      <c r="DE1291" s="1530"/>
      <c r="DF1291" s="1530"/>
      <c r="DG1291" s="1530"/>
      <c r="DH1291" s="1530"/>
      <c r="DI1291" s="1530"/>
      <c r="DJ1291" s="1530"/>
      <c r="DK1291" s="1530"/>
      <c r="DL1291" s="1530"/>
      <c r="DM1291" s="1530"/>
      <c r="DN1291" s="1571"/>
      <c r="DO1291" s="1530"/>
      <c r="DP1291" s="1530"/>
    </row>
    <row r="1292" spans="1:120">
      <c r="A1292" s="1451"/>
      <c r="C1292" s="1451"/>
      <c r="K1292" s="1451"/>
      <c r="L1292" s="1451"/>
      <c r="U1292" s="1530"/>
      <c r="V1292" s="1530"/>
      <c r="W1292" s="1530"/>
      <c r="X1292" s="1530"/>
      <c r="Y1292" s="1530"/>
      <c r="Z1292" s="1530"/>
      <c r="AA1292" s="1530"/>
      <c r="AB1292" s="1530"/>
      <c r="AC1292" s="1530"/>
      <c r="AD1292" s="1530"/>
      <c r="AE1292" s="1530"/>
      <c r="AF1292" s="1530"/>
      <c r="AG1292" s="1530"/>
      <c r="AH1292" s="1530"/>
      <c r="AI1292" s="1530"/>
      <c r="AJ1292" s="1530"/>
      <c r="AK1292" s="1530"/>
      <c r="AL1292" s="1530"/>
      <c r="AM1292" s="1530"/>
      <c r="AN1292" s="1530"/>
      <c r="AO1292" s="1530"/>
      <c r="AP1292" s="1530"/>
      <c r="AQ1292" s="1530"/>
      <c r="AR1292" s="1530"/>
      <c r="AS1292" s="1530"/>
      <c r="AT1292" s="1530"/>
      <c r="AU1292" s="1530"/>
      <c r="AV1292" s="1530"/>
      <c r="AW1292" s="1530"/>
      <c r="AX1292" s="1530"/>
      <c r="AY1292" s="1530"/>
      <c r="AZ1292" s="1530"/>
      <c r="BA1292" s="1530"/>
      <c r="BB1292" s="1530"/>
      <c r="BC1292" s="1530"/>
      <c r="BD1292" s="1530"/>
      <c r="BE1292" s="1530"/>
      <c r="BF1292" s="1530"/>
      <c r="BG1292" s="1530"/>
      <c r="BH1292" s="1530"/>
      <c r="BI1292" s="1530"/>
      <c r="BJ1292" s="1530"/>
      <c r="BK1292" s="1530"/>
      <c r="BL1292" s="1530"/>
      <c r="BM1292" s="1530"/>
      <c r="BN1292" s="1530"/>
      <c r="BW1292" s="1569"/>
      <c r="CO1292" s="1530"/>
      <c r="CP1292" s="1530"/>
      <c r="CQ1292" s="1530"/>
      <c r="CR1292" s="1530"/>
      <c r="CS1292" s="1530"/>
      <c r="CT1292" s="1530"/>
      <c r="CU1292" s="1530"/>
      <c r="CV1292" s="1530"/>
      <c r="CW1292" s="1530"/>
      <c r="CX1292" s="1530"/>
      <c r="CY1292" s="1530"/>
      <c r="CZ1292" s="1530"/>
      <c r="DA1292" s="1530"/>
      <c r="DB1292" s="1530"/>
      <c r="DC1292" s="1530"/>
      <c r="DD1292" s="1530"/>
      <c r="DE1292" s="1530"/>
      <c r="DF1292" s="1530"/>
      <c r="DG1292" s="1530"/>
      <c r="DH1292" s="1530"/>
      <c r="DI1292" s="1530"/>
      <c r="DJ1292" s="1530"/>
      <c r="DK1292" s="1530"/>
      <c r="DL1292" s="1530"/>
      <c r="DM1292" s="1530"/>
      <c r="DN1292" s="1571"/>
      <c r="DO1292" s="1530"/>
      <c r="DP1292" s="1530"/>
    </row>
    <row r="1293" spans="1:120">
      <c r="A1293" s="1451"/>
      <c r="C1293" s="1451"/>
      <c r="K1293" s="1451"/>
      <c r="L1293" s="1451"/>
      <c r="U1293" s="1530"/>
      <c r="V1293" s="1530"/>
      <c r="W1293" s="1530"/>
      <c r="X1293" s="1530"/>
      <c r="Y1293" s="1530"/>
      <c r="Z1293" s="1530"/>
      <c r="AA1293" s="1530"/>
      <c r="AB1293" s="1530"/>
      <c r="AC1293" s="1530"/>
      <c r="AD1293" s="1530"/>
      <c r="AE1293" s="1530"/>
      <c r="AF1293" s="1530"/>
      <c r="AG1293" s="1530"/>
      <c r="AH1293" s="1530"/>
      <c r="AI1293" s="1530"/>
      <c r="AJ1293" s="1530"/>
      <c r="AK1293" s="1530"/>
      <c r="AL1293" s="1530"/>
      <c r="AM1293" s="1530"/>
      <c r="AN1293" s="1530"/>
      <c r="AO1293" s="1530"/>
      <c r="AP1293" s="1530"/>
      <c r="AQ1293" s="1530"/>
      <c r="AR1293" s="1530"/>
      <c r="AS1293" s="1530"/>
      <c r="AT1293" s="1530"/>
      <c r="AU1293" s="1530"/>
      <c r="AV1293" s="1530"/>
      <c r="AW1293" s="1530"/>
      <c r="AX1293" s="1530"/>
      <c r="AY1293" s="1530"/>
      <c r="AZ1293" s="1530"/>
      <c r="BA1293" s="1530"/>
      <c r="BB1293" s="1530"/>
      <c r="BC1293" s="1530"/>
      <c r="BD1293" s="1530"/>
      <c r="BE1293" s="1530"/>
      <c r="BF1293" s="1530"/>
      <c r="BG1293" s="1530"/>
      <c r="BH1293" s="1530"/>
      <c r="BI1293" s="1530"/>
      <c r="BJ1293" s="1530"/>
      <c r="BK1293" s="1530"/>
      <c r="BL1293" s="1530"/>
      <c r="BM1293" s="1530"/>
      <c r="BN1293" s="1530"/>
      <c r="BW1293" s="1569"/>
      <c r="CO1293" s="1530"/>
      <c r="CP1293" s="1530"/>
      <c r="CQ1293" s="1530"/>
      <c r="CR1293" s="1530"/>
      <c r="CS1293" s="1530"/>
      <c r="CT1293" s="1530"/>
      <c r="CU1293" s="1530"/>
      <c r="CV1293" s="1530"/>
      <c r="CW1293" s="1530"/>
      <c r="CX1293" s="1530"/>
      <c r="CY1293" s="1530"/>
      <c r="CZ1293" s="1530"/>
      <c r="DA1293" s="1530"/>
      <c r="DB1293" s="1530"/>
      <c r="DC1293" s="1530"/>
      <c r="DD1293" s="1530"/>
      <c r="DE1293" s="1530"/>
      <c r="DF1293" s="1530"/>
      <c r="DG1293" s="1530"/>
      <c r="DH1293" s="1530"/>
      <c r="DI1293" s="1530"/>
      <c r="DJ1293" s="1530"/>
      <c r="DK1293" s="1530"/>
      <c r="DL1293" s="1530"/>
      <c r="DM1293" s="1530"/>
      <c r="DN1293" s="1571"/>
      <c r="DO1293" s="1530"/>
      <c r="DP1293" s="1530"/>
    </row>
    <row r="1294" spans="1:120">
      <c r="A1294" s="1451"/>
      <c r="C1294" s="1451"/>
      <c r="K1294" s="1451"/>
      <c r="L1294" s="1451"/>
      <c r="U1294" s="1530"/>
      <c r="V1294" s="1530"/>
      <c r="W1294" s="1530"/>
      <c r="X1294" s="1530"/>
      <c r="Y1294" s="1530"/>
      <c r="Z1294" s="1530"/>
      <c r="AA1294" s="1530"/>
      <c r="AB1294" s="1530"/>
      <c r="AC1294" s="1530"/>
      <c r="AD1294" s="1530"/>
      <c r="AE1294" s="1530"/>
      <c r="AF1294" s="1530"/>
      <c r="AG1294" s="1530"/>
      <c r="AH1294" s="1530"/>
      <c r="AI1294" s="1530"/>
      <c r="AJ1294" s="1530"/>
      <c r="AK1294" s="1530"/>
      <c r="AL1294" s="1530"/>
      <c r="AM1294" s="1530"/>
      <c r="AN1294" s="1530"/>
      <c r="AO1294" s="1530"/>
      <c r="AP1294" s="1530"/>
      <c r="AQ1294" s="1530"/>
      <c r="AR1294" s="1530"/>
      <c r="AS1294" s="1530"/>
      <c r="AT1294" s="1530"/>
      <c r="AU1294" s="1530"/>
      <c r="AV1294" s="1530"/>
      <c r="AW1294" s="1530"/>
      <c r="AX1294" s="1530"/>
      <c r="AY1294" s="1530"/>
      <c r="AZ1294" s="1530"/>
      <c r="BA1294" s="1530"/>
      <c r="BB1294" s="1530"/>
      <c r="BC1294" s="1530"/>
      <c r="BD1294" s="1530"/>
      <c r="BE1294" s="1530"/>
      <c r="BF1294" s="1530"/>
      <c r="BG1294" s="1530"/>
      <c r="BH1294" s="1530"/>
      <c r="BI1294" s="1530"/>
      <c r="BJ1294" s="1530"/>
      <c r="BK1294" s="1530"/>
      <c r="BL1294" s="1530"/>
      <c r="BM1294" s="1530"/>
      <c r="BN1294" s="1530"/>
      <c r="BW1294" s="1569"/>
      <c r="CO1294" s="1530"/>
      <c r="CP1294" s="1530"/>
      <c r="CQ1294" s="1530"/>
      <c r="CR1294" s="1530"/>
      <c r="CS1294" s="1530"/>
      <c r="CT1294" s="1530"/>
      <c r="CU1294" s="1530"/>
      <c r="CV1294" s="1530"/>
      <c r="CW1294" s="1530"/>
      <c r="CX1294" s="1530"/>
      <c r="CY1294" s="1530"/>
      <c r="CZ1294" s="1530"/>
      <c r="DA1294" s="1530"/>
      <c r="DB1294" s="1530"/>
      <c r="DC1294" s="1530"/>
      <c r="DD1294" s="1530"/>
      <c r="DE1294" s="1530"/>
      <c r="DF1294" s="1530"/>
      <c r="DG1294" s="1530"/>
      <c r="DH1294" s="1530"/>
      <c r="DI1294" s="1530"/>
      <c r="DJ1294" s="1530"/>
      <c r="DK1294" s="1530"/>
      <c r="DL1294" s="1530"/>
      <c r="DM1294" s="1530"/>
      <c r="DN1294" s="1571"/>
      <c r="DO1294" s="1530"/>
      <c r="DP1294" s="1530"/>
    </row>
    <row r="1295" spans="1:120">
      <c r="A1295" s="1451"/>
      <c r="C1295" s="1451"/>
      <c r="K1295" s="1451"/>
      <c r="L1295" s="1451"/>
      <c r="U1295" s="1530"/>
      <c r="V1295" s="1530"/>
      <c r="W1295" s="1530"/>
      <c r="X1295" s="1530"/>
      <c r="Y1295" s="1530"/>
      <c r="Z1295" s="1530"/>
      <c r="AA1295" s="1530"/>
      <c r="AB1295" s="1530"/>
      <c r="AC1295" s="1530"/>
      <c r="AD1295" s="1530"/>
      <c r="AE1295" s="1530"/>
      <c r="AF1295" s="1530"/>
      <c r="AG1295" s="1530"/>
      <c r="AH1295" s="1530"/>
      <c r="AI1295" s="1530"/>
      <c r="AJ1295" s="1530"/>
      <c r="AK1295" s="1530"/>
      <c r="AL1295" s="1530"/>
      <c r="AM1295" s="1530"/>
      <c r="AN1295" s="1530"/>
      <c r="AO1295" s="1530"/>
      <c r="AP1295" s="1530"/>
      <c r="AQ1295" s="1530"/>
      <c r="AR1295" s="1530"/>
      <c r="AS1295" s="1530"/>
      <c r="AT1295" s="1530"/>
      <c r="AU1295" s="1530"/>
      <c r="AV1295" s="1530"/>
      <c r="AW1295" s="1530"/>
      <c r="AX1295" s="1530"/>
      <c r="AY1295" s="1530"/>
      <c r="AZ1295" s="1530"/>
      <c r="BA1295" s="1530"/>
      <c r="BB1295" s="1530"/>
      <c r="BC1295" s="1530"/>
      <c r="BD1295" s="1530"/>
      <c r="BE1295" s="1530"/>
      <c r="BF1295" s="1530"/>
      <c r="BG1295" s="1530"/>
      <c r="BH1295" s="1530"/>
      <c r="BI1295" s="1530"/>
      <c r="BJ1295" s="1530"/>
      <c r="BK1295" s="1530"/>
      <c r="BL1295" s="1530"/>
      <c r="BM1295" s="1530"/>
      <c r="BN1295" s="1530"/>
      <c r="BW1295" s="1569"/>
      <c r="CO1295" s="1530"/>
      <c r="CP1295" s="1530"/>
      <c r="CQ1295" s="1530"/>
      <c r="CR1295" s="1530"/>
      <c r="CS1295" s="1530"/>
      <c r="CT1295" s="1530"/>
      <c r="CU1295" s="1530"/>
      <c r="CV1295" s="1530"/>
      <c r="CW1295" s="1530"/>
      <c r="CX1295" s="1530"/>
      <c r="CY1295" s="1530"/>
      <c r="CZ1295" s="1530"/>
      <c r="DA1295" s="1530"/>
      <c r="DB1295" s="1530"/>
      <c r="DC1295" s="1530"/>
      <c r="DD1295" s="1530"/>
      <c r="DE1295" s="1530"/>
      <c r="DF1295" s="1530"/>
      <c r="DG1295" s="1530"/>
      <c r="DH1295" s="1530"/>
      <c r="DI1295" s="1530"/>
      <c r="DJ1295" s="1530"/>
      <c r="DK1295" s="1530"/>
      <c r="DL1295" s="1530"/>
      <c r="DM1295" s="1530"/>
      <c r="DN1295" s="1571"/>
      <c r="DO1295" s="1530"/>
      <c r="DP1295" s="1530"/>
    </row>
    <row r="1296" spans="1:120">
      <c r="A1296" s="1451"/>
      <c r="C1296" s="1451"/>
      <c r="K1296" s="1451"/>
      <c r="L1296" s="1451"/>
      <c r="U1296" s="1530"/>
      <c r="V1296" s="1530"/>
      <c r="W1296" s="1530"/>
      <c r="X1296" s="1530"/>
      <c r="Y1296" s="1530"/>
      <c r="Z1296" s="1530"/>
      <c r="AA1296" s="1530"/>
      <c r="AB1296" s="1530"/>
      <c r="AC1296" s="1530"/>
      <c r="AD1296" s="1530"/>
      <c r="AE1296" s="1530"/>
      <c r="AF1296" s="1530"/>
      <c r="AG1296" s="1530"/>
      <c r="AH1296" s="1530"/>
      <c r="AI1296" s="1530"/>
      <c r="AJ1296" s="1530"/>
      <c r="AK1296" s="1530"/>
      <c r="AL1296" s="1530"/>
      <c r="AM1296" s="1530"/>
      <c r="AN1296" s="1530"/>
      <c r="AO1296" s="1530"/>
      <c r="AP1296" s="1530"/>
      <c r="AQ1296" s="1530"/>
      <c r="AR1296" s="1530"/>
      <c r="AS1296" s="1530"/>
      <c r="AT1296" s="1530"/>
      <c r="AU1296" s="1530"/>
      <c r="AV1296" s="1530"/>
      <c r="AW1296" s="1530"/>
      <c r="AX1296" s="1530"/>
      <c r="AY1296" s="1530"/>
      <c r="AZ1296" s="1530"/>
      <c r="BA1296" s="1530"/>
      <c r="BB1296" s="1530"/>
      <c r="BC1296" s="1530"/>
      <c r="BD1296" s="1530"/>
      <c r="BE1296" s="1530"/>
      <c r="BF1296" s="1530"/>
      <c r="BG1296" s="1530"/>
      <c r="BH1296" s="1530"/>
      <c r="BI1296" s="1530"/>
      <c r="BJ1296" s="1530"/>
      <c r="BK1296" s="1530"/>
      <c r="BL1296" s="1530"/>
      <c r="BM1296" s="1530"/>
      <c r="BN1296" s="1530"/>
      <c r="BW1296" s="1569"/>
      <c r="CO1296" s="1530"/>
      <c r="CP1296" s="1530"/>
      <c r="CQ1296" s="1530"/>
      <c r="CR1296" s="1530"/>
      <c r="CS1296" s="1530"/>
      <c r="CT1296" s="1530"/>
      <c r="CU1296" s="1530"/>
      <c r="CV1296" s="1530"/>
      <c r="CW1296" s="1530"/>
      <c r="CX1296" s="1530"/>
      <c r="CY1296" s="1530"/>
      <c r="CZ1296" s="1530"/>
      <c r="DA1296" s="1530"/>
      <c r="DB1296" s="1530"/>
      <c r="DC1296" s="1530"/>
      <c r="DD1296" s="1530"/>
      <c r="DE1296" s="1530"/>
      <c r="DF1296" s="1530"/>
      <c r="DG1296" s="1530"/>
      <c r="DH1296" s="1530"/>
      <c r="DI1296" s="1530"/>
      <c r="DJ1296" s="1530"/>
      <c r="DK1296" s="1530"/>
      <c r="DL1296" s="1530"/>
      <c r="DM1296" s="1530"/>
      <c r="DN1296" s="1571"/>
      <c r="DO1296" s="1530"/>
      <c r="DP1296" s="1530"/>
    </row>
    <row r="1297" spans="1:120">
      <c r="A1297" s="1451"/>
      <c r="C1297" s="1451"/>
      <c r="K1297" s="1451"/>
      <c r="L1297" s="1451"/>
      <c r="U1297" s="1530"/>
      <c r="V1297" s="1530"/>
      <c r="W1297" s="1530"/>
      <c r="X1297" s="1530"/>
      <c r="Y1297" s="1530"/>
      <c r="Z1297" s="1530"/>
      <c r="AA1297" s="1530"/>
      <c r="AB1297" s="1530"/>
      <c r="AC1297" s="1530"/>
      <c r="AD1297" s="1530"/>
      <c r="AE1297" s="1530"/>
      <c r="AF1297" s="1530"/>
      <c r="AG1297" s="1530"/>
      <c r="AH1297" s="1530"/>
      <c r="AI1297" s="1530"/>
      <c r="AJ1297" s="1530"/>
      <c r="AK1297" s="1530"/>
      <c r="AL1297" s="1530"/>
      <c r="AM1297" s="1530"/>
      <c r="AN1297" s="1530"/>
      <c r="AO1297" s="1530"/>
      <c r="AP1297" s="1530"/>
      <c r="AQ1297" s="1530"/>
      <c r="AR1297" s="1530"/>
      <c r="AS1297" s="1530"/>
      <c r="AT1297" s="1530"/>
      <c r="AU1297" s="1530"/>
      <c r="AV1297" s="1530"/>
      <c r="AW1297" s="1530"/>
      <c r="AX1297" s="1530"/>
      <c r="AY1297" s="1530"/>
      <c r="AZ1297" s="1530"/>
      <c r="BA1297" s="1530"/>
      <c r="BB1297" s="1530"/>
      <c r="BC1297" s="1530"/>
      <c r="BD1297" s="1530"/>
      <c r="BE1297" s="1530"/>
      <c r="BF1297" s="1530"/>
      <c r="BG1297" s="1530"/>
      <c r="BH1297" s="1530"/>
      <c r="BI1297" s="1530"/>
      <c r="BJ1297" s="1530"/>
      <c r="BK1297" s="1530"/>
      <c r="BL1297" s="1530"/>
      <c r="BM1297" s="1530"/>
      <c r="BN1297" s="1530"/>
      <c r="BW1297" s="1569"/>
      <c r="CO1297" s="1530"/>
      <c r="CP1297" s="1530"/>
      <c r="CQ1297" s="1530"/>
      <c r="CR1297" s="1530"/>
      <c r="CS1297" s="1530"/>
      <c r="CT1297" s="1530"/>
      <c r="CU1297" s="1530"/>
      <c r="CV1297" s="1530"/>
      <c r="CW1297" s="1530"/>
      <c r="CX1297" s="1530"/>
      <c r="CY1297" s="1530"/>
      <c r="CZ1297" s="1530"/>
      <c r="DA1297" s="1530"/>
      <c r="DB1297" s="1530"/>
      <c r="DC1297" s="1530"/>
      <c r="DD1297" s="1530"/>
      <c r="DE1297" s="1530"/>
      <c r="DF1297" s="1530"/>
      <c r="DG1297" s="1530"/>
      <c r="DH1297" s="1530"/>
      <c r="DI1297" s="1530"/>
      <c r="DJ1297" s="1530"/>
      <c r="DK1297" s="1530"/>
      <c r="DL1297" s="1530"/>
      <c r="DM1297" s="1530"/>
      <c r="DN1297" s="1571"/>
      <c r="DO1297" s="1530"/>
      <c r="DP1297" s="1530"/>
    </row>
    <row r="1298" spans="1:120">
      <c r="A1298" s="1451"/>
      <c r="C1298" s="1451"/>
      <c r="K1298" s="1451"/>
      <c r="L1298" s="1451"/>
      <c r="U1298" s="1530"/>
      <c r="V1298" s="1530"/>
      <c r="W1298" s="1530"/>
      <c r="X1298" s="1530"/>
      <c r="Y1298" s="1530"/>
      <c r="Z1298" s="1530"/>
      <c r="AA1298" s="1530"/>
      <c r="AB1298" s="1530"/>
      <c r="AC1298" s="1530"/>
      <c r="AD1298" s="1530"/>
      <c r="AE1298" s="1530"/>
      <c r="AF1298" s="1530"/>
      <c r="AG1298" s="1530"/>
      <c r="AH1298" s="1530"/>
      <c r="AI1298" s="1530"/>
      <c r="AJ1298" s="1530"/>
      <c r="AK1298" s="1530"/>
      <c r="AL1298" s="1530"/>
      <c r="AM1298" s="1530"/>
      <c r="AN1298" s="1530"/>
      <c r="AO1298" s="1530"/>
      <c r="AP1298" s="1530"/>
      <c r="AQ1298" s="1530"/>
      <c r="AR1298" s="1530"/>
      <c r="AS1298" s="1530"/>
      <c r="AT1298" s="1530"/>
      <c r="AU1298" s="1530"/>
      <c r="AV1298" s="1530"/>
      <c r="AW1298" s="1530"/>
      <c r="AX1298" s="1530"/>
      <c r="AY1298" s="1530"/>
      <c r="AZ1298" s="1530"/>
      <c r="BA1298" s="1530"/>
      <c r="BB1298" s="1530"/>
      <c r="BC1298" s="1530"/>
      <c r="BD1298" s="1530"/>
      <c r="BE1298" s="1530"/>
      <c r="BF1298" s="1530"/>
      <c r="BG1298" s="1530"/>
      <c r="BH1298" s="1530"/>
      <c r="BI1298" s="1530"/>
      <c r="BJ1298" s="1530"/>
      <c r="BK1298" s="1530"/>
      <c r="BL1298" s="1530"/>
      <c r="BM1298" s="1530"/>
      <c r="BN1298" s="1530"/>
      <c r="BW1298" s="1569"/>
      <c r="CO1298" s="1530"/>
      <c r="CP1298" s="1530"/>
      <c r="CQ1298" s="1530"/>
      <c r="CR1298" s="1530"/>
      <c r="CS1298" s="1530"/>
      <c r="CT1298" s="1530"/>
      <c r="CU1298" s="1530"/>
      <c r="CV1298" s="1530"/>
      <c r="CW1298" s="1530"/>
      <c r="CX1298" s="1530"/>
      <c r="CY1298" s="1530"/>
      <c r="CZ1298" s="1530"/>
      <c r="DA1298" s="1530"/>
      <c r="DB1298" s="1530"/>
      <c r="DC1298" s="1530"/>
      <c r="DD1298" s="1530"/>
      <c r="DE1298" s="1530"/>
      <c r="DF1298" s="1530"/>
      <c r="DG1298" s="1530"/>
      <c r="DH1298" s="1530"/>
      <c r="DI1298" s="1530"/>
      <c r="DJ1298" s="1530"/>
      <c r="DK1298" s="1530"/>
      <c r="DL1298" s="1530"/>
      <c r="DM1298" s="1530"/>
      <c r="DN1298" s="1571"/>
      <c r="DO1298" s="1530"/>
      <c r="DP1298" s="1530"/>
    </row>
    <row r="1299" spans="1:120">
      <c r="A1299" s="1451"/>
      <c r="C1299" s="1451"/>
      <c r="K1299" s="1451"/>
      <c r="L1299" s="1451"/>
      <c r="U1299" s="1530"/>
      <c r="V1299" s="1530"/>
      <c r="W1299" s="1530"/>
      <c r="X1299" s="1530"/>
      <c r="Y1299" s="1530"/>
      <c r="Z1299" s="1530"/>
      <c r="AA1299" s="1530"/>
      <c r="AB1299" s="1530"/>
      <c r="AC1299" s="1530"/>
      <c r="AD1299" s="1530"/>
      <c r="AE1299" s="1530"/>
      <c r="AF1299" s="1530"/>
      <c r="AG1299" s="1530"/>
      <c r="AH1299" s="1530"/>
      <c r="AI1299" s="1530"/>
      <c r="AJ1299" s="1530"/>
      <c r="AK1299" s="1530"/>
      <c r="AL1299" s="1530"/>
      <c r="AM1299" s="1530"/>
      <c r="AN1299" s="1530"/>
      <c r="AO1299" s="1530"/>
      <c r="AP1299" s="1530"/>
      <c r="AQ1299" s="1530"/>
      <c r="AR1299" s="1530"/>
      <c r="AS1299" s="1530"/>
      <c r="AT1299" s="1530"/>
      <c r="AU1299" s="1530"/>
      <c r="AV1299" s="1530"/>
      <c r="AW1299" s="1530"/>
      <c r="AX1299" s="1530"/>
      <c r="AY1299" s="1530"/>
      <c r="AZ1299" s="1530"/>
      <c r="BA1299" s="1530"/>
      <c r="BB1299" s="1530"/>
      <c r="BC1299" s="1530"/>
      <c r="BD1299" s="1530"/>
      <c r="BE1299" s="1530"/>
      <c r="BF1299" s="1530"/>
      <c r="BG1299" s="1530"/>
      <c r="BH1299" s="1530"/>
      <c r="BI1299" s="1530"/>
      <c r="BJ1299" s="1530"/>
      <c r="BK1299" s="1530"/>
      <c r="BL1299" s="1530"/>
      <c r="BM1299" s="1530"/>
      <c r="BN1299" s="1530"/>
      <c r="BW1299" s="1569"/>
      <c r="CO1299" s="1530"/>
      <c r="CP1299" s="1530"/>
      <c r="CQ1299" s="1530"/>
      <c r="CR1299" s="1530"/>
      <c r="CS1299" s="1530"/>
      <c r="CT1299" s="1530"/>
      <c r="CU1299" s="1530"/>
      <c r="CV1299" s="1530"/>
      <c r="CW1299" s="1530"/>
      <c r="CX1299" s="1530"/>
      <c r="CY1299" s="1530"/>
      <c r="CZ1299" s="1530"/>
      <c r="DA1299" s="1530"/>
      <c r="DB1299" s="1530"/>
      <c r="DC1299" s="1530"/>
      <c r="DD1299" s="1530"/>
      <c r="DE1299" s="1530"/>
      <c r="DF1299" s="1530"/>
      <c r="DG1299" s="1530"/>
      <c r="DH1299" s="1530"/>
      <c r="DI1299" s="1530"/>
      <c r="DJ1299" s="1530"/>
      <c r="DK1299" s="1530"/>
      <c r="DL1299" s="1530"/>
      <c r="DM1299" s="1530"/>
      <c r="DN1299" s="1571"/>
      <c r="DO1299" s="1530"/>
      <c r="DP1299" s="1530"/>
    </row>
    <row r="1300" spans="1:120">
      <c r="A1300" s="1451"/>
      <c r="C1300" s="1451"/>
      <c r="K1300" s="1451"/>
      <c r="L1300" s="1451"/>
      <c r="U1300" s="1530"/>
      <c r="V1300" s="1530"/>
      <c r="W1300" s="1530"/>
      <c r="X1300" s="1530"/>
      <c r="Y1300" s="1530"/>
      <c r="Z1300" s="1530"/>
      <c r="AA1300" s="1530"/>
      <c r="AB1300" s="1530"/>
      <c r="AC1300" s="1530"/>
      <c r="AD1300" s="1530"/>
      <c r="AE1300" s="1530"/>
      <c r="AF1300" s="1530"/>
      <c r="AG1300" s="1530"/>
      <c r="AH1300" s="1530"/>
      <c r="AI1300" s="1530"/>
      <c r="AJ1300" s="1530"/>
      <c r="AK1300" s="1530"/>
      <c r="AL1300" s="1530"/>
      <c r="AM1300" s="1530"/>
      <c r="AN1300" s="1530"/>
      <c r="AO1300" s="1530"/>
      <c r="AP1300" s="1530"/>
      <c r="AQ1300" s="1530"/>
      <c r="AR1300" s="1530"/>
      <c r="AS1300" s="1530"/>
      <c r="AT1300" s="1530"/>
      <c r="AU1300" s="1530"/>
      <c r="AV1300" s="1530"/>
      <c r="AW1300" s="1530"/>
      <c r="AX1300" s="1530"/>
      <c r="AY1300" s="1530"/>
      <c r="AZ1300" s="1530"/>
      <c r="BA1300" s="1530"/>
      <c r="BB1300" s="1530"/>
      <c r="BC1300" s="1530"/>
      <c r="BD1300" s="1530"/>
      <c r="BE1300" s="1530"/>
      <c r="BF1300" s="1530"/>
      <c r="BG1300" s="1530"/>
      <c r="BH1300" s="1530"/>
      <c r="BI1300" s="1530"/>
      <c r="BJ1300" s="1530"/>
      <c r="BK1300" s="1530"/>
      <c r="BL1300" s="1530"/>
      <c r="BM1300" s="1530"/>
      <c r="BN1300" s="1530"/>
      <c r="BW1300" s="1569"/>
      <c r="CO1300" s="1530"/>
      <c r="CP1300" s="1530"/>
      <c r="CQ1300" s="1530"/>
      <c r="CR1300" s="1530"/>
      <c r="CS1300" s="1530"/>
      <c r="CT1300" s="1530"/>
      <c r="CU1300" s="1530"/>
      <c r="CV1300" s="1530"/>
      <c r="CW1300" s="1530"/>
      <c r="CX1300" s="1530"/>
      <c r="CY1300" s="1530"/>
      <c r="CZ1300" s="1530"/>
      <c r="DA1300" s="1530"/>
      <c r="DB1300" s="1530"/>
      <c r="DC1300" s="1530"/>
      <c r="DD1300" s="1530"/>
      <c r="DE1300" s="1530"/>
      <c r="DF1300" s="1530"/>
      <c r="DG1300" s="1530"/>
      <c r="DH1300" s="1530"/>
      <c r="DI1300" s="1530"/>
      <c r="DJ1300" s="1530"/>
      <c r="DK1300" s="1530"/>
      <c r="DL1300" s="1530"/>
      <c r="DM1300" s="1530"/>
      <c r="DN1300" s="1571"/>
      <c r="DO1300" s="1530"/>
      <c r="DP1300" s="1530"/>
    </row>
    <row r="1301" spans="1:120">
      <c r="A1301" s="1451"/>
      <c r="C1301" s="1451"/>
      <c r="K1301" s="1451"/>
      <c r="L1301" s="1451"/>
      <c r="U1301" s="1530"/>
      <c r="V1301" s="1530"/>
      <c r="W1301" s="1530"/>
      <c r="X1301" s="1530"/>
      <c r="Y1301" s="1530"/>
      <c r="Z1301" s="1530"/>
      <c r="AA1301" s="1530"/>
      <c r="AB1301" s="1530"/>
      <c r="AC1301" s="1530"/>
      <c r="AD1301" s="1530"/>
      <c r="AE1301" s="1530"/>
      <c r="AF1301" s="1530"/>
      <c r="AG1301" s="1530"/>
      <c r="AH1301" s="1530"/>
      <c r="AI1301" s="1530"/>
      <c r="AJ1301" s="1530"/>
      <c r="AK1301" s="1530"/>
      <c r="AL1301" s="1530"/>
      <c r="AM1301" s="1530"/>
      <c r="AN1301" s="1530"/>
      <c r="AO1301" s="1530"/>
      <c r="AP1301" s="1530"/>
      <c r="AQ1301" s="1530"/>
      <c r="AR1301" s="1530"/>
      <c r="AS1301" s="1530"/>
      <c r="AT1301" s="1530"/>
      <c r="AU1301" s="1530"/>
      <c r="AV1301" s="1530"/>
      <c r="AW1301" s="1530"/>
      <c r="AX1301" s="1530"/>
      <c r="AY1301" s="1530"/>
      <c r="AZ1301" s="1530"/>
      <c r="BA1301" s="1530"/>
      <c r="BB1301" s="1530"/>
      <c r="BC1301" s="1530"/>
      <c r="BD1301" s="1530"/>
      <c r="BE1301" s="1530"/>
      <c r="BF1301" s="1530"/>
      <c r="BG1301" s="1530"/>
      <c r="BH1301" s="1530"/>
      <c r="BI1301" s="1530"/>
      <c r="BJ1301" s="1530"/>
      <c r="BK1301" s="1530"/>
      <c r="BL1301" s="1530"/>
      <c r="BM1301" s="1530"/>
      <c r="BN1301" s="1530"/>
      <c r="BW1301" s="1569"/>
      <c r="CO1301" s="1530"/>
      <c r="CP1301" s="1530"/>
      <c r="CQ1301" s="1530"/>
      <c r="CR1301" s="1530"/>
      <c r="CS1301" s="1530"/>
      <c r="CT1301" s="1530"/>
      <c r="CU1301" s="1530"/>
      <c r="CV1301" s="1530"/>
      <c r="CW1301" s="1530"/>
      <c r="CX1301" s="1530"/>
      <c r="CY1301" s="1530"/>
      <c r="CZ1301" s="1530"/>
      <c r="DA1301" s="1530"/>
      <c r="DB1301" s="1530"/>
      <c r="DC1301" s="1530"/>
      <c r="DD1301" s="1530"/>
      <c r="DE1301" s="1530"/>
      <c r="DF1301" s="1530"/>
      <c r="DG1301" s="1530"/>
      <c r="DH1301" s="1530"/>
      <c r="DI1301" s="1530"/>
      <c r="DJ1301" s="1530"/>
      <c r="DK1301" s="1530"/>
      <c r="DL1301" s="1530"/>
      <c r="DM1301" s="1530"/>
      <c r="DN1301" s="1571"/>
      <c r="DO1301" s="1530"/>
      <c r="DP1301" s="1530"/>
    </row>
    <row r="1302" spans="1:120">
      <c r="A1302" s="1451"/>
      <c r="C1302" s="1451"/>
      <c r="K1302" s="1451"/>
      <c r="L1302" s="1451"/>
      <c r="U1302" s="1530"/>
      <c r="V1302" s="1530"/>
      <c r="W1302" s="1530"/>
      <c r="X1302" s="1530"/>
      <c r="Y1302" s="1530"/>
      <c r="Z1302" s="1530"/>
      <c r="AA1302" s="1530"/>
      <c r="AB1302" s="1530"/>
      <c r="AC1302" s="1530"/>
      <c r="AD1302" s="1530"/>
      <c r="AE1302" s="1530"/>
      <c r="AF1302" s="1530"/>
      <c r="AG1302" s="1530"/>
      <c r="AH1302" s="1530"/>
      <c r="AI1302" s="1530"/>
      <c r="AJ1302" s="1530"/>
      <c r="AK1302" s="1530"/>
      <c r="AL1302" s="1530"/>
      <c r="AM1302" s="1530"/>
      <c r="AN1302" s="1530"/>
      <c r="AO1302" s="1530"/>
      <c r="AP1302" s="1530"/>
      <c r="AQ1302" s="1530"/>
      <c r="AR1302" s="1530"/>
      <c r="AS1302" s="1530"/>
      <c r="AT1302" s="1530"/>
      <c r="AU1302" s="1530"/>
      <c r="AV1302" s="1530"/>
      <c r="AW1302" s="1530"/>
      <c r="AX1302" s="1530"/>
      <c r="AY1302" s="1530"/>
      <c r="AZ1302" s="1530"/>
      <c r="BA1302" s="1530"/>
      <c r="BB1302" s="1530"/>
      <c r="BC1302" s="1530"/>
      <c r="BD1302" s="1530"/>
      <c r="BE1302" s="1530"/>
      <c r="BF1302" s="1530"/>
      <c r="BG1302" s="1530"/>
      <c r="BH1302" s="1530"/>
      <c r="BI1302" s="1530"/>
      <c r="BJ1302" s="1530"/>
      <c r="BK1302" s="1530"/>
      <c r="BL1302" s="1530"/>
      <c r="BM1302" s="1530"/>
      <c r="BN1302" s="1530"/>
      <c r="BW1302" s="1569"/>
      <c r="CO1302" s="1530"/>
      <c r="CP1302" s="1530"/>
      <c r="CQ1302" s="1530"/>
      <c r="CR1302" s="1530"/>
      <c r="CS1302" s="1530"/>
      <c r="CT1302" s="1530"/>
      <c r="CU1302" s="1530"/>
      <c r="CV1302" s="1530"/>
      <c r="CW1302" s="1530"/>
      <c r="CX1302" s="1530"/>
      <c r="CY1302" s="1530"/>
      <c r="CZ1302" s="1530"/>
      <c r="DA1302" s="1530"/>
      <c r="DB1302" s="1530"/>
      <c r="DC1302" s="1530"/>
      <c r="DD1302" s="1530"/>
      <c r="DE1302" s="1530"/>
      <c r="DF1302" s="1530"/>
      <c r="DG1302" s="1530"/>
      <c r="DH1302" s="1530"/>
      <c r="DI1302" s="1530"/>
      <c r="DJ1302" s="1530"/>
      <c r="DK1302" s="1530"/>
      <c r="DL1302" s="1530"/>
      <c r="DM1302" s="1530"/>
      <c r="DN1302" s="1571"/>
      <c r="DO1302" s="1530"/>
      <c r="DP1302" s="1530"/>
    </row>
    <row r="1303" spans="1:120">
      <c r="A1303" s="1451"/>
      <c r="C1303" s="1451"/>
      <c r="K1303" s="1451"/>
      <c r="L1303" s="1451"/>
      <c r="U1303" s="1530"/>
      <c r="V1303" s="1530"/>
      <c r="W1303" s="1530"/>
      <c r="X1303" s="1530"/>
      <c r="Y1303" s="1530"/>
      <c r="Z1303" s="1530"/>
      <c r="AA1303" s="1530"/>
      <c r="AB1303" s="1530"/>
      <c r="AC1303" s="1530"/>
      <c r="AD1303" s="1530"/>
      <c r="AE1303" s="1530"/>
      <c r="AF1303" s="1530"/>
      <c r="AG1303" s="1530"/>
      <c r="AH1303" s="1530"/>
      <c r="AI1303" s="1530"/>
      <c r="AJ1303" s="1530"/>
      <c r="AK1303" s="1530"/>
      <c r="AL1303" s="1530"/>
      <c r="AM1303" s="1530"/>
      <c r="AN1303" s="1530"/>
      <c r="AO1303" s="1530"/>
      <c r="AP1303" s="1530"/>
      <c r="AQ1303" s="1530"/>
      <c r="AR1303" s="1530"/>
      <c r="AS1303" s="1530"/>
      <c r="AT1303" s="1530"/>
      <c r="AU1303" s="1530"/>
      <c r="AV1303" s="1530"/>
      <c r="AW1303" s="1530"/>
      <c r="AX1303" s="1530"/>
      <c r="AY1303" s="1530"/>
      <c r="AZ1303" s="1530"/>
      <c r="BA1303" s="1530"/>
      <c r="BB1303" s="1530"/>
      <c r="BC1303" s="1530"/>
      <c r="BD1303" s="1530"/>
      <c r="BE1303" s="1530"/>
      <c r="BF1303" s="1530"/>
      <c r="BG1303" s="1530"/>
      <c r="BH1303" s="1530"/>
      <c r="BI1303" s="1530"/>
      <c r="BJ1303" s="1530"/>
      <c r="BK1303" s="1530"/>
      <c r="BL1303" s="1530"/>
      <c r="BM1303" s="1530"/>
      <c r="BN1303" s="1530"/>
      <c r="BW1303" s="1569"/>
      <c r="CO1303" s="1530"/>
      <c r="CP1303" s="1530"/>
      <c r="CQ1303" s="1530"/>
      <c r="CR1303" s="1530"/>
      <c r="CS1303" s="1530"/>
      <c r="CT1303" s="1530"/>
      <c r="CU1303" s="1530"/>
      <c r="CV1303" s="1530"/>
      <c r="CW1303" s="1530"/>
      <c r="CX1303" s="1530"/>
      <c r="CY1303" s="1530"/>
      <c r="CZ1303" s="1530"/>
      <c r="DA1303" s="1530"/>
      <c r="DB1303" s="1530"/>
      <c r="DC1303" s="1530"/>
      <c r="DD1303" s="1530"/>
      <c r="DE1303" s="1530"/>
      <c r="DF1303" s="1530"/>
      <c r="DG1303" s="1530"/>
      <c r="DH1303" s="1530"/>
      <c r="DI1303" s="1530"/>
      <c r="DJ1303" s="1530"/>
      <c r="DK1303" s="1530"/>
      <c r="DL1303" s="1530"/>
      <c r="DM1303" s="1530"/>
      <c r="DN1303" s="1571"/>
      <c r="DO1303" s="1530"/>
      <c r="DP1303" s="1530"/>
    </row>
    <row r="1304" spans="1:120">
      <c r="A1304" s="1451"/>
      <c r="C1304" s="1451"/>
      <c r="K1304" s="1451"/>
      <c r="L1304" s="1451"/>
      <c r="U1304" s="1530"/>
      <c r="V1304" s="1530"/>
      <c r="W1304" s="1530"/>
      <c r="X1304" s="1530"/>
      <c r="Y1304" s="1530"/>
      <c r="Z1304" s="1530"/>
      <c r="AA1304" s="1530"/>
      <c r="AB1304" s="1530"/>
      <c r="AC1304" s="1530"/>
      <c r="AD1304" s="1530"/>
      <c r="AE1304" s="1530"/>
      <c r="AF1304" s="1530"/>
      <c r="AG1304" s="1530"/>
      <c r="AH1304" s="1530"/>
      <c r="AI1304" s="1530"/>
      <c r="AJ1304" s="1530"/>
      <c r="AK1304" s="1530"/>
      <c r="AL1304" s="1530"/>
      <c r="AM1304" s="1530"/>
      <c r="AN1304" s="1530"/>
      <c r="AO1304" s="1530"/>
      <c r="AP1304" s="1530"/>
      <c r="AQ1304" s="1530"/>
      <c r="AR1304" s="1530"/>
      <c r="AS1304" s="1530"/>
      <c r="AT1304" s="1530"/>
      <c r="AU1304" s="1530"/>
      <c r="AV1304" s="1530"/>
      <c r="AW1304" s="1530"/>
      <c r="AX1304" s="1530"/>
      <c r="AY1304" s="1530"/>
      <c r="AZ1304" s="1530"/>
      <c r="BA1304" s="1530"/>
      <c r="BB1304" s="1530"/>
      <c r="BC1304" s="1530"/>
      <c r="BD1304" s="1530"/>
      <c r="BE1304" s="1530"/>
      <c r="BF1304" s="1530"/>
      <c r="BG1304" s="1530"/>
      <c r="BH1304" s="1530"/>
      <c r="BI1304" s="1530"/>
      <c r="BJ1304" s="1530"/>
      <c r="BK1304" s="1530"/>
      <c r="BL1304" s="1530"/>
      <c r="BM1304" s="1530"/>
      <c r="BN1304" s="1530"/>
      <c r="BW1304" s="1569"/>
      <c r="CO1304" s="1530"/>
      <c r="CP1304" s="1530"/>
      <c r="CQ1304" s="1530"/>
      <c r="CR1304" s="1530"/>
      <c r="CS1304" s="1530"/>
      <c r="CT1304" s="1530"/>
      <c r="CU1304" s="1530"/>
      <c r="CV1304" s="1530"/>
      <c r="CW1304" s="1530"/>
      <c r="CX1304" s="1530"/>
      <c r="CY1304" s="1530"/>
      <c r="CZ1304" s="1530"/>
      <c r="DA1304" s="1530"/>
      <c r="DB1304" s="1530"/>
      <c r="DC1304" s="1530"/>
      <c r="DD1304" s="1530"/>
      <c r="DE1304" s="1530"/>
      <c r="DF1304" s="1530"/>
      <c r="DG1304" s="1530"/>
      <c r="DH1304" s="1530"/>
      <c r="DI1304" s="1530"/>
      <c r="DJ1304" s="1530"/>
      <c r="DK1304" s="1530"/>
      <c r="DL1304" s="1530"/>
      <c r="DM1304" s="1530"/>
      <c r="DN1304" s="1571"/>
      <c r="DO1304" s="1530"/>
      <c r="DP1304" s="1530"/>
    </row>
    <row r="1305" spans="1:120">
      <c r="A1305" s="1451"/>
      <c r="C1305" s="1451"/>
      <c r="K1305" s="1451"/>
      <c r="L1305" s="1451"/>
      <c r="U1305" s="1530"/>
      <c r="V1305" s="1530"/>
      <c r="W1305" s="1530"/>
      <c r="X1305" s="1530"/>
      <c r="Y1305" s="1530"/>
      <c r="Z1305" s="1530"/>
      <c r="AA1305" s="1530"/>
      <c r="AB1305" s="1530"/>
      <c r="AC1305" s="1530"/>
      <c r="AD1305" s="1530"/>
      <c r="AE1305" s="1530"/>
      <c r="AF1305" s="1530"/>
      <c r="AG1305" s="1530"/>
      <c r="AH1305" s="1530"/>
      <c r="AI1305" s="1530"/>
      <c r="AJ1305" s="1530"/>
      <c r="AK1305" s="1530"/>
      <c r="AL1305" s="1530"/>
      <c r="AM1305" s="1530"/>
      <c r="AN1305" s="1530"/>
      <c r="AO1305" s="1530"/>
      <c r="AP1305" s="1530"/>
      <c r="AQ1305" s="1530"/>
      <c r="AR1305" s="1530"/>
      <c r="AS1305" s="1530"/>
      <c r="AT1305" s="1530"/>
      <c r="AU1305" s="1530"/>
      <c r="AV1305" s="1530"/>
      <c r="AW1305" s="1530"/>
      <c r="AX1305" s="1530"/>
      <c r="AY1305" s="1530"/>
      <c r="AZ1305" s="1530"/>
      <c r="BA1305" s="1530"/>
      <c r="BB1305" s="1530"/>
      <c r="BC1305" s="1530"/>
      <c r="BD1305" s="1530"/>
      <c r="BE1305" s="1530"/>
      <c r="BF1305" s="1530"/>
      <c r="BG1305" s="1530"/>
      <c r="BH1305" s="1530"/>
      <c r="BI1305" s="1530"/>
      <c r="BJ1305" s="1530"/>
      <c r="BK1305" s="1530"/>
      <c r="BL1305" s="1530"/>
      <c r="BM1305" s="1530"/>
      <c r="BN1305" s="1530"/>
      <c r="BW1305" s="1569"/>
      <c r="CO1305" s="1530"/>
      <c r="CP1305" s="1530"/>
      <c r="CQ1305" s="1530"/>
      <c r="CR1305" s="1530"/>
      <c r="CS1305" s="1530"/>
      <c r="CT1305" s="1530"/>
      <c r="CU1305" s="1530"/>
      <c r="CV1305" s="1530"/>
      <c r="CW1305" s="1530"/>
      <c r="CX1305" s="1530"/>
      <c r="CY1305" s="1530"/>
      <c r="CZ1305" s="1530"/>
      <c r="DA1305" s="1530"/>
      <c r="DB1305" s="1530"/>
      <c r="DC1305" s="1530"/>
      <c r="DD1305" s="1530"/>
      <c r="DE1305" s="1530"/>
      <c r="DF1305" s="1530"/>
      <c r="DG1305" s="1530"/>
      <c r="DH1305" s="1530"/>
      <c r="DI1305" s="1530"/>
      <c r="DJ1305" s="1530"/>
      <c r="DK1305" s="1530"/>
      <c r="DL1305" s="1530"/>
      <c r="DM1305" s="1530"/>
      <c r="DN1305" s="1571"/>
      <c r="DO1305" s="1530"/>
      <c r="DP1305" s="1530"/>
    </row>
    <row r="1306" spans="1:120">
      <c r="A1306" s="1451"/>
      <c r="C1306" s="1451"/>
      <c r="K1306" s="1451"/>
      <c r="L1306" s="1451"/>
      <c r="U1306" s="1530"/>
      <c r="V1306" s="1530"/>
      <c r="W1306" s="1530"/>
      <c r="X1306" s="1530"/>
      <c r="Y1306" s="1530"/>
      <c r="Z1306" s="1530"/>
      <c r="AA1306" s="1530"/>
      <c r="AB1306" s="1530"/>
      <c r="AC1306" s="1530"/>
      <c r="AD1306" s="1530"/>
      <c r="AE1306" s="1530"/>
      <c r="AF1306" s="1530"/>
      <c r="AG1306" s="1530"/>
      <c r="AH1306" s="1530"/>
      <c r="AI1306" s="1530"/>
      <c r="AJ1306" s="1530"/>
      <c r="AK1306" s="1530"/>
      <c r="AL1306" s="1530"/>
      <c r="AM1306" s="1530"/>
      <c r="AN1306" s="1530"/>
      <c r="AO1306" s="1530"/>
      <c r="AP1306" s="1530"/>
      <c r="AQ1306" s="1530"/>
      <c r="AR1306" s="1530"/>
      <c r="AS1306" s="1530"/>
      <c r="AT1306" s="1530"/>
      <c r="AU1306" s="1530"/>
      <c r="AV1306" s="1530"/>
      <c r="AW1306" s="1530"/>
      <c r="AX1306" s="1530"/>
      <c r="AY1306" s="1530"/>
      <c r="AZ1306" s="1530"/>
      <c r="BA1306" s="1530"/>
      <c r="BB1306" s="1530"/>
      <c r="BC1306" s="1530"/>
      <c r="BD1306" s="1530"/>
      <c r="BE1306" s="1530"/>
      <c r="BF1306" s="1530"/>
      <c r="BG1306" s="1530"/>
      <c r="BH1306" s="1530"/>
      <c r="BI1306" s="1530"/>
      <c r="BJ1306" s="1530"/>
      <c r="BK1306" s="1530"/>
      <c r="BL1306" s="1530"/>
      <c r="BM1306" s="1530"/>
      <c r="BN1306" s="1530"/>
      <c r="BW1306" s="1569"/>
      <c r="CO1306" s="1530"/>
      <c r="CP1306" s="1530"/>
      <c r="CQ1306" s="1530"/>
      <c r="CR1306" s="1530"/>
      <c r="CS1306" s="1530"/>
      <c r="CT1306" s="1530"/>
      <c r="CU1306" s="1530"/>
      <c r="CV1306" s="1530"/>
      <c r="CW1306" s="1530"/>
      <c r="CX1306" s="1530"/>
      <c r="CY1306" s="1530"/>
      <c r="CZ1306" s="1530"/>
      <c r="DA1306" s="1530"/>
      <c r="DB1306" s="1530"/>
      <c r="DC1306" s="1530"/>
      <c r="DD1306" s="1530"/>
      <c r="DE1306" s="1530"/>
      <c r="DF1306" s="1530"/>
      <c r="DG1306" s="1530"/>
      <c r="DH1306" s="1530"/>
      <c r="DI1306" s="1530"/>
      <c r="DJ1306" s="1530"/>
      <c r="DK1306" s="1530"/>
      <c r="DL1306" s="1530"/>
      <c r="DM1306" s="1530"/>
      <c r="DN1306" s="1571"/>
      <c r="DO1306" s="1530"/>
      <c r="DP1306" s="1530"/>
    </row>
    <row r="1307" spans="1:120">
      <c r="A1307" s="1451"/>
      <c r="C1307" s="1451"/>
      <c r="K1307" s="1451"/>
      <c r="L1307" s="1451"/>
      <c r="U1307" s="1530"/>
      <c r="V1307" s="1530"/>
      <c r="W1307" s="1530"/>
      <c r="X1307" s="1530"/>
      <c r="Y1307" s="1530"/>
      <c r="Z1307" s="1530"/>
      <c r="AA1307" s="1530"/>
      <c r="AB1307" s="1530"/>
      <c r="AC1307" s="1530"/>
      <c r="AD1307" s="1530"/>
      <c r="AE1307" s="1530"/>
      <c r="AF1307" s="1530"/>
      <c r="AG1307" s="1530"/>
      <c r="AH1307" s="1530"/>
      <c r="AI1307" s="1530"/>
      <c r="AJ1307" s="1530"/>
      <c r="AK1307" s="1530"/>
      <c r="AL1307" s="1530"/>
      <c r="AM1307" s="1530"/>
      <c r="AN1307" s="1530"/>
      <c r="AO1307" s="1530"/>
      <c r="AP1307" s="1530"/>
      <c r="AQ1307" s="1530"/>
      <c r="AR1307" s="1530"/>
      <c r="AS1307" s="1530"/>
      <c r="AT1307" s="1530"/>
      <c r="AU1307" s="1530"/>
      <c r="AV1307" s="1530"/>
      <c r="AW1307" s="1530"/>
      <c r="AX1307" s="1530"/>
      <c r="AY1307" s="1530"/>
      <c r="AZ1307" s="1530"/>
      <c r="BA1307" s="1530"/>
      <c r="BB1307" s="1530"/>
      <c r="BC1307" s="1530"/>
      <c r="BD1307" s="1530"/>
      <c r="BE1307" s="1530"/>
      <c r="BF1307" s="1530"/>
      <c r="BG1307" s="1530"/>
      <c r="BH1307" s="1530"/>
      <c r="BI1307" s="1530"/>
      <c r="BJ1307" s="1530"/>
      <c r="BK1307" s="1530"/>
      <c r="BL1307" s="1530"/>
      <c r="BM1307" s="1530"/>
      <c r="BN1307" s="1530"/>
      <c r="BW1307" s="1569"/>
      <c r="CO1307" s="1530"/>
      <c r="CP1307" s="1530"/>
      <c r="CQ1307" s="1530"/>
      <c r="CR1307" s="1530"/>
      <c r="CS1307" s="1530"/>
      <c r="CT1307" s="1530"/>
      <c r="CU1307" s="1530"/>
      <c r="CV1307" s="1530"/>
      <c r="CW1307" s="1530"/>
      <c r="CX1307" s="1530"/>
      <c r="CY1307" s="1530"/>
      <c r="CZ1307" s="1530"/>
      <c r="DA1307" s="1530"/>
      <c r="DB1307" s="1530"/>
      <c r="DC1307" s="1530"/>
      <c r="DD1307" s="1530"/>
      <c r="DE1307" s="1530"/>
      <c r="DF1307" s="1530"/>
      <c r="DG1307" s="1530"/>
      <c r="DH1307" s="1530"/>
      <c r="DI1307" s="1530"/>
      <c r="DJ1307" s="1530"/>
      <c r="DK1307" s="1530"/>
      <c r="DL1307" s="1530"/>
      <c r="DM1307" s="1530"/>
      <c r="DN1307" s="1571"/>
      <c r="DO1307" s="1530"/>
      <c r="DP1307" s="1530"/>
    </row>
    <row r="1308" spans="1:120">
      <c r="A1308" s="1451"/>
      <c r="C1308" s="1451"/>
      <c r="K1308" s="1451"/>
      <c r="L1308" s="1451"/>
      <c r="U1308" s="1530"/>
      <c r="V1308" s="1530"/>
      <c r="W1308" s="1530"/>
      <c r="X1308" s="1530"/>
      <c r="Y1308" s="1530"/>
      <c r="Z1308" s="1530"/>
      <c r="AA1308" s="1530"/>
      <c r="AB1308" s="1530"/>
      <c r="AC1308" s="1530"/>
      <c r="AD1308" s="1530"/>
      <c r="AE1308" s="1530"/>
      <c r="AF1308" s="1530"/>
      <c r="AG1308" s="1530"/>
      <c r="AH1308" s="1530"/>
      <c r="AI1308" s="1530"/>
      <c r="AJ1308" s="1530"/>
      <c r="AK1308" s="1530"/>
      <c r="AL1308" s="1530"/>
      <c r="AM1308" s="1530"/>
      <c r="AN1308" s="1530"/>
      <c r="AO1308" s="1530"/>
      <c r="AP1308" s="1530"/>
      <c r="AQ1308" s="1530"/>
      <c r="AR1308" s="1530"/>
      <c r="AS1308" s="1530"/>
      <c r="AT1308" s="1530"/>
      <c r="AU1308" s="1530"/>
      <c r="AV1308" s="1530"/>
      <c r="AW1308" s="1530"/>
      <c r="AX1308" s="1530"/>
      <c r="AY1308" s="1530"/>
      <c r="AZ1308" s="1530"/>
      <c r="BA1308" s="1530"/>
      <c r="BB1308" s="1530"/>
      <c r="BC1308" s="1530"/>
      <c r="BD1308" s="1530"/>
      <c r="BE1308" s="1530"/>
      <c r="BF1308" s="1530"/>
      <c r="BG1308" s="1530"/>
      <c r="BH1308" s="1530"/>
      <c r="BI1308" s="1530"/>
      <c r="BJ1308" s="1530"/>
      <c r="BK1308" s="1530"/>
      <c r="BL1308" s="1530"/>
      <c r="BM1308" s="1530"/>
      <c r="BN1308" s="1530"/>
      <c r="BW1308" s="1569"/>
      <c r="CO1308" s="1530"/>
      <c r="CP1308" s="1530"/>
      <c r="CQ1308" s="1530"/>
      <c r="CR1308" s="1530"/>
      <c r="CS1308" s="1530"/>
      <c r="CT1308" s="1530"/>
      <c r="CU1308" s="1530"/>
      <c r="CV1308" s="1530"/>
      <c r="CW1308" s="1530"/>
      <c r="CX1308" s="1530"/>
      <c r="CY1308" s="1530"/>
      <c r="CZ1308" s="1530"/>
      <c r="DA1308" s="1530"/>
      <c r="DB1308" s="1530"/>
      <c r="DC1308" s="1530"/>
      <c r="DD1308" s="1530"/>
      <c r="DE1308" s="1530"/>
      <c r="DF1308" s="1530"/>
      <c r="DG1308" s="1530"/>
      <c r="DH1308" s="1530"/>
      <c r="DI1308" s="1530"/>
      <c r="DJ1308" s="1530"/>
      <c r="DK1308" s="1530"/>
      <c r="DL1308" s="1530"/>
      <c r="DM1308" s="1530"/>
      <c r="DN1308" s="1571"/>
      <c r="DO1308" s="1530"/>
      <c r="DP1308" s="1530"/>
    </row>
    <row r="1309" spans="1:120">
      <c r="A1309" s="1451"/>
      <c r="C1309" s="1451"/>
      <c r="K1309" s="1451"/>
      <c r="L1309" s="1451"/>
      <c r="U1309" s="1530"/>
      <c r="V1309" s="1530"/>
      <c r="W1309" s="1530"/>
      <c r="X1309" s="1530"/>
      <c r="Y1309" s="1530"/>
      <c r="Z1309" s="1530"/>
      <c r="AA1309" s="1530"/>
      <c r="AB1309" s="1530"/>
      <c r="AC1309" s="1530"/>
      <c r="AD1309" s="1530"/>
      <c r="AE1309" s="1530"/>
      <c r="AF1309" s="1530"/>
      <c r="AG1309" s="1530"/>
      <c r="AH1309" s="1530"/>
      <c r="AI1309" s="1530"/>
      <c r="AJ1309" s="1530"/>
      <c r="AK1309" s="1530"/>
      <c r="AL1309" s="1530"/>
      <c r="AM1309" s="1530"/>
      <c r="AN1309" s="1530"/>
      <c r="AO1309" s="1530"/>
      <c r="AP1309" s="1530"/>
      <c r="AQ1309" s="1530"/>
      <c r="AR1309" s="1530"/>
      <c r="AS1309" s="1530"/>
      <c r="AT1309" s="1530"/>
      <c r="AU1309" s="1530"/>
      <c r="AV1309" s="1530"/>
      <c r="AW1309" s="1530"/>
      <c r="AX1309" s="1530"/>
      <c r="AY1309" s="1530"/>
      <c r="AZ1309" s="1530"/>
      <c r="BA1309" s="1530"/>
      <c r="BB1309" s="1530"/>
      <c r="BC1309" s="1530"/>
      <c r="BD1309" s="1530"/>
      <c r="BE1309" s="1530"/>
      <c r="BF1309" s="1530"/>
      <c r="BG1309" s="1530"/>
      <c r="BH1309" s="1530"/>
      <c r="BI1309" s="1530"/>
      <c r="BJ1309" s="1530"/>
      <c r="BK1309" s="1530"/>
      <c r="BL1309" s="1530"/>
      <c r="BM1309" s="1530"/>
      <c r="BN1309" s="1530"/>
      <c r="BW1309" s="1569"/>
      <c r="CO1309" s="1530"/>
      <c r="CP1309" s="1530"/>
      <c r="CQ1309" s="1530"/>
      <c r="CR1309" s="1530"/>
      <c r="CS1309" s="1530"/>
      <c r="CT1309" s="1530"/>
      <c r="CU1309" s="1530"/>
      <c r="CV1309" s="1530"/>
      <c r="CW1309" s="1530"/>
      <c r="CX1309" s="1530"/>
      <c r="CY1309" s="1530"/>
      <c r="CZ1309" s="1530"/>
      <c r="DA1309" s="1530"/>
      <c r="DB1309" s="1530"/>
      <c r="DC1309" s="1530"/>
      <c r="DD1309" s="1530"/>
      <c r="DE1309" s="1530"/>
      <c r="DF1309" s="1530"/>
      <c r="DG1309" s="1530"/>
      <c r="DH1309" s="1530"/>
      <c r="DI1309" s="1530"/>
      <c r="DJ1309" s="1530"/>
      <c r="DK1309" s="1530"/>
      <c r="DL1309" s="1530"/>
      <c r="DM1309" s="1530"/>
      <c r="DN1309" s="1571"/>
      <c r="DO1309" s="1530"/>
      <c r="DP1309" s="1530"/>
    </row>
    <row r="1310" spans="1:120">
      <c r="A1310" s="1451"/>
      <c r="C1310" s="1451"/>
      <c r="K1310" s="1451"/>
      <c r="L1310" s="1451"/>
      <c r="U1310" s="1530"/>
      <c r="V1310" s="1530"/>
      <c r="W1310" s="1530"/>
      <c r="X1310" s="1530"/>
      <c r="Y1310" s="1530"/>
      <c r="Z1310" s="1530"/>
      <c r="AA1310" s="1530"/>
      <c r="AB1310" s="1530"/>
      <c r="AC1310" s="1530"/>
      <c r="AD1310" s="1530"/>
      <c r="AE1310" s="1530"/>
      <c r="AF1310" s="1530"/>
      <c r="AG1310" s="1530"/>
      <c r="AH1310" s="1530"/>
      <c r="AI1310" s="1530"/>
      <c r="AJ1310" s="1530"/>
      <c r="AK1310" s="1530"/>
      <c r="AL1310" s="1530"/>
      <c r="AM1310" s="1530"/>
      <c r="AN1310" s="1530"/>
      <c r="AO1310" s="1530"/>
      <c r="AP1310" s="1530"/>
      <c r="AQ1310" s="1530"/>
      <c r="AR1310" s="1530"/>
      <c r="AS1310" s="1530"/>
      <c r="AT1310" s="1530"/>
      <c r="AU1310" s="1530"/>
      <c r="AV1310" s="1530"/>
      <c r="AW1310" s="1530"/>
      <c r="AX1310" s="1530"/>
      <c r="AY1310" s="1530"/>
      <c r="AZ1310" s="1530"/>
      <c r="BA1310" s="1530"/>
      <c r="BB1310" s="1530"/>
      <c r="BC1310" s="1530"/>
      <c r="BD1310" s="1530"/>
      <c r="BE1310" s="1530"/>
      <c r="BF1310" s="1530"/>
      <c r="BG1310" s="1530"/>
      <c r="BH1310" s="1530"/>
      <c r="BI1310" s="1530"/>
      <c r="BJ1310" s="1530"/>
      <c r="BK1310" s="1530"/>
      <c r="BL1310" s="1530"/>
      <c r="BM1310" s="1530"/>
      <c r="BN1310" s="1530"/>
      <c r="BW1310" s="1569"/>
      <c r="CO1310" s="1530"/>
      <c r="CP1310" s="1530"/>
      <c r="CQ1310" s="1530"/>
      <c r="CR1310" s="1530"/>
      <c r="CS1310" s="1530"/>
      <c r="CT1310" s="1530"/>
      <c r="CU1310" s="1530"/>
      <c r="CV1310" s="1530"/>
      <c r="CW1310" s="1530"/>
      <c r="CX1310" s="1530"/>
      <c r="CY1310" s="1530"/>
      <c r="CZ1310" s="1530"/>
      <c r="DA1310" s="1530"/>
      <c r="DB1310" s="1530"/>
      <c r="DC1310" s="1530"/>
      <c r="DD1310" s="1530"/>
      <c r="DE1310" s="1530"/>
      <c r="DF1310" s="1530"/>
      <c r="DG1310" s="1530"/>
      <c r="DH1310" s="1530"/>
      <c r="DI1310" s="1530"/>
      <c r="DJ1310" s="1530"/>
      <c r="DK1310" s="1530"/>
      <c r="DL1310" s="1530"/>
      <c r="DM1310" s="1530"/>
      <c r="DN1310" s="1571"/>
      <c r="DO1310" s="1530"/>
      <c r="DP1310" s="1530"/>
    </row>
    <row r="1311" spans="1:120">
      <c r="A1311" s="1451"/>
      <c r="C1311" s="1451"/>
      <c r="K1311" s="1451"/>
      <c r="L1311" s="1451"/>
      <c r="U1311" s="1530"/>
      <c r="V1311" s="1530"/>
      <c r="W1311" s="1530"/>
      <c r="X1311" s="1530"/>
      <c r="Y1311" s="1530"/>
      <c r="Z1311" s="1530"/>
      <c r="AA1311" s="1530"/>
      <c r="AB1311" s="1530"/>
      <c r="AC1311" s="1530"/>
      <c r="AD1311" s="1530"/>
      <c r="AE1311" s="1530"/>
      <c r="AF1311" s="1530"/>
      <c r="AG1311" s="1530"/>
      <c r="AH1311" s="1530"/>
      <c r="AI1311" s="1530"/>
      <c r="AJ1311" s="1530"/>
      <c r="AK1311" s="1530"/>
      <c r="AL1311" s="1530"/>
      <c r="AM1311" s="1530"/>
      <c r="AN1311" s="1530"/>
      <c r="AO1311" s="1530"/>
      <c r="AP1311" s="1530"/>
      <c r="AQ1311" s="1530"/>
      <c r="AR1311" s="1530"/>
      <c r="AS1311" s="1530"/>
      <c r="AT1311" s="1530"/>
      <c r="AU1311" s="1530"/>
      <c r="AV1311" s="1530"/>
      <c r="AW1311" s="1530"/>
      <c r="AX1311" s="1530"/>
      <c r="AY1311" s="1530"/>
      <c r="AZ1311" s="1530"/>
      <c r="BA1311" s="1530"/>
      <c r="BB1311" s="1530"/>
      <c r="BC1311" s="1530"/>
      <c r="BD1311" s="1530"/>
      <c r="BE1311" s="1530"/>
      <c r="BF1311" s="1530"/>
      <c r="BG1311" s="1530"/>
      <c r="BH1311" s="1530"/>
      <c r="BI1311" s="1530"/>
      <c r="BJ1311" s="1530"/>
      <c r="BK1311" s="1530"/>
      <c r="BL1311" s="1530"/>
      <c r="BM1311" s="1530"/>
      <c r="BN1311" s="1530"/>
      <c r="BW1311" s="1569"/>
      <c r="CO1311" s="1530"/>
      <c r="CP1311" s="1530"/>
      <c r="CQ1311" s="1530"/>
      <c r="CR1311" s="1530"/>
      <c r="CS1311" s="1530"/>
      <c r="CT1311" s="1530"/>
      <c r="CU1311" s="1530"/>
      <c r="CV1311" s="1530"/>
      <c r="CW1311" s="1530"/>
      <c r="CX1311" s="1530"/>
      <c r="CY1311" s="1530"/>
      <c r="CZ1311" s="1530"/>
      <c r="DA1311" s="1530"/>
      <c r="DB1311" s="1530"/>
      <c r="DC1311" s="1530"/>
      <c r="DD1311" s="1530"/>
      <c r="DE1311" s="1530"/>
      <c r="DF1311" s="1530"/>
      <c r="DG1311" s="1530"/>
      <c r="DH1311" s="1530"/>
      <c r="DI1311" s="1530"/>
      <c r="DJ1311" s="1530"/>
      <c r="DK1311" s="1530"/>
      <c r="DL1311" s="1530"/>
      <c r="DM1311" s="1530"/>
      <c r="DN1311" s="1571"/>
      <c r="DO1311" s="1530"/>
      <c r="DP1311" s="1530"/>
    </row>
    <row r="1312" spans="1:120">
      <c r="A1312" s="1451"/>
      <c r="C1312" s="1451"/>
      <c r="K1312" s="1451"/>
      <c r="L1312" s="1451"/>
      <c r="U1312" s="1530"/>
      <c r="V1312" s="1530"/>
      <c r="W1312" s="1530"/>
      <c r="X1312" s="1530"/>
      <c r="Y1312" s="1530"/>
      <c r="Z1312" s="1530"/>
      <c r="AA1312" s="1530"/>
      <c r="AB1312" s="1530"/>
      <c r="AC1312" s="1530"/>
      <c r="AD1312" s="1530"/>
      <c r="AE1312" s="1530"/>
      <c r="AF1312" s="1530"/>
      <c r="AG1312" s="1530"/>
      <c r="AH1312" s="1530"/>
      <c r="AI1312" s="1530"/>
      <c r="AJ1312" s="1530"/>
      <c r="AK1312" s="1530"/>
      <c r="AL1312" s="1530"/>
      <c r="AM1312" s="1530"/>
      <c r="AN1312" s="1530"/>
      <c r="AO1312" s="1530"/>
      <c r="AP1312" s="1530"/>
      <c r="AQ1312" s="1530"/>
      <c r="AR1312" s="1530"/>
      <c r="AS1312" s="1530"/>
      <c r="AT1312" s="1530"/>
      <c r="AU1312" s="1530"/>
      <c r="AV1312" s="1530"/>
      <c r="AW1312" s="1530"/>
      <c r="AX1312" s="1530"/>
      <c r="AY1312" s="1530"/>
      <c r="AZ1312" s="1530"/>
      <c r="BA1312" s="1530"/>
      <c r="BB1312" s="1530"/>
      <c r="BC1312" s="1530"/>
      <c r="BD1312" s="1530"/>
      <c r="BE1312" s="1530"/>
      <c r="BF1312" s="1530"/>
      <c r="BG1312" s="1530"/>
      <c r="BH1312" s="1530"/>
      <c r="BI1312" s="1530"/>
      <c r="BJ1312" s="1530"/>
      <c r="BK1312" s="1530"/>
      <c r="BL1312" s="1530"/>
      <c r="BM1312" s="1530"/>
      <c r="BN1312" s="1530"/>
      <c r="BW1312" s="1569"/>
      <c r="CO1312" s="1530"/>
      <c r="CP1312" s="1530"/>
      <c r="CQ1312" s="1530"/>
      <c r="CR1312" s="1530"/>
      <c r="CS1312" s="1530"/>
      <c r="CT1312" s="1530"/>
      <c r="CU1312" s="1530"/>
      <c r="CV1312" s="1530"/>
      <c r="CW1312" s="1530"/>
      <c r="CX1312" s="1530"/>
      <c r="CY1312" s="1530"/>
      <c r="CZ1312" s="1530"/>
      <c r="DA1312" s="1530"/>
      <c r="DB1312" s="1530"/>
      <c r="DC1312" s="1530"/>
      <c r="DD1312" s="1530"/>
      <c r="DE1312" s="1530"/>
      <c r="DF1312" s="1530"/>
      <c r="DG1312" s="1530"/>
      <c r="DH1312" s="1530"/>
      <c r="DI1312" s="1530"/>
      <c r="DJ1312" s="1530"/>
      <c r="DK1312" s="1530"/>
      <c r="DL1312" s="1530"/>
      <c r="DM1312" s="1530"/>
      <c r="DN1312" s="1571"/>
      <c r="DO1312" s="1530"/>
      <c r="DP1312" s="1530"/>
    </row>
    <row r="1313" spans="1:120">
      <c r="A1313" s="1451"/>
      <c r="C1313" s="1451"/>
      <c r="K1313" s="1451"/>
      <c r="L1313" s="1451"/>
      <c r="U1313" s="1530"/>
      <c r="V1313" s="1530"/>
      <c r="W1313" s="1530"/>
      <c r="X1313" s="1530"/>
      <c r="Y1313" s="1530"/>
      <c r="Z1313" s="1530"/>
      <c r="AA1313" s="1530"/>
      <c r="AB1313" s="1530"/>
      <c r="AC1313" s="1530"/>
      <c r="AD1313" s="1530"/>
      <c r="AE1313" s="1530"/>
      <c r="AF1313" s="1530"/>
      <c r="AG1313" s="1530"/>
      <c r="AH1313" s="1530"/>
      <c r="AI1313" s="1530"/>
      <c r="AJ1313" s="1530"/>
      <c r="AK1313" s="1530"/>
      <c r="AL1313" s="1530"/>
      <c r="AM1313" s="1530"/>
      <c r="AN1313" s="1530"/>
      <c r="AO1313" s="1530"/>
      <c r="AP1313" s="1530"/>
      <c r="AQ1313" s="1530"/>
      <c r="AR1313" s="1530"/>
      <c r="AS1313" s="1530"/>
      <c r="AT1313" s="1530"/>
      <c r="AU1313" s="1530"/>
      <c r="AV1313" s="1530"/>
      <c r="AW1313" s="1530"/>
      <c r="AX1313" s="1530"/>
      <c r="AY1313" s="1530"/>
      <c r="AZ1313" s="1530"/>
      <c r="BA1313" s="1530"/>
      <c r="BB1313" s="1530"/>
      <c r="BC1313" s="1530"/>
      <c r="BD1313" s="1530"/>
      <c r="BE1313" s="1530"/>
      <c r="BF1313" s="1530"/>
      <c r="BG1313" s="1530"/>
      <c r="BH1313" s="1530"/>
      <c r="BI1313" s="1530"/>
      <c r="BJ1313" s="1530"/>
      <c r="BK1313" s="1530"/>
      <c r="BL1313" s="1530"/>
      <c r="BM1313" s="1530"/>
      <c r="BN1313" s="1530"/>
      <c r="BW1313" s="1569"/>
      <c r="CO1313" s="1530"/>
      <c r="CP1313" s="1530"/>
      <c r="CQ1313" s="1530"/>
      <c r="CR1313" s="1530"/>
      <c r="CS1313" s="1530"/>
      <c r="CT1313" s="1530"/>
      <c r="CU1313" s="1530"/>
      <c r="CV1313" s="1530"/>
      <c r="CW1313" s="1530"/>
      <c r="CX1313" s="1530"/>
      <c r="CY1313" s="1530"/>
      <c r="CZ1313" s="1530"/>
      <c r="DA1313" s="1530"/>
      <c r="DB1313" s="1530"/>
      <c r="DC1313" s="1530"/>
      <c r="DD1313" s="1530"/>
      <c r="DE1313" s="1530"/>
      <c r="DF1313" s="1530"/>
      <c r="DG1313" s="1530"/>
      <c r="DH1313" s="1530"/>
      <c r="DI1313" s="1530"/>
      <c r="DJ1313" s="1530"/>
      <c r="DK1313" s="1530"/>
      <c r="DL1313" s="1530"/>
      <c r="DM1313" s="1530"/>
      <c r="DN1313" s="1571"/>
      <c r="DO1313" s="1530"/>
      <c r="DP1313" s="1530"/>
    </row>
    <row r="1314" spans="1:120">
      <c r="A1314" s="1451"/>
      <c r="C1314" s="1451"/>
      <c r="K1314" s="1451"/>
      <c r="L1314" s="1451"/>
      <c r="U1314" s="1530"/>
      <c r="V1314" s="1530"/>
      <c r="W1314" s="1530"/>
      <c r="X1314" s="1530"/>
      <c r="Y1314" s="1530"/>
      <c r="Z1314" s="1530"/>
      <c r="AA1314" s="1530"/>
      <c r="AB1314" s="1530"/>
      <c r="AC1314" s="1530"/>
      <c r="AD1314" s="1530"/>
      <c r="AE1314" s="1530"/>
      <c r="AF1314" s="1530"/>
      <c r="AG1314" s="1530"/>
      <c r="AH1314" s="1530"/>
      <c r="AI1314" s="1530"/>
      <c r="AJ1314" s="1530"/>
      <c r="AK1314" s="1530"/>
      <c r="AL1314" s="1530"/>
      <c r="AM1314" s="1530"/>
      <c r="AN1314" s="1530"/>
      <c r="AO1314" s="1530"/>
      <c r="AP1314" s="1530"/>
      <c r="AQ1314" s="1530"/>
      <c r="AR1314" s="1530"/>
      <c r="AS1314" s="1530"/>
      <c r="AT1314" s="1530"/>
      <c r="AU1314" s="1530"/>
      <c r="AV1314" s="1530"/>
      <c r="AW1314" s="1530"/>
      <c r="AX1314" s="1530"/>
      <c r="AY1314" s="1530"/>
      <c r="AZ1314" s="1530"/>
      <c r="BA1314" s="1530"/>
      <c r="BB1314" s="1530"/>
      <c r="BC1314" s="1530"/>
      <c r="BD1314" s="1530"/>
      <c r="BE1314" s="1530"/>
      <c r="BF1314" s="1530"/>
      <c r="BG1314" s="1530"/>
      <c r="BH1314" s="1530"/>
      <c r="BI1314" s="1530"/>
      <c r="BJ1314" s="1530"/>
      <c r="BK1314" s="1530"/>
      <c r="BL1314" s="1530"/>
      <c r="BM1314" s="1530"/>
      <c r="BN1314" s="1530"/>
      <c r="BW1314" s="1569"/>
      <c r="CO1314" s="1530"/>
      <c r="CP1314" s="1530"/>
      <c r="CQ1314" s="1530"/>
      <c r="CR1314" s="1530"/>
      <c r="CS1314" s="1530"/>
      <c r="CT1314" s="1530"/>
      <c r="CU1314" s="1530"/>
      <c r="CV1314" s="1530"/>
      <c r="CW1314" s="1530"/>
      <c r="CX1314" s="1530"/>
      <c r="CY1314" s="1530"/>
      <c r="CZ1314" s="1530"/>
      <c r="DA1314" s="1530"/>
      <c r="DB1314" s="1530"/>
      <c r="DC1314" s="1530"/>
      <c r="DD1314" s="1530"/>
      <c r="DE1314" s="1530"/>
      <c r="DF1314" s="1530"/>
      <c r="DG1314" s="1530"/>
      <c r="DH1314" s="1530"/>
      <c r="DI1314" s="1530"/>
      <c r="DJ1314" s="1530"/>
      <c r="DK1314" s="1530"/>
      <c r="DL1314" s="1530"/>
      <c r="DM1314" s="1530"/>
      <c r="DN1314" s="1571"/>
      <c r="DO1314" s="1530"/>
      <c r="DP1314" s="1530"/>
    </row>
    <row r="1315" spans="1:120">
      <c r="A1315" s="1451"/>
      <c r="C1315" s="1451"/>
      <c r="K1315" s="1451"/>
      <c r="L1315" s="1451"/>
      <c r="U1315" s="1530"/>
      <c r="V1315" s="1530"/>
      <c r="W1315" s="1530"/>
      <c r="X1315" s="1530"/>
      <c r="Y1315" s="1530"/>
      <c r="Z1315" s="1530"/>
      <c r="AA1315" s="1530"/>
      <c r="AB1315" s="1530"/>
      <c r="AC1315" s="1530"/>
      <c r="AD1315" s="1530"/>
      <c r="AE1315" s="1530"/>
      <c r="AF1315" s="1530"/>
      <c r="AG1315" s="1530"/>
      <c r="AH1315" s="1530"/>
      <c r="AI1315" s="1530"/>
      <c r="AJ1315" s="1530"/>
      <c r="AK1315" s="1530"/>
      <c r="AL1315" s="1530"/>
      <c r="AM1315" s="1530"/>
      <c r="AN1315" s="1530"/>
      <c r="AO1315" s="1530"/>
      <c r="AP1315" s="1530"/>
      <c r="AQ1315" s="1530"/>
      <c r="AR1315" s="1530"/>
      <c r="AS1315" s="1530"/>
      <c r="AT1315" s="1530"/>
      <c r="AU1315" s="1530"/>
      <c r="AV1315" s="1530"/>
      <c r="AW1315" s="1530"/>
      <c r="AX1315" s="1530"/>
      <c r="AY1315" s="1530"/>
      <c r="AZ1315" s="1530"/>
      <c r="BA1315" s="1530"/>
      <c r="BB1315" s="1530"/>
      <c r="BC1315" s="1530"/>
      <c r="BD1315" s="1530"/>
      <c r="BE1315" s="1530"/>
      <c r="BF1315" s="1530"/>
      <c r="BG1315" s="1530"/>
      <c r="BH1315" s="1530"/>
      <c r="BI1315" s="1530"/>
      <c r="BJ1315" s="1530"/>
      <c r="BK1315" s="1530"/>
      <c r="BL1315" s="1530"/>
      <c r="BM1315" s="1530"/>
      <c r="BN1315" s="1530"/>
      <c r="BW1315" s="1569"/>
      <c r="CO1315" s="1530"/>
      <c r="CP1315" s="1530"/>
      <c r="CQ1315" s="1530"/>
      <c r="CR1315" s="1530"/>
      <c r="CS1315" s="1530"/>
      <c r="CT1315" s="1530"/>
      <c r="CU1315" s="1530"/>
      <c r="CV1315" s="1530"/>
      <c r="CW1315" s="1530"/>
      <c r="CX1315" s="1530"/>
      <c r="CY1315" s="1530"/>
      <c r="CZ1315" s="1530"/>
      <c r="DA1315" s="1530"/>
      <c r="DB1315" s="1530"/>
      <c r="DC1315" s="1530"/>
      <c r="DD1315" s="1530"/>
      <c r="DE1315" s="1530"/>
      <c r="DF1315" s="1530"/>
      <c r="DG1315" s="1530"/>
      <c r="DH1315" s="1530"/>
      <c r="DI1315" s="1530"/>
      <c r="DJ1315" s="1530"/>
      <c r="DK1315" s="1530"/>
      <c r="DL1315" s="1530"/>
      <c r="DM1315" s="1530"/>
      <c r="DN1315" s="1571"/>
      <c r="DO1315" s="1530"/>
      <c r="DP1315" s="1530"/>
    </row>
    <row r="1316" spans="1:120">
      <c r="A1316" s="1451"/>
      <c r="C1316" s="1451"/>
      <c r="K1316" s="1451"/>
      <c r="L1316" s="1451"/>
      <c r="U1316" s="1530"/>
      <c r="V1316" s="1530"/>
      <c r="W1316" s="1530"/>
      <c r="X1316" s="1530"/>
      <c r="Y1316" s="1530"/>
      <c r="Z1316" s="1530"/>
      <c r="AA1316" s="1530"/>
      <c r="AB1316" s="1530"/>
      <c r="AC1316" s="1530"/>
      <c r="AD1316" s="1530"/>
      <c r="AE1316" s="1530"/>
      <c r="AF1316" s="1530"/>
      <c r="AG1316" s="1530"/>
      <c r="AH1316" s="1530"/>
      <c r="AI1316" s="1530"/>
      <c r="AJ1316" s="1530"/>
      <c r="AK1316" s="1530"/>
      <c r="AL1316" s="1530"/>
      <c r="AM1316" s="1530"/>
      <c r="AN1316" s="1530"/>
      <c r="AO1316" s="1530"/>
      <c r="AP1316" s="1530"/>
      <c r="AQ1316" s="1530"/>
      <c r="AR1316" s="1530"/>
      <c r="AS1316" s="1530"/>
      <c r="AT1316" s="1530"/>
      <c r="AU1316" s="1530"/>
      <c r="AV1316" s="1530"/>
      <c r="AW1316" s="1530"/>
      <c r="AX1316" s="1530"/>
      <c r="AY1316" s="1530"/>
      <c r="AZ1316" s="1530"/>
      <c r="BA1316" s="1530"/>
      <c r="BB1316" s="1530"/>
      <c r="BC1316" s="1530"/>
      <c r="BD1316" s="1530"/>
      <c r="BE1316" s="1530"/>
      <c r="BF1316" s="1530"/>
      <c r="BG1316" s="1530"/>
      <c r="BH1316" s="1530"/>
      <c r="BI1316" s="1530"/>
      <c r="BJ1316" s="1530"/>
      <c r="BK1316" s="1530"/>
      <c r="BL1316" s="1530"/>
      <c r="BM1316" s="1530"/>
      <c r="BN1316" s="1530"/>
      <c r="BW1316" s="1569"/>
      <c r="CO1316" s="1530"/>
      <c r="CP1316" s="1530"/>
      <c r="CQ1316" s="1530"/>
      <c r="CR1316" s="1530"/>
      <c r="CS1316" s="1530"/>
      <c r="CT1316" s="1530"/>
      <c r="CU1316" s="1530"/>
      <c r="CV1316" s="1530"/>
      <c r="CW1316" s="1530"/>
      <c r="CX1316" s="1530"/>
      <c r="CY1316" s="1530"/>
      <c r="CZ1316" s="1530"/>
      <c r="DA1316" s="1530"/>
      <c r="DB1316" s="1530"/>
      <c r="DC1316" s="1530"/>
      <c r="DD1316" s="1530"/>
      <c r="DE1316" s="1530"/>
      <c r="DF1316" s="1530"/>
      <c r="DG1316" s="1530"/>
      <c r="DH1316" s="1530"/>
      <c r="DI1316" s="1530"/>
      <c r="DJ1316" s="1530"/>
      <c r="DK1316" s="1530"/>
      <c r="DL1316" s="1530"/>
      <c r="DM1316" s="1530"/>
      <c r="DN1316" s="1571"/>
      <c r="DO1316" s="1530"/>
      <c r="DP1316" s="1530"/>
    </row>
    <row r="1317" spans="1:120">
      <c r="A1317" s="1451"/>
      <c r="C1317" s="1451"/>
      <c r="K1317" s="1451"/>
      <c r="L1317" s="1451"/>
      <c r="U1317" s="1530"/>
      <c r="V1317" s="1530"/>
      <c r="W1317" s="1530"/>
      <c r="X1317" s="1530"/>
      <c r="Y1317" s="1530"/>
      <c r="Z1317" s="1530"/>
      <c r="AA1317" s="1530"/>
      <c r="AB1317" s="1530"/>
      <c r="AC1317" s="1530"/>
      <c r="AD1317" s="1530"/>
      <c r="AE1317" s="1530"/>
      <c r="AF1317" s="1530"/>
      <c r="AG1317" s="1530"/>
      <c r="AH1317" s="1530"/>
      <c r="AI1317" s="1530"/>
      <c r="AJ1317" s="1530"/>
      <c r="AK1317" s="1530"/>
      <c r="AL1317" s="1530"/>
      <c r="AM1317" s="1530"/>
      <c r="AN1317" s="1530"/>
      <c r="AO1317" s="1530"/>
      <c r="AP1317" s="1530"/>
      <c r="AQ1317" s="1530"/>
      <c r="AR1317" s="1530"/>
      <c r="AS1317" s="1530"/>
      <c r="AT1317" s="1530"/>
      <c r="AU1317" s="1530"/>
      <c r="AV1317" s="1530"/>
      <c r="AW1317" s="1530"/>
      <c r="AX1317" s="1530"/>
      <c r="AY1317" s="1530"/>
      <c r="AZ1317" s="1530"/>
      <c r="BA1317" s="1530"/>
      <c r="BB1317" s="1530"/>
      <c r="BC1317" s="1530"/>
      <c r="BD1317" s="1530"/>
      <c r="BE1317" s="1530"/>
      <c r="BF1317" s="1530"/>
      <c r="BG1317" s="1530"/>
      <c r="BH1317" s="1530"/>
      <c r="BI1317" s="1530"/>
      <c r="BJ1317" s="1530"/>
      <c r="BK1317" s="1530"/>
      <c r="BL1317" s="1530"/>
      <c r="BM1317" s="1530"/>
      <c r="BN1317" s="1530"/>
      <c r="BW1317" s="1569"/>
      <c r="CO1317" s="1530"/>
      <c r="CP1317" s="1530"/>
      <c r="CQ1317" s="1530"/>
      <c r="CR1317" s="1530"/>
      <c r="CS1317" s="1530"/>
      <c r="CT1317" s="1530"/>
      <c r="CU1317" s="1530"/>
      <c r="CV1317" s="1530"/>
      <c r="CW1317" s="1530"/>
      <c r="CX1317" s="1530"/>
      <c r="CY1317" s="1530"/>
      <c r="CZ1317" s="1530"/>
      <c r="DA1317" s="1530"/>
      <c r="DB1317" s="1530"/>
      <c r="DC1317" s="1530"/>
      <c r="DD1317" s="1530"/>
      <c r="DE1317" s="1530"/>
      <c r="DF1317" s="1530"/>
      <c r="DG1317" s="1530"/>
      <c r="DH1317" s="1530"/>
      <c r="DI1317" s="1530"/>
      <c r="DJ1317" s="1530"/>
      <c r="DK1317" s="1530"/>
      <c r="DL1317" s="1530"/>
      <c r="DM1317" s="1530"/>
      <c r="DN1317" s="1571"/>
      <c r="DO1317" s="1530"/>
      <c r="DP1317" s="1530"/>
    </row>
    <row r="1318" spans="1:120">
      <c r="A1318" s="1451"/>
      <c r="C1318" s="1451"/>
      <c r="K1318" s="1451"/>
      <c r="L1318" s="1451"/>
      <c r="U1318" s="1530"/>
      <c r="V1318" s="1530"/>
      <c r="W1318" s="1530"/>
      <c r="X1318" s="1530"/>
      <c r="Y1318" s="1530"/>
      <c r="Z1318" s="1530"/>
      <c r="AA1318" s="1530"/>
      <c r="AB1318" s="1530"/>
      <c r="AC1318" s="1530"/>
      <c r="AD1318" s="1530"/>
      <c r="AE1318" s="1530"/>
      <c r="AF1318" s="1530"/>
      <c r="AG1318" s="1530"/>
      <c r="AH1318" s="1530"/>
      <c r="AI1318" s="1530"/>
      <c r="AJ1318" s="1530"/>
      <c r="AK1318" s="1530"/>
      <c r="AL1318" s="1530"/>
      <c r="AM1318" s="1530"/>
      <c r="AN1318" s="1530"/>
      <c r="AO1318" s="1530"/>
      <c r="AP1318" s="1530"/>
      <c r="AQ1318" s="1530"/>
      <c r="AR1318" s="1530"/>
      <c r="AS1318" s="1530"/>
      <c r="AT1318" s="1530"/>
      <c r="AU1318" s="1530"/>
      <c r="AV1318" s="1530"/>
      <c r="AW1318" s="1530"/>
      <c r="AX1318" s="1530"/>
      <c r="AY1318" s="1530"/>
      <c r="AZ1318" s="1530"/>
      <c r="BA1318" s="1530"/>
      <c r="BB1318" s="1530"/>
      <c r="BC1318" s="1530"/>
      <c r="BD1318" s="1530"/>
      <c r="BE1318" s="1530"/>
      <c r="BF1318" s="1530"/>
      <c r="BG1318" s="1530"/>
      <c r="BH1318" s="1530"/>
      <c r="BI1318" s="1530"/>
      <c r="BJ1318" s="1530"/>
      <c r="BK1318" s="1530"/>
      <c r="BL1318" s="1530"/>
      <c r="BM1318" s="1530"/>
      <c r="BN1318" s="1530"/>
      <c r="BW1318" s="1569"/>
      <c r="CO1318" s="1530"/>
      <c r="CP1318" s="1530"/>
      <c r="CQ1318" s="1530"/>
      <c r="CR1318" s="1530"/>
      <c r="CS1318" s="1530"/>
      <c r="CT1318" s="1530"/>
      <c r="CU1318" s="1530"/>
      <c r="CV1318" s="1530"/>
      <c r="CW1318" s="1530"/>
      <c r="CX1318" s="1530"/>
      <c r="CY1318" s="1530"/>
      <c r="CZ1318" s="1530"/>
      <c r="DA1318" s="1530"/>
      <c r="DB1318" s="1530"/>
      <c r="DC1318" s="1530"/>
      <c r="DD1318" s="1530"/>
      <c r="DE1318" s="1530"/>
      <c r="DF1318" s="1530"/>
      <c r="DG1318" s="1530"/>
      <c r="DH1318" s="1530"/>
      <c r="DI1318" s="1530"/>
      <c r="DJ1318" s="1530"/>
      <c r="DK1318" s="1530"/>
      <c r="DL1318" s="1530"/>
      <c r="DM1318" s="1530"/>
      <c r="DN1318" s="1571"/>
      <c r="DO1318" s="1530"/>
      <c r="DP1318" s="1530"/>
    </row>
    <row r="1319" spans="1:120">
      <c r="A1319" s="1451"/>
      <c r="C1319" s="1451"/>
      <c r="K1319" s="1451"/>
      <c r="L1319" s="1451"/>
      <c r="U1319" s="1530"/>
      <c r="V1319" s="1530"/>
      <c r="W1319" s="1530"/>
      <c r="X1319" s="1530"/>
      <c r="Y1319" s="1530"/>
      <c r="Z1319" s="1530"/>
      <c r="AA1319" s="1530"/>
      <c r="AB1319" s="1530"/>
      <c r="AC1319" s="1530"/>
      <c r="AD1319" s="1530"/>
      <c r="AE1319" s="1530"/>
      <c r="AF1319" s="1530"/>
      <c r="AG1319" s="1530"/>
      <c r="AH1319" s="1530"/>
      <c r="AI1319" s="1530"/>
      <c r="AJ1319" s="1530"/>
      <c r="AK1319" s="1530"/>
      <c r="AL1319" s="1530"/>
      <c r="AM1319" s="1530"/>
      <c r="AN1319" s="1530"/>
      <c r="AO1319" s="1530"/>
      <c r="AP1319" s="1530"/>
      <c r="AQ1319" s="1530"/>
      <c r="AR1319" s="1530"/>
      <c r="AS1319" s="1530"/>
      <c r="AT1319" s="1530"/>
      <c r="AU1319" s="1530"/>
      <c r="AV1319" s="1530"/>
      <c r="AW1319" s="1530"/>
      <c r="AX1319" s="1530"/>
      <c r="AY1319" s="1530"/>
      <c r="AZ1319" s="1530"/>
      <c r="BA1319" s="1530"/>
      <c r="BB1319" s="1530"/>
      <c r="BC1319" s="1530"/>
      <c r="BD1319" s="1530"/>
      <c r="BE1319" s="1530"/>
      <c r="BF1319" s="1530"/>
      <c r="BG1319" s="1530"/>
      <c r="BH1319" s="1530"/>
      <c r="BI1319" s="1530"/>
      <c r="BJ1319" s="1530"/>
      <c r="BK1319" s="1530"/>
      <c r="BL1319" s="1530"/>
      <c r="BM1319" s="1530"/>
      <c r="BN1319" s="1530"/>
      <c r="BW1319" s="1569"/>
      <c r="CO1319" s="1530"/>
      <c r="CP1319" s="1530"/>
      <c r="CQ1319" s="1530"/>
      <c r="CR1319" s="1530"/>
      <c r="CS1319" s="1530"/>
      <c r="CT1319" s="1530"/>
      <c r="CU1319" s="1530"/>
      <c r="CV1319" s="1530"/>
      <c r="CW1319" s="1530"/>
      <c r="CX1319" s="1530"/>
      <c r="CY1319" s="1530"/>
      <c r="CZ1319" s="1530"/>
      <c r="DA1319" s="1530"/>
      <c r="DB1319" s="1530"/>
      <c r="DC1319" s="1530"/>
      <c r="DD1319" s="1530"/>
      <c r="DE1319" s="1530"/>
      <c r="DF1319" s="1530"/>
      <c r="DG1319" s="1530"/>
      <c r="DH1319" s="1530"/>
      <c r="DI1319" s="1530"/>
      <c r="DJ1319" s="1530"/>
      <c r="DK1319" s="1530"/>
      <c r="DL1319" s="1530"/>
      <c r="DM1319" s="1530"/>
      <c r="DN1319" s="1571"/>
      <c r="DO1319" s="1530"/>
      <c r="DP1319" s="1530"/>
    </row>
    <row r="1320" spans="1:120">
      <c r="A1320" s="1451"/>
      <c r="C1320" s="1451"/>
      <c r="K1320" s="1451"/>
      <c r="L1320" s="1451"/>
      <c r="U1320" s="1530"/>
      <c r="V1320" s="1530"/>
      <c r="W1320" s="1530"/>
      <c r="X1320" s="1530"/>
      <c r="Y1320" s="1530"/>
      <c r="Z1320" s="1530"/>
      <c r="AA1320" s="1530"/>
      <c r="AB1320" s="1530"/>
      <c r="AC1320" s="1530"/>
      <c r="AD1320" s="1530"/>
      <c r="AE1320" s="1530"/>
      <c r="AF1320" s="1530"/>
      <c r="AG1320" s="1530"/>
      <c r="AH1320" s="1530"/>
      <c r="AI1320" s="1530"/>
      <c r="AJ1320" s="1530"/>
      <c r="AK1320" s="1530"/>
      <c r="AL1320" s="1530"/>
      <c r="AM1320" s="1530"/>
      <c r="AN1320" s="1530"/>
      <c r="AO1320" s="1530"/>
      <c r="AP1320" s="1530"/>
      <c r="AQ1320" s="1530"/>
      <c r="AR1320" s="1530"/>
      <c r="AS1320" s="1530"/>
      <c r="AT1320" s="1530"/>
      <c r="AU1320" s="1530"/>
      <c r="AV1320" s="1530"/>
      <c r="AW1320" s="1530"/>
      <c r="AX1320" s="1530"/>
      <c r="AY1320" s="1530"/>
      <c r="AZ1320" s="1530"/>
      <c r="BA1320" s="1530"/>
      <c r="BB1320" s="1530"/>
      <c r="BC1320" s="1530"/>
      <c r="BD1320" s="1530"/>
      <c r="BE1320" s="1530"/>
      <c r="BF1320" s="1530"/>
      <c r="BG1320" s="1530"/>
      <c r="BH1320" s="1530"/>
      <c r="BI1320" s="1530"/>
      <c r="BJ1320" s="1530"/>
      <c r="BK1320" s="1530"/>
      <c r="BL1320" s="1530"/>
      <c r="BM1320" s="1530"/>
      <c r="BN1320" s="1530"/>
      <c r="BW1320" s="1569"/>
      <c r="CO1320" s="1530"/>
      <c r="CP1320" s="1530"/>
      <c r="CQ1320" s="1530"/>
      <c r="CR1320" s="1530"/>
      <c r="CS1320" s="1530"/>
      <c r="CT1320" s="1530"/>
      <c r="CU1320" s="1530"/>
      <c r="CV1320" s="1530"/>
      <c r="CW1320" s="1530"/>
      <c r="CX1320" s="1530"/>
      <c r="CY1320" s="1530"/>
      <c r="CZ1320" s="1530"/>
      <c r="DA1320" s="1530"/>
      <c r="DB1320" s="1530"/>
      <c r="DC1320" s="1530"/>
      <c r="DD1320" s="1530"/>
      <c r="DE1320" s="1530"/>
      <c r="DF1320" s="1530"/>
      <c r="DG1320" s="1530"/>
      <c r="DH1320" s="1530"/>
      <c r="DI1320" s="1530"/>
      <c r="DJ1320" s="1530"/>
      <c r="DK1320" s="1530"/>
      <c r="DL1320" s="1530"/>
      <c r="DM1320" s="1530"/>
      <c r="DN1320" s="1571"/>
      <c r="DO1320" s="1530"/>
      <c r="DP1320" s="1530"/>
    </row>
    <row r="1321" spans="1:120">
      <c r="A1321" s="1451"/>
      <c r="C1321" s="1451"/>
      <c r="K1321" s="1451"/>
      <c r="L1321" s="1451"/>
      <c r="U1321" s="1530"/>
      <c r="V1321" s="1530"/>
      <c r="W1321" s="1530"/>
      <c r="X1321" s="1530"/>
      <c r="Y1321" s="1530"/>
      <c r="Z1321" s="1530"/>
      <c r="AA1321" s="1530"/>
      <c r="AB1321" s="1530"/>
      <c r="AC1321" s="1530"/>
      <c r="AD1321" s="1530"/>
      <c r="AE1321" s="1530"/>
      <c r="AF1321" s="1530"/>
      <c r="AG1321" s="1530"/>
      <c r="AH1321" s="1530"/>
      <c r="AI1321" s="1530"/>
      <c r="AJ1321" s="1530"/>
      <c r="AK1321" s="1530"/>
      <c r="AL1321" s="1530"/>
      <c r="AM1321" s="1530"/>
      <c r="AN1321" s="1530"/>
      <c r="AO1321" s="1530"/>
      <c r="AP1321" s="1530"/>
      <c r="AQ1321" s="1530"/>
      <c r="AR1321" s="1530"/>
      <c r="AS1321" s="1530"/>
      <c r="AT1321" s="1530"/>
      <c r="AU1321" s="1530"/>
      <c r="AV1321" s="1530"/>
      <c r="AW1321" s="1530"/>
      <c r="AX1321" s="1530"/>
      <c r="AY1321" s="1530"/>
      <c r="AZ1321" s="1530"/>
      <c r="BA1321" s="1530"/>
      <c r="BB1321" s="1530"/>
      <c r="BC1321" s="1530"/>
      <c r="BD1321" s="1530"/>
      <c r="BE1321" s="1530"/>
      <c r="BF1321" s="1530"/>
      <c r="BG1321" s="1530"/>
      <c r="BH1321" s="1530"/>
      <c r="BI1321" s="1530"/>
      <c r="BJ1321" s="1530"/>
      <c r="BK1321" s="1530"/>
      <c r="BL1321" s="1530"/>
      <c r="BM1321" s="1530"/>
      <c r="BN1321" s="1530"/>
      <c r="BW1321" s="1569"/>
      <c r="CO1321" s="1530"/>
      <c r="CP1321" s="1530"/>
      <c r="CQ1321" s="1530"/>
      <c r="CR1321" s="1530"/>
      <c r="CS1321" s="1530"/>
      <c r="CT1321" s="1530"/>
      <c r="CU1321" s="1530"/>
      <c r="CV1321" s="1530"/>
      <c r="CW1321" s="1530"/>
      <c r="CX1321" s="1530"/>
      <c r="CY1321" s="1530"/>
      <c r="CZ1321" s="1530"/>
      <c r="DA1321" s="1530"/>
      <c r="DB1321" s="1530"/>
      <c r="DC1321" s="1530"/>
      <c r="DD1321" s="1530"/>
      <c r="DE1321" s="1530"/>
      <c r="DF1321" s="1530"/>
      <c r="DG1321" s="1530"/>
      <c r="DH1321" s="1530"/>
      <c r="DI1321" s="1530"/>
      <c r="DJ1321" s="1530"/>
      <c r="DK1321" s="1530"/>
      <c r="DL1321" s="1530"/>
      <c r="DM1321" s="1530"/>
      <c r="DN1321" s="1571"/>
      <c r="DO1321" s="1530"/>
      <c r="DP1321" s="1530"/>
    </row>
    <row r="1322" spans="1:120">
      <c r="A1322" s="1451"/>
      <c r="C1322" s="1451"/>
      <c r="K1322" s="1451"/>
      <c r="L1322" s="1451"/>
      <c r="U1322" s="1530"/>
      <c r="V1322" s="1530"/>
      <c r="W1322" s="1530"/>
      <c r="X1322" s="1530"/>
      <c r="Y1322" s="1530"/>
      <c r="Z1322" s="1530"/>
      <c r="AA1322" s="1530"/>
      <c r="AB1322" s="1530"/>
      <c r="AC1322" s="1530"/>
      <c r="AD1322" s="1530"/>
      <c r="AE1322" s="1530"/>
      <c r="AF1322" s="1530"/>
      <c r="AG1322" s="1530"/>
      <c r="AH1322" s="1530"/>
      <c r="AI1322" s="1530"/>
      <c r="AJ1322" s="1530"/>
      <c r="AK1322" s="1530"/>
      <c r="AL1322" s="1530"/>
      <c r="AM1322" s="1530"/>
      <c r="AN1322" s="1530"/>
      <c r="AO1322" s="1530"/>
      <c r="AP1322" s="1530"/>
      <c r="AQ1322" s="1530"/>
      <c r="AR1322" s="1530"/>
      <c r="AS1322" s="1530"/>
      <c r="AT1322" s="1530"/>
      <c r="AU1322" s="1530"/>
      <c r="AV1322" s="1530"/>
      <c r="AW1322" s="1530"/>
      <c r="AX1322" s="1530"/>
      <c r="AY1322" s="1530"/>
      <c r="AZ1322" s="1530"/>
      <c r="BA1322" s="1530"/>
      <c r="BB1322" s="1530"/>
      <c r="BC1322" s="1530"/>
      <c r="BD1322" s="1530"/>
      <c r="BE1322" s="1530"/>
      <c r="BF1322" s="1530"/>
      <c r="BG1322" s="1530"/>
      <c r="BH1322" s="1530"/>
      <c r="BI1322" s="1530"/>
      <c r="BJ1322" s="1530"/>
      <c r="BK1322" s="1530"/>
      <c r="BL1322" s="1530"/>
      <c r="BM1322" s="1530"/>
      <c r="BN1322" s="1530"/>
      <c r="BW1322" s="1569"/>
      <c r="CO1322" s="1530"/>
      <c r="CP1322" s="1530"/>
      <c r="CQ1322" s="1530"/>
      <c r="CR1322" s="1530"/>
      <c r="CS1322" s="1530"/>
      <c r="CT1322" s="1530"/>
      <c r="CU1322" s="1530"/>
      <c r="CV1322" s="1530"/>
      <c r="CW1322" s="1530"/>
      <c r="CX1322" s="1530"/>
      <c r="CY1322" s="1530"/>
      <c r="CZ1322" s="1530"/>
      <c r="DA1322" s="1530"/>
      <c r="DB1322" s="1530"/>
      <c r="DC1322" s="1530"/>
      <c r="DD1322" s="1530"/>
      <c r="DE1322" s="1530"/>
      <c r="DF1322" s="1530"/>
      <c r="DG1322" s="1530"/>
      <c r="DH1322" s="1530"/>
      <c r="DI1322" s="1530"/>
      <c r="DJ1322" s="1530"/>
      <c r="DK1322" s="1530"/>
      <c r="DL1322" s="1530"/>
      <c r="DM1322" s="1530"/>
      <c r="DN1322" s="1571"/>
      <c r="DO1322" s="1530"/>
      <c r="DP1322" s="1530"/>
    </row>
    <row r="1323" spans="1:120">
      <c r="A1323" s="1451"/>
      <c r="C1323" s="1451"/>
      <c r="K1323" s="1451"/>
      <c r="L1323" s="1451"/>
      <c r="U1323" s="1530"/>
      <c r="V1323" s="1530"/>
      <c r="W1323" s="1530"/>
      <c r="X1323" s="1530"/>
      <c r="Y1323" s="1530"/>
      <c r="Z1323" s="1530"/>
      <c r="AA1323" s="1530"/>
      <c r="AB1323" s="1530"/>
      <c r="AC1323" s="1530"/>
      <c r="AD1323" s="1530"/>
      <c r="AE1323" s="1530"/>
      <c r="AF1323" s="1530"/>
      <c r="AG1323" s="1530"/>
      <c r="AH1323" s="1530"/>
      <c r="AI1323" s="1530"/>
      <c r="AJ1323" s="1530"/>
      <c r="AK1323" s="1530"/>
      <c r="AL1323" s="1530"/>
      <c r="AM1323" s="1530"/>
      <c r="AN1323" s="1530"/>
      <c r="AO1323" s="1530"/>
      <c r="AP1323" s="1530"/>
      <c r="AQ1323" s="1530"/>
      <c r="AR1323" s="1530"/>
      <c r="AS1323" s="1530"/>
      <c r="AT1323" s="1530"/>
      <c r="AU1323" s="1530"/>
      <c r="AV1323" s="1530"/>
      <c r="AW1323" s="1530"/>
      <c r="AX1323" s="1530"/>
      <c r="AY1323" s="1530"/>
      <c r="AZ1323" s="1530"/>
      <c r="BA1323" s="1530"/>
      <c r="BB1323" s="1530"/>
      <c r="BC1323" s="1530"/>
      <c r="BD1323" s="1530"/>
      <c r="BE1323" s="1530"/>
      <c r="BF1323" s="1530"/>
      <c r="BG1323" s="1530"/>
      <c r="BH1323" s="1530"/>
      <c r="BI1323" s="1530"/>
      <c r="BJ1323" s="1530"/>
      <c r="BK1323" s="1530"/>
      <c r="BL1323" s="1530"/>
      <c r="BM1323" s="1530"/>
      <c r="BN1323" s="1530"/>
      <c r="BW1323" s="1569"/>
      <c r="CO1323" s="1530"/>
      <c r="CP1323" s="1530"/>
      <c r="CQ1323" s="1530"/>
      <c r="CR1323" s="1530"/>
      <c r="CS1323" s="1530"/>
      <c r="CT1323" s="1530"/>
      <c r="CU1323" s="1530"/>
      <c r="CV1323" s="1530"/>
      <c r="CW1323" s="1530"/>
      <c r="CX1323" s="1530"/>
      <c r="CY1323" s="1530"/>
      <c r="CZ1323" s="1530"/>
      <c r="DA1323" s="1530"/>
      <c r="DB1323" s="1530"/>
      <c r="DC1323" s="1530"/>
      <c r="DD1323" s="1530"/>
      <c r="DE1323" s="1530"/>
      <c r="DF1323" s="1530"/>
      <c r="DG1323" s="1530"/>
      <c r="DH1323" s="1530"/>
      <c r="DI1323" s="1530"/>
      <c r="DJ1323" s="1530"/>
      <c r="DK1323" s="1530"/>
      <c r="DL1323" s="1530"/>
      <c r="DM1323" s="1530"/>
      <c r="DN1323" s="1571"/>
      <c r="DO1323" s="1530"/>
      <c r="DP1323" s="1530"/>
    </row>
    <row r="1324" spans="1:120">
      <c r="A1324" s="1451"/>
      <c r="C1324" s="1451"/>
      <c r="K1324" s="1451"/>
      <c r="L1324" s="1451"/>
      <c r="U1324" s="1530"/>
      <c r="V1324" s="1530"/>
      <c r="W1324" s="1530"/>
      <c r="X1324" s="1530"/>
      <c r="Y1324" s="1530"/>
      <c r="Z1324" s="1530"/>
      <c r="AA1324" s="1530"/>
      <c r="AB1324" s="1530"/>
      <c r="AC1324" s="1530"/>
      <c r="AD1324" s="1530"/>
      <c r="AE1324" s="1530"/>
      <c r="AF1324" s="1530"/>
      <c r="AG1324" s="1530"/>
      <c r="AH1324" s="1530"/>
      <c r="AI1324" s="1530"/>
      <c r="AJ1324" s="1530"/>
      <c r="AK1324" s="1530"/>
      <c r="AL1324" s="1530"/>
      <c r="AM1324" s="1530"/>
      <c r="AN1324" s="1530"/>
      <c r="AO1324" s="1530"/>
      <c r="AP1324" s="1530"/>
      <c r="AQ1324" s="1530"/>
      <c r="AR1324" s="1530"/>
      <c r="AS1324" s="1530"/>
      <c r="AT1324" s="1530"/>
      <c r="AU1324" s="1530"/>
      <c r="AV1324" s="1530"/>
      <c r="AW1324" s="1530"/>
      <c r="AX1324" s="1530"/>
      <c r="AY1324" s="1530"/>
      <c r="AZ1324" s="1530"/>
      <c r="BA1324" s="1530"/>
      <c r="BB1324" s="1530"/>
      <c r="BC1324" s="1530"/>
      <c r="BD1324" s="1530"/>
      <c r="BE1324" s="1530"/>
      <c r="BF1324" s="1530"/>
      <c r="BG1324" s="1530"/>
      <c r="BH1324" s="1530"/>
      <c r="BI1324" s="1530"/>
      <c r="BJ1324" s="1530"/>
      <c r="BK1324" s="1530"/>
      <c r="BL1324" s="1530"/>
      <c r="BM1324" s="1530"/>
      <c r="BN1324" s="1530"/>
      <c r="BW1324" s="1569"/>
      <c r="CO1324" s="1530"/>
      <c r="CP1324" s="1530"/>
      <c r="CQ1324" s="1530"/>
      <c r="CR1324" s="1530"/>
      <c r="CS1324" s="1530"/>
      <c r="CT1324" s="1530"/>
      <c r="CU1324" s="1530"/>
      <c r="CV1324" s="1530"/>
      <c r="CW1324" s="1530"/>
      <c r="CX1324" s="1530"/>
      <c r="CY1324" s="1530"/>
      <c r="CZ1324" s="1530"/>
      <c r="DA1324" s="1530"/>
      <c r="DB1324" s="1530"/>
      <c r="DC1324" s="1530"/>
      <c r="DD1324" s="1530"/>
      <c r="DE1324" s="1530"/>
      <c r="DF1324" s="1530"/>
      <c r="DG1324" s="1530"/>
      <c r="DH1324" s="1530"/>
      <c r="DI1324" s="1530"/>
      <c r="DJ1324" s="1530"/>
      <c r="DK1324" s="1530"/>
      <c r="DL1324" s="1530"/>
      <c r="DM1324" s="1530"/>
      <c r="DN1324" s="1571"/>
      <c r="DO1324" s="1530"/>
      <c r="DP1324" s="1530"/>
    </row>
    <row r="1325" spans="1:120">
      <c r="A1325" s="1451"/>
      <c r="C1325" s="1451"/>
      <c r="K1325" s="1451"/>
      <c r="L1325" s="1451"/>
      <c r="U1325" s="1530"/>
      <c r="V1325" s="1530"/>
      <c r="W1325" s="1530"/>
      <c r="X1325" s="1530"/>
      <c r="Y1325" s="1530"/>
      <c r="Z1325" s="1530"/>
      <c r="AA1325" s="1530"/>
      <c r="AB1325" s="1530"/>
      <c r="AC1325" s="1530"/>
      <c r="AD1325" s="1530"/>
      <c r="AE1325" s="1530"/>
      <c r="AF1325" s="1530"/>
      <c r="AG1325" s="1530"/>
      <c r="AH1325" s="1530"/>
      <c r="AI1325" s="1530"/>
      <c r="AJ1325" s="1530"/>
      <c r="AK1325" s="1530"/>
      <c r="AL1325" s="1530"/>
      <c r="AM1325" s="1530"/>
      <c r="AN1325" s="1530"/>
      <c r="AO1325" s="1530"/>
      <c r="AP1325" s="1530"/>
      <c r="AQ1325" s="1530"/>
      <c r="AR1325" s="1530"/>
      <c r="AS1325" s="1530"/>
      <c r="AT1325" s="1530"/>
      <c r="AU1325" s="1530"/>
      <c r="AV1325" s="1530"/>
      <c r="AW1325" s="1530"/>
      <c r="AX1325" s="1530"/>
      <c r="AY1325" s="1530"/>
      <c r="AZ1325" s="1530"/>
      <c r="BA1325" s="1530"/>
      <c r="BB1325" s="1530"/>
      <c r="BC1325" s="1530"/>
      <c r="BD1325" s="1530"/>
      <c r="BE1325" s="1530"/>
      <c r="BF1325" s="1530"/>
      <c r="BG1325" s="1530"/>
      <c r="BH1325" s="1530"/>
      <c r="BI1325" s="1530"/>
      <c r="BJ1325" s="1530"/>
      <c r="BK1325" s="1530"/>
      <c r="BL1325" s="1530"/>
      <c r="BM1325" s="1530"/>
      <c r="BN1325" s="1530"/>
      <c r="BW1325" s="1569"/>
      <c r="CO1325" s="1530"/>
      <c r="CP1325" s="1530"/>
      <c r="CQ1325" s="1530"/>
      <c r="CR1325" s="1530"/>
      <c r="CS1325" s="1530"/>
      <c r="CT1325" s="1530"/>
      <c r="CU1325" s="1530"/>
      <c r="CV1325" s="1530"/>
      <c r="CW1325" s="1530"/>
      <c r="CX1325" s="1530"/>
      <c r="CY1325" s="1530"/>
      <c r="CZ1325" s="1530"/>
      <c r="DA1325" s="1530"/>
      <c r="DB1325" s="1530"/>
      <c r="DC1325" s="1530"/>
      <c r="DD1325" s="1530"/>
      <c r="DE1325" s="1530"/>
      <c r="DF1325" s="1530"/>
      <c r="DG1325" s="1530"/>
      <c r="DH1325" s="1530"/>
      <c r="DI1325" s="1530"/>
      <c r="DJ1325" s="1530"/>
      <c r="DK1325" s="1530"/>
      <c r="DL1325" s="1530"/>
      <c r="DM1325" s="1530"/>
      <c r="DN1325" s="1571"/>
      <c r="DO1325" s="1530"/>
      <c r="DP1325" s="1530"/>
    </row>
    <row r="1326" spans="1:120">
      <c r="A1326" s="1451"/>
      <c r="C1326" s="1451"/>
      <c r="K1326" s="1451"/>
      <c r="L1326" s="1451"/>
      <c r="U1326" s="1530"/>
      <c r="V1326" s="1530"/>
      <c r="W1326" s="1530"/>
      <c r="X1326" s="1530"/>
      <c r="Y1326" s="1530"/>
      <c r="Z1326" s="1530"/>
      <c r="AA1326" s="1530"/>
      <c r="AB1326" s="1530"/>
      <c r="AC1326" s="1530"/>
      <c r="AD1326" s="1530"/>
      <c r="AE1326" s="1530"/>
      <c r="AF1326" s="1530"/>
      <c r="AG1326" s="1530"/>
      <c r="AH1326" s="1530"/>
      <c r="AI1326" s="1530"/>
      <c r="AJ1326" s="1530"/>
      <c r="AK1326" s="1530"/>
      <c r="AL1326" s="1530"/>
      <c r="AM1326" s="1530"/>
      <c r="AN1326" s="1530"/>
      <c r="AO1326" s="1530"/>
      <c r="AP1326" s="1530"/>
      <c r="AQ1326" s="1530"/>
      <c r="AR1326" s="1530"/>
      <c r="AS1326" s="1530"/>
      <c r="AT1326" s="1530"/>
      <c r="AU1326" s="1530"/>
      <c r="AV1326" s="1530"/>
      <c r="AW1326" s="1530"/>
      <c r="AX1326" s="1530"/>
      <c r="AY1326" s="1530"/>
      <c r="AZ1326" s="1530"/>
      <c r="BA1326" s="1530"/>
      <c r="BB1326" s="1530"/>
      <c r="BC1326" s="1530"/>
      <c r="BD1326" s="1530"/>
      <c r="BE1326" s="1530"/>
      <c r="BF1326" s="1530"/>
      <c r="BG1326" s="1530"/>
      <c r="BH1326" s="1530"/>
      <c r="BI1326" s="1530"/>
      <c r="BJ1326" s="1530"/>
      <c r="BK1326" s="1530"/>
      <c r="BL1326" s="1530"/>
      <c r="BM1326" s="1530"/>
      <c r="BN1326" s="1530"/>
      <c r="BW1326" s="1569"/>
      <c r="CO1326" s="1530"/>
      <c r="CP1326" s="1530"/>
      <c r="CQ1326" s="1530"/>
      <c r="CR1326" s="1530"/>
      <c r="CS1326" s="1530"/>
      <c r="CT1326" s="1530"/>
      <c r="CU1326" s="1530"/>
      <c r="CV1326" s="1530"/>
      <c r="CW1326" s="1530"/>
      <c r="CX1326" s="1530"/>
      <c r="CY1326" s="1530"/>
      <c r="CZ1326" s="1530"/>
      <c r="DA1326" s="1530"/>
      <c r="DB1326" s="1530"/>
      <c r="DC1326" s="1530"/>
      <c r="DD1326" s="1530"/>
      <c r="DE1326" s="1530"/>
      <c r="DF1326" s="1530"/>
      <c r="DG1326" s="1530"/>
      <c r="DH1326" s="1530"/>
      <c r="DI1326" s="1530"/>
      <c r="DJ1326" s="1530"/>
      <c r="DK1326" s="1530"/>
      <c r="DL1326" s="1530"/>
      <c r="DM1326" s="1530"/>
      <c r="DN1326" s="1571"/>
      <c r="DO1326" s="1530"/>
      <c r="DP1326" s="1530"/>
    </row>
    <row r="1327" spans="1:120">
      <c r="A1327" s="1451"/>
      <c r="C1327" s="1451"/>
      <c r="K1327" s="1451"/>
      <c r="L1327" s="1451"/>
      <c r="U1327" s="1530"/>
      <c r="V1327" s="1530"/>
      <c r="W1327" s="1530"/>
      <c r="X1327" s="1530"/>
      <c r="Y1327" s="1530"/>
      <c r="Z1327" s="1530"/>
      <c r="AA1327" s="1530"/>
      <c r="AB1327" s="1530"/>
      <c r="AC1327" s="1530"/>
      <c r="AD1327" s="1530"/>
      <c r="AE1327" s="1530"/>
      <c r="AF1327" s="1530"/>
      <c r="AG1327" s="1530"/>
      <c r="AH1327" s="1530"/>
      <c r="AI1327" s="1530"/>
      <c r="AJ1327" s="1530"/>
      <c r="AK1327" s="1530"/>
      <c r="AL1327" s="1530"/>
      <c r="AM1327" s="1530"/>
      <c r="AN1327" s="1530"/>
      <c r="AO1327" s="1530"/>
      <c r="AP1327" s="1530"/>
      <c r="AQ1327" s="1530"/>
      <c r="AR1327" s="1530"/>
      <c r="AS1327" s="1530"/>
      <c r="AT1327" s="1530"/>
      <c r="AU1327" s="1530"/>
      <c r="AV1327" s="1530"/>
      <c r="AW1327" s="1530"/>
      <c r="AX1327" s="1530"/>
      <c r="AY1327" s="1530"/>
      <c r="AZ1327" s="1530"/>
      <c r="BA1327" s="1530"/>
      <c r="BB1327" s="1530"/>
      <c r="BC1327" s="1530"/>
      <c r="BD1327" s="1530"/>
      <c r="BE1327" s="1530"/>
      <c r="BF1327" s="1530"/>
      <c r="BG1327" s="1530"/>
      <c r="BH1327" s="1530"/>
      <c r="BI1327" s="1530"/>
      <c r="BJ1327" s="1530"/>
      <c r="BK1327" s="1530"/>
      <c r="BL1327" s="1530"/>
      <c r="BM1327" s="1530"/>
      <c r="BN1327" s="1530"/>
      <c r="BW1327" s="1569"/>
      <c r="CO1327" s="1530"/>
      <c r="CP1327" s="1530"/>
      <c r="CQ1327" s="1530"/>
      <c r="CR1327" s="1530"/>
      <c r="CS1327" s="1530"/>
      <c r="CT1327" s="1530"/>
      <c r="CU1327" s="1530"/>
      <c r="CV1327" s="1530"/>
      <c r="CW1327" s="1530"/>
      <c r="CX1327" s="1530"/>
      <c r="CY1327" s="1530"/>
      <c r="CZ1327" s="1530"/>
      <c r="DA1327" s="1530"/>
      <c r="DB1327" s="1530"/>
      <c r="DC1327" s="1530"/>
      <c r="DD1327" s="1530"/>
      <c r="DE1327" s="1530"/>
      <c r="DF1327" s="1530"/>
      <c r="DG1327" s="1530"/>
      <c r="DH1327" s="1530"/>
      <c r="DI1327" s="1530"/>
      <c r="DJ1327" s="1530"/>
      <c r="DK1327" s="1530"/>
      <c r="DL1327" s="1530"/>
      <c r="DM1327" s="1530"/>
      <c r="DN1327" s="1571"/>
      <c r="DO1327" s="1530"/>
      <c r="DP1327" s="1530"/>
    </row>
    <row r="1328" spans="1:120">
      <c r="A1328" s="1451"/>
      <c r="C1328" s="1451"/>
      <c r="K1328" s="1451"/>
      <c r="L1328" s="1451"/>
      <c r="U1328" s="1530"/>
      <c r="V1328" s="1530"/>
      <c r="W1328" s="1530"/>
      <c r="X1328" s="1530"/>
      <c r="Y1328" s="1530"/>
      <c r="Z1328" s="1530"/>
      <c r="AA1328" s="1530"/>
      <c r="AB1328" s="1530"/>
      <c r="AC1328" s="1530"/>
      <c r="AD1328" s="1530"/>
      <c r="AE1328" s="1530"/>
      <c r="AF1328" s="1530"/>
      <c r="AG1328" s="1530"/>
      <c r="AH1328" s="1530"/>
      <c r="AI1328" s="1530"/>
      <c r="AJ1328" s="1530"/>
      <c r="AK1328" s="1530"/>
      <c r="AL1328" s="1530"/>
      <c r="AM1328" s="1530"/>
      <c r="AN1328" s="1530"/>
      <c r="AO1328" s="1530"/>
      <c r="AP1328" s="1530"/>
      <c r="AQ1328" s="1530"/>
      <c r="AR1328" s="1530"/>
      <c r="AS1328" s="1530"/>
      <c r="AT1328" s="1530"/>
      <c r="AU1328" s="1530"/>
      <c r="AV1328" s="1530"/>
      <c r="AW1328" s="1530"/>
      <c r="AX1328" s="1530"/>
      <c r="AY1328" s="1530"/>
      <c r="AZ1328" s="1530"/>
      <c r="BA1328" s="1530"/>
      <c r="BB1328" s="1530"/>
      <c r="BC1328" s="1530"/>
      <c r="BD1328" s="1530"/>
      <c r="BE1328" s="1530"/>
      <c r="BF1328" s="1530"/>
      <c r="BG1328" s="1530"/>
      <c r="BH1328" s="1530"/>
      <c r="BI1328" s="1530"/>
      <c r="BJ1328" s="1530"/>
      <c r="BK1328" s="1530"/>
      <c r="BL1328" s="1530"/>
      <c r="BM1328" s="1530"/>
      <c r="BN1328" s="1530"/>
      <c r="BW1328" s="1569"/>
      <c r="CO1328" s="1530"/>
      <c r="CP1328" s="1530"/>
      <c r="CQ1328" s="1530"/>
      <c r="CR1328" s="1530"/>
      <c r="CS1328" s="1530"/>
      <c r="CT1328" s="1530"/>
      <c r="CU1328" s="1530"/>
      <c r="CV1328" s="1530"/>
      <c r="CW1328" s="1530"/>
      <c r="CX1328" s="1530"/>
      <c r="CY1328" s="1530"/>
      <c r="CZ1328" s="1530"/>
      <c r="DA1328" s="1530"/>
      <c r="DB1328" s="1530"/>
      <c r="DC1328" s="1530"/>
      <c r="DD1328" s="1530"/>
      <c r="DE1328" s="1530"/>
      <c r="DF1328" s="1530"/>
      <c r="DG1328" s="1530"/>
      <c r="DH1328" s="1530"/>
      <c r="DI1328" s="1530"/>
      <c r="DJ1328" s="1530"/>
      <c r="DK1328" s="1530"/>
      <c r="DL1328" s="1530"/>
      <c r="DM1328" s="1530"/>
      <c r="DN1328" s="1571"/>
      <c r="DO1328" s="1530"/>
      <c r="DP1328" s="1530"/>
    </row>
    <row r="1329" spans="1:120">
      <c r="A1329" s="1451"/>
      <c r="C1329" s="1451"/>
      <c r="K1329" s="1451"/>
      <c r="L1329" s="1451"/>
      <c r="U1329" s="1530"/>
      <c r="V1329" s="1530"/>
      <c r="W1329" s="1530"/>
      <c r="X1329" s="1530"/>
      <c r="Y1329" s="1530"/>
      <c r="Z1329" s="1530"/>
      <c r="AA1329" s="1530"/>
      <c r="AB1329" s="1530"/>
      <c r="AC1329" s="1530"/>
      <c r="AD1329" s="1530"/>
      <c r="AE1329" s="1530"/>
      <c r="AF1329" s="1530"/>
      <c r="AG1329" s="1530"/>
      <c r="AH1329" s="1530"/>
      <c r="AI1329" s="1530"/>
      <c r="AJ1329" s="1530"/>
      <c r="AK1329" s="1530"/>
      <c r="AL1329" s="1530"/>
      <c r="AM1329" s="1530"/>
      <c r="AN1329" s="1530"/>
      <c r="AO1329" s="1530"/>
      <c r="AP1329" s="1530"/>
      <c r="AQ1329" s="1530"/>
      <c r="AR1329" s="1530"/>
      <c r="AS1329" s="1530"/>
      <c r="AT1329" s="1530"/>
      <c r="AU1329" s="1530"/>
      <c r="AV1329" s="1530"/>
      <c r="AW1329" s="1530"/>
      <c r="AX1329" s="1530"/>
      <c r="AY1329" s="1530"/>
      <c r="AZ1329" s="1530"/>
      <c r="BA1329" s="1530"/>
      <c r="BB1329" s="1530"/>
      <c r="BC1329" s="1530"/>
      <c r="BD1329" s="1530"/>
      <c r="BE1329" s="1530"/>
      <c r="BF1329" s="1530"/>
      <c r="BG1329" s="1530"/>
      <c r="BH1329" s="1530"/>
      <c r="BI1329" s="1530"/>
      <c r="BJ1329" s="1530"/>
      <c r="BK1329" s="1530"/>
      <c r="BL1329" s="1530"/>
      <c r="BM1329" s="1530"/>
      <c r="BN1329" s="1530"/>
      <c r="BW1329" s="1569"/>
      <c r="CO1329" s="1530"/>
      <c r="CP1329" s="1530"/>
      <c r="CQ1329" s="1530"/>
      <c r="CR1329" s="1530"/>
      <c r="CS1329" s="1530"/>
      <c r="CT1329" s="1530"/>
      <c r="CU1329" s="1530"/>
      <c r="CV1329" s="1530"/>
      <c r="CW1329" s="1530"/>
      <c r="CX1329" s="1530"/>
      <c r="CY1329" s="1530"/>
      <c r="CZ1329" s="1530"/>
      <c r="DA1329" s="1530"/>
      <c r="DB1329" s="1530"/>
      <c r="DC1329" s="1530"/>
      <c r="DD1329" s="1530"/>
      <c r="DE1329" s="1530"/>
      <c r="DF1329" s="1530"/>
      <c r="DG1329" s="1530"/>
      <c r="DH1329" s="1530"/>
      <c r="DI1329" s="1530"/>
      <c r="DJ1329" s="1530"/>
      <c r="DK1329" s="1530"/>
      <c r="DL1329" s="1530"/>
      <c r="DM1329" s="1530"/>
      <c r="DN1329" s="1571"/>
      <c r="DO1329" s="1530"/>
      <c r="DP1329" s="1530"/>
    </row>
    <row r="1330" spans="1:120">
      <c r="A1330" s="1451"/>
      <c r="C1330" s="1451"/>
      <c r="K1330" s="1451"/>
      <c r="L1330" s="1451"/>
      <c r="U1330" s="1530"/>
      <c r="V1330" s="1530"/>
      <c r="W1330" s="1530"/>
      <c r="X1330" s="1530"/>
      <c r="Y1330" s="1530"/>
      <c r="Z1330" s="1530"/>
      <c r="AA1330" s="1530"/>
      <c r="AB1330" s="1530"/>
      <c r="AC1330" s="1530"/>
      <c r="AD1330" s="1530"/>
      <c r="AE1330" s="1530"/>
      <c r="AF1330" s="1530"/>
      <c r="AG1330" s="1530"/>
      <c r="AH1330" s="1530"/>
      <c r="AI1330" s="1530"/>
      <c r="AJ1330" s="1530"/>
      <c r="AK1330" s="1530"/>
      <c r="AL1330" s="1530"/>
      <c r="AM1330" s="1530"/>
      <c r="AN1330" s="1530"/>
      <c r="AO1330" s="1530"/>
      <c r="AP1330" s="1530"/>
      <c r="AQ1330" s="1530"/>
      <c r="AR1330" s="1530"/>
      <c r="AS1330" s="1530"/>
      <c r="AT1330" s="1530"/>
      <c r="AU1330" s="1530"/>
      <c r="AV1330" s="1530"/>
      <c r="AW1330" s="1530"/>
      <c r="AX1330" s="1530"/>
      <c r="AY1330" s="1530"/>
      <c r="AZ1330" s="1530"/>
      <c r="BA1330" s="1530"/>
      <c r="BB1330" s="1530"/>
      <c r="BC1330" s="1530"/>
      <c r="BD1330" s="1530"/>
      <c r="BE1330" s="1530"/>
      <c r="BF1330" s="1530"/>
      <c r="BG1330" s="1530"/>
      <c r="BH1330" s="1530"/>
      <c r="BI1330" s="1530"/>
      <c r="BJ1330" s="1530"/>
      <c r="BK1330" s="1530"/>
      <c r="BL1330" s="1530"/>
      <c r="BM1330" s="1530"/>
      <c r="BN1330" s="1530"/>
      <c r="BW1330" s="1569"/>
      <c r="CO1330" s="1530"/>
      <c r="CP1330" s="1530"/>
      <c r="CQ1330" s="1530"/>
      <c r="CR1330" s="1530"/>
      <c r="CS1330" s="1530"/>
      <c r="CT1330" s="1530"/>
      <c r="CU1330" s="1530"/>
      <c r="CV1330" s="1530"/>
      <c r="CW1330" s="1530"/>
      <c r="CX1330" s="1530"/>
      <c r="CY1330" s="1530"/>
      <c r="CZ1330" s="1530"/>
      <c r="DA1330" s="1530"/>
      <c r="DB1330" s="1530"/>
      <c r="DC1330" s="1530"/>
      <c r="DD1330" s="1530"/>
      <c r="DE1330" s="1530"/>
      <c r="DF1330" s="1530"/>
      <c r="DG1330" s="1530"/>
      <c r="DH1330" s="1530"/>
      <c r="DI1330" s="1530"/>
      <c r="DJ1330" s="1530"/>
      <c r="DK1330" s="1530"/>
      <c r="DL1330" s="1530"/>
      <c r="DM1330" s="1530"/>
      <c r="DN1330" s="1571"/>
      <c r="DO1330" s="1530"/>
      <c r="DP1330" s="1530"/>
    </row>
    <row r="1331" spans="1:120">
      <c r="A1331" s="1451"/>
      <c r="C1331" s="1451"/>
      <c r="K1331" s="1451"/>
      <c r="L1331" s="1451"/>
      <c r="U1331" s="1530"/>
      <c r="V1331" s="1530"/>
      <c r="W1331" s="1530"/>
      <c r="X1331" s="1530"/>
      <c r="Y1331" s="1530"/>
      <c r="Z1331" s="1530"/>
      <c r="AA1331" s="1530"/>
      <c r="AB1331" s="1530"/>
      <c r="AC1331" s="1530"/>
      <c r="AD1331" s="1530"/>
      <c r="AE1331" s="1530"/>
      <c r="AF1331" s="1530"/>
      <c r="AG1331" s="1530"/>
      <c r="AH1331" s="1530"/>
      <c r="AI1331" s="1530"/>
      <c r="AJ1331" s="1530"/>
      <c r="AK1331" s="1530"/>
      <c r="AL1331" s="1530"/>
      <c r="AM1331" s="1530"/>
      <c r="AN1331" s="1530"/>
      <c r="AO1331" s="1530"/>
      <c r="AP1331" s="1530"/>
      <c r="AQ1331" s="1530"/>
      <c r="AR1331" s="1530"/>
      <c r="AS1331" s="1530"/>
      <c r="AT1331" s="1530"/>
      <c r="AU1331" s="1530"/>
      <c r="AV1331" s="1530"/>
      <c r="AW1331" s="1530"/>
      <c r="AX1331" s="1530"/>
      <c r="AY1331" s="1530"/>
      <c r="AZ1331" s="1530"/>
      <c r="BA1331" s="1530"/>
      <c r="BB1331" s="1530"/>
      <c r="BC1331" s="1530"/>
      <c r="BD1331" s="1530"/>
      <c r="BE1331" s="1530"/>
      <c r="BF1331" s="1530"/>
      <c r="BG1331" s="1530"/>
      <c r="BH1331" s="1530"/>
      <c r="BI1331" s="1530"/>
      <c r="BJ1331" s="1530"/>
      <c r="BK1331" s="1530"/>
      <c r="BL1331" s="1530"/>
      <c r="BM1331" s="1530"/>
      <c r="BN1331" s="1530"/>
      <c r="BW1331" s="1569"/>
      <c r="CO1331" s="1530"/>
      <c r="CP1331" s="1530"/>
      <c r="CQ1331" s="1530"/>
      <c r="CR1331" s="1530"/>
      <c r="CS1331" s="1530"/>
      <c r="CT1331" s="1530"/>
      <c r="CU1331" s="1530"/>
      <c r="CV1331" s="1530"/>
      <c r="CW1331" s="1530"/>
      <c r="CX1331" s="1530"/>
      <c r="CY1331" s="1530"/>
      <c r="CZ1331" s="1530"/>
      <c r="DA1331" s="1530"/>
      <c r="DB1331" s="1530"/>
      <c r="DC1331" s="1530"/>
      <c r="DD1331" s="1530"/>
      <c r="DE1331" s="1530"/>
      <c r="DF1331" s="1530"/>
      <c r="DG1331" s="1530"/>
      <c r="DH1331" s="1530"/>
      <c r="DI1331" s="1530"/>
      <c r="DJ1331" s="1530"/>
      <c r="DK1331" s="1530"/>
      <c r="DL1331" s="1530"/>
      <c r="DM1331" s="1530"/>
      <c r="DN1331" s="1571"/>
      <c r="DO1331" s="1530"/>
      <c r="DP1331" s="1530"/>
    </row>
    <row r="1332" spans="1:120">
      <c r="A1332" s="1451"/>
      <c r="C1332" s="1451"/>
      <c r="K1332" s="1451"/>
      <c r="L1332" s="1451"/>
      <c r="U1332" s="1530"/>
      <c r="V1332" s="1530"/>
      <c r="W1332" s="1530"/>
      <c r="X1332" s="1530"/>
      <c r="Y1332" s="1530"/>
      <c r="Z1332" s="1530"/>
      <c r="AA1332" s="1530"/>
      <c r="AB1332" s="1530"/>
      <c r="AC1332" s="1530"/>
      <c r="AD1332" s="1530"/>
      <c r="AE1332" s="1530"/>
      <c r="AF1332" s="1530"/>
      <c r="AG1332" s="1530"/>
      <c r="AH1332" s="1530"/>
      <c r="AI1332" s="1530"/>
      <c r="AJ1332" s="1530"/>
      <c r="AK1332" s="1530"/>
      <c r="AL1332" s="1530"/>
      <c r="AM1332" s="1530"/>
      <c r="AN1332" s="1530"/>
      <c r="AO1332" s="1530"/>
      <c r="AP1332" s="1530"/>
      <c r="AQ1332" s="1530"/>
      <c r="AR1332" s="1530"/>
      <c r="AS1332" s="1530"/>
      <c r="AT1332" s="1530"/>
      <c r="AU1332" s="1530"/>
      <c r="AV1332" s="1530"/>
      <c r="AW1332" s="1530"/>
      <c r="AX1332" s="1530"/>
      <c r="AY1332" s="1530"/>
      <c r="AZ1332" s="1530"/>
      <c r="BA1332" s="1530"/>
      <c r="BB1332" s="1530"/>
      <c r="BC1332" s="1530"/>
      <c r="BD1332" s="1530"/>
      <c r="BE1332" s="1530"/>
      <c r="BF1332" s="1530"/>
      <c r="BG1332" s="1530"/>
      <c r="BH1332" s="1530"/>
      <c r="BI1332" s="1530"/>
      <c r="BJ1332" s="1530"/>
      <c r="BK1332" s="1530"/>
      <c r="BL1332" s="1530"/>
      <c r="BM1332" s="1530"/>
      <c r="BN1332" s="1530"/>
      <c r="BW1332" s="1569"/>
      <c r="CO1332" s="1530"/>
      <c r="CP1332" s="1530"/>
      <c r="CQ1332" s="1530"/>
      <c r="CR1332" s="1530"/>
      <c r="CS1332" s="1530"/>
      <c r="CT1332" s="1530"/>
      <c r="CU1332" s="1530"/>
      <c r="CV1332" s="1530"/>
      <c r="CW1332" s="1530"/>
      <c r="CX1332" s="1530"/>
      <c r="CY1332" s="1530"/>
      <c r="CZ1332" s="1530"/>
      <c r="DA1332" s="1530"/>
      <c r="DB1332" s="1530"/>
      <c r="DC1332" s="1530"/>
      <c r="DD1332" s="1530"/>
      <c r="DE1332" s="1530"/>
      <c r="DF1332" s="1530"/>
      <c r="DG1332" s="1530"/>
      <c r="DH1332" s="1530"/>
      <c r="DI1332" s="1530"/>
      <c r="DJ1332" s="1530"/>
      <c r="DK1332" s="1530"/>
      <c r="DL1332" s="1530"/>
      <c r="DM1332" s="1530"/>
      <c r="DN1332" s="1571"/>
      <c r="DO1332" s="1530"/>
      <c r="DP1332" s="1530"/>
    </row>
    <row r="1333" spans="1:120">
      <c r="A1333" s="1451"/>
      <c r="C1333" s="1451"/>
      <c r="K1333" s="1451"/>
      <c r="L1333" s="1451"/>
      <c r="U1333" s="1530"/>
      <c r="V1333" s="1530"/>
      <c r="W1333" s="1530"/>
      <c r="X1333" s="1530"/>
      <c r="Y1333" s="1530"/>
      <c r="Z1333" s="1530"/>
      <c r="AA1333" s="1530"/>
      <c r="AB1333" s="1530"/>
      <c r="AC1333" s="1530"/>
      <c r="AD1333" s="1530"/>
      <c r="AE1333" s="1530"/>
      <c r="AF1333" s="1530"/>
      <c r="AG1333" s="1530"/>
      <c r="AH1333" s="1530"/>
      <c r="AI1333" s="1530"/>
      <c r="AJ1333" s="1530"/>
      <c r="AK1333" s="1530"/>
      <c r="AL1333" s="1530"/>
      <c r="AM1333" s="1530"/>
      <c r="AN1333" s="1530"/>
      <c r="AO1333" s="1530"/>
      <c r="AP1333" s="1530"/>
      <c r="AQ1333" s="1530"/>
      <c r="AR1333" s="1530"/>
      <c r="AS1333" s="1530"/>
      <c r="AT1333" s="1530"/>
      <c r="AU1333" s="1530"/>
      <c r="AV1333" s="1530"/>
      <c r="AW1333" s="1530"/>
      <c r="AX1333" s="1530"/>
      <c r="AY1333" s="1530"/>
      <c r="AZ1333" s="1530"/>
      <c r="BA1333" s="1530"/>
      <c r="BB1333" s="1530"/>
      <c r="BC1333" s="1530"/>
      <c r="BD1333" s="1530"/>
      <c r="BE1333" s="1530"/>
      <c r="BF1333" s="1530"/>
      <c r="BG1333" s="1530"/>
      <c r="BH1333" s="1530"/>
      <c r="BI1333" s="1530"/>
      <c r="BJ1333" s="1530"/>
      <c r="BK1333" s="1530"/>
      <c r="BL1333" s="1530"/>
      <c r="BM1333" s="1530"/>
      <c r="BN1333" s="1530"/>
      <c r="BW1333" s="1569"/>
      <c r="CO1333" s="1530"/>
      <c r="CP1333" s="1530"/>
      <c r="CQ1333" s="1530"/>
      <c r="CR1333" s="1530"/>
      <c r="CS1333" s="1530"/>
      <c r="CT1333" s="1530"/>
      <c r="CU1333" s="1530"/>
      <c r="CV1333" s="1530"/>
      <c r="CW1333" s="1530"/>
      <c r="CX1333" s="1530"/>
      <c r="CY1333" s="1530"/>
      <c r="CZ1333" s="1530"/>
      <c r="DA1333" s="1530"/>
      <c r="DB1333" s="1530"/>
      <c r="DC1333" s="1530"/>
      <c r="DD1333" s="1530"/>
      <c r="DE1333" s="1530"/>
      <c r="DF1333" s="1530"/>
      <c r="DG1333" s="1530"/>
      <c r="DH1333" s="1530"/>
      <c r="DI1333" s="1530"/>
      <c r="DJ1333" s="1530"/>
      <c r="DK1333" s="1530"/>
      <c r="DL1333" s="1530"/>
      <c r="DM1333" s="1530"/>
      <c r="DN1333" s="1571"/>
      <c r="DO1333" s="1530"/>
      <c r="DP1333" s="1530"/>
    </row>
    <row r="1334" spans="1:120">
      <c r="A1334" s="1451"/>
      <c r="C1334" s="1451"/>
      <c r="K1334" s="1451"/>
      <c r="L1334" s="1451"/>
      <c r="U1334" s="1530"/>
      <c r="V1334" s="1530"/>
      <c r="W1334" s="1530"/>
      <c r="X1334" s="1530"/>
      <c r="Y1334" s="1530"/>
      <c r="Z1334" s="1530"/>
      <c r="AA1334" s="1530"/>
      <c r="AB1334" s="1530"/>
      <c r="AC1334" s="1530"/>
      <c r="AD1334" s="1530"/>
      <c r="AE1334" s="1530"/>
      <c r="AF1334" s="1530"/>
      <c r="AG1334" s="1530"/>
      <c r="AH1334" s="1530"/>
      <c r="AI1334" s="1530"/>
      <c r="AJ1334" s="1530"/>
      <c r="AK1334" s="1530"/>
      <c r="AL1334" s="1530"/>
      <c r="AM1334" s="1530"/>
      <c r="AN1334" s="1530"/>
      <c r="AO1334" s="1530"/>
      <c r="AP1334" s="1530"/>
      <c r="AQ1334" s="1530"/>
      <c r="AR1334" s="1530"/>
      <c r="AS1334" s="1530"/>
      <c r="AT1334" s="1530"/>
      <c r="AU1334" s="1530"/>
      <c r="AV1334" s="1530"/>
      <c r="AW1334" s="1530"/>
      <c r="AX1334" s="1530"/>
      <c r="AY1334" s="1530"/>
      <c r="AZ1334" s="1530"/>
      <c r="BA1334" s="1530"/>
      <c r="BB1334" s="1530"/>
      <c r="BC1334" s="1530"/>
      <c r="BD1334" s="1530"/>
      <c r="BE1334" s="1530"/>
      <c r="BF1334" s="1530"/>
      <c r="BG1334" s="1530"/>
      <c r="BH1334" s="1530"/>
      <c r="BI1334" s="1530"/>
      <c r="BJ1334" s="1530"/>
      <c r="BK1334" s="1530"/>
      <c r="BL1334" s="1530"/>
      <c r="BM1334" s="1530"/>
      <c r="BN1334" s="1530"/>
      <c r="BW1334" s="1569"/>
      <c r="CO1334" s="1530"/>
      <c r="CP1334" s="1530"/>
      <c r="CQ1334" s="1530"/>
      <c r="CR1334" s="1530"/>
      <c r="CS1334" s="1530"/>
      <c r="CT1334" s="1530"/>
      <c r="CU1334" s="1530"/>
      <c r="CV1334" s="1530"/>
      <c r="CW1334" s="1530"/>
      <c r="CX1334" s="1530"/>
      <c r="CY1334" s="1530"/>
      <c r="CZ1334" s="1530"/>
      <c r="DA1334" s="1530"/>
      <c r="DB1334" s="1530"/>
      <c r="DC1334" s="1530"/>
      <c r="DD1334" s="1530"/>
      <c r="DE1334" s="1530"/>
      <c r="DF1334" s="1530"/>
      <c r="DG1334" s="1530"/>
      <c r="DH1334" s="1530"/>
      <c r="DI1334" s="1530"/>
      <c r="DJ1334" s="1530"/>
      <c r="DK1334" s="1530"/>
      <c r="DL1334" s="1530"/>
      <c r="DM1334" s="1530"/>
      <c r="DN1334" s="1571"/>
      <c r="DO1334" s="1530"/>
      <c r="DP1334" s="1530"/>
    </row>
    <row r="1335" spans="1:120">
      <c r="A1335" s="1451"/>
      <c r="C1335" s="1451"/>
      <c r="K1335" s="1451"/>
      <c r="L1335" s="1451"/>
      <c r="U1335" s="1530"/>
      <c r="V1335" s="1530"/>
      <c r="W1335" s="1530"/>
      <c r="X1335" s="1530"/>
      <c r="Y1335" s="1530"/>
      <c r="Z1335" s="1530"/>
      <c r="AA1335" s="1530"/>
      <c r="AB1335" s="1530"/>
      <c r="AC1335" s="1530"/>
      <c r="AD1335" s="1530"/>
      <c r="AE1335" s="1530"/>
      <c r="AF1335" s="1530"/>
      <c r="AG1335" s="1530"/>
      <c r="AH1335" s="1530"/>
      <c r="AI1335" s="1530"/>
      <c r="AJ1335" s="1530"/>
      <c r="AK1335" s="1530"/>
      <c r="AL1335" s="1530"/>
      <c r="AM1335" s="1530"/>
      <c r="AN1335" s="1530"/>
      <c r="AO1335" s="1530"/>
      <c r="AP1335" s="1530"/>
      <c r="AQ1335" s="1530"/>
      <c r="AR1335" s="1530"/>
      <c r="AS1335" s="1530"/>
      <c r="AT1335" s="1530"/>
      <c r="AU1335" s="1530"/>
      <c r="AV1335" s="1530"/>
      <c r="AW1335" s="1530"/>
      <c r="AX1335" s="1530"/>
      <c r="AY1335" s="1530"/>
      <c r="AZ1335" s="1530"/>
      <c r="BA1335" s="1530"/>
      <c r="BB1335" s="1530"/>
      <c r="BC1335" s="1530"/>
      <c r="BD1335" s="1530"/>
      <c r="BE1335" s="1530"/>
      <c r="BF1335" s="1530"/>
      <c r="BG1335" s="1530"/>
      <c r="BH1335" s="1530"/>
      <c r="BI1335" s="1530"/>
      <c r="BJ1335" s="1530"/>
      <c r="BK1335" s="1530"/>
      <c r="BL1335" s="1530"/>
      <c r="BM1335" s="1530"/>
      <c r="BN1335" s="1530"/>
      <c r="BW1335" s="1569"/>
      <c r="CO1335" s="1530"/>
      <c r="CP1335" s="1530"/>
      <c r="CQ1335" s="1530"/>
      <c r="CR1335" s="1530"/>
      <c r="CS1335" s="1530"/>
      <c r="CT1335" s="1530"/>
      <c r="CU1335" s="1530"/>
      <c r="CV1335" s="1530"/>
      <c r="CW1335" s="1530"/>
      <c r="CX1335" s="1530"/>
      <c r="CY1335" s="1530"/>
      <c r="CZ1335" s="1530"/>
      <c r="DA1335" s="1530"/>
      <c r="DB1335" s="1530"/>
      <c r="DC1335" s="1530"/>
      <c r="DD1335" s="1530"/>
      <c r="DE1335" s="1530"/>
      <c r="DF1335" s="1530"/>
      <c r="DG1335" s="1530"/>
      <c r="DH1335" s="1530"/>
      <c r="DI1335" s="1530"/>
      <c r="DJ1335" s="1530"/>
      <c r="DK1335" s="1530"/>
      <c r="DL1335" s="1530"/>
      <c r="DM1335" s="1530"/>
      <c r="DN1335" s="1571"/>
      <c r="DO1335" s="1530"/>
      <c r="DP1335" s="1530"/>
    </row>
    <row r="1336" spans="1:120">
      <c r="A1336" s="1451"/>
      <c r="C1336" s="1451"/>
      <c r="K1336" s="1451"/>
      <c r="L1336" s="1451"/>
      <c r="U1336" s="1530"/>
      <c r="V1336" s="1530"/>
      <c r="W1336" s="1530"/>
      <c r="X1336" s="1530"/>
      <c r="Y1336" s="1530"/>
      <c r="Z1336" s="1530"/>
      <c r="AA1336" s="1530"/>
      <c r="AB1336" s="1530"/>
      <c r="AC1336" s="1530"/>
      <c r="AD1336" s="1530"/>
      <c r="AE1336" s="1530"/>
      <c r="AF1336" s="1530"/>
      <c r="AG1336" s="1530"/>
      <c r="AH1336" s="1530"/>
      <c r="AI1336" s="1530"/>
      <c r="AJ1336" s="1530"/>
      <c r="AK1336" s="1530"/>
      <c r="AL1336" s="1530"/>
      <c r="AM1336" s="1530"/>
      <c r="AN1336" s="1530"/>
      <c r="AO1336" s="1530"/>
      <c r="AP1336" s="1530"/>
      <c r="AQ1336" s="1530"/>
      <c r="AR1336" s="1530"/>
      <c r="AS1336" s="1530"/>
      <c r="AT1336" s="1530"/>
      <c r="AU1336" s="1530"/>
      <c r="AV1336" s="1530"/>
      <c r="AW1336" s="1530"/>
      <c r="AX1336" s="1530"/>
      <c r="AY1336" s="1530"/>
      <c r="AZ1336" s="1530"/>
      <c r="BA1336" s="1530"/>
      <c r="BB1336" s="1530"/>
      <c r="BC1336" s="1530"/>
      <c r="BD1336" s="1530"/>
      <c r="BE1336" s="1530"/>
      <c r="BF1336" s="1530"/>
      <c r="BG1336" s="1530"/>
      <c r="BH1336" s="1530"/>
      <c r="BI1336" s="1530"/>
      <c r="BJ1336" s="1530"/>
      <c r="BK1336" s="1530"/>
      <c r="BL1336" s="1530"/>
      <c r="BM1336" s="1530"/>
      <c r="BN1336" s="1530"/>
      <c r="BW1336" s="1569"/>
      <c r="CO1336" s="1530"/>
      <c r="CP1336" s="1530"/>
      <c r="CQ1336" s="1530"/>
      <c r="CR1336" s="1530"/>
      <c r="CS1336" s="1530"/>
      <c r="CT1336" s="1530"/>
      <c r="CU1336" s="1530"/>
      <c r="CV1336" s="1530"/>
      <c r="CW1336" s="1530"/>
      <c r="CX1336" s="1530"/>
      <c r="CY1336" s="1530"/>
      <c r="CZ1336" s="1530"/>
      <c r="DA1336" s="1530"/>
      <c r="DB1336" s="1530"/>
      <c r="DC1336" s="1530"/>
      <c r="DD1336" s="1530"/>
      <c r="DE1336" s="1530"/>
      <c r="DF1336" s="1530"/>
      <c r="DG1336" s="1530"/>
      <c r="DH1336" s="1530"/>
      <c r="DI1336" s="1530"/>
      <c r="DJ1336" s="1530"/>
      <c r="DK1336" s="1530"/>
      <c r="DL1336" s="1530"/>
      <c r="DM1336" s="1530"/>
      <c r="DN1336" s="1571"/>
      <c r="DO1336" s="1530"/>
      <c r="DP1336" s="1530"/>
    </row>
    <row r="1337" spans="1:120">
      <c r="A1337" s="1451"/>
      <c r="C1337" s="1451"/>
      <c r="K1337" s="1451"/>
      <c r="L1337" s="1451"/>
      <c r="U1337" s="1530"/>
      <c r="V1337" s="1530"/>
      <c r="W1337" s="1530"/>
      <c r="X1337" s="1530"/>
      <c r="Y1337" s="1530"/>
      <c r="Z1337" s="1530"/>
      <c r="AA1337" s="1530"/>
      <c r="AB1337" s="1530"/>
      <c r="AC1337" s="1530"/>
      <c r="AD1337" s="1530"/>
      <c r="AE1337" s="1530"/>
      <c r="AF1337" s="1530"/>
      <c r="AG1337" s="1530"/>
      <c r="AH1337" s="1530"/>
      <c r="AI1337" s="1530"/>
      <c r="AJ1337" s="1530"/>
      <c r="AK1337" s="1530"/>
      <c r="AL1337" s="1530"/>
      <c r="AM1337" s="1530"/>
      <c r="AN1337" s="1530"/>
      <c r="AO1337" s="1530"/>
      <c r="AP1337" s="1530"/>
      <c r="AQ1337" s="1530"/>
      <c r="AR1337" s="1530"/>
      <c r="AS1337" s="1530"/>
      <c r="AT1337" s="1530"/>
      <c r="AU1337" s="1530"/>
      <c r="AV1337" s="1530"/>
      <c r="AW1337" s="1530"/>
      <c r="AX1337" s="1530"/>
      <c r="AY1337" s="1530"/>
      <c r="AZ1337" s="1530"/>
      <c r="BA1337" s="1530"/>
      <c r="BB1337" s="1530"/>
      <c r="BC1337" s="1530"/>
      <c r="BD1337" s="1530"/>
      <c r="BE1337" s="1530"/>
      <c r="BF1337" s="1530"/>
      <c r="BG1337" s="1530"/>
      <c r="BH1337" s="1530"/>
      <c r="BI1337" s="1530"/>
      <c r="BJ1337" s="1530"/>
      <c r="BK1337" s="1530"/>
      <c r="BL1337" s="1530"/>
      <c r="BM1337" s="1530"/>
      <c r="BN1337" s="1530"/>
      <c r="BW1337" s="1569"/>
      <c r="CO1337" s="1530"/>
      <c r="CP1337" s="1530"/>
      <c r="CQ1337" s="1530"/>
      <c r="CR1337" s="1530"/>
      <c r="CS1337" s="1530"/>
      <c r="CT1337" s="1530"/>
      <c r="CU1337" s="1530"/>
      <c r="CV1337" s="1530"/>
      <c r="CW1337" s="1530"/>
      <c r="CX1337" s="1530"/>
      <c r="CY1337" s="1530"/>
      <c r="CZ1337" s="1530"/>
      <c r="DA1337" s="1530"/>
      <c r="DB1337" s="1530"/>
      <c r="DC1337" s="1530"/>
      <c r="DD1337" s="1530"/>
      <c r="DE1337" s="1530"/>
      <c r="DF1337" s="1530"/>
      <c r="DG1337" s="1530"/>
      <c r="DH1337" s="1530"/>
      <c r="DI1337" s="1530"/>
      <c r="DJ1337" s="1530"/>
      <c r="DK1337" s="1530"/>
      <c r="DL1337" s="1530"/>
      <c r="DM1337" s="1530"/>
      <c r="DN1337" s="1571"/>
      <c r="DO1337" s="1530"/>
      <c r="DP1337" s="1530"/>
    </row>
    <row r="1338" spans="1:120">
      <c r="A1338" s="1451"/>
      <c r="C1338" s="1451"/>
      <c r="K1338" s="1451"/>
      <c r="L1338" s="1451"/>
      <c r="CO1338" s="1530"/>
      <c r="CP1338" s="1530"/>
      <c r="CQ1338" s="1530"/>
      <c r="CR1338" s="1530"/>
      <c r="CS1338" s="1530"/>
      <c r="CT1338" s="1530"/>
      <c r="CU1338" s="1530"/>
      <c r="CV1338" s="1530"/>
      <c r="CW1338" s="1530"/>
      <c r="CX1338" s="1530"/>
      <c r="CY1338" s="1530"/>
      <c r="CZ1338" s="1530"/>
      <c r="DA1338" s="1530"/>
      <c r="DB1338" s="1530"/>
      <c r="DC1338" s="1530"/>
      <c r="DD1338" s="1530"/>
      <c r="DE1338" s="1530"/>
      <c r="DF1338" s="1530"/>
      <c r="DG1338" s="1530"/>
      <c r="DH1338" s="1530"/>
      <c r="DI1338" s="1530"/>
      <c r="DJ1338" s="1530"/>
      <c r="DK1338" s="1530"/>
      <c r="DL1338" s="1530"/>
      <c r="DM1338" s="1530"/>
      <c r="DN1338" s="1571"/>
      <c r="DO1338" s="1530"/>
      <c r="DP1338" s="1530"/>
    </row>
    <row r="1339" spans="1:120">
      <c r="A1339" s="1451"/>
      <c r="C1339" s="1451"/>
      <c r="K1339" s="1451"/>
      <c r="L1339" s="1451"/>
      <c r="CO1339" s="1530"/>
      <c r="CP1339" s="1530"/>
      <c r="CQ1339" s="1530"/>
      <c r="CR1339" s="1530"/>
      <c r="CS1339" s="1530"/>
      <c r="CT1339" s="1530"/>
      <c r="CU1339" s="1530"/>
      <c r="CV1339" s="1530"/>
      <c r="CW1339" s="1530"/>
      <c r="CX1339" s="1530"/>
      <c r="CY1339" s="1530"/>
      <c r="CZ1339" s="1530"/>
      <c r="DA1339" s="1530"/>
      <c r="DB1339" s="1530"/>
      <c r="DC1339" s="1530"/>
      <c r="DD1339" s="1530"/>
      <c r="DE1339" s="1530"/>
      <c r="DF1339" s="1530"/>
      <c r="DG1339" s="1530"/>
      <c r="DH1339" s="1530"/>
      <c r="DI1339" s="1530"/>
      <c r="DJ1339" s="1530"/>
      <c r="DK1339" s="1530"/>
      <c r="DL1339" s="1530"/>
      <c r="DM1339" s="1530"/>
      <c r="DN1339" s="1571"/>
      <c r="DO1339" s="1530"/>
      <c r="DP1339" s="1530"/>
    </row>
    <row r="1340" spans="1:120">
      <c r="A1340" s="1451"/>
      <c r="C1340" s="1451"/>
      <c r="K1340" s="1451"/>
      <c r="L1340" s="1451"/>
      <c r="CO1340" s="1530"/>
      <c r="CP1340" s="1530"/>
      <c r="CQ1340" s="1530"/>
      <c r="CR1340" s="1530"/>
      <c r="CS1340" s="1530"/>
      <c r="CT1340" s="1530"/>
      <c r="CU1340" s="1530"/>
      <c r="CV1340" s="1530"/>
      <c r="CW1340" s="1530"/>
      <c r="CX1340" s="1530"/>
      <c r="CY1340" s="1530"/>
      <c r="CZ1340" s="1530"/>
      <c r="DA1340" s="1530"/>
      <c r="DB1340" s="1530"/>
      <c r="DC1340" s="1530"/>
      <c r="DD1340" s="1530"/>
      <c r="DE1340" s="1530"/>
      <c r="DF1340" s="1530"/>
      <c r="DG1340" s="1530"/>
      <c r="DH1340" s="1530"/>
      <c r="DI1340" s="1530"/>
      <c r="DJ1340" s="1530"/>
      <c r="DK1340" s="1530"/>
      <c r="DL1340" s="1530"/>
      <c r="DM1340" s="1530"/>
      <c r="DN1340" s="1571"/>
      <c r="DO1340" s="1530"/>
      <c r="DP1340" s="1530"/>
    </row>
    <row r="1341" spans="1:120">
      <c r="A1341" s="1451"/>
      <c r="C1341" s="1451"/>
      <c r="K1341" s="1451"/>
      <c r="L1341" s="1451"/>
      <c r="CO1341" s="1530"/>
      <c r="CP1341" s="1530"/>
      <c r="CQ1341" s="1530"/>
      <c r="CR1341" s="1530"/>
      <c r="CS1341" s="1530"/>
      <c r="CT1341" s="1530"/>
      <c r="CU1341" s="1530"/>
      <c r="CV1341" s="1530"/>
      <c r="CW1341" s="1530"/>
      <c r="CX1341" s="1530"/>
      <c r="CY1341" s="1530"/>
      <c r="CZ1341" s="1530"/>
      <c r="DA1341" s="1530"/>
      <c r="DB1341" s="1530"/>
      <c r="DC1341" s="1530"/>
      <c r="DD1341" s="1530"/>
      <c r="DE1341" s="1530"/>
      <c r="DF1341" s="1530"/>
      <c r="DG1341" s="1530"/>
      <c r="DH1341" s="1530"/>
      <c r="DI1341" s="1530"/>
      <c r="DJ1341" s="1530"/>
      <c r="DK1341" s="1530"/>
      <c r="DL1341" s="1530"/>
      <c r="DM1341" s="1530"/>
      <c r="DN1341" s="1571"/>
      <c r="DO1341" s="1530"/>
      <c r="DP1341" s="1530"/>
    </row>
    <row r="1342" spans="1:120">
      <c r="A1342" s="1451"/>
      <c r="C1342" s="1451"/>
      <c r="K1342" s="1451"/>
      <c r="L1342" s="1451"/>
      <c r="CO1342" s="1530"/>
      <c r="CP1342" s="1530"/>
      <c r="CQ1342" s="1530"/>
      <c r="CR1342" s="1530"/>
      <c r="CS1342" s="1530"/>
      <c r="CT1342" s="1530"/>
      <c r="CU1342" s="1530"/>
      <c r="CV1342" s="1530"/>
      <c r="CW1342" s="1530"/>
      <c r="CX1342" s="1530"/>
      <c r="CY1342" s="1530"/>
      <c r="CZ1342" s="1530"/>
      <c r="DA1342" s="1530"/>
      <c r="DB1342" s="1530"/>
      <c r="DC1342" s="1530"/>
      <c r="DD1342" s="1530"/>
      <c r="DE1342" s="1530"/>
      <c r="DF1342" s="1530"/>
      <c r="DG1342" s="1530"/>
      <c r="DH1342" s="1530"/>
      <c r="DI1342" s="1530"/>
      <c r="DJ1342" s="1530"/>
      <c r="DK1342" s="1530"/>
      <c r="DL1342" s="1530"/>
      <c r="DM1342" s="1530"/>
      <c r="DN1342" s="1571"/>
      <c r="DO1342" s="1530"/>
      <c r="DP1342" s="1530"/>
    </row>
    <row r="1343" spans="1:120">
      <c r="A1343" s="1451"/>
      <c r="C1343" s="1451"/>
      <c r="K1343" s="1451"/>
      <c r="L1343" s="1451"/>
      <c r="CO1343" s="1530"/>
      <c r="CP1343" s="1530"/>
      <c r="CQ1343" s="1530"/>
      <c r="CR1343" s="1530"/>
      <c r="CS1343" s="1530"/>
      <c r="CT1343" s="1530"/>
      <c r="CU1343" s="1530"/>
      <c r="CV1343" s="1530"/>
      <c r="CW1343" s="1530"/>
      <c r="CX1343" s="1530"/>
      <c r="CY1343" s="1530"/>
      <c r="CZ1343" s="1530"/>
      <c r="DA1343" s="1530"/>
      <c r="DB1343" s="1530"/>
      <c r="DC1343" s="1530"/>
      <c r="DD1343" s="1530"/>
      <c r="DE1343" s="1530"/>
      <c r="DF1343" s="1530"/>
      <c r="DG1343" s="1530"/>
      <c r="DH1343" s="1530"/>
      <c r="DI1343" s="1530"/>
      <c r="DJ1343" s="1530"/>
      <c r="DK1343" s="1530"/>
      <c r="DL1343" s="1530"/>
      <c r="DM1343" s="1530"/>
      <c r="DN1343" s="1571"/>
      <c r="DO1343" s="1530"/>
      <c r="DP1343" s="1530"/>
    </row>
    <row r="1344" spans="1:120">
      <c r="A1344" s="1451"/>
      <c r="C1344" s="1451"/>
      <c r="K1344" s="1451"/>
      <c r="L1344" s="1451"/>
      <c r="CO1344" s="1530"/>
      <c r="CP1344" s="1530"/>
      <c r="CQ1344" s="1530"/>
      <c r="CR1344" s="1530"/>
      <c r="CS1344" s="1530"/>
      <c r="CT1344" s="1530"/>
      <c r="CU1344" s="1530"/>
      <c r="CV1344" s="1530"/>
      <c r="CW1344" s="1530"/>
      <c r="CX1344" s="1530"/>
      <c r="CY1344" s="1530"/>
      <c r="CZ1344" s="1530"/>
      <c r="DA1344" s="1530"/>
      <c r="DB1344" s="1530"/>
      <c r="DC1344" s="1530"/>
      <c r="DD1344" s="1530"/>
      <c r="DE1344" s="1530"/>
      <c r="DF1344" s="1530"/>
      <c r="DG1344" s="1530"/>
      <c r="DH1344" s="1530"/>
      <c r="DI1344" s="1530"/>
      <c r="DJ1344" s="1530"/>
      <c r="DK1344" s="1530"/>
      <c r="DL1344" s="1530"/>
      <c r="DM1344" s="1530"/>
      <c r="DN1344" s="1571"/>
      <c r="DO1344" s="1530"/>
      <c r="DP1344" s="1530"/>
    </row>
    <row r="1345" spans="1:120">
      <c r="A1345" s="1451"/>
      <c r="C1345" s="1451"/>
      <c r="K1345" s="1451"/>
      <c r="L1345" s="1451"/>
      <c r="CO1345" s="1530"/>
      <c r="CP1345" s="1530"/>
      <c r="CQ1345" s="1530"/>
      <c r="CR1345" s="1530"/>
      <c r="CS1345" s="1530"/>
      <c r="CT1345" s="1530"/>
      <c r="CU1345" s="1530"/>
      <c r="CV1345" s="1530"/>
      <c r="CW1345" s="1530"/>
      <c r="CX1345" s="1530"/>
      <c r="CY1345" s="1530"/>
      <c r="CZ1345" s="1530"/>
      <c r="DA1345" s="1530"/>
      <c r="DB1345" s="1530"/>
      <c r="DC1345" s="1530"/>
      <c r="DD1345" s="1530"/>
      <c r="DE1345" s="1530"/>
      <c r="DF1345" s="1530"/>
      <c r="DG1345" s="1530"/>
      <c r="DH1345" s="1530"/>
      <c r="DI1345" s="1530"/>
      <c r="DJ1345" s="1530"/>
      <c r="DK1345" s="1530"/>
      <c r="DL1345" s="1530"/>
      <c r="DM1345" s="1530"/>
      <c r="DN1345" s="1571"/>
      <c r="DO1345" s="1530"/>
      <c r="DP1345" s="1530"/>
    </row>
    <row r="1346" spans="1:120">
      <c r="A1346" s="1451"/>
      <c r="C1346" s="1451"/>
      <c r="K1346" s="1451"/>
      <c r="L1346" s="1451"/>
      <c r="CO1346" s="1530"/>
      <c r="CP1346" s="1530"/>
      <c r="CQ1346" s="1530"/>
      <c r="CR1346" s="1530"/>
      <c r="CS1346" s="1530"/>
      <c r="CT1346" s="1530"/>
      <c r="CU1346" s="1530"/>
      <c r="CV1346" s="1530"/>
      <c r="CW1346" s="1530"/>
      <c r="CX1346" s="1530"/>
      <c r="CY1346" s="1530"/>
      <c r="CZ1346" s="1530"/>
      <c r="DA1346" s="1530"/>
      <c r="DB1346" s="1530"/>
      <c r="DC1346" s="1530"/>
      <c r="DD1346" s="1530"/>
      <c r="DE1346" s="1530"/>
      <c r="DF1346" s="1530"/>
      <c r="DG1346" s="1530"/>
      <c r="DH1346" s="1530"/>
      <c r="DI1346" s="1530"/>
      <c r="DJ1346" s="1530"/>
      <c r="DK1346" s="1530"/>
      <c r="DL1346" s="1530"/>
      <c r="DM1346" s="1530"/>
      <c r="DN1346" s="1571"/>
      <c r="DO1346" s="1530"/>
      <c r="DP1346" s="1530"/>
    </row>
    <row r="1347" spans="1:120">
      <c r="A1347" s="1451"/>
      <c r="C1347" s="1451"/>
      <c r="K1347" s="1451"/>
      <c r="L1347" s="1451"/>
      <c r="CO1347" s="1530"/>
      <c r="CP1347" s="1530"/>
      <c r="CQ1347" s="1530"/>
      <c r="CR1347" s="1530"/>
      <c r="CS1347" s="1530"/>
      <c r="CT1347" s="1530"/>
      <c r="CU1347" s="1530"/>
      <c r="CV1347" s="1530"/>
      <c r="CW1347" s="1530"/>
      <c r="CX1347" s="1530"/>
      <c r="CY1347" s="1530"/>
      <c r="CZ1347" s="1530"/>
      <c r="DA1347" s="1530"/>
      <c r="DB1347" s="1530"/>
      <c r="DC1347" s="1530"/>
      <c r="DD1347" s="1530"/>
      <c r="DE1347" s="1530"/>
      <c r="DF1347" s="1530"/>
      <c r="DG1347" s="1530"/>
      <c r="DH1347" s="1530"/>
      <c r="DI1347" s="1530"/>
      <c r="DJ1347" s="1530"/>
      <c r="DK1347" s="1530"/>
      <c r="DL1347" s="1530"/>
      <c r="DM1347" s="1530"/>
      <c r="DN1347" s="1571"/>
      <c r="DO1347" s="1530"/>
      <c r="DP1347" s="1530"/>
    </row>
    <row r="1348" spans="1:120">
      <c r="A1348" s="1451"/>
      <c r="C1348" s="1451"/>
      <c r="K1348" s="1451"/>
      <c r="L1348" s="1451"/>
      <c r="CO1348" s="1530"/>
      <c r="CP1348" s="1530"/>
      <c r="CQ1348" s="1530"/>
      <c r="CR1348" s="1530"/>
      <c r="CS1348" s="1530"/>
      <c r="CT1348" s="1530"/>
      <c r="CU1348" s="1530"/>
      <c r="CV1348" s="1530"/>
      <c r="CW1348" s="1530"/>
      <c r="CX1348" s="1530"/>
      <c r="CY1348" s="1530"/>
      <c r="CZ1348" s="1530"/>
      <c r="DA1348" s="1530"/>
      <c r="DB1348" s="1530"/>
      <c r="DC1348" s="1530"/>
      <c r="DD1348" s="1530"/>
      <c r="DE1348" s="1530"/>
      <c r="DF1348" s="1530"/>
      <c r="DG1348" s="1530"/>
      <c r="DH1348" s="1530"/>
      <c r="DI1348" s="1530"/>
      <c r="DJ1348" s="1530"/>
      <c r="DK1348" s="1530"/>
      <c r="DL1348" s="1530"/>
      <c r="DM1348" s="1530"/>
      <c r="DN1348" s="1571"/>
      <c r="DO1348" s="1530"/>
      <c r="DP1348" s="1530"/>
    </row>
    <row r="1349" spans="1:120">
      <c r="A1349" s="1451"/>
      <c r="C1349" s="1451"/>
      <c r="K1349" s="1451"/>
      <c r="L1349" s="1451"/>
      <c r="CO1349" s="1530"/>
      <c r="CP1349" s="1530"/>
      <c r="CQ1349" s="1530"/>
      <c r="CR1349" s="1530"/>
      <c r="CS1349" s="1530"/>
      <c r="CT1349" s="1530"/>
      <c r="CU1349" s="1530"/>
      <c r="CV1349" s="1530"/>
      <c r="CW1349" s="1530"/>
      <c r="CX1349" s="1530"/>
      <c r="CY1349" s="1530"/>
      <c r="CZ1349" s="1530"/>
      <c r="DA1349" s="1530"/>
      <c r="DB1349" s="1530"/>
      <c r="DC1349" s="1530"/>
      <c r="DD1349" s="1530"/>
      <c r="DE1349" s="1530"/>
      <c r="DF1349" s="1530"/>
      <c r="DG1349" s="1530"/>
      <c r="DH1349" s="1530"/>
      <c r="DI1349" s="1530"/>
      <c r="DJ1349" s="1530"/>
      <c r="DK1349" s="1530"/>
      <c r="DL1349" s="1530"/>
      <c r="DM1349" s="1530"/>
      <c r="DN1349" s="1571"/>
      <c r="DO1349" s="1530"/>
      <c r="DP1349" s="1530"/>
    </row>
    <row r="1350" spans="1:120">
      <c r="A1350" s="1451"/>
      <c r="C1350" s="1451"/>
      <c r="K1350" s="1451"/>
      <c r="L1350" s="1451"/>
      <c r="U1350" s="1451"/>
      <c r="AD1350" s="1451"/>
      <c r="AM1350" s="1451"/>
      <c r="AV1350" s="1451"/>
      <c r="BE1350" s="1451"/>
      <c r="BN1350" s="1451"/>
      <c r="BV1350" s="1451"/>
      <c r="BW1350" s="1451"/>
      <c r="CF1350" s="1451"/>
      <c r="CN1350" s="1451"/>
      <c r="CO1350" s="1530"/>
      <c r="CP1350" s="1530"/>
      <c r="CQ1350" s="1530"/>
      <c r="CR1350" s="1530"/>
      <c r="CS1350" s="1530"/>
      <c r="CT1350" s="1530"/>
      <c r="CU1350" s="1530"/>
      <c r="CV1350" s="1530"/>
      <c r="CW1350" s="1530"/>
      <c r="CX1350" s="1530"/>
      <c r="CY1350" s="1530"/>
      <c r="CZ1350" s="1530"/>
      <c r="DA1350" s="1530"/>
      <c r="DB1350" s="1530"/>
      <c r="DC1350" s="1530"/>
      <c r="DD1350" s="1530"/>
      <c r="DE1350" s="1530"/>
      <c r="DF1350" s="1530"/>
      <c r="DG1350" s="1530"/>
      <c r="DH1350" s="1530"/>
      <c r="DI1350" s="1530"/>
      <c r="DJ1350" s="1530"/>
      <c r="DK1350" s="1530"/>
      <c r="DL1350" s="1530"/>
      <c r="DM1350" s="1530"/>
      <c r="DN1350" s="1571"/>
      <c r="DO1350" s="1530"/>
      <c r="DP1350" s="1530"/>
    </row>
    <row r="1351" spans="1:120">
      <c r="A1351" s="1451"/>
      <c r="C1351" s="1451"/>
      <c r="K1351" s="1451"/>
      <c r="L1351" s="1451"/>
      <c r="U1351" s="1451"/>
      <c r="AD1351" s="1451"/>
      <c r="AM1351" s="1451"/>
      <c r="AV1351" s="1451"/>
      <c r="BE1351" s="1451"/>
      <c r="BN1351" s="1451"/>
      <c r="BV1351" s="1451"/>
      <c r="BW1351" s="1451"/>
      <c r="CF1351" s="1451"/>
      <c r="CN1351" s="1451"/>
      <c r="CO1351" s="1530"/>
      <c r="CP1351" s="1530"/>
      <c r="CQ1351" s="1530"/>
      <c r="CR1351" s="1530"/>
      <c r="CS1351" s="1530"/>
      <c r="CT1351" s="1530"/>
      <c r="CU1351" s="1530"/>
      <c r="CV1351" s="1530"/>
      <c r="CW1351" s="1530"/>
      <c r="CX1351" s="1530"/>
      <c r="CY1351" s="1530"/>
      <c r="CZ1351" s="1530"/>
      <c r="DA1351" s="1530"/>
      <c r="DB1351" s="1530"/>
      <c r="DC1351" s="1530"/>
      <c r="DD1351" s="1530"/>
      <c r="DE1351" s="1530"/>
      <c r="DF1351" s="1530"/>
      <c r="DG1351" s="1530"/>
      <c r="DH1351" s="1530"/>
      <c r="DI1351" s="1530"/>
      <c r="DJ1351" s="1530"/>
      <c r="DK1351" s="1530"/>
      <c r="DL1351" s="1530"/>
      <c r="DM1351" s="1530"/>
      <c r="DN1351" s="1571"/>
      <c r="DO1351" s="1530"/>
      <c r="DP1351" s="1530"/>
    </row>
    <row r="1352" spans="1:120">
      <c r="A1352" s="1451"/>
      <c r="C1352" s="1451"/>
      <c r="K1352" s="1451"/>
      <c r="L1352" s="1451"/>
      <c r="U1352" s="1451"/>
      <c r="AD1352" s="1451"/>
      <c r="AM1352" s="1451"/>
      <c r="AV1352" s="1451"/>
      <c r="BE1352" s="1451"/>
      <c r="BN1352" s="1451"/>
      <c r="BV1352" s="1451"/>
      <c r="BW1352" s="1451"/>
      <c r="CF1352" s="1451"/>
      <c r="CN1352" s="1451"/>
      <c r="CO1352" s="1530"/>
      <c r="CP1352" s="1530"/>
      <c r="CQ1352" s="1530"/>
      <c r="CR1352" s="1530"/>
      <c r="CS1352" s="1530"/>
      <c r="CT1352" s="1530"/>
      <c r="CU1352" s="1530"/>
      <c r="CV1352" s="1530"/>
      <c r="CW1352" s="1530"/>
      <c r="CX1352" s="1530"/>
      <c r="CY1352" s="1530"/>
      <c r="CZ1352" s="1530"/>
      <c r="DA1352" s="1530"/>
      <c r="DB1352" s="1530"/>
      <c r="DC1352" s="1530"/>
      <c r="DD1352" s="1530"/>
      <c r="DE1352" s="1530"/>
      <c r="DF1352" s="1530"/>
      <c r="DG1352" s="1530"/>
      <c r="DH1352" s="1530"/>
      <c r="DI1352" s="1530"/>
      <c r="DJ1352" s="1530"/>
      <c r="DK1352" s="1530"/>
      <c r="DL1352" s="1530"/>
      <c r="DM1352" s="1530"/>
      <c r="DN1352" s="1571"/>
      <c r="DO1352" s="1530"/>
      <c r="DP1352" s="1530"/>
    </row>
    <row r="1353" spans="1:120">
      <c r="A1353" s="1451"/>
      <c r="C1353" s="1451"/>
      <c r="K1353" s="1451"/>
      <c r="L1353" s="1451"/>
      <c r="U1353" s="1451"/>
      <c r="AD1353" s="1451"/>
      <c r="AM1353" s="1451"/>
      <c r="AV1353" s="1451"/>
      <c r="BE1353" s="1451"/>
      <c r="BN1353" s="1451"/>
      <c r="BV1353" s="1451"/>
      <c r="BW1353" s="1451"/>
      <c r="CF1353" s="1451"/>
      <c r="CN1353" s="1451"/>
      <c r="CO1353" s="1530"/>
      <c r="CP1353" s="1530"/>
      <c r="CQ1353" s="1530"/>
      <c r="CR1353" s="1530"/>
      <c r="CS1353" s="1530"/>
      <c r="CT1353" s="1530"/>
      <c r="CU1353" s="1530"/>
      <c r="CV1353" s="1530"/>
      <c r="CW1353" s="1530"/>
      <c r="CX1353" s="1530"/>
      <c r="CY1353" s="1530"/>
      <c r="CZ1353" s="1530"/>
      <c r="DA1353" s="1530"/>
      <c r="DB1353" s="1530"/>
      <c r="DC1353" s="1530"/>
      <c r="DD1353" s="1530"/>
      <c r="DE1353" s="1530"/>
      <c r="DF1353" s="1530"/>
      <c r="DG1353" s="1530"/>
      <c r="DH1353" s="1530"/>
      <c r="DI1353" s="1530"/>
      <c r="DJ1353" s="1530"/>
      <c r="DK1353" s="1530"/>
      <c r="DL1353" s="1530"/>
      <c r="DM1353" s="1530"/>
      <c r="DN1353" s="1571"/>
      <c r="DO1353" s="1530"/>
      <c r="DP1353" s="1530"/>
    </row>
    <row r="1354" spans="1:120">
      <c r="A1354" s="1451"/>
      <c r="C1354" s="1451"/>
      <c r="K1354" s="1451"/>
      <c r="L1354" s="1451"/>
      <c r="U1354" s="1451"/>
      <c r="AD1354" s="1451"/>
      <c r="AM1354" s="1451"/>
      <c r="AV1354" s="1451"/>
      <c r="BE1354" s="1451"/>
      <c r="BN1354" s="1451"/>
      <c r="BV1354" s="1451"/>
      <c r="BW1354" s="1451"/>
      <c r="CF1354" s="1451"/>
      <c r="CN1354" s="1451"/>
      <c r="CO1354" s="1530"/>
      <c r="CP1354" s="1530"/>
      <c r="CQ1354" s="1530"/>
      <c r="CR1354" s="1530"/>
      <c r="CS1354" s="1530"/>
      <c r="CT1354" s="1530"/>
      <c r="CU1354" s="1530"/>
      <c r="CV1354" s="1530"/>
      <c r="CW1354" s="1530"/>
      <c r="CX1354" s="1530"/>
      <c r="CY1354" s="1530"/>
      <c r="CZ1354" s="1530"/>
      <c r="DA1354" s="1530"/>
      <c r="DB1354" s="1530"/>
      <c r="DC1354" s="1530"/>
      <c r="DD1354" s="1530"/>
      <c r="DE1354" s="1530"/>
      <c r="DF1354" s="1530"/>
      <c r="DG1354" s="1530"/>
      <c r="DH1354" s="1530"/>
      <c r="DI1354" s="1530"/>
      <c r="DJ1354" s="1530"/>
      <c r="DK1354" s="1530"/>
      <c r="DL1354" s="1530"/>
      <c r="DM1354" s="1530"/>
      <c r="DN1354" s="1571"/>
      <c r="DO1354" s="1530"/>
      <c r="DP1354" s="1530"/>
    </row>
    <row r="1355" spans="1:120">
      <c r="A1355" s="1451"/>
      <c r="C1355" s="1451"/>
      <c r="K1355" s="1451"/>
      <c r="L1355" s="1451"/>
      <c r="U1355" s="1451"/>
      <c r="AD1355" s="1451"/>
      <c r="AM1355" s="1451"/>
      <c r="AV1355" s="1451"/>
      <c r="BE1355" s="1451"/>
      <c r="BN1355" s="1451"/>
      <c r="BV1355" s="1451"/>
      <c r="BW1355" s="1451"/>
      <c r="CF1355" s="1451"/>
      <c r="CN1355" s="1451"/>
      <c r="CO1355" s="1530"/>
      <c r="CP1355" s="1530"/>
      <c r="CQ1355" s="1530"/>
      <c r="CR1355" s="1530"/>
      <c r="CS1355" s="1530"/>
      <c r="CT1355" s="1530"/>
      <c r="CU1355" s="1530"/>
      <c r="CV1355" s="1530"/>
      <c r="CW1355" s="1530"/>
      <c r="CX1355" s="1530"/>
      <c r="CY1355" s="1530"/>
      <c r="CZ1355" s="1530"/>
      <c r="DA1355" s="1530"/>
      <c r="DB1355" s="1530"/>
      <c r="DC1355" s="1530"/>
      <c r="DD1355" s="1530"/>
      <c r="DE1355" s="1530"/>
      <c r="DF1355" s="1530"/>
      <c r="DG1355" s="1530"/>
      <c r="DH1355" s="1530"/>
      <c r="DI1355" s="1530"/>
      <c r="DJ1355" s="1530"/>
      <c r="DK1355" s="1530"/>
      <c r="DL1355" s="1530"/>
      <c r="DM1355" s="1530"/>
      <c r="DN1355" s="1571"/>
      <c r="DO1355" s="1530"/>
      <c r="DP1355" s="1530"/>
    </row>
    <row r="1356" spans="1:120">
      <c r="A1356" s="1451"/>
      <c r="C1356" s="1451"/>
      <c r="K1356" s="1451"/>
      <c r="L1356" s="1451"/>
      <c r="U1356" s="1451"/>
      <c r="AD1356" s="1451"/>
      <c r="AM1356" s="1451"/>
      <c r="AV1356" s="1451"/>
      <c r="BE1356" s="1451"/>
      <c r="BN1356" s="1451"/>
      <c r="BV1356" s="1451"/>
      <c r="BW1356" s="1451"/>
      <c r="CF1356" s="1451"/>
      <c r="CN1356" s="1451"/>
      <c r="CO1356" s="1530"/>
      <c r="CP1356" s="1530"/>
      <c r="CQ1356" s="1530"/>
      <c r="CR1356" s="1530"/>
      <c r="CS1356" s="1530"/>
      <c r="CT1356" s="1530"/>
      <c r="CU1356" s="1530"/>
      <c r="CV1356" s="1530"/>
      <c r="CW1356" s="1530"/>
      <c r="CX1356" s="1530"/>
      <c r="CY1356" s="1530"/>
      <c r="CZ1356" s="1530"/>
      <c r="DA1356" s="1530"/>
      <c r="DB1356" s="1530"/>
      <c r="DC1356" s="1530"/>
      <c r="DD1356" s="1530"/>
      <c r="DE1356" s="1530"/>
      <c r="DF1356" s="1530"/>
      <c r="DG1356" s="1530"/>
      <c r="DH1356" s="1530"/>
      <c r="DI1356" s="1530"/>
      <c r="DJ1356" s="1530"/>
      <c r="DK1356" s="1530"/>
      <c r="DL1356" s="1530"/>
      <c r="DM1356" s="1530"/>
      <c r="DN1356" s="1571"/>
      <c r="DO1356" s="1530"/>
      <c r="DP1356" s="1530"/>
    </row>
    <row r="1357" spans="1:120">
      <c r="A1357" s="1451"/>
      <c r="C1357" s="1451"/>
      <c r="K1357" s="1451"/>
      <c r="L1357" s="1451"/>
      <c r="U1357" s="1451"/>
      <c r="AD1357" s="1451"/>
      <c r="AM1357" s="1451"/>
      <c r="AV1357" s="1451"/>
      <c r="BE1357" s="1451"/>
      <c r="BN1357" s="1451"/>
      <c r="BV1357" s="1451"/>
      <c r="BW1357" s="1451"/>
      <c r="CF1357" s="1451"/>
      <c r="CN1357" s="1451"/>
      <c r="CO1357" s="1530"/>
      <c r="CP1357" s="1530"/>
      <c r="CQ1357" s="1530"/>
      <c r="CR1357" s="1530"/>
      <c r="CS1357" s="1530"/>
      <c r="CT1357" s="1530"/>
      <c r="CU1357" s="1530"/>
      <c r="CV1357" s="1530"/>
      <c r="CW1357" s="1530"/>
      <c r="CX1357" s="1530"/>
      <c r="CY1357" s="1530"/>
      <c r="CZ1357" s="1530"/>
      <c r="DA1357" s="1530"/>
      <c r="DB1357" s="1530"/>
      <c r="DC1357" s="1530"/>
      <c r="DD1357" s="1530"/>
      <c r="DE1357" s="1530"/>
      <c r="DF1357" s="1530"/>
      <c r="DG1357" s="1530"/>
      <c r="DH1357" s="1530"/>
      <c r="DI1357" s="1530"/>
      <c r="DJ1357" s="1530"/>
      <c r="DK1357" s="1530"/>
      <c r="DL1357" s="1530"/>
      <c r="DM1357" s="1530"/>
      <c r="DN1357" s="1571"/>
      <c r="DO1357" s="1530"/>
      <c r="DP1357" s="1530"/>
    </row>
    <row r="1358" spans="1:120">
      <c r="A1358" s="1451"/>
      <c r="C1358" s="1451"/>
      <c r="K1358" s="1451"/>
      <c r="L1358" s="1451"/>
      <c r="U1358" s="1451"/>
      <c r="AD1358" s="1451"/>
      <c r="AM1358" s="1451"/>
      <c r="AV1358" s="1451"/>
      <c r="BE1358" s="1451"/>
      <c r="BN1358" s="1451"/>
      <c r="BV1358" s="1451"/>
      <c r="BW1358" s="1451"/>
      <c r="CF1358" s="1451"/>
      <c r="CN1358" s="1451"/>
      <c r="CO1358" s="1530"/>
      <c r="CP1358" s="1530"/>
      <c r="CQ1358" s="1530"/>
      <c r="CR1358" s="1530"/>
      <c r="CS1358" s="1530"/>
      <c r="CT1358" s="1530"/>
      <c r="CU1358" s="1530"/>
      <c r="CV1358" s="1530"/>
      <c r="CW1358" s="1530"/>
      <c r="CX1358" s="1530"/>
      <c r="CY1358" s="1530"/>
      <c r="CZ1358" s="1530"/>
      <c r="DA1358" s="1530"/>
      <c r="DB1358" s="1530"/>
      <c r="DC1358" s="1530"/>
      <c r="DD1358" s="1530"/>
      <c r="DE1358" s="1530"/>
      <c r="DF1358" s="1530"/>
      <c r="DG1358" s="1530"/>
      <c r="DH1358" s="1530"/>
      <c r="DI1358" s="1530"/>
      <c r="DJ1358" s="1530"/>
      <c r="DK1358" s="1530"/>
      <c r="DL1358" s="1530"/>
      <c r="DM1358" s="1530"/>
      <c r="DN1358" s="1571"/>
      <c r="DO1358" s="1530"/>
      <c r="DP1358" s="1530"/>
    </row>
    <row r="1359" spans="1:120">
      <c r="A1359" s="1451"/>
      <c r="C1359" s="1451"/>
      <c r="K1359" s="1451"/>
      <c r="L1359" s="1451"/>
      <c r="U1359" s="1451"/>
      <c r="AD1359" s="1451"/>
      <c r="AM1359" s="1451"/>
      <c r="AV1359" s="1451"/>
      <c r="BE1359" s="1451"/>
      <c r="BN1359" s="1451"/>
      <c r="BV1359" s="1451"/>
      <c r="BW1359" s="1451"/>
      <c r="CF1359" s="1451"/>
      <c r="CN1359" s="1451"/>
      <c r="CO1359" s="1530"/>
      <c r="CP1359" s="1530"/>
      <c r="CQ1359" s="1530"/>
      <c r="CR1359" s="1530"/>
      <c r="CS1359" s="1530"/>
      <c r="CT1359" s="1530"/>
      <c r="CU1359" s="1530"/>
      <c r="CV1359" s="1530"/>
      <c r="CW1359" s="1530"/>
      <c r="CX1359" s="1530"/>
      <c r="CY1359" s="1530"/>
      <c r="CZ1359" s="1530"/>
      <c r="DA1359" s="1530"/>
      <c r="DB1359" s="1530"/>
      <c r="DC1359" s="1530"/>
      <c r="DD1359" s="1530"/>
      <c r="DE1359" s="1530"/>
      <c r="DF1359" s="1530"/>
      <c r="DG1359" s="1530"/>
      <c r="DH1359" s="1530"/>
      <c r="DI1359" s="1530"/>
      <c r="DJ1359" s="1530"/>
      <c r="DK1359" s="1530"/>
      <c r="DL1359" s="1530"/>
      <c r="DM1359" s="1530"/>
      <c r="DN1359" s="1571"/>
      <c r="DO1359" s="1530"/>
      <c r="DP1359" s="1530"/>
    </row>
    <row r="1360" spans="1:120">
      <c r="A1360" s="1451"/>
      <c r="C1360" s="1451"/>
      <c r="K1360" s="1451"/>
      <c r="L1360" s="1451"/>
      <c r="U1360" s="1451"/>
      <c r="AD1360" s="1451"/>
      <c r="AM1360" s="1451"/>
      <c r="AV1360" s="1451"/>
      <c r="BE1360" s="1451"/>
      <c r="BN1360" s="1451"/>
      <c r="BV1360" s="1451"/>
      <c r="BW1360" s="1451"/>
      <c r="CF1360" s="1451"/>
      <c r="CN1360" s="1451"/>
      <c r="CO1360" s="1530"/>
      <c r="CP1360" s="1530"/>
      <c r="CQ1360" s="1530"/>
      <c r="CR1360" s="1530"/>
      <c r="CS1360" s="1530"/>
      <c r="CT1360" s="1530"/>
      <c r="CU1360" s="1530"/>
      <c r="CV1360" s="1530"/>
      <c r="CW1360" s="1530"/>
      <c r="CX1360" s="1530"/>
      <c r="CY1360" s="1530"/>
      <c r="CZ1360" s="1530"/>
      <c r="DA1360" s="1530"/>
      <c r="DB1360" s="1530"/>
      <c r="DC1360" s="1530"/>
      <c r="DD1360" s="1530"/>
      <c r="DE1360" s="1530"/>
      <c r="DF1360" s="1530"/>
      <c r="DG1360" s="1530"/>
      <c r="DH1360" s="1530"/>
      <c r="DI1360" s="1530"/>
      <c r="DJ1360" s="1530"/>
      <c r="DK1360" s="1530"/>
      <c r="DL1360" s="1530"/>
      <c r="DM1360" s="1530"/>
      <c r="DN1360" s="1571"/>
      <c r="DO1360" s="1530"/>
      <c r="DP1360" s="1530"/>
    </row>
    <row r="1361" spans="1:120">
      <c r="A1361" s="1451"/>
      <c r="C1361" s="1451"/>
      <c r="K1361" s="1451"/>
      <c r="L1361" s="1451"/>
      <c r="U1361" s="1451"/>
      <c r="AD1361" s="1451"/>
      <c r="AM1361" s="1451"/>
      <c r="AV1361" s="1451"/>
      <c r="BE1361" s="1451"/>
      <c r="BN1361" s="1451"/>
      <c r="BV1361" s="1451"/>
      <c r="BW1361" s="1451"/>
      <c r="CF1361" s="1451"/>
      <c r="CN1361" s="1451"/>
      <c r="CO1361" s="1530"/>
      <c r="CP1361" s="1530"/>
      <c r="CQ1361" s="1530"/>
      <c r="CR1361" s="1530"/>
      <c r="CS1361" s="1530"/>
      <c r="CT1361" s="1530"/>
      <c r="CU1361" s="1530"/>
      <c r="CV1361" s="1530"/>
      <c r="CW1361" s="1530"/>
      <c r="CX1361" s="1530"/>
      <c r="CY1361" s="1530"/>
      <c r="CZ1361" s="1530"/>
      <c r="DA1361" s="1530"/>
      <c r="DB1361" s="1530"/>
      <c r="DC1361" s="1530"/>
      <c r="DD1361" s="1530"/>
      <c r="DE1361" s="1530"/>
      <c r="DF1361" s="1530"/>
      <c r="DG1361" s="1530"/>
      <c r="DH1361" s="1530"/>
      <c r="DI1361" s="1530"/>
      <c r="DJ1361" s="1530"/>
      <c r="DK1361" s="1530"/>
      <c r="DL1361" s="1530"/>
      <c r="DM1361" s="1530"/>
      <c r="DN1361" s="1571"/>
      <c r="DO1361" s="1530"/>
      <c r="DP1361" s="1530"/>
    </row>
    <row r="1362" spans="1:120">
      <c r="A1362" s="1451"/>
      <c r="C1362" s="1451"/>
      <c r="K1362" s="1451"/>
      <c r="L1362" s="1451"/>
      <c r="U1362" s="1451"/>
      <c r="AD1362" s="1451"/>
      <c r="AM1362" s="1451"/>
      <c r="AV1362" s="1451"/>
      <c r="BE1362" s="1451"/>
      <c r="BN1362" s="1451"/>
      <c r="BV1362" s="1451"/>
      <c r="BW1362" s="1451"/>
      <c r="CF1362" s="1451"/>
      <c r="CN1362" s="1451"/>
      <c r="CO1362" s="1530"/>
      <c r="CP1362" s="1530"/>
      <c r="CQ1362" s="1530"/>
      <c r="CR1362" s="1530"/>
      <c r="CS1362" s="1530"/>
      <c r="CT1362" s="1530"/>
      <c r="CU1362" s="1530"/>
      <c r="CV1362" s="1530"/>
      <c r="CW1362" s="1530"/>
      <c r="CX1362" s="1530"/>
      <c r="CY1362" s="1530"/>
      <c r="CZ1362" s="1530"/>
      <c r="DA1362" s="1530"/>
      <c r="DB1362" s="1530"/>
      <c r="DC1362" s="1530"/>
      <c r="DD1362" s="1530"/>
      <c r="DE1362" s="1530"/>
      <c r="DF1362" s="1530"/>
      <c r="DG1362" s="1530"/>
      <c r="DH1362" s="1530"/>
      <c r="DI1362" s="1530"/>
      <c r="DJ1362" s="1530"/>
      <c r="DK1362" s="1530"/>
      <c r="DL1362" s="1530"/>
      <c r="DM1362" s="1530"/>
      <c r="DN1362" s="1571"/>
      <c r="DO1362" s="1530"/>
      <c r="DP1362" s="1530"/>
    </row>
    <row r="1363" spans="1:120">
      <c r="A1363" s="1451"/>
      <c r="C1363" s="1451"/>
      <c r="K1363" s="1451"/>
      <c r="L1363" s="1451"/>
      <c r="U1363" s="1451"/>
      <c r="AD1363" s="1451"/>
      <c r="AM1363" s="1451"/>
      <c r="AV1363" s="1451"/>
      <c r="BE1363" s="1451"/>
      <c r="BN1363" s="1451"/>
      <c r="BV1363" s="1451"/>
      <c r="BW1363" s="1451"/>
      <c r="CF1363" s="1451"/>
      <c r="CN1363" s="1451"/>
      <c r="CO1363" s="1530"/>
      <c r="CP1363" s="1530"/>
      <c r="CQ1363" s="1530"/>
      <c r="CR1363" s="1530"/>
      <c r="CS1363" s="1530"/>
      <c r="CT1363" s="1530"/>
      <c r="CU1363" s="1530"/>
      <c r="CV1363" s="1530"/>
      <c r="CW1363" s="1530"/>
      <c r="CX1363" s="1530"/>
      <c r="CY1363" s="1530"/>
      <c r="CZ1363" s="1530"/>
      <c r="DA1363" s="1530"/>
      <c r="DB1363" s="1530"/>
      <c r="DC1363" s="1530"/>
      <c r="DD1363" s="1530"/>
      <c r="DE1363" s="1530"/>
      <c r="DF1363" s="1530"/>
      <c r="DG1363" s="1530"/>
      <c r="DH1363" s="1530"/>
      <c r="DI1363" s="1530"/>
      <c r="DJ1363" s="1530"/>
      <c r="DK1363" s="1530"/>
      <c r="DL1363" s="1530"/>
      <c r="DM1363" s="1530"/>
      <c r="DN1363" s="1571"/>
      <c r="DO1363" s="1530"/>
      <c r="DP1363" s="1530"/>
    </row>
    <row r="1364" spans="1:120">
      <c r="A1364" s="1451"/>
      <c r="C1364" s="1451"/>
      <c r="K1364" s="1451"/>
      <c r="L1364" s="1451"/>
      <c r="U1364" s="1451"/>
      <c r="AD1364" s="1451"/>
      <c r="AM1364" s="1451"/>
      <c r="AV1364" s="1451"/>
      <c r="BE1364" s="1451"/>
      <c r="BN1364" s="1451"/>
      <c r="BV1364" s="1451"/>
      <c r="BW1364" s="1451"/>
      <c r="CF1364" s="1451"/>
      <c r="CN1364" s="1451"/>
      <c r="CO1364" s="1530"/>
      <c r="CP1364" s="1530"/>
      <c r="CQ1364" s="1530"/>
      <c r="CR1364" s="1530"/>
      <c r="CS1364" s="1530"/>
      <c r="CT1364" s="1530"/>
      <c r="CU1364" s="1530"/>
      <c r="CV1364" s="1530"/>
      <c r="CW1364" s="1530"/>
      <c r="CX1364" s="1530"/>
      <c r="CY1364" s="1530"/>
      <c r="CZ1364" s="1530"/>
      <c r="DA1364" s="1530"/>
      <c r="DB1364" s="1530"/>
      <c r="DC1364" s="1530"/>
      <c r="DD1364" s="1530"/>
      <c r="DE1364" s="1530"/>
      <c r="DF1364" s="1530"/>
      <c r="DG1364" s="1530"/>
      <c r="DH1364" s="1530"/>
      <c r="DI1364" s="1530"/>
      <c r="DJ1364" s="1530"/>
      <c r="DK1364" s="1530"/>
      <c r="DL1364" s="1530"/>
      <c r="DM1364" s="1530"/>
      <c r="DN1364" s="1571"/>
      <c r="DO1364" s="1530"/>
      <c r="DP1364" s="1530"/>
    </row>
    <row r="1365" spans="1:120">
      <c r="A1365" s="1451"/>
      <c r="C1365" s="1451"/>
      <c r="K1365" s="1451"/>
      <c r="L1365" s="1451"/>
      <c r="U1365" s="1451"/>
      <c r="AD1365" s="1451"/>
      <c r="AM1365" s="1451"/>
      <c r="AV1365" s="1451"/>
      <c r="BE1365" s="1451"/>
      <c r="BN1365" s="1451"/>
      <c r="BV1365" s="1451"/>
      <c r="BW1365" s="1451"/>
      <c r="CF1365" s="1451"/>
      <c r="CN1365" s="1451"/>
      <c r="CO1365" s="1530"/>
      <c r="CP1365" s="1530"/>
      <c r="CQ1365" s="1530"/>
      <c r="CR1365" s="1530"/>
      <c r="CS1365" s="1530"/>
      <c r="CT1365" s="1530"/>
      <c r="CU1365" s="1530"/>
      <c r="CV1365" s="1530"/>
      <c r="CW1365" s="1530"/>
      <c r="CX1365" s="1530"/>
      <c r="CY1365" s="1530"/>
      <c r="CZ1365" s="1530"/>
      <c r="DA1365" s="1530"/>
      <c r="DB1365" s="1530"/>
      <c r="DC1365" s="1530"/>
      <c r="DD1365" s="1530"/>
      <c r="DE1365" s="1530"/>
      <c r="DF1365" s="1530"/>
      <c r="DG1365" s="1530"/>
      <c r="DH1365" s="1530"/>
      <c r="DI1365" s="1530"/>
      <c r="DJ1365" s="1530"/>
      <c r="DK1365" s="1530"/>
      <c r="DL1365" s="1530"/>
      <c r="DM1365" s="1530"/>
      <c r="DN1365" s="1571"/>
      <c r="DO1365" s="1530"/>
      <c r="DP1365" s="1530"/>
    </row>
    <row r="1366" spans="1:120">
      <c r="A1366" s="1451"/>
      <c r="C1366" s="1451"/>
      <c r="K1366" s="1451"/>
      <c r="L1366" s="1451"/>
      <c r="U1366" s="1451"/>
      <c r="AD1366" s="1451"/>
      <c r="AM1366" s="1451"/>
      <c r="AV1366" s="1451"/>
      <c r="BE1366" s="1451"/>
      <c r="BN1366" s="1451"/>
      <c r="BV1366" s="1451"/>
      <c r="BW1366" s="1451"/>
      <c r="CF1366" s="1451"/>
      <c r="CN1366" s="1451"/>
      <c r="CO1366" s="1530"/>
      <c r="CP1366" s="1530"/>
      <c r="CQ1366" s="1530"/>
      <c r="CR1366" s="1530"/>
      <c r="CS1366" s="1530"/>
      <c r="CT1366" s="1530"/>
      <c r="CU1366" s="1530"/>
      <c r="CV1366" s="1530"/>
      <c r="CW1366" s="1530"/>
      <c r="CX1366" s="1530"/>
      <c r="CY1366" s="1530"/>
      <c r="CZ1366" s="1530"/>
      <c r="DA1366" s="1530"/>
      <c r="DB1366" s="1530"/>
      <c r="DC1366" s="1530"/>
      <c r="DD1366" s="1530"/>
      <c r="DE1366" s="1530"/>
      <c r="DF1366" s="1530"/>
      <c r="DG1366" s="1530"/>
      <c r="DH1366" s="1530"/>
      <c r="DI1366" s="1530"/>
      <c r="DJ1366" s="1530"/>
      <c r="DK1366" s="1530"/>
      <c r="DL1366" s="1530"/>
      <c r="DM1366" s="1530"/>
      <c r="DN1366" s="1571"/>
      <c r="DO1366" s="1530"/>
      <c r="DP1366" s="1530"/>
    </row>
    <row r="1367" spans="1:120">
      <c r="A1367" s="1451"/>
      <c r="C1367" s="1451"/>
      <c r="K1367" s="1451"/>
      <c r="L1367" s="1451"/>
      <c r="U1367" s="1451"/>
      <c r="AD1367" s="1451"/>
      <c r="AM1367" s="1451"/>
      <c r="AV1367" s="1451"/>
      <c r="BE1367" s="1451"/>
      <c r="BN1367" s="1451"/>
      <c r="BV1367" s="1451"/>
      <c r="BW1367" s="1451"/>
      <c r="CF1367" s="1451"/>
      <c r="CN1367" s="1451"/>
      <c r="CO1367" s="1530"/>
      <c r="CP1367" s="1530"/>
      <c r="CQ1367" s="1530"/>
      <c r="CR1367" s="1530"/>
      <c r="CS1367" s="1530"/>
      <c r="CT1367" s="1530"/>
      <c r="CU1367" s="1530"/>
      <c r="CV1367" s="1530"/>
      <c r="CW1367" s="1530"/>
      <c r="CX1367" s="1530"/>
      <c r="CY1367" s="1530"/>
      <c r="CZ1367" s="1530"/>
      <c r="DA1367" s="1530"/>
      <c r="DB1367" s="1530"/>
      <c r="DC1367" s="1530"/>
      <c r="DD1367" s="1530"/>
      <c r="DE1367" s="1530"/>
      <c r="DF1367" s="1530"/>
      <c r="DG1367" s="1530"/>
      <c r="DH1367" s="1530"/>
      <c r="DI1367" s="1530"/>
      <c r="DJ1367" s="1530"/>
      <c r="DK1367" s="1530"/>
      <c r="DL1367" s="1530"/>
      <c r="DM1367" s="1530"/>
      <c r="DN1367" s="1571"/>
      <c r="DO1367" s="1530"/>
      <c r="DP1367" s="1530"/>
    </row>
    <row r="1368" spans="1:120">
      <c r="A1368" s="1451"/>
      <c r="C1368" s="1451"/>
      <c r="K1368" s="1451"/>
      <c r="L1368" s="1451"/>
      <c r="U1368" s="1451"/>
      <c r="AD1368" s="1451"/>
      <c r="AM1368" s="1451"/>
      <c r="AV1368" s="1451"/>
      <c r="BE1368" s="1451"/>
      <c r="BN1368" s="1451"/>
      <c r="BV1368" s="1451"/>
      <c r="BW1368" s="1451"/>
      <c r="CF1368" s="1451"/>
      <c r="CN1368" s="1451"/>
      <c r="CO1368" s="1530"/>
      <c r="CP1368" s="1530"/>
      <c r="CQ1368" s="1530"/>
      <c r="CR1368" s="1530"/>
      <c r="CS1368" s="1530"/>
      <c r="CT1368" s="1530"/>
      <c r="CU1368" s="1530"/>
      <c r="CV1368" s="1530"/>
      <c r="CW1368" s="1530"/>
      <c r="CX1368" s="1530"/>
      <c r="CY1368" s="1530"/>
      <c r="CZ1368" s="1530"/>
      <c r="DA1368" s="1530"/>
      <c r="DB1368" s="1530"/>
      <c r="DC1368" s="1530"/>
      <c r="DD1368" s="1530"/>
      <c r="DE1368" s="1530"/>
      <c r="DF1368" s="1530"/>
      <c r="DG1368" s="1530"/>
      <c r="DH1368" s="1530"/>
      <c r="DI1368" s="1530"/>
      <c r="DJ1368" s="1530"/>
      <c r="DK1368" s="1530"/>
      <c r="DL1368" s="1530"/>
      <c r="DM1368" s="1530"/>
      <c r="DN1368" s="1571"/>
      <c r="DO1368" s="1530"/>
      <c r="DP1368" s="1530"/>
    </row>
    <row r="1369" spans="1:120">
      <c r="A1369" s="1451"/>
      <c r="C1369" s="1451"/>
      <c r="K1369" s="1451"/>
      <c r="L1369" s="1451"/>
      <c r="U1369" s="1451"/>
      <c r="AD1369" s="1451"/>
      <c r="AM1369" s="1451"/>
      <c r="AV1369" s="1451"/>
      <c r="BE1369" s="1451"/>
      <c r="BN1369" s="1451"/>
      <c r="BV1369" s="1451"/>
      <c r="BW1369" s="1451"/>
      <c r="CF1369" s="1451"/>
      <c r="CN1369" s="1451"/>
      <c r="CO1369" s="1530"/>
      <c r="CP1369" s="1530"/>
      <c r="CQ1369" s="1530"/>
      <c r="CR1369" s="1530"/>
      <c r="CS1369" s="1530"/>
      <c r="CT1369" s="1530"/>
      <c r="CU1369" s="1530"/>
      <c r="CV1369" s="1530"/>
      <c r="CW1369" s="1530"/>
      <c r="CX1369" s="1530"/>
      <c r="CY1369" s="1530"/>
      <c r="CZ1369" s="1530"/>
      <c r="DA1369" s="1530"/>
      <c r="DB1369" s="1530"/>
      <c r="DC1369" s="1530"/>
      <c r="DD1369" s="1530"/>
      <c r="DE1369" s="1530"/>
      <c r="DF1369" s="1530"/>
      <c r="DG1369" s="1530"/>
      <c r="DH1369" s="1530"/>
      <c r="DI1369" s="1530"/>
      <c r="DJ1369" s="1530"/>
      <c r="DK1369" s="1530"/>
      <c r="DL1369" s="1530"/>
      <c r="DM1369" s="1530"/>
      <c r="DN1369" s="1571"/>
      <c r="DO1369" s="1530"/>
      <c r="DP1369" s="1530"/>
    </row>
    <row r="1370" spans="1:120">
      <c r="A1370" s="1451"/>
      <c r="C1370" s="1451"/>
      <c r="K1370" s="1451"/>
      <c r="L1370" s="1451"/>
      <c r="U1370" s="1451"/>
      <c r="AD1370" s="1451"/>
      <c r="AM1370" s="1451"/>
      <c r="AV1370" s="1451"/>
      <c r="BE1370" s="1451"/>
      <c r="BN1370" s="1451"/>
      <c r="BV1370" s="1451"/>
      <c r="BW1370" s="1451"/>
      <c r="CF1370" s="1451"/>
      <c r="CN1370" s="1451"/>
      <c r="CO1370" s="1530"/>
      <c r="CP1370" s="1530"/>
      <c r="CQ1370" s="1530"/>
      <c r="CR1370" s="1530"/>
      <c r="CS1370" s="1530"/>
      <c r="CT1370" s="1530"/>
      <c r="CU1370" s="1530"/>
      <c r="CV1370" s="1530"/>
      <c r="CW1370" s="1530"/>
      <c r="CX1370" s="1530"/>
      <c r="CY1370" s="1530"/>
      <c r="CZ1370" s="1530"/>
      <c r="DA1370" s="1530"/>
      <c r="DB1370" s="1530"/>
      <c r="DC1370" s="1530"/>
      <c r="DD1370" s="1530"/>
      <c r="DE1370" s="1530"/>
      <c r="DF1370" s="1530"/>
      <c r="DG1370" s="1530"/>
      <c r="DH1370" s="1530"/>
      <c r="DI1370" s="1530"/>
      <c r="DJ1370" s="1530"/>
      <c r="DK1370" s="1530"/>
      <c r="DL1370" s="1530"/>
      <c r="DM1370" s="1530"/>
      <c r="DN1370" s="1571"/>
      <c r="DO1370" s="1530"/>
      <c r="DP1370" s="1530"/>
    </row>
    <row r="1371" spans="1:120">
      <c r="A1371" s="1451"/>
      <c r="C1371" s="1451"/>
      <c r="K1371" s="1451"/>
      <c r="L1371" s="1451"/>
      <c r="U1371" s="1451"/>
      <c r="AD1371" s="1451"/>
      <c r="AM1371" s="1451"/>
      <c r="AV1371" s="1451"/>
      <c r="BE1371" s="1451"/>
      <c r="BN1371" s="1451"/>
      <c r="BV1371" s="1451"/>
      <c r="BW1371" s="1451"/>
      <c r="CF1371" s="1451"/>
      <c r="CN1371" s="1451"/>
      <c r="CO1371" s="1530"/>
      <c r="CP1371" s="1530"/>
      <c r="CQ1371" s="1530"/>
      <c r="CR1371" s="1530"/>
      <c r="CS1371" s="1530"/>
      <c r="CT1371" s="1530"/>
      <c r="CU1371" s="1530"/>
      <c r="CV1371" s="1530"/>
      <c r="CW1371" s="1530"/>
      <c r="CX1371" s="1530"/>
      <c r="CY1371" s="1530"/>
      <c r="CZ1371" s="1530"/>
      <c r="DA1371" s="1530"/>
      <c r="DB1371" s="1530"/>
      <c r="DC1371" s="1530"/>
      <c r="DD1371" s="1530"/>
      <c r="DE1371" s="1530"/>
      <c r="DF1371" s="1530"/>
      <c r="DG1371" s="1530"/>
      <c r="DH1371" s="1530"/>
      <c r="DI1371" s="1530"/>
      <c r="DJ1371" s="1530"/>
      <c r="DK1371" s="1530"/>
      <c r="DL1371" s="1530"/>
      <c r="DM1371" s="1530"/>
      <c r="DN1371" s="1571"/>
      <c r="DO1371" s="1530"/>
      <c r="DP1371" s="1530"/>
    </row>
    <row r="1372" spans="1:120">
      <c r="A1372" s="1451"/>
      <c r="C1372" s="1451"/>
      <c r="K1372" s="1451"/>
      <c r="L1372" s="1451"/>
      <c r="U1372" s="1451"/>
      <c r="AD1372" s="1451"/>
      <c r="AM1372" s="1451"/>
      <c r="AV1372" s="1451"/>
      <c r="BE1372" s="1451"/>
      <c r="BN1372" s="1451"/>
      <c r="BV1372" s="1451"/>
      <c r="BW1372" s="1451"/>
      <c r="CF1372" s="1451"/>
      <c r="CN1372" s="1451"/>
      <c r="CO1372" s="1530"/>
      <c r="CP1372" s="1530"/>
      <c r="CQ1372" s="1530"/>
      <c r="CR1372" s="1530"/>
      <c r="CS1372" s="1530"/>
      <c r="CT1372" s="1530"/>
      <c r="CU1372" s="1530"/>
      <c r="CV1372" s="1530"/>
      <c r="CW1372" s="1530"/>
      <c r="CX1372" s="1530"/>
      <c r="CY1372" s="1530"/>
      <c r="CZ1372" s="1530"/>
      <c r="DA1372" s="1530"/>
      <c r="DB1372" s="1530"/>
      <c r="DC1372" s="1530"/>
      <c r="DD1372" s="1530"/>
      <c r="DE1372" s="1530"/>
      <c r="DF1372" s="1530"/>
      <c r="DG1372" s="1530"/>
      <c r="DH1372" s="1530"/>
      <c r="DI1372" s="1530"/>
      <c r="DJ1372" s="1530"/>
      <c r="DK1372" s="1530"/>
      <c r="DL1372" s="1530"/>
      <c r="DM1372" s="1530"/>
      <c r="DN1372" s="1571"/>
      <c r="DO1372" s="1530"/>
      <c r="DP1372" s="1530"/>
    </row>
    <row r="1373" spans="1:120">
      <c r="A1373" s="1451"/>
      <c r="C1373" s="1451"/>
      <c r="K1373" s="1451"/>
      <c r="L1373" s="1451"/>
      <c r="U1373" s="1451"/>
      <c r="AD1373" s="1451"/>
      <c r="AM1373" s="1451"/>
      <c r="AV1373" s="1451"/>
      <c r="BE1373" s="1451"/>
      <c r="BN1373" s="1451"/>
      <c r="BV1373" s="1451"/>
      <c r="BW1373" s="1451"/>
      <c r="CF1373" s="1451"/>
      <c r="CN1373" s="1451"/>
      <c r="CO1373" s="1530"/>
      <c r="CP1373" s="1530"/>
      <c r="CQ1373" s="1530"/>
      <c r="CR1373" s="1530"/>
      <c r="CS1373" s="1530"/>
      <c r="CT1373" s="1530"/>
      <c r="CU1373" s="1530"/>
      <c r="CV1373" s="1530"/>
      <c r="CW1373" s="1530"/>
      <c r="CX1373" s="1530"/>
      <c r="CY1373" s="1530"/>
      <c r="CZ1373" s="1530"/>
      <c r="DA1373" s="1530"/>
      <c r="DB1373" s="1530"/>
      <c r="DC1373" s="1530"/>
      <c r="DD1373" s="1530"/>
      <c r="DE1373" s="1530"/>
      <c r="DF1373" s="1530"/>
      <c r="DG1373" s="1530"/>
      <c r="DH1373" s="1530"/>
      <c r="DI1373" s="1530"/>
      <c r="DJ1373" s="1530"/>
      <c r="DK1373" s="1530"/>
      <c r="DL1373" s="1530"/>
      <c r="DM1373" s="1530"/>
      <c r="DN1373" s="1571"/>
      <c r="DO1373" s="1530"/>
      <c r="DP1373" s="1530"/>
    </row>
    <row r="1374" spans="1:120">
      <c r="A1374" s="1451"/>
      <c r="C1374" s="1451"/>
      <c r="K1374" s="1451"/>
      <c r="L1374" s="1451"/>
      <c r="U1374" s="1451"/>
      <c r="AD1374" s="1451"/>
      <c r="AM1374" s="1451"/>
      <c r="AV1374" s="1451"/>
      <c r="BE1374" s="1451"/>
      <c r="BN1374" s="1451"/>
      <c r="BV1374" s="1451"/>
      <c r="BW1374" s="1451"/>
      <c r="CF1374" s="1451"/>
      <c r="CN1374" s="1451"/>
      <c r="CO1374" s="1530"/>
      <c r="CP1374" s="1530"/>
      <c r="CQ1374" s="1530"/>
      <c r="CR1374" s="1530"/>
      <c r="CS1374" s="1530"/>
      <c r="CT1374" s="1530"/>
      <c r="CU1374" s="1530"/>
      <c r="CV1374" s="1530"/>
      <c r="CW1374" s="1530"/>
      <c r="CX1374" s="1530"/>
      <c r="CY1374" s="1530"/>
      <c r="CZ1374" s="1530"/>
      <c r="DA1374" s="1530"/>
      <c r="DB1374" s="1530"/>
      <c r="DC1374" s="1530"/>
      <c r="DD1374" s="1530"/>
      <c r="DE1374" s="1530"/>
      <c r="DF1374" s="1530"/>
      <c r="DG1374" s="1530"/>
      <c r="DH1374" s="1530"/>
      <c r="DI1374" s="1530"/>
      <c r="DJ1374" s="1530"/>
      <c r="DK1374" s="1530"/>
      <c r="DL1374" s="1530"/>
      <c r="DM1374" s="1530"/>
      <c r="DN1374" s="1571"/>
      <c r="DO1374" s="1530"/>
      <c r="DP1374" s="1530"/>
    </row>
    <row r="1375" spans="1:120">
      <c r="A1375" s="1451"/>
      <c r="C1375" s="1451"/>
      <c r="K1375" s="1451"/>
      <c r="L1375" s="1451"/>
      <c r="U1375" s="1451"/>
      <c r="AD1375" s="1451"/>
      <c r="AM1375" s="1451"/>
      <c r="AV1375" s="1451"/>
      <c r="BE1375" s="1451"/>
      <c r="BN1375" s="1451"/>
      <c r="BV1375" s="1451"/>
      <c r="BW1375" s="1451"/>
      <c r="CF1375" s="1451"/>
      <c r="CN1375" s="1451"/>
      <c r="CO1375" s="1530"/>
      <c r="CP1375" s="1530"/>
      <c r="CQ1375" s="1530"/>
      <c r="CR1375" s="1530"/>
      <c r="CS1375" s="1530"/>
      <c r="CT1375" s="1530"/>
      <c r="CU1375" s="1530"/>
      <c r="CV1375" s="1530"/>
      <c r="CW1375" s="1530"/>
      <c r="CX1375" s="1530"/>
      <c r="CY1375" s="1530"/>
      <c r="CZ1375" s="1530"/>
      <c r="DA1375" s="1530"/>
      <c r="DB1375" s="1530"/>
      <c r="DC1375" s="1530"/>
      <c r="DD1375" s="1530"/>
      <c r="DE1375" s="1530"/>
      <c r="DF1375" s="1530"/>
      <c r="DG1375" s="1530"/>
      <c r="DH1375" s="1530"/>
      <c r="DI1375" s="1530"/>
      <c r="DJ1375" s="1530"/>
      <c r="DK1375" s="1530"/>
      <c r="DL1375" s="1530"/>
      <c r="DM1375" s="1530"/>
      <c r="DN1375" s="1571"/>
      <c r="DO1375" s="1530"/>
      <c r="DP1375" s="1530"/>
    </row>
    <row r="1376" spans="1:120">
      <c r="A1376" s="1451"/>
      <c r="C1376" s="1451"/>
      <c r="K1376" s="1451"/>
      <c r="L1376" s="1451"/>
      <c r="U1376" s="1451"/>
      <c r="AD1376" s="1451"/>
      <c r="AM1376" s="1451"/>
      <c r="AV1376" s="1451"/>
      <c r="BE1376" s="1451"/>
      <c r="BN1376" s="1451"/>
      <c r="BV1376" s="1451"/>
      <c r="BW1376" s="1451"/>
      <c r="CF1376" s="1451"/>
      <c r="CN1376" s="1451"/>
      <c r="CO1376" s="1530"/>
      <c r="CP1376" s="1530"/>
      <c r="CQ1376" s="1530"/>
      <c r="CR1376" s="1530"/>
      <c r="CS1376" s="1530"/>
      <c r="CT1376" s="1530"/>
      <c r="CU1376" s="1530"/>
      <c r="CV1376" s="1530"/>
      <c r="CW1376" s="1530"/>
      <c r="CX1376" s="1530"/>
      <c r="CY1376" s="1530"/>
      <c r="CZ1376" s="1530"/>
      <c r="DA1376" s="1530"/>
      <c r="DB1376" s="1530"/>
      <c r="DC1376" s="1530"/>
      <c r="DD1376" s="1530"/>
      <c r="DE1376" s="1530"/>
      <c r="DF1376" s="1530"/>
      <c r="DG1376" s="1530"/>
      <c r="DH1376" s="1530"/>
      <c r="DI1376" s="1530"/>
      <c r="DJ1376" s="1530"/>
      <c r="DK1376" s="1530"/>
      <c r="DL1376" s="1530"/>
      <c r="DM1376" s="1530"/>
      <c r="DN1376" s="1571"/>
      <c r="DO1376" s="1530"/>
      <c r="DP1376" s="1530"/>
    </row>
    <row r="1377" spans="1:120">
      <c r="A1377" s="1451"/>
      <c r="C1377" s="1451"/>
      <c r="K1377" s="1451"/>
      <c r="L1377" s="1451"/>
      <c r="U1377" s="1451"/>
      <c r="AD1377" s="1451"/>
      <c r="AM1377" s="1451"/>
      <c r="AV1377" s="1451"/>
      <c r="BE1377" s="1451"/>
      <c r="BN1377" s="1451"/>
      <c r="BV1377" s="1451"/>
      <c r="BW1377" s="1451"/>
      <c r="CF1377" s="1451"/>
      <c r="CN1377" s="1451"/>
      <c r="CO1377" s="1530"/>
      <c r="CP1377" s="1530"/>
      <c r="CQ1377" s="1530"/>
      <c r="CR1377" s="1530"/>
      <c r="CS1377" s="1530"/>
      <c r="CT1377" s="1530"/>
      <c r="CU1377" s="1530"/>
      <c r="CV1377" s="1530"/>
      <c r="CW1377" s="1530"/>
      <c r="CX1377" s="1530"/>
      <c r="CY1377" s="1530"/>
      <c r="CZ1377" s="1530"/>
      <c r="DA1377" s="1530"/>
      <c r="DB1377" s="1530"/>
      <c r="DC1377" s="1530"/>
      <c r="DD1377" s="1530"/>
      <c r="DE1377" s="1530"/>
      <c r="DF1377" s="1530"/>
      <c r="DG1377" s="1530"/>
      <c r="DH1377" s="1530"/>
      <c r="DI1377" s="1530"/>
      <c r="DJ1377" s="1530"/>
      <c r="DK1377" s="1530"/>
      <c r="DL1377" s="1530"/>
      <c r="DM1377" s="1530"/>
      <c r="DN1377" s="1571"/>
      <c r="DO1377" s="1530"/>
      <c r="DP1377" s="1530"/>
    </row>
    <row r="1378" spans="1:120">
      <c r="A1378" s="1451"/>
      <c r="C1378" s="1451"/>
      <c r="K1378" s="1451"/>
      <c r="L1378" s="1451"/>
      <c r="U1378" s="1451"/>
      <c r="AD1378" s="1451"/>
      <c r="AM1378" s="1451"/>
      <c r="AV1378" s="1451"/>
      <c r="BE1378" s="1451"/>
      <c r="BN1378" s="1451"/>
      <c r="BV1378" s="1451"/>
      <c r="BW1378" s="1451"/>
      <c r="CF1378" s="1451"/>
      <c r="CN1378" s="1451"/>
      <c r="CO1378" s="1530"/>
      <c r="CP1378" s="1530"/>
      <c r="CQ1378" s="1530"/>
      <c r="CR1378" s="1530"/>
      <c r="CS1378" s="1530"/>
      <c r="CT1378" s="1530"/>
      <c r="CU1378" s="1530"/>
      <c r="CV1378" s="1530"/>
      <c r="CW1378" s="1530"/>
      <c r="CX1378" s="1530"/>
      <c r="CY1378" s="1530"/>
      <c r="CZ1378" s="1530"/>
      <c r="DA1378" s="1530"/>
      <c r="DB1378" s="1530"/>
      <c r="DC1378" s="1530"/>
      <c r="DD1378" s="1530"/>
      <c r="DE1378" s="1530"/>
      <c r="DF1378" s="1530"/>
      <c r="DG1378" s="1530"/>
      <c r="DH1378" s="1530"/>
      <c r="DI1378" s="1530"/>
      <c r="DJ1378" s="1530"/>
      <c r="DK1378" s="1530"/>
      <c r="DL1378" s="1530"/>
      <c r="DM1378" s="1530"/>
      <c r="DN1378" s="1571"/>
      <c r="DO1378" s="1530"/>
      <c r="DP1378" s="1530"/>
    </row>
    <row r="1379" spans="1:120">
      <c r="A1379" s="1451"/>
      <c r="C1379" s="1451"/>
      <c r="K1379" s="1451"/>
      <c r="L1379" s="1451"/>
      <c r="U1379" s="1451"/>
      <c r="AD1379" s="1451"/>
      <c r="AM1379" s="1451"/>
      <c r="AV1379" s="1451"/>
      <c r="BE1379" s="1451"/>
      <c r="BN1379" s="1451"/>
      <c r="BV1379" s="1451"/>
      <c r="BW1379" s="1451"/>
      <c r="CF1379" s="1451"/>
      <c r="CN1379" s="1451"/>
      <c r="CO1379" s="1530"/>
      <c r="CP1379" s="1530"/>
      <c r="CQ1379" s="1530"/>
      <c r="CR1379" s="1530"/>
      <c r="CS1379" s="1530"/>
      <c r="CT1379" s="1530"/>
      <c r="CU1379" s="1530"/>
      <c r="CV1379" s="1530"/>
      <c r="CW1379" s="1530"/>
      <c r="CX1379" s="1530"/>
      <c r="CY1379" s="1530"/>
      <c r="CZ1379" s="1530"/>
      <c r="DA1379" s="1530"/>
      <c r="DB1379" s="1530"/>
      <c r="DC1379" s="1530"/>
      <c r="DD1379" s="1530"/>
      <c r="DE1379" s="1530"/>
      <c r="DF1379" s="1530"/>
      <c r="DG1379" s="1530"/>
      <c r="DH1379" s="1530"/>
      <c r="DI1379" s="1530"/>
      <c r="DJ1379" s="1530"/>
      <c r="DK1379" s="1530"/>
      <c r="DL1379" s="1530"/>
      <c r="DM1379" s="1530"/>
      <c r="DN1379" s="1571"/>
      <c r="DO1379" s="1530"/>
      <c r="DP1379" s="1530"/>
    </row>
    <row r="1380" spans="1:120">
      <c r="A1380" s="1451"/>
      <c r="C1380" s="1451"/>
      <c r="K1380" s="1451"/>
      <c r="L1380" s="1451"/>
      <c r="U1380" s="1451"/>
      <c r="AD1380" s="1451"/>
      <c r="AM1380" s="1451"/>
      <c r="AV1380" s="1451"/>
      <c r="BE1380" s="1451"/>
      <c r="BN1380" s="1451"/>
      <c r="BV1380" s="1451"/>
      <c r="BW1380" s="1451"/>
      <c r="CF1380" s="1451"/>
      <c r="CN1380" s="1451"/>
      <c r="CO1380" s="1530"/>
      <c r="CP1380" s="1530"/>
      <c r="CQ1380" s="1530"/>
      <c r="CR1380" s="1530"/>
      <c r="CS1380" s="1530"/>
      <c r="CT1380" s="1530"/>
      <c r="CU1380" s="1530"/>
      <c r="CV1380" s="1530"/>
      <c r="CW1380" s="1530"/>
      <c r="CX1380" s="1530"/>
      <c r="CY1380" s="1530"/>
      <c r="CZ1380" s="1530"/>
      <c r="DA1380" s="1530"/>
      <c r="DB1380" s="1530"/>
      <c r="DC1380" s="1530"/>
      <c r="DD1380" s="1530"/>
      <c r="DE1380" s="1530"/>
      <c r="DF1380" s="1530"/>
      <c r="DG1380" s="1530"/>
      <c r="DH1380" s="1530"/>
      <c r="DI1380" s="1530"/>
      <c r="DJ1380" s="1530"/>
      <c r="DK1380" s="1530"/>
      <c r="DL1380" s="1530"/>
      <c r="DM1380" s="1530"/>
      <c r="DN1380" s="1571"/>
      <c r="DO1380" s="1530"/>
      <c r="DP1380" s="1530"/>
    </row>
    <row r="1381" spans="1:120">
      <c r="A1381" s="1451"/>
      <c r="C1381" s="1451"/>
      <c r="K1381" s="1451"/>
      <c r="L1381" s="1451"/>
      <c r="U1381" s="1451"/>
      <c r="AD1381" s="1451"/>
      <c r="AM1381" s="1451"/>
      <c r="AV1381" s="1451"/>
      <c r="BE1381" s="1451"/>
      <c r="BN1381" s="1451"/>
      <c r="BV1381" s="1451"/>
      <c r="BW1381" s="1451"/>
      <c r="CF1381" s="1451"/>
      <c r="CN1381" s="1451"/>
      <c r="CO1381" s="1530"/>
      <c r="CP1381" s="1530"/>
      <c r="CQ1381" s="1530"/>
      <c r="CR1381" s="1530"/>
      <c r="CS1381" s="1530"/>
      <c r="CT1381" s="1530"/>
      <c r="CU1381" s="1530"/>
      <c r="CV1381" s="1530"/>
      <c r="CW1381" s="1530"/>
      <c r="CX1381" s="1530"/>
      <c r="CY1381" s="1530"/>
      <c r="CZ1381" s="1530"/>
      <c r="DA1381" s="1530"/>
      <c r="DB1381" s="1530"/>
      <c r="DC1381" s="1530"/>
      <c r="DD1381" s="1530"/>
      <c r="DE1381" s="1530"/>
      <c r="DF1381" s="1530"/>
      <c r="DG1381" s="1530"/>
      <c r="DH1381" s="1530"/>
      <c r="DI1381" s="1530"/>
      <c r="DJ1381" s="1530"/>
      <c r="DK1381" s="1530"/>
      <c r="DL1381" s="1530"/>
      <c r="DM1381" s="1530"/>
      <c r="DN1381" s="1571"/>
      <c r="DO1381" s="1530"/>
      <c r="DP1381" s="1530"/>
    </row>
    <row r="1382" spans="1:120">
      <c r="A1382" s="1451"/>
      <c r="C1382" s="1451"/>
      <c r="K1382" s="1451"/>
      <c r="L1382" s="1451"/>
      <c r="U1382" s="1451"/>
      <c r="AD1382" s="1451"/>
      <c r="AM1382" s="1451"/>
      <c r="AV1382" s="1451"/>
      <c r="BE1382" s="1451"/>
      <c r="BN1382" s="1451"/>
      <c r="BV1382" s="1451"/>
      <c r="BW1382" s="1451"/>
      <c r="CF1382" s="1451"/>
      <c r="CN1382" s="1451"/>
      <c r="CO1382" s="1530"/>
      <c r="CP1382" s="1530"/>
      <c r="CQ1382" s="1530"/>
      <c r="CR1382" s="1530"/>
      <c r="CS1382" s="1530"/>
      <c r="CT1382" s="1530"/>
      <c r="CU1382" s="1530"/>
      <c r="CV1382" s="1530"/>
      <c r="CW1382" s="1530"/>
      <c r="CX1382" s="1530"/>
      <c r="CY1382" s="1530"/>
      <c r="CZ1382" s="1530"/>
      <c r="DA1382" s="1530"/>
      <c r="DB1382" s="1530"/>
      <c r="DC1382" s="1530"/>
      <c r="DD1382" s="1530"/>
      <c r="DE1382" s="1530"/>
      <c r="DF1382" s="1530"/>
      <c r="DG1382" s="1530"/>
      <c r="DH1382" s="1530"/>
      <c r="DI1382" s="1530"/>
      <c r="DJ1382" s="1530"/>
      <c r="DK1382" s="1530"/>
      <c r="DL1382" s="1530"/>
      <c r="DM1382" s="1530"/>
      <c r="DN1382" s="1571"/>
      <c r="DO1382" s="1530"/>
      <c r="DP1382" s="1530"/>
    </row>
    <row r="1383" spans="1:120">
      <c r="A1383" s="1451"/>
      <c r="C1383" s="1451"/>
      <c r="K1383" s="1451"/>
      <c r="L1383" s="1451"/>
      <c r="U1383" s="1451"/>
      <c r="AD1383" s="1451"/>
      <c r="AM1383" s="1451"/>
      <c r="AV1383" s="1451"/>
      <c r="BE1383" s="1451"/>
      <c r="BN1383" s="1451"/>
      <c r="BV1383" s="1451"/>
      <c r="BW1383" s="1451"/>
      <c r="CF1383" s="1451"/>
      <c r="CN1383" s="1451"/>
      <c r="CO1383" s="1530"/>
      <c r="CP1383" s="1530"/>
      <c r="CQ1383" s="1530"/>
      <c r="CR1383" s="1530"/>
      <c r="CS1383" s="1530"/>
      <c r="CT1383" s="1530"/>
      <c r="CU1383" s="1530"/>
      <c r="CV1383" s="1530"/>
      <c r="CW1383" s="1530"/>
      <c r="CX1383" s="1530"/>
      <c r="CY1383" s="1530"/>
      <c r="CZ1383" s="1530"/>
      <c r="DA1383" s="1530"/>
      <c r="DB1383" s="1530"/>
      <c r="DC1383" s="1530"/>
      <c r="DD1383" s="1530"/>
      <c r="DE1383" s="1530"/>
      <c r="DF1383" s="1530"/>
      <c r="DG1383" s="1530"/>
      <c r="DH1383" s="1530"/>
      <c r="DI1383" s="1530"/>
      <c r="DJ1383" s="1530"/>
      <c r="DK1383" s="1530"/>
      <c r="DL1383" s="1530"/>
      <c r="DM1383" s="1530"/>
      <c r="DN1383" s="1571"/>
      <c r="DO1383" s="1530"/>
      <c r="DP1383" s="1530"/>
    </row>
    <row r="1384" spans="1:120">
      <c r="A1384" s="1451"/>
      <c r="C1384" s="1451"/>
      <c r="K1384" s="1451"/>
      <c r="L1384" s="1451"/>
      <c r="U1384" s="1451"/>
      <c r="AD1384" s="1451"/>
      <c r="AM1384" s="1451"/>
      <c r="AV1384" s="1451"/>
      <c r="BE1384" s="1451"/>
      <c r="BN1384" s="1451"/>
      <c r="BV1384" s="1451"/>
      <c r="BW1384" s="1451"/>
      <c r="CF1384" s="1451"/>
      <c r="CN1384" s="1451"/>
      <c r="CO1384" s="1530"/>
      <c r="CP1384" s="1530"/>
      <c r="CQ1384" s="1530"/>
      <c r="CR1384" s="1530"/>
      <c r="CS1384" s="1530"/>
      <c r="CT1384" s="1530"/>
      <c r="CU1384" s="1530"/>
      <c r="CV1384" s="1530"/>
      <c r="CW1384" s="1530"/>
      <c r="CX1384" s="1530"/>
      <c r="CY1384" s="1530"/>
      <c r="CZ1384" s="1530"/>
      <c r="DA1384" s="1530"/>
      <c r="DB1384" s="1530"/>
      <c r="DC1384" s="1530"/>
      <c r="DD1384" s="1530"/>
      <c r="DE1384" s="1530"/>
      <c r="DF1384" s="1530"/>
      <c r="DG1384" s="1530"/>
      <c r="DH1384" s="1530"/>
      <c r="DI1384" s="1530"/>
      <c r="DJ1384" s="1530"/>
      <c r="DK1384" s="1530"/>
      <c r="DL1384" s="1530"/>
      <c r="DM1384" s="1530"/>
      <c r="DN1384" s="1571"/>
      <c r="DO1384" s="1530"/>
      <c r="DP1384" s="1530"/>
    </row>
    <row r="1385" spans="1:120">
      <c r="A1385" s="1451"/>
      <c r="C1385" s="1451"/>
      <c r="K1385" s="1451"/>
      <c r="L1385" s="1451"/>
      <c r="U1385" s="1451"/>
      <c r="AD1385" s="1451"/>
      <c r="AM1385" s="1451"/>
      <c r="AV1385" s="1451"/>
      <c r="BE1385" s="1451"/>
      <c r="BN1385" s="1451"/>
      <c r="BV1385" s="1451"/>
      <c r="BW1385" s="1451"/>
      <c r="CF1385" s="1451"/>
      <c r="CN1385" s="1451"/>
      <c r="CO1385" s="1530"/>
      <c r="CP1385" s="1530"/>
      <c r="CQ1385" s="1530"/>
      <c r="CR1385" s="1530"/>
      <c r="CS1385" s="1530"/>
      <c r="CT1385" s="1530"/>
      <c r="CU1385" s="1530"/>
      <c r="CV1385" s="1530"/>
      <c r="CW1385" s="1530"/>
      <c r="CX1385" s="1530"/>
      <c r="CY1385" s="1530"/>
      <c r="CZ1385" s="1530"/>
      <c r="DA1385" s="1530"/>
      <c r="DB1385" s="1530"/>
      <c r="DC1385" s="1530"/>
      <c r="DD1385" s="1530"/>
      <c r="DE1385" s="1530"/>
      <c r="DF1385" s="1530"/>
      <c r="DG1385" s="1530"/>
      <c r="DH1385" s="1530"/>
      <c r="DI1385" s="1530"/>
      <c r="DJ1385" s="1530"/>
      <c r="DK1385" s="1530"/>
      <c r="DL1385" s="1530"/>
      <c r="DM1385" s="1530"/>
      <c r="DN1385" s="1571"/>
      <c r="DO1385" s="1530"/>
      <c r="DP1385" s="1530"/>
    </row>
    <row r="1386" spans="1:120">
      <c r="A1386" s="1451"/>
      <c r="C1386" s="1451"/>
      <c r="K1386" s="1451"/>
      <c r="L1386" s="1451"/>
      <c r="U1386" s="1451"/>
      <c r="AD1386" s="1451"/>
      <c r="AM1386" s="1451"/>
      <c r="AV1386" s="1451"/>
      <c r="BE1386" s="1451"/>
      <c r="BN1386" s="1451"/>
      <c r="BV1386" s="1451"/>
      <c r="BW1386" s="1451"/>
      <c r="CF1386" s="1451"/>
      <c r="CN1386" s="1451"/>
      <c r="CO1386" s="1530"/>
      <c r="CP1386" s="1530"/>
      <c r="CQ1386" s="1530"/>
      <c r="CR1386" s="1530"/>
      <c r="CS1386" s="1530"/>
      <c r="CT1386" s="1530"/>
      <c r="CU1386" s="1530"/>
      <c r="CV1386" s="1530"/>
      <c r="CW1386" s="1530"/>
      <c r="CX1386" s="1530"/>
      <c r="CY1386" s="1530"/>
      <c r="CZ1386" s="1530"/>
      <c r="DA1386" s="1530"/>
      <c r="DB1386" s="1530"/>
      <c r="DC1386" s="1530"/>
      <c r="DD1386" s="1530"/>
      <c r="DE1386" s="1530"/>
      <c r="DF1386" s="1530"/>
      <c r="DG1386" s="1530"/>
      <c r="DH1386" s="1530"/>
      <c r="DI1386" s="1530"/>
      <c r="DJ1386" s="1530"/>
      <c r="DK1386" s="1530"/>
      <c r="DL1386" s="1530"/>
      <c r="DM1386" s="1530"/>
      <c r="DN1386" s="1571"/>
      <c r="DO1386" s="1530"/>
      <c r="DP1386" s="1530"/>
    </row>
    <row r="1387" spans="1:120">
      <c r="A1387" s="1451"/>
      <c r="C1387" s="1451"/>
      <c r="K1387" s="1451"/>
      <c r="L1387" s="1451"/>
      <c r="U1387" s="1451"/>
      <c r="AD1387" s="1451"/>
      <c r="AM1387" s="1451"/>
      <c r="AV1387" s="1451"/>
      <c r="BE1387" s="1451"/>
      <c r="BN1387" s="1451"/>
      <c r="BV1387" s="1451"/>
      <c r="BW1387" s="1451"/>
      <c r="CF1387" s="1451"/>
      <c r="CN1387" s="1451"/>
      <c r="CO1387" s="1530"/>
      <c r="CP1387" s="1530"/>
      <c r="CQ1387" s="1530"/>
      <c r="CR1387" s="1530"/>
      <c r="CS1387" s="1530"/>
      <c r="CT1387" s="1530"/>
      <c r="CU1387" s="1530"/>
      <c r="CV1387" s="1530"/>
      <c r="CW1387" s="1530"/>
      <c r="CX1387" s="1530"/>
      <c r="CY1387" s="1530"/>
      <c r="CZ1387" s="1530"/>
      <c r="DA1387" s="1530"/>
      <c r="DB1387" s="1530"/>
      <c r="DC1387" s="1530"/>
      <c r="DD1387" s="1530"/>
      <c r="DE1387" s="1530"/>
      <c r="DF1387" s="1530"/>
      <c r="DG1387" s="1530"/>
      <c r="DH1387" s="1530"/>
      <c r="DI1387" s="1530"/>
      <c r="DJ1387" s="1530"/>
      <c r="DK1387" s="1530"/>
      <c r="DL1387" s="1530"/>
      <c r="DM1387" s="1530"/>
      <c r="DN1387" s="1571"/>
      <c r="DO1387" s="1530"/>
      <c r="DP1387" s="1530"/>
    </row>
    <row r="1388" spans="1:120">
      <c r="A1388" s="1451"/>
      <c r="C1388" s="1451"/>
      <c r="K1388" s="1451"/>
      <c r="L1388" s="1451"/>
      <c r="U1388" s="1451"/>
      <c r="AD1388" s="1451"/>
      <c r="AM1388" s="1451"/>
      <c r="AV1388" s="1451"/>
      <c r="BE1388" s="1451"/>
      <c r="BN1388" s="1451"/>
      <c r="BV1388" s="1451"/>
      <c r="BW1388" s="1451"/>
      <c r="CF1388" s="1451"/>
      <c r="CN1388" s="1451"/>
      <c r="CO1388" s="1530"/>
      <c r="CP1388" s="1530"/>
      <c r="CQ1388" s="1530"/>
      <c r="CR1388" s="1530"/>
      <c r="CS1388" s="1530"/>
      <c r="CT1388" s="1530"/>
      <c r="CU1388" s="1530"/>
      <c r="CV1388" s="1530"/>
      <c r="CW1388" s="1530"/>
      <c r="CX1388" s="1530"/>
      <c r="CY1388" s="1530"/>
      <c r="CZ1388" s="1530"/>
      <c r="DA1388" s="1530"/>
      <c r="DB1388" s="1530"/>
      <c r="DC1388" s="1530"/>
      <c r="DD1388" s="1530"/>
      <c r="DE1388" s="1530"/>
      <c r="DF1388" s="1530"/>
      <c r="DG1388" s="1530"/>
      <c r="DH1388" s="1530"/>
      <c r="DI1388" s="1530"/>
      <c r="DJ1388" s="1530"/>
      <c r="DK1388" s="1530"/>
      <c r="DL1388" s="1530"/>
      <c r="DM1388" s="1530"/>
      <c r="DN1388" s="1571"/>
      <c r="DO1388" s="1530"/>
      <c r="DP1388" s="1530"/>
    </row>
    <row r="1389" spans="1:120">
      <c r="A1389" s="1451"/>
      <c r="C1389" s="1451"/>
      <c r="K1389" s="1451"/>
      <c r="L1389" s="1451"/>
      <c r="U1389" s="1451"/>
      <c r="AD1389" s="1451"/>
      <c r="AM1389" s="1451"/>
      <c r="AV1389" s="1451"/>
      <c r="BE1389" s="1451"/>
      <c r="BN1389" s="1451"/>
      <c r="BV1389" s="1451"/>
      <c r="BW1389" s="1451"/>
      <c r="CF1389" s="1451"/>
      <c r="CN1389" s="1451"/>
      <c r="CO1389" s="1530"/>
      <c r="CP1389" s="1530"/>
      <c r="CQ1389" s="1530"/>
      <c r="CR1389" s="1530"/>
      <c r="CS1389" s="1530"/>
      <c r="CT1389" s="1530"/>
      <c r="CU1389" s="1530"/>
      <c r="CV1389" s="1530"/>
      <c r="CW1389" s="1530"/>
      <c r="CX1389" s="1530"/>
      <c r="CY1389" s="1530"/>
      <c r="CZ1389" s="1530"/>
      <c r="DA1389" s="1530"/>
      <c r="DB1389" s="1530"/>
      <c r="DC1389" s="1530"/>
      <c r="DD1389" s="1530"/>
      <c r="DE1389" s="1530"/>
      <c r="DF1389" s="1530"/>
      <c r="DG1389" s="1530"/>
      <c r="DH1389" s="1530"/>
      <c r="DI1389" s="1530"/>
      <c r="DJ1389" s="1530"/>
      <c r="DK1389" s="1530"/>
      <c r="DL1389" s="1530"/>
      <c r="DM1389" s="1530"/>
      <c r="DN1389" s="1571"/>
      <c r="DO1389" s="1530"/>
      <c r="DP1389" s="1530"/>
    </row>
    <row r="1390" spans="1:120">
      <c r="A1390" s="1451"/>
      <c r="C1390" s="1451"/>
      <c r="K1390" s="1451"/>
      <c r="L1390" s="1451"/>
      <c r="U1390" s="1451"/>
      <c r="AD1390" s="1451"/>
      <c r="AM1390" s="1451"/>
      <c r="AV1390" s="1451"/>
      <c r="BE1390" s="1451"/>
      <c r="BN1390" s="1451"/>
      <c r="BV1390" s="1451"/>
      <c r="BW1390" s="1451"/>
      <c r="CF1390" s="1451"/>
      <c r="CN1390" s="1451"/>
      <c r="CO1390" s="1530"/>
      <c r="CP1390" s="1530"/>
      <c r="CQ1390" s="1530"/>
      <c r="CR1390" s="1530"/>
      <c r="CS1390" s="1530"/>
      <c r="CT1390" s="1530"/>
      <c r="CU1390" s="1530"/>
      <c r="CV1390" s="1530"/>
      <c r="CW1390" s="1530"/>
      <c r="CX1390" s="1530"/>
      <c r="CY1390" s="1530"/>
      <c r="CZ1390" s="1530"/>
      <c r="DA1390" s="1530"/>
      <c r="DB1390" s="1530"/>
      <c r="DC1390" s="1530"/>
      <c r="DD1390" s="1530"/>
      <c r="DE1390" s="1530"/>
      <c r="DF1390" s="1530"/>
      <c r="DG1390" s="1530"/>
      <c r="DH1390" s="1530"/>
      <c r="DI1390" s="1530"/>
      <c r="DJ1390" s="1530"/>
      <c r="DK1390" s="1530"/>
      <c r="DL1390" s="1530"/>
      <c r="DM1390" s="1530"/>
      <c r="DN1390" s="1571"/>
      <c r="DO1390" s="1530"/>
      <c r="DP1390" s="1530"/>
    </row>
    <row r="1391" spans="1:120">
      <c r="A1391" s="1451"/>
      <c r="C1391" s="1451"/>
      <c r="K1391" s="1451"/>
      <c r="L1391" s="1451"/>
      <c r="U1391" s="1451"/>
      <c r="AD1391" s="1451"/>
      <c r="AM1391" s="1451"/>
      <c r="AV1391" s="1451"/>
      <c r="BE1391" s="1451"/>
      <c r="BN1391" s="1451"/>
      <c r="BV1391" s="1451"/>
      <c r="BW1391" s="1451"/>
      <c r="CF1391" s="1451"/>
      <c r="CN1391" s="1451"/>
      <c r="CO1391" s="1530"/>
      <c r="CP1391" s="1530"/>
      <c r="CQ1391" s="1530"/>
      <c r="CR1391" s="1530"/>
      <c r="CS1391" s="1530"/>
      <c r="CT1391" s="1530"/>
      <c r="CU1391" s="1530"/>
      <c r="CV1391" s="1530"/>
      <c r="CW1391" s="1530"/>
      <c r="CX1391" s="1530"/>
      <c r="CY1391" s="1530"/>
      <c r="CZ1391" s="1530"/>
      <c r="DA1391" s="1530"/>
      <c r="DB1391" s="1530"/>
      <c r="DC1391" s="1530"/>
      <c r="DD1391" s="1530"/>
      <c r="DE1391" s="1530"/>
      <c r="DF1391" s="1530"/>
      <c r="DG1391" s="1530"/>
      <c r="DH1391" s="1530"/>
      <c r="DI1391" s="1530"/>
      <c r="DJ1391" s="1530"/>
      <c r="DK1391" s="1530"/>
      <c r="DL1391" s="1530"/>
      <c r="DM1391" s="1530"/>
      <c r="DN1391" s="1571"/>
      <c r="DO1391" s="1530"/>
      <c r="DP1391" s="1530"/>
    </row>
    <row r="1392" spans="1:120">
      <c r="A1392" s="1451"/>
      <c r="C1392" s="1451"/>
      <c r="K1392" s="1451"/>
      <c r="L1392" s="1451"/>
      <c r="U1392" s="1451"/>
      <c r="AD1392" s="1451"/>
      <c r="AM1392" s="1451"/>
      <c r="AV1392" s="1451"/>
      <c r="BE1392" s="1451"/>
      <c r="BN1392" s="1451"/>
      <c r="BV1392" s="1451"/>
      <c r="BW1392" s="1451"/>
      <c r="CF1392" s="1451"/>
      <c r="CN1392" s="1451"/>
      <c r="CO1392" s="1530"/>
      <c r="CP1392" s="1530"/>
      <c r="CQ1392" s="1530"/>
      <c r="CR1392" s="1530"/>
      <c r="CS1392" s="1530"/>
      <c r="CT1392" s="1530"/>
      <c r="CU1392" s="1530"/>
      <c r="CV1392" s="1530"/>
      <c r="CW1392" s="1530"/>
      <c r="CX1392" s="1530"/>
      <c r="CY1392" s="1530"/>
      <c r="CZ1392" s="1530"/>
      <c r="DA1392" s="1530"/>
      <c r="DB1392" s="1530"/>
      <c r="DC1392" s="1530"/>
      <c r="DD1392" s="1530"/>
      <c r="DE1392" s="1530"/>
      <c r="DF1392" s="1530"/>
      <c r="DG1392" s="1530"/>
      <c r="DH1392" s="1530"/>
      <c r="DI1392" s="1530"/>
      <c r="DJ1392" s="1530"/>
      <c r="DK1392" s="1530"/>
      <c r="DL1392" s="1530"/>
      <c r="DM1392" s="1530"/>
      <c r="DN1392" s="1571"/>
      <c r="DO1392" s="1530"/>
      <c r="DP1392" s="1530"/>
    </row>
    <row r="1393" spans="1:120">
      <c r="A1393" s="1451"/>
      <c r="C1393" s="1451"/>
      <c r="K1393" s="1451"/>
      <c r="L1393" s="1451"/>
      <c r="U1393" s="1451"/>
      <c r="AD1393" s="1451"/>
      <c r="AM1393" s="1451"/>
      <c r="AV1393" s="1451"/>
      <c r="BE1393" s="1451"/>
      <c r="BN1393" s="1451"/>
      <c r="BV1393" s="1451"/>
      <c r="BW1393" s="1451"/>
      <c r="CF1393" s="1451"/>
      <c r="CN1393" s="1451"/>
      <c r="CO1393" s="1530"/>
      <c r="CP1393" s="1530"/>
      <c r="CQ1393" s="1530"/>
      <c r="CR1393" s="1530"/>
      <c r="CS1393" s="1530"/>
      <c r="CT1393" s="1530"/>
      <c r="CU1393" s="1530"/>
      <c r="CV1393" s="1530"/>
      <c r="CW1393" s="1530"/>
      <c r="CX1393" s="1530"/>
      <c r="CY1393" s="1530"/>
      <c r="CZ1393" s="1530"/>
      <c r="DA1393" s="1530"/>
      <c r="DB1393" s="1530"/>
      <c r="DC1393" s="1530"/>
      <c r="DD1393" s="1530"/>
      <c r="DE1393" s="1530"/>
      <c r="DF1393" s="1530"/>
      <c r="DG1393" s="1530"/>
      <c r="DH1393" s="1530"/>
      <c r="DI1393" s="1530"/>
      <c r="DJ1393" s="1530"/>
      <c r="DK1393" s="1530"/>
      <c r="DL1393" s="1530"/>
      <c r="DM1393" s="1530"/>
      <c r="DN1393" s="1571"/>
      <c r="DO1393" s="1530"/>
      <c r="DP1393" s="1530"/>
    </row>
    <row r="1394" spans="1:120">
      <c r="A1394" s="1451"/>
      <c r="C1394" s="1451"/>
      <c r="K1394" s="1451"/>
      <c r="L1394" s="1451"/>
      <c r="U1394" s="1451"/>
      <c r="AD1394" s="1451"/>
      <c r="AM1394" s="1451"/>
      <c r="AV1394" s="1451"/>
      <c r="BE1394" s="1451"/>
      <c r="BN1394" s="1451"/>
      <c r="BV1394" s="1451"/>
      <c r="BW1394" s="1451"/>
      <c r="CF1394" s="1451"/>
      <c r="CN1394" s="1451"/>
      <c r="CO1394" s="1530"/>
      <c r="CP1394" s="1530"/>
      <c r="CQ1394" s="1530"/>
      <c r="CR1394" s="1530"/>
      <c r="CS1394" s="1530"/>
      <c r="CT1394" s="1530"/>
      <c r="CU1394" s="1530"/>
      <c r="CV1394" s="1530"/>
      <c r="CW1394" s="1530"/>
      <c r="CX1394" s="1530"/>
      <c r="CY1394" s="1530"/>
      <c r="CZ1394" s="1530"/>
      <c r="DA1394" s="1530"/>
      <c r="DB1394" s="1530"/>
      <c r="DC1394" s="1530"/>
      <c r="DD1394" s="1530"/>
      <c r="DE1394" s="1530"/>
      <c r="DF1394" s="1530"/>
      <c r="DG1394" s="1530"/>
      <c r="DH1394" s="1530"/>
      <c r="DI1394" s="1530"/>
      <c r="DJ1394" s="1530"/>
      <c r="DK1394" s="1530"/>
      <c r="DL1394" s="1530"/>
      <c r="DM1394" s="1530"/>
      <c r="DN1394" s="1571"/>
      <c r="DO1394" s="1530"/>
      <c r="DP1394" s="1530"/>
    </row>
    <row r="1395" spans="1:120">
      <c r="A1395" s="1451"/>
      <c r="C1395" s="1451"/>
      <c r="K1395" s="1451"/>
      <c r="L1395" s="1451"/>
      <c r="U1395" s="1451"/>
      <c r="AD1395" s="1451"/>
      <c r="AM1395" s="1451"/>
      <c r="AV1395" s="1451"/>
      <c r="BE1395" s="1451"/>
      <c r="BN1395" s="1451"/>
      <c r="BV1395" s="1451"/>
      <c r="BW1395" s="1451"/>
      <c r="CF1395" s="1451"/>
      <c r="CN1395" s="1451"/>
      <c r="CO1395" s="1530"/>
      <c r="CP1395" s="1530"/>
      <c r="CQ1395" s="1530"/>
      <c r="CR1395" s="1530"/>
      <c r="CS1395" s="1530"/>
      <c r="CT1395" s="1530"/>
      <c r="CU1395" s="1530"/>
      <c r="CV1395" s="1530"/>
      <c r="CW1395" s="1530"/>
      <c r="CX1395" s="1530"/>
      <c r="CY1395" s="1530"/>
      <c r="CZ1395" s="1530"/>
      <c r="DA1395" s="1530"/>
      <c r="DB1395" s="1530"/>
      <c r="DC1395" s="1530"/>
      <c r="DD1395" s="1530"/>
      <c r="DE1395" s="1530"/>
      <c r="DF1395" s="1530"/>
      <c r="DG1395" s="1530"/>
      <c r="DH1395" s="1530"/>
      <c r="DI1395" s="1530"/>
      <c r="DJ1395" s="1530"/>
      <c r="DK1395" s="1530"/>
      <c r="DL1395" s="1530"/>
      <c r="DM1395" s="1530"/>
      <c r="DN1395" s="1571"/>
      <c r="DO1395" s="1530"/>
      <c r="DP1395" s="1530"/>
    </row>
    <row r="1396" spans="1:120">
      <c r="A1396" s="1451"/>
      <c r="C1396" s="1451"/>
      <c r="K1396" s="1451"/>
      <c r="L1396" s="1451"/>
      <c r="U1396" s="1451"/>
      <c r="AD1396" s="1451"/>
      <c r="AM1396" s="1451"/>
      <c r="AV1396" s="1451"/>
      <c r="BE1396" s="1451"/>
      <c r="BN1396" s="1451"/>
      <c r="BV1396" s="1451"/>
      <c r="BW1396" s="1451"/>
      <c r="CF1396" s="1451"/>
      <c r="CN1396" s="1451"/>
      <c r="CO1396" s="1530"/>
      <c r="CP1396" s="1530"/>
      <c r="CQ1396" s="1530"/>
      <c r="CR1396" s="1530"/>
      <c r="CS1396" s="1530"/>
      <c r="CT1396" s="1530"/>
      <c r="CU1396" s="1530"/>
      <c r="CV1396" s="1530"/>
      <c r="CW1396" s="1530"/>
      <c r="CX1396" s="1530"/>
      <c r="CY1396" s="1530"/>
      <c r="CZ1396" s="1530"/>
      <c r="DA1396" s="1530"/>
      <c r="DB1396" s="1530"/>
      <c r="DC1396" s="1530"/>
      <c r="DD1396" s="1530"/>
      <c r="DE1396" s="1530"/>
      <c r="DF1396" s="1530"/>
      <c r="DG1396" s="1530"/>
      <c r="DH1396" s="1530"/>
      <c r="DI1396" s="1530"/>
      <c r="DJ1396" s="1530"/>
      <c r="DK1396" s="1530"/>
      <c r="DL1396" s="1530"/>
      <c r="DM1396" s="1530"/>
      <c r="DN1396" s="1571"/>
      <c r="DO1396" s="1530"/>
      <c r="DP1396" s="1530"/>
    </row>
    <row r="1397" spans="1:120">
      <c r="A1397" s="1451"/>
      <c r="C1397" s="1451"/>
      <c r="K1397" s="1451"/>
      <c r="L1397" s="1451"/>
      <c r="U1397" s="1451"/>
      <c r="AD1397" s="1451"/>
      <c r="AM1397" s="1451"/>
      <c r="AV1397" s="1451"/>
      <c r="BE1397" s="1451"/>
      <c r="BN1397" s="1451"/>
      <c r="BV1397" s="1451"/>
      <c r="BW1397" s="1451"/>
      <c r="CF1397" s="1451"/>
      <c r="CN1397" s="1451"/>
      <c r="CO1397" s="1530"/>
      <c r="CP1397" s="1530"/>
      <c r="CQ1397" s="1530"/>
      <c r="CR1397" s="1530"/>
      <c r="CS1397" s="1530"/>
      <c r="CT1397" s="1530"/>
      <c r="CU1397" s="1530"/>
      <c r="CV1397" s="1530"/>
      <c r="CW1397" s="1530"/>
      <c r="CX1397" s="1530"/>
      <c r="CY1397" s="1530"/>
      <c r="CZ1397" s="1530"/>
      <c r="DA1397" s="1530"/>
      <c r="DB1397" s="1530"/>
      <c r="DC1397" s="1530"/>
      <c r="DD1397" s="1530"/>
      <c r="DE1397" s="1530"/>
      <c r="DF1397" s="1530"/>
      <c r="DG1397" s="1530"/>
      <c r="DH1397" s="1530"/>
      <c r="DI1397" s="1530"/>
      <c r="DJ1397" s="1530"/>
      <c r="DK1397" s="1530"/>
      <c r="DL1397" s="1530"/>
      <c r="DM1397" s="1530"/>
      <c r="DN1397" s="1571"/>
      <c r="DO1397" s="1530"/>
      <c r="DP1397" s="1530"/>
    </row>
    <row r="1398" spans="1:120">
      <c r="A1398" s="1451"/>
      <c r="C1398" s="1451"/>
      <c r="K1398" s="1451"/>
      <c r="L1398" s="1451"/>
      <c r="U1398" s="1451"/>
      <c r="AD1398" s="1451"/>
      <c r="AM1398" s="1451"/>
      <c r="AV1398" s="1451"/>
      <c r="BE1398" s="1451"/>
      <c r="BN1398" s="1451"/>
      <c r="BV1398" s="1451"/>
      <c r="BW1398" s="1451"/>
      <c r="CF1398" s="1451"/>
      <c r="CN1398" s="1451"/>
      <c r="CO1398" s="1530"/>
      <c r="CP1398" s="1530"/>
      <c r="CQ1398" s="1530"/>
      <c r="CR1398" s="1530"/>
      <c r="CS1398" s="1530"/>
      <c r="CT1398" s="1530"/>
      <c r="CU1398" s="1530"/>
      <c r="CV1398" s="1530"/>
      <c r="CW1398" s="1530"/>
      <c r="CX1398" s="1530"/>
      <c r="CY1398" s="1530"/>
      <c r="CZ1398" s="1530"/>
      <c r="DA1398" s="1530"/>
      <c r="DB1398" s="1530"/>
      <c r="DC1398" s="1530"/>
      <c r="DD1398" s="1530"/>
      <c r="DE1398" s="1530"/>
      <c r="DF1398" s="1530"/>
      <c r="DG1398" s="1530"/>
      <c r="DH1398" s="1530"/>
      <c r="DI1398" s="1530"/>
      <c r="DJ1398" s="1530"/>
      <c r="DK1398" s="1530"/>
      <c r="DL1398" s="1530"/>
      <c r="DM1398" s="1530"/>
      <c r="DN1398" s="1571"/>
      <c r="DO1398" s="1530"/>
      <c r="DP1398" s="1530"/>
    </row>
    <row r="1399" spans="1:120">
      <c r="A1399" s="1451"/>
      <c r="C1399" s="1451"/>
      <c r="K1399" s="1451"/>
      <c r="L1399" s="1451"/>
      <c r="U1399" s="1451"/>
      <c r="AD1399" s="1451"/>
      <c r="AM1399" s="1451"/>
      <c r="AV1399" s="1451"/>
      <c r="BE1399" s="1451"/>
      <c r="BN1399" s="1451"/>
      <c r="BV1399" s="1451"/>
      <c r="BW1399" s="1451"/>
      <c r="CF1399" s="1451"/>
      <c r="CN1399" s="1451"/>
      <c r="CO1399" s="1530"/>
      <c r="CP1399" s="1530"/>
      <c r="CQ1399" s="1530"/>
      <c r="CR1399" s="1530"/>
      <c r="CS1399" s="1530"/>
      <c r="CT1399" s="1530"/>
      <c r="CU1399" s="1530"/>
      <c r="CV1399" s="1530"/>
      <c r="CW1399" s="1530"/>
      <c r="CX1399" s="1530"/>
      <c r="CY1399" s="1530"/>
      <c r="CZ1399" s="1530"/>
      <c r="DA1399" s="1530"/>
      <c r="DB1399" s="1530"/>
      <c r="DC1399" s="1530"/>
      <c r="DD1399" s="1530"/>
      <c r="DE1399" s="1530"/>
      <c r="DF1399" s="1530"/>
      <c r="DG1399" s="1530"/>
      <c r="DH1399" s="1530"/>
      <c r="DI1399" s="1530"/>
      <c r="DJ1399" s="1530"/>
      <c r="DK1399" s="1530"/>
      <c r="DL1399" s="1530"/>
      <c r="DM1399" s="1530"/>
      <c r="DN1399" s="1571"/>
      <c r="DO1399" s="1530"/>
      <c r="DP1399" s="1530"/>
    </row>
    <row r="1400" spans="1:120">
      <c r="A1400" s="1451"/>
      <c r="C1400" s="1451"/>
      <c r="K1400" s="1451"/>
      <c r="L1400" s="1451"/>
      <c r="U1400" s="1451"/>
      <c r="AD1400" s="1451"/>
      <c r="AM1400" s="1451"/>
      <c r="AV1400" s="1451"/>
      <c r="BE1400" s="1451"/>
      <c r="BN1400" s="1451"/>
      <c r="BV1400" s="1451"/>
      <c r="BW1400" s="1451"/>
      <c r="CF1400" s="1451"/>
      <c r="CN1400" s="1451"/>
      <c r="CO1400" s="1530"/>
      <c r="CP1400" s="1530"/>
      <c r="CQ1400" s="1530"/>
      <c r="CR1400" s="1530"/>
      <c r="CS1400" s="1530"/>
      <c r="CT1400" s="1530"/>
      <c r="CU1400" s="1530"/>
      <c r="CV1400" s="1530"/>
      <c r="CW1400" s="1530"/>
      <c r="CX1400" s="1530"/>
      <c r="CY1400" s="1530"/>
      <c r="CZ1400" s="1530"/>
      <c r="DA1400" s="1530"/>
      <c r="DB1400" s="1530"/>
      <c r="DC1400" s="1530"/>
      <c r="DD1400" s="1530"/>
      <c r="DE1400" s="1530"/>
      <c r="DF1400" s="1530"/>
      <c r="DG1400" s="1530"/>
      <c r="DH1400" s="1530"/>
      <c r="DI1400" s="1530"/>
      <c r="DJ1400" s="1530"/>
      <c r="DK1400" s="1530"/>
      <c r="DL1400" s="1530"/>
      <c r="DM1400" s="1530"/>
      <c r="DN1400" s="1571"/>
      <c r="DO1400" s="1530"/>
      <c r="DP1400" s="1530"/>
    </row>
    <row r="1401" spans="1:120">
      <c r="A1401" s="1451"/>
      <c r="C1401" s="1451"/>
      <c r="K1401" s="1451"/>
      <c r="L1401" s="1451"/>
      <c r="U1401" s="1451"/>
      <c r="AD1401" s="1451"/>
      <c r="AM1401" s="1451"/>
      <c r="AV1401" s="1451"/>
      <c r="BE1401" s="1451"/>
      <c r="BN1401" s="1451"/>
      <c r="BV1401" s="1451"/>
      <c r="BW1401" s="1451"/>
      <c r="CF1401" s="1451"/>
      <c r="CN1401" s="1451"/>
      <c r="CO1401" s="1530"/>
      <c r="CP1401" s="1530"/>
      <c r="CQ1401" s="1530"/>
      <c r="CR1401" s="1530"/>
      <c r="CS1401" s="1530"/>
      <c r="CT1401" s="1530"/>
      <c r="CU1401" s="1530"/>
      <c r="CV1401" s="1530"/>
      <c r="CW1401" s="1530"/>
      <c r="CX1401" s="1530"/>
      <c r="CY1401" s="1530"/>
      <c r="CZ1401" s="1530"/>
      <c r="DA1401" s="1530"/>
      <c r="DB1401" s="1530"/>
      <c r="DC1401" s="1530"/>
      <c r="DD1401" s="1530"/>
      <c r="DE1401" s="1530"/>
      <c r="DF1401" s="1530"/>
      <c r="DG1401" s="1530"/>
      <c r="DH1401" s="1530"/>
      <c r="DI1401" s="1530"/>
      <c r="DJ1401" s="1530"/>
      <c r="DK1401" s="1530"/>
      <c r="DL1401" s="1530"/>
      <c r="DM1401" s="1530"/>
      <c r="DN1401" s="1571"/>
      <c r="DO1401" s="1530"/>
      <c r="DP1401" s="1530"/>
    </row>
    <row r="1402" spans="1:120">
      <c r="A1402" s="1451"/>
      <c r="C1402" s="1451"/>
      <c r="K1402" s="1451"/>
      <c r="L1402" s="1451"/>
      <c r="U1402" s="1451"/>
      <c r="AD1402" s="1451"/>
      <c r="AM1402" s="1451"/>
      <c r="AV1402" s="1451"/>
      <c r="BE1402" s="1451"/>
      <c r="BN1402" s="1451"/>
      <c r="BV1402" s="1451"/>
      <c r="BW1402" s="1451"/>
      <c r="CF1402" s="1451"/>
      <c r="CN1402" s="1451"/>
      <c r="CO1402" s="1530"/>
      <c r="CP1402" s="1530"/>
      <c r="CQ1402" s="1530"/>
      <c r="CR1402" s="1530"/>
      <c r="CS1402" s="1530"/>
      <c r="CT1402" s="1530"/>
      <c r="CU1402" s="1530"/>
      <c r="CV1402" s="1530"/>
      <c r="CW1402" s="1530"/>
      <c r="CX1402" s="1530"/>
      <c r="CY1402" s="1530"/>
      <c r="CZ1402" s="1530"/>
      <c r="DA1402" s="1530"/>
      <c r="DB1402" s="1530"/>
      <c r="DC1402" s="1530"/>
      <c r="DD1402" s="1530"/>
      <c r="DE1402" s="1530"/>
      <c r="DF1402" s="1530"/>
      <c r="DG1402" s="1530"/>
      <c r="DH1402" s="1530"/>
      <c r="DI1402" s="1530"/>
      <c r="DJ1402" s="1530"/>
      <c r="DK1402" s="1530"/>
      <c r="DL1402" s="1530"/>
      <c r="DM1402" s="1530"/>
      <c r="DN1402" s="1571"/>
      <c r="DO1402" s="1530"/>
      <c r="DP1402" s="1530"/>
    </row>
    <row r="1403" spans="1:120">
      <c r="A1403" s="1451"/>
      <c r="C1403" s="1451"/>
      <c r="K1403" s="1451"/>
      <c r="L1403" s="1451"/>
      <c r="U1403" s="1451"/>
      <c r="AD1403" s="1451"/>
      <c r="AM1403" s="1451"/>
      <c r="AV1403" s="1451"/>
      <c r="BE1403" s="1451"/>
      <c r="BN1403" s="1451"/>
      <c r="BV1403" s="1451"/>
      <c r="BW1403" s="1451"/>
      <c r="CF1403" s="1451"/>
      <c r="CN1403" s="1451"/>
      <c r="CO1403" s="1530"/>
      <c r="CP1403" s="1530"/>
      <c r="CQ1403" s="1530"/>
      <c r="CR1403" s="1530"/>
      <c r="CS1403" s="1530"/>
      <c r="CT1403" s="1530"/>
      <c r="CU1403" s="1530"/>
      <c r="CV1403" s="1530"/>
      <c r="CW1403" s="1530"/>
      <c r="CX1403" s="1530"/>
      <c r="CY1403" s="1530"/>
      <c r="CZ1403" s="1530"/>
      <c r="DA1403" s="1530"/>
      <c r="DB1403" s="1530"/>
      <c r="DC1403" s="1530"/>
      <c r="DD1403" s="1530"/>
      <c r="DE1403" s="1530"/>
      <c r="DF1403" s="1530"/>
      <c r="DG1403" s="1530"/>
      <c r="DH1403" s="1530"/>
      <c r="DI1403" s="1530"/>
      <c r="DJ1403" s="1530"/>
      <c r="DK1403" s="1530"/>
      <c r="DL1403" s="1530"/>
      <c r="DM1403" s="1530"/>
      <c r="DN1403" s="1571"/>
      <c r="DO1403" s="1530"/>
      <c r="DP1403" s="1530"/>
    </row>
    <row r="1404" spans="1:120">
      <c r="A1404" s="1451"/>
      <c r="C1404" s="1451"/>
      <c r="K1404" s="1451"/>
      <c r="L1404" s="1451"/>
      <c r="U1404" s="1451"/>
      <c r="AD1404" s="1451"/>
      <c r="AM1404" s="1451"/>
      <c r="AV1404" s="1451"/>
      <c r="BE1404" s="1451"/>
      <c r="BN1404" s="1451"/>
      <c r="BV1404" s="1451"/>
      <c r="BW1404" s="1451"/>
      <c r="CF1404" s="1451"/>
      <c r="CN1404" s="1451"/>
      <c r="CO1404" s="1530"/>
      <c r="CP1404" s="1530"/>
      <c r="CQ1404" s="1530"/>
      <c r="CR1404" s="1530"/>
      <c r="CS1404" s="1530"/>
      <c r="CT1404" s="1530"/>
      <c r="CU1404" s="1530"/>
      <c r="CV1404" s="1530"/>
      <c r="CW1404" s="1530"/>
      <c r="CX1404" s="1530"/>
      <c r="CY1404" s="1530"/>
      <c r="CZ1404" s="1530"/>
      <c r="DA1404" s="1530"/>
      <c r="DB1404" s="1530"/>
      <c r="DC1404" s="1530"/>
      <c r="DD1404" s="1530"/>
      <c r="DE1404" s="1530"/>
      <c r="DF1404" s="1530"/>
      <c r="DG1404" s="1530"/>
      <c r="DH1404" s="1530"/>
      <c r="DI1404" s="1530"/>
      <c r="DJ1404" s="1530"/>
      <c r="DK1404" s="1530"/>
      <c r="DL1404" s="1530"/>
      <c r="DM1404" s="1530"/>
      <c r="DN1404" s="1571"/>
      <c r="DO1404" s="1530"/>
      <c r="DP1404" s="1530"/>
    </row>
    <row r="1405" spans="1:120">
      <c r="A1405" s="1451"/>
      <c r="C1405" s="1451"/>
      <c r="K1405" s="1451"/>
      <c r="L1405" s="1451"/>
      <c r="U1405" s="1451"/>
      <c r="AD1405" s="1451"/>
      <c r="AM1405" s="1451"/>
      <c r="AV1405" s="1451"/>
      <c r="BE1405" s="1451"/>
      <c r="BN1405" s="1451"/>
      <c r="BV1405" s="1451"/>
      <c r="BW1405" s="1451"/>
      <c r="CF1405" s="1451"/>
      <c r="CN1405" s="1451"/>
      <c r="CO1405" s="1530"/>
      <c r="CP1405" s="1530"/>
      <c r="CQ1405" s="1530"/>
      <c r="CR1405" s="1530"/>
      <c r="CS1405" s="1530"/>
      <c r="CT1405" s="1530"/>
      <c r="CU1405" s="1530"/>
      <c r="CV1405" s="1530"/>
      <c r="CW1405" s="1530"/>
      <c r="CX1405" s="1530"/>
      <c r="CY1405" s="1530"/>
      <c r="CZ1405" s="1530"/>
      <c r="DA1405" s="1530"/>
      <c r="DB1405" s="1530"/>
      <c r="DC1405" s="1530"/>
      <c r="DD1405" s="1530"/>
      <c r="DE1405" s="1530"/>
      <c r="DF1405" s="1530"/>
      <c r="DG1405" s="1530"/>
      <c r="DH1405" s="1530"/>
      <c r="DI1405" s="1530"/>
      <c r="DJ1405" s="1530"/>
      <c r="DK1405" s="1530"/>
      <c r="DL1405" s="1530"/>
      <c r="DM1405" s="1530"/>
      <c r="DN1405" s="1571"/>
      <c r="DO1405" s="1530"/>
      <c r="DP1405" s="1530"/>
    </row>
    <row r="1406" spans="1:120">
      <c r="A1406" s="1451"/>
      <c r="C1406" s="1451"/>
      <c r="K1406" s="1451"/>
      <c r="L1406" s="1451"/>
      <c r="U1406" s="1451"/>
      <c r="AD1406" s="1451"/>
      <c r="AM1406" s="1451"/>
      <c r="AV1406" s="1451"/>
      <c r="BE1406" s="1451"/>
      <c r="BN1406" s="1451"/>
      <c r="BV1406" s="1451"/>
      <c r="BW1406" s="1451"/>
      <c r="CF1406" s="1451"/>
      <c r="CN1406" s="1451"/>
      <c r="CO1406" s="1530"/>
      <c r="CP1406" s="1530"/>
      <c r="CQ1406" s="1530"/>
      <c r="CR1406" s="1530"/>
      <c r="CS1406" s="1530"/>
      <c r="CT1406" s="1530"/>
      <c r="CU1406" s="1530"/>
      <c r="CV1406" s="1530"/>
      <c r="CW1406" s="1530"/>
      <c r="CX1406" s="1530"/>
      <c r="CY1406" s="1530"/>
      <c r="CZ1406" s="1530"/>
      <c r="DA1406" s="1530"/>
      <c r="DB1406" s="1530"/>
      <c r="DC1406" s="1530"/>
      <c r="DD1406" s="1530"/>
      <c r="DE1406" s="1530"/>
      <c r="DF1406" s="1530"/>
      <c r="DG1406" s="1530"/>
      <c r="DH1406" s="1530"/>
      <c r="DI1406" s="1530"/>
      <c r="DJ1406" s="1530"/>
      <c r="DK1406" s="1530"/>
      <c r="DL1406" s="1530"/>
      <c r="DM1406" s="1530"/>
      <c r="DN1406" s="1571"/>
      <c r="DO1406" s="1530"/>
      <c r="DP1406" s="1530"/>
    </row>
    <row r="1407" spans="1:120">
      <c r="A1407" s="1451"/>
      <c r="C1407" s="1451"/>
      <c r="K1407" s="1451"/>
      <c r="L1407" s="1451"/>
      <c r="U1407" s="1451"/>
      <c r="AD1407" s="1451"/>
      <c r="AM1407" s="1451"/>
      <c r="AV1407" s="1451"/>
      <c r="BE1407" s="1451"/>
      <c r="BN1407" s="1451"/>
      <c r="BV1407" s="1451"/>
      <c r="BW1407" s="1451"/>
      <c r="CF1407" s="1451"/>
      <c r="CN1407" s="1451"/>
      <c r="CO1407" s="1530"/>
      <c r="CP1407" s="1530"/>
      <c r="CQ1407" s="1530"/>
      <c r="CR1407" s="1530"/>
      <c r="CS1407" s="1530"/>
      <c r="CT1407" s="1530"/>
      <c r="CU1407" s="1530"/>
      <c r="CV1407" s="1530"/>
      <c r="CW1407" s="1530"/>
      <c r="CX1407" s="1530"/>
      <c r="CY1407" s="1530"/>
      <c r="CZ1407" s="1530"/>
      <c r="DA1407" s="1530"/>
      <c r="DB1407" s="1530"/>
      <c r="DC1407" s="1530"/>
      <c r="DD1407" s="1530"/>
      <c r="DE1407" s="1530"/>
      <c r="DF1407" s="1530"/>
      <c r="DG1407" s="1530"/>
      <c r="DH1407" s="1530"/>
      <c r="DI1407" s="1530"/>
      <c r="DJ1407" s="1530"/>
      <c r="DK1407" s="1530"/>
      <c r="DL1407" s="1530"/>
      <c r="DM1407" s="1530"/>
      <c r="DN1407" s="1571"/>
      <c r="DO1407" s="1530"/>
      <c r="DP1407" s="1530"/>
    </row>
    <row r="1408" spans="1:120">
      <c r="A1408" s="1451"/>
      <c r="C1408" s="1451"/>
      <c r="K1408" s="1451"/>
      <c r="L1408" s="1451"/>
      <c r="U1408" s="1451"/>
      <c r="AD1408" s="1451"/>
      <c r="AM1408" s="1451"/>
      <c r="AV1408" s="1451"/>
      <c r="BE1408" s="1451"/>
      <c r="BN1408" s="1451"/>
      <c r="BV1408" s="1451"/>
      <c r="BW1408" s="1451"/>
      <c r="CF1408" s="1451"/>
      <c r="CN1408" s="1451"/>
      <c r="CO1408" s="1530"/>
      <c r="CP1408" s="1530"/>
      <c r="CQ1408" s="1530"/>
      <c r="CR1408" s="1530"/>
      <c r="CS1408" s="1530"/>
      <c r="CT1408" s="1530"/>
      <c r="CU1408" s="1530"/>
      <c r="CV1408" s="1530"/>
      <c r="CW1408" s="1530"/>
      <c r="CX1408" s="1530"/>
      <c r="CY1408" s="1530"/>
      <c r="CZ1408" s="1530"/>
      <c r="DA1408" s="1530"/>
      <c r="DB1408" s="1530"/>
      <c r="DC1408" s="1530"/>
      <c r="DD1408" s="1530"/>
      <c r="DE1408" s="1530"/>
      <c r="DF1408" s="1530"/>
      <c r="DG1408" s="1530"/>
      <c r="DH1408" s="1530"/>
      <c r="DI1408" s="1530"/>
      <c r="DJ1408" s="1530"/>
      <c r="DK1408" s="1530"/>
      <c r="DL1408" s="1530"/>
      <c r="DM1408" s="1530"/>
      <c r="DN1408" s="1571"/>
      <c r="DO1408" s="1530"/>
      <c r="DP1408" s="1530"/>
    </row>
    <row r="1409" spans="1:120">
      <c r="A1409" s="1451"/>
      <c r="C1409" s="1451"/>
      <c r="K1409" s="1451"/>
      <c r="L1409" s="1451"/>
      <c r="U1409" s="1451"/>
      <c r="AD1409" s="1451"/>
      <c r="AM1409" s="1451"/>
      <c r="AV1409" s="1451"/>
      <c r="BE1409" s="1451"/>
      <c r="BN1409" s="1451"/>
      <c r="BV1409" s="1451"/>
      <c r="BW1409" s="1451"/>
      <c r="CF1409" s="1451"/>
      <c r="CN1409" s="1451"/>
      <c r="CO1409" s="1530"/>
      <c r="CP1409" s="1530"/>
      <c r="CQ1409" s="1530"/>
      <c r="CR1409" s="1530"/>
      <c r="CS1409" s="1530"/>
      <c r="CT1409" s="1530"/>
      <c r="CU1409" s="1530"/>
      <c r="CV1409" s="1530"/>
      <c r="CW1409" s="1530"/>
      <c r="CX1409" s="1530"/>
      <c r="CY1409" s="1530"/>
      <c r="CZ1409" s="1530"/>
      <c r="DA1409" s="1530"/>
      <c r="DB1409" s="1530"/>
      <c r="DC1409" s="1530"/>
      <c r="DD1409" s="1530"/>
      <c r="DE1409" s="1530"/>
      <c r="DF1409" s="1530"/>
      <c r="DG1409" s="1530"/>
      <c r="DH1409" s="1530"/>
      <c r="DI1409" s="1530"/>
      <c r="DJ1409" s="1530"/>
      <c r="DK1409" s="1530"/>
      <c r="DL1409" s="1530"/>
      <c r="DM1409" s="1530"/>
      <c r="DN1409" s="1571"/>
      <c r="DO1409" s="1530"/>
      <c r="DP1409" s="1530"/>
    </row>
    <row r="1410" spans="1:120">
      <c r="A1410" s="1451"/>
      <c r="C1410" s="1451"/>
      <c r="K1410" s="1451"/>
      <c r="L1410" s="1451"/>
      <c r="U1410" s="1451"/>
      <c r="AD1410" s="1451"/>
      <c r="AM1410" s="1451"/>
      <c r="AV1410" s="1451"/>
      <c r="BE1410" s="1451"/>
      <c r="BN1410" s="1451"/>
      <c r="BV1410" s="1451"/>
      <c r="BW1410" s="1451"/>
      <c r="CF1410" s="1451"/>
      <c r="CN1410" s="1451"/>
      <c r="CO1410" s="1530"/>
      <c r="CP1410" s="1530"/>
      <c r="CQ1410" s="1530"/>
      <c r="CR1410" s="1530"/>
      <c r="CS1410" s="1530"/>
      <c r="CT1410" s="1530"/>
      <c r="CU1410" s="1530"/>
      <c r="CV1410" s="1530"/>
      <c r="CW1410" s="1530"/>
      <c r="CX1410" s="1530"/>
      <c r="CY1410" s="1530"/>
      <c r="CZ1410" s="1530"/>
      <c r="DA1410" s="1530"/>
      <c r="DB1410" s="1530"/>
      <c r="DC1410" s="1530"/>
      <c r="DD1410" s="1530"/>
      <c r="DE1410" s="1530"/>
      <c r="DF1410" s="1530"/>
      <c r="DG1410" s="1530"/>
      <c r="DH1410" s="1530"/>
      <c r="DI1410" s="1530"/>
      <c r="DJ1410" s="1530"/>
      <c r="DK1410" s="1530"/>
      <c r="DL1410" s="1530"/>
      <c r="DM1410" s="1530"/>
      <c r="DN1410" s="1571"/>
      <c r="DO1410" s="1530"/>
      <c r="DP1410" s="1530"/>
    </row>
    <row r="1411" spans="1:120">
      <c r="A1411" s="1451"/>
      <c r="C1411" s="1451"/>
      <c r="K1411" s="1451"/>
      <c r="L1411" s="1451"/>
      <c r="U1411" s="1451"/>
      <c r="AD1411" s="1451"/>
      <c r="AM1411" s="1451"/>
      <c r="AV1411" s="1451"/>
      <c r="BE1411" s="1451"/>
      <c r="BN1411" s="1451"/>
      <c r="BV1411" s="1451"/>
      <c r="BW1411" s="1451"/>
      <c r="CF1411" s="1451"/>
      <c r="CN1411" s="1451"/>
      <c r="CO1411" s="1530"/>
      <c r="CP1411" s="1530"/>
      <c r="CQ1411" s="1530"/>
      <c r="CR1411" s="1530"/>
      <c r="CS1411" s="1530"/>
      <c r="CT1411" s="1530"/>
      <c r="CU1411" s="1530"/>
      <c r="CV1411" s="1530"/>
      <c r="CW1411" s="1530"/>
      <c r="CX1411" s="1530"/>
      <c r="CY1411" s="1530"/>
      <c r="CZ1411" s="1530"/>
      <c r="DA1411" s="1530"/>
      <c r="DB1411" s="1530"/>
      <c r="DC1411" s="1530"/>
      <c r="DD1411" s="1530"/>
      <c r="DE1411" s="1530"/>
      <c r="DF1411" s="1530"/>
      <c r="DG1411" s="1530"/>
      <c r="DH1411" s="1530"/>
      <c r="DI1411" s="1530"/>
      <c r="DJ1411" s="1530"/>
      <c r="DK1411" s="1530"/>
      <c r="DL1411" s="1530"/>
      <c r="DM1411" s="1530"/>
      <c r="DN1411" s="1571"/>
      <c r="DO1411" s="1530"/>
      <c r="DP1411" s="1530"/>
    </row>
    <row r="1412" spans="1:120">
      <c r="A1412" s="1451"/>
      <c r="C1412" s="1451"/>
      <c r="K1412" s="1451"/>
      <c r="L1412" s="1451"/>
      <c r="U1412" s="1451"/>
      <c r="AD1412" s="1451"/>
      <c r="AM1412" s="1451"/>
      <c r="AV1412" s="1451"/>
      <c r="BE1412" s="1451"/>
      <c r="BN1412" s="1451"/>
      <c r="BV1412" s="1451"/>
      <c r="BW1412" s="1451"/>
      <c r="CF1412" s="1451"/>
      <c r="CN1412" s="1451"/>
      <c r="CO1412" s="1530"/>
      <c r="CP1412" s="1530"/>
      <c r="CQ1412" s="1530"/>
      <c r="CR1412" s="1530"/>
      <c r="CS1412" s="1530"/>
      <c r="CT1412" s="1530"/>
      <c r="CU1412" s="1530"/>
      <c r="CV1412" s="1530"/>
      <c r="CW1412" s="1530"/>
      <c r="CX1412" s="1530"/>
      <c r="CY1412" s="1530"/>
      <c r="CZ1412" s="1530"/>
      <c r="DA1412" s="1530"/>
      <c r="DB1412" s="1530"/>
      <c r="DC1412" s="1530"/>
      <c r="DD1412" s="1530"/>
      <c r="DE1412" s="1530"/>
      <c r="DF1412" s="1530"/>
      <c r="DG1412" s="1530"/>
      <c r="DH1412" s="1530"/>
      <c r="DI1412" s="1530"/>
      <c r="DJ1412" s="1530"/>
      <c r="DK1412" s="1530"/>
      <c r="DL1412" s="1530"/>
      <c r="DM1412" s="1530"/>
      <c r="DN1412" s="1571"/>
      <c r="DO1412" s="1530"/>
      <c r="DP1412" s="1530"/>
    </row>
    <row r="1413" spans="1:120">
      <c r="A1413" s="1451"/>
      <c r="C1413" s="1451"/>
      <c r="K1413" s="1451"/>
      <c r="L1413" s="1451"/>
      <c r="U1413" s="1451"/>
      <c r="AD1413" s="1451"/>
      <c r="AM1413" s="1451"/>
      <c r="AV1413" s="1451"/>
      <c r="BE1413" s="1451"/>
      <c r="BN1413" s="1451"/>
      <c r="BV1413" s="1451"/>
      <c r="BW1413" s="1451"/>
      <c r="CF1413" s="1451"/>
      <c r="CN1413" s="1451"/>
      <c r="CO1413" s="1530"/>
      <c r="CP1413" s="1530"/>
      <c r="CQ1413" s="1530"/>
      <c r="CR1413" s="1530"/>
      <c r="CS1413" s="1530"/>
      <c r="CT1413" s="1530"/>
      <c r="CU1413" s="1530"/>
      <c r="CV1413" s="1530"/>
      <c r="CW1413" s="1530"/>
      <c r="CX1413" s="1530"/>
      <c r="CY1413" s="1530"/>
      <c r="CZ1413" s="1530"/>
      <c r="DA1413" s="1530"/>
      <c r="DB1413" s="1530"/>
      <c r="DC1413" s="1530"/>
      <c r="DD1413" s="1530"/>
      <c r="DE1413" s="1530"/>
      <c r="DF1413" s="1530"/>
      <c r="DG1413" s="1530"/>
      <c r="DH1413" s="1530"/>
      <c r="DI1413" s="1530"/>
      <c r="DJ1413" s="1530"/>
      <c r="DK1413" s="1530"/>
      <c r="DL1413" s="1530"/>
      <c r="DM1413" s="1530"/>
      <c r="DN1413" s="1571"/>
      <c r="DO1413" s="1530"/>
      <c r="DP1413" s="1530"/>
    </row>
    <row r="1414" spans="1:120">
      <c r="A1414" s="1451"/>
      <c r="C1414" s="1451"/>
      <c r="K1414" s="1451"/>
      <c r="L1414" s="1451"/>
      <c r="U1414" s="1451"/>
      <c r="AD1414" s="1451"/>
      <c r="AM1414" s="1451"/>
      <c r="AV1414" s="1451"/>
      <c r="BE1414" s="1451"/>
      <c r="BN1414" s="1451"/>
      <c r="BV1414" s="1451"/>
      <c r="BW1414" s="1451"/>
      <c r="CF1414" s="1451"/>
      <c r="CN1414" s="1451"/>
      <c r="CO1414" s="1530"/>
      <c r="CP1414" s="1530"/>
      <c r="CQ1414" s="1530"/>
      <c r="CR1414" s="1530"/>
      <c r="CS1414" s="1530"/>
      <c r="CT1414" s="1530"/>
      <c r="CU1414" s="1530"/>
      <c r="CV1414" s="1530"/>
      <c r="CW1414" s="1530"/>
      <c r="CX1414" s="1530"/>
      <c r="CY1414" s="1530"/>
      <c r="CZ1414" s="1530"/>
      <c r="DA1414" s="1530"/>
      <c r="DB1414" s="1530"/>
      <c r="DC1414" s="1530"/>
      <c r="DD1414" s="1530"/>
      <c r="DE1414" s="1530"/>
      <c r="DF1414" s="1530"/>
      <c r="DG1414" s="1530"/>
      <c r="DH1414" s="1530"/>
      <c r="DI1414" s="1530"/>
      <c r="DJ1414" s="1530"/>
      <c r="DK1414" s="1530"/>
      <c r="DL1414" s="1530"/>
      <c r="DM1414" s="1530"/>
      <c r="DN1414" s="1571"/>
      <c r="DO1414" s="1530"/>
      <c r="DP1414" s="1530"/>
    </row>
    <row r="1415" spans="1:120">
      <c r="A1415" s="1451"/>
      <c r="C1415" s="1451"/>
      <c r="K1415" s="1451"/>
      <c r="L1415" s="1451"/>
      <c r="U1415" s="1451"/>
      <c r="AD1415" s="1451"/>
      <c r="AM1415" s="1451"/>
      <c r="AV1415" s="1451"/>
      <c r="BE1415" s="1451"/>
      <c r="BN1415" s="1451"/>
      <c r="BV1415" s="1451"/>
      <c r="BW1415" s="1451"/>
      <c r="CF1415" s="1451"/>
      <c r="CN1415" s="1451"/>
      <c r="CO1415" s="1530"/>
      <c r="CP1415" s="1530"/>
      <c r="CQ1415" s="1530"/>
      <c r="CR1415" s="1530"/>
      <c r="CS1415" s="1530"/>
      <c r="CT1415" s="1530"/>
      <c r="CU1415" s="1530"/>
      <c r="CV1415" s="1530"/>
      <c r="CW1415" s="1530"/>
      <c r="CX1415" s="1530"/>
      <c r="CY1415" s="1530"/>
      <c r="CZ1415" s="1530"/>
      <c r="DA1415" s="1530"/>
      <c r="DB1415" s="1530"/>
      <c r="DC1415" s="1530"/>
      <c r="DD1415" s="1530"/>
      <c r="DE1415" s="1530"/>
      <c r="DF1415" s="1530"/>
      <c r="DG1415" s="1530"/>
      <c r="DH1415" s="1530"/>
      <c r="DI1415" s="1530"/>
      <c r="DJ1415" s="1530"/>
      <c r="DK1415" s="1530"/>
      <c r="DL1415" s="1530"/>
      <c r="DM1415" s="1530"/>
      <c r="DN1415" s="1571"/>
      <c r="DO1415" s="1530"/>
      <c r="DP1415" s="1530"/>
    </row>
    <row r="1416" spans="1:120">
      <c r="A1416" s="1451"/>
      <c r="C1416" s="1451"/>
      <c r="K1416" s="1451"/>
      <c r="L1416" s="1451"/>
      <c r="U1416" s="1451"/>
      <c r="AD1416" s="1451"/>
      <c r="AM1416" s="1451"/>
      <c r="AV1416" s="1451"/>
      <c r="BE1416" s="1451"/>
      <c r="BN1416" s="1451"/>
      <c r="BV1416" s="1451"/>
      <c r="BW1416" s="1451"/>
      <c r="CF1416" s="1451"/>
      <c r="CN1416" s="1451"/>
      <c r="CO1416" s="1530"/>
      <c r="CP1416" s="1530"/>
      <c r="CQ1416" s="1530"/>
      <c r="CR1416" s="1530"/>
      <c r="CS1416" s="1530"/>
      <c r="CT1416" s="1530"/>
      <c r="CU1416" s="1530"/>
      <c r="CV1416" s="1530"/>
      <c r="CW1416" s="1530"/>
      <c r="CX1416" s="1530"/>
      <c r="CY1416" s="1530"/>
      <c r="CZ1416" s="1530"/>
      <c r="DA1416" s="1530"/>
      <c r="DB1416" s="1530"/>
      <c r="DC1416" s="1530"/>
      <c r="DD1416" s="1530"/>
      <c r="DE1416" s="1530"/>
      <c r="DF1416" s="1530"/>
      <c r="DG1416" s="1530"/>
      <c r="DH1416" s="1530"/>
      <c r="DI1416" s="1530"/>
      <c r="DJ1416" s="1530"/>
      <c r="DK1416" s="1530"/>
      <c r="DL1416" s="1530"/>
      <c r="DM1416" s="1530"/>
      <c r="DN1416" s="1571"/>
      <c r="DO1416" s="1530"/>
      <c r="DP1416" s="1530"/>
    </row>
    <row r="1417" spans="1:120">
      <c r="A1417" s="1451"/>
      <c r="C1417" s="1451"/>
      <c r="K1417" s="1451"/>
      <c r="L1417" s="1451"/>
      <c r="U1417" s="1451"/>
      <c r="AD1417" s="1451"/>
      <c r="AM1417" s="1451"/>
      <c r="AV1417" s="1451"/>
      <c r="BE1417" s="1451"/>
      <c r="BN1417" s="1451"/>
      <c r="BV1417" s="1451"/>
      <c r="BW1417" s="1451"/>
      <c r="CF1417" s="1451"/>
      <c r="CN1417" s="1451"/>
      <c r="CO1417" s="1530"/>
      <c r="CP1417" s="1530"/>
      <c r="CQ1417" s="1530"/>
      <c r="CR1417" s="1530"/>
      <c r="CS1417" s="1530"/>
      <c r="CT1417" s="1530"/>
      <c r="CU1417" s="1530"/>
      <c r="CV1417" s="1530"/>
      <c r="CW1417" s="1530"/>
      <c r="CX1417" s="1530"/>
      <c r="CY1417" s="1530"/>
      <c r="CZ1417" s="1530"/>
      <c r="DA1417" s="1530"/>
      <c r="DB1417" s="1530"/>
      <c r="DC1417" s="1530"/>
      <c r="DD1417" s="1530"/>
      <c r="DE1417" s="1530"/>
      <c r="DF1417" s="1530"/>
      <c r="DG1417" s="1530"/>
      <c r="DH1417" s="1530"/>
      <c r="DI1417" s="1530"/>
      <c r="DJ1417" s="1530"/>
      <c r="DK1417" s="1530"/>
      <c r="DL1417" s="1530"/>
      <c r="DM1417" s="1530"/>
      <c r="DN1417" s="1571"/>
      <c r="DO1417" s="1530"/>
      <c r="DP1417" s="1530"/>
    </row>
    <row r="1418" spans="1:120">
      <c r="A1418" s="1451"/>
      <c r="C1418" s="1451"/>
      <c r="K1418" s="1451"/>
      <c r="L1418" s="1451"/>
      <c r="U1418" s="1451"/>
      <c r="AD1418" s="1451"/>
      <c r="AM1418" s="1451"/>
      <c r="AV1418" s="1451"/>
      <c r="BE1418" s="1451"/>
      <c r="BN1418" s="1451"/>
      <c r="BV1418" s="1451"/>
      <c r="BW1418" s="1451"/>
      <c r="CF1418" s="1451"/>
      <c r="CN1418" s="1451"/>
      <c r="CO1418" s="1530"/>
      <c r="CP1418" s="1530"/>
      <c r="CQ1418" s="1530"/>
      <c r="CR1418" s="1530"/>
      <c r="CS1418" s="1530"/>
      <c r="CT1418" s="1530"/>
      <c r="CU1418" s="1530"/>
      <c r="CV1418" s="1530"/>
      <c r="CW1418" s="1530"/>
      <c r="CX1418" s="1530"/>
      <c r="CY1418" s="1530"/>
      <c r="CZ1418" s="1530"/>
      <c r="DA1418" s="1530"/>
      <c r="DB1418" s="1530"/>
      <c r="DC1418" s="1530"/>
      <c r="DD1418" s="1530"/>
      <c r="DE1418" s="1530"/>
      <c r="DF1418" s="1530"/>
      <c r="DG1418" s="1530"/>
      <c r="DH1418" s="1530"/>
      <c r="DI1418" s="1530"/>
      <c r="DJ1418" s="1530"/>
      <c r="DK1418" s="1530"/>
      <c r="DL1418" s="1530"/>
      <c r="DM1418" s="1530"/>
      <c r="DN1418" s="1571"/>
      <c r="DO1418" s="1530"/>
      <c r="DP1418" s="1530"/>
    </row>
    <row r="1419" spans="1:120">
      <c r="A1419" s="1451"/>
      <c r="C1419" s="1451"/>
      <c r="K1419" s="1451"/>
      <c r="L1419" s="1451"/>
      <c r="U1419" s="1451"/>
      <c r="AD1419" s="1451"/>
      <c r="AM1419" s="1451"/>
      <c r="AV1419" s="1451"/>
      <c r="BE1419" s="1451"/>
      <c r="BN1419" s="1451"/>
      <c r="BV1419" s="1451"/>
      <c r="BW1419" s="1451"/>
      <c r="CF1419" s="1451"/>
      <c r="CN1419" s="1451"/>
      <c r="CO1419" s="1530"/>
      <c r="CP1419" s="1530"/>
      <c r="CQ1419" s="1530"/>
      <c r="CR1419" s="1530"/>
      <c r="CS1419" s="1530"/>
      <c r="CT1419" s="1530"/>
      <c r="CU1419" s="1530"/>
      <c r="CV1419" s="1530"/>
      <c r="CW1419" s="1530"/>
      <c r="CX1419" s="1530"/>
      <c r="CY1419" s="1530"/>
      <c r="CZ1419" s="1530"/>
      <c r="DA1419" s="1530"/>
      <c r="DB1419" s="1530"/>
      <c r="DC1419" s="1530"/>
      <c r="DD1419" s="1530"/>
      <c r="DE1419" s="1530"/>
      <c r="DF1419" s="1530"/>
      <c r="DG1419" s="1530"/>
      <c r="DH1419" s="1530"/>
      <c r="DI1419" s="1530"/>
      <c r="DJ1419" s="1530"/>
      <c r="DK1419" s="1530"/>
      <c r="DL1419" s="1530"/>
      <c r="DM1419" s="1530"/>
      <c r="DN1419" s="1571"/>
      <c r="DO1419" s="1530"/>
      <c r="DP1419" s="1530"/>
    </row>
    <row r="1420" spans="1:120">
      <c r="A1420" s="1451"/>
      <c r="C1420" s="1451"/>
      <c r="K1420" s="1451"/>
      <c r="L1420" s="1451"/>
      <c r="U1420" s="1451"/>
      <c r="AD1420" s="1451"/>
      <c r="AM1420" s="1451"/>
      <c r="AV1420" s="1451"/>
      <c r="BE1420" s="1451"/>
      <c r="BN1420" s="1451"/>
      <c r="BV1420" s="1451"/>
      <c r="BW1420" s="1451"/>
      <c r="CF1420" s="1451"/>
      <c r="CN1420" s="1451"/>
      <c r="CO1420" s="1530"/>
      <c r="CP1420" s="1530"/>
      <c r="CQ1420" s="1530"/>
      <c r="CR1420" s="1530"/>
      <c r="CS1420" s="1530"/>
      <c r="CT1420" s="1530"/>
      <c r="CU1420" s="1530"/>
      <c r="CV1420" s="1530"/>
      <c r="CW1420" s="1530"/>
      <c r="CX1420" s="1530"/>
      <c r="CY1420" s="1530"/>
      <c r="CZ1420" s="1530"/>
      <c r="DA1420" s="1530"/>
      <c r="DB1420" s="1530"/>
      <c r="DC1420" s="1530"/>
      <c r="DD1420" s="1530"/>
      <c r="DE1420" s="1530"/>
      <c r="DF1420" s="1530"/>
      <c r="DG1420" s="1530"/>
      <c r="DH1420" s="1530"/>
      <c r="DI1420" s="1530"/>
      <c r="DJ1420" s="1530"/>
      <c r="DK1420" s="1530"/>
      <c r="DL1420" s="1530"/>
      <c r="DM1420" s="1530"/>
      <c r="DN1420" s="1571"/>
      <c r="DO1420" s="1530"/>
      <c r="DP1420" s="1530"/>
    </row>
    <row r="1421" spans="1:120">
      <c r="A1421" s="1451"/>
      <c r="C1421" s="1451"/>
      <c r="K1421" s="1451"/>
      <c r="L1421" s="1451"/>
      <c r="U1421" s="1451"/>
      <c r="AD1421" s="1451"/>
      <c r="AM1421" s="1451"/>
      <c r="AV1421" s="1451"/>
      <c r="BE1421" s="1451"/>
      <c r="BN1421" s="1451"/>
      <c r="BV1421" s="1451"/>
      <c r="BW1421" s="1451"/>
      <c r="CF1421" s="1451"/>
      <c r="CN1421" s="1451"/>
      <c r="CO1421" s="1530"/>
      <c r="CP1421" s="1530"/>
      <c r="CQ1421" s="1530"/>
      <c r="CR1421" s="1530"/>
      <c r="CS1421" s="1530"/>
      <c r="CT1421" s="1530"/>
      <c r="CU1421" s="1530"/>
      <c r="CV1421" s="1530"/>
      <c r="CW1421" s="1530"/>
      <c r="CX1421" s="1530"/>
      <c r="CY1421" s="1530"/>
      <c r="CZ1421" s="1530"/>
      <c r="DA1421" s="1530"/>
      <c r="DB1421" s="1530"/>
      <c r="DC1421" s="1530"/>
      <c r="DD1421" s="1530"/>
      <c r="DE1421" s="1530"/>
      <c r="DF1421" s="1530"/>
      <c r="DG1421" s="1530"/>
      <c r="DH1421" s="1530"/>
      <c r="DI1421" s="1530"/>
      <c r="DJ1421" s="1530"/>
      <c r="DK1421" s="1530"/>
      <c r="DL1421" s="1530"/>
      <c r="DM1421" s="1530"/>
      <c r="DN1421" s="1571"/>
      <c r="DO1421" s="1530"/>
      <c r="DP1421" s="1530"/>
    </row>
    <row r="1422" spans="1:120">
      <c r="A1422" s="1451"/>
      <c r="C1422" s="1451"/>
      <c r="K1422" s="1451"/>
      <c r="L1422" s="1451"/>
      <c r="U1422" s="1451"/>
      <c r="AD1422" s="1451"/>
      <c r="AM1422" s="1451"/>
      <c r="AV1422" s="1451"/>
      <c r="BE1422" s="1451"/>
      <c r="BN1422" s="1451"/>
      <c r="BV1422" s="1451"/>
      <c r="BW1422" s="1451"/>
      <c r="CF1422" s="1451"/>
      <c r="CN1422" s="1451"/>
      <c r="CO1422" s="1530"/>
      <c r="CP1422" s="1530"/>
      <c r="CQ1422" s="1530"/>
      <c r="CR1422" s="1530"/>
      <c r="CS1422" s="1530"/>
      <c r="CT1422" s="1530"/>
      <c r="CU1422" s="1530"/>
      <c r="CV1422" s="1530"/>
      <c r="CW1422" s="1530"/>
      <c r="CX1422" s="1530"/>
      <c r="CY1422" s="1530"/>
      <c r="CZ1422" s="1530"/>
      <c r="DA1422" s="1530"/>
      <c r="DB1422" s="1530"/>
      <c r="DC1422" s="1530"/>
      <c r="DD1422" s="1530"/>
      <c r="DE1422" s="1530"/>
      <c r="DF1422" s="1530"/>
      <c r="DG1422" s="1530"/>
      <c r="DH1422" s="1530"/>
      <c r="DI1422" s="1530"/>
      <c r="DJ1422" s="1530"/>
      <c r="DK1422" s="1530"/>
      <c r="DL1422" s="1530"/>
      <c r="DM1422" s="1530"/>
      <c r="DN1422" s="1571"/>
      <c r="DO1422" s="1530"/>
      <c r="DP1422" s="1530"/>
    </row>
    <row r="1423" spans="1:120">
      <c r="A1423" s="1451"/>
      <c r="C1423" s="1451"/>
      <c r="K1423" s="1451"/>
      <c r="L1423" s="1451"/>
      <c r="U1423" s="1451"/>
      <c r="AD1423" s="1451"/>
      <c r="AM1423" s="1451"/>
      <c r="AV1423" s="1451"/>
      <c r="BE1423" s="1451"/>
      <c r="BN1423" s="1451"/>
      <c r="BV1423" s="1451"/>
      <c r="BW1423" s="1451"/>
      <c r="CF1423" s="1451"/>
      <c r="CN1423" s="1451"/>
      <c r="CO1423" s="1530"/>
      <c r="CP1423" s="1530"/>
      <c r="CQ1423" s="1530"/>
      <c r="CR1423" s="1530"/>
      <c r="CS1423" s="1530"/>
      <c r="CT1423" s="1530"/>
      <c r="CU1423" s="1530"/>
      <c r="CV1423" s="1530"/>
      <c r="CW1423" s="1530"/>
      <c r="CX1423" s="1530"/>
      <c r="CY1423" s="1530"/>
      <c r="CZ1423" s="1530"/>
      <c r="DA1423" s="1530"/>
      <c r="DB1423" s="1530"/>
      <c r="DC1423" s="1530"/>
      <c r="DD1423" s="1530"/>
      <c r="DE1423" s="1530"/>
      <c r="DF1423" s="1530"/>
      <c r="DG1423" s="1530"/>
      <c r="DH1423" s="1530"/>
      <c r="DI1423" s="1530"/>
      <c r="DJ1423" s="1530"/>
      <c r="DK1423" s="1530"/>
      <c r="DL1423" s="1530"/>
      <c r="DM1423" s="1530"/>
      <c r="DN1423" s="1571"/>
      <c r="DO1423" s="1530"/>
      <c r="DP1423" s="1530"/>
    </row>
    <row r="1424" spans="1:120">
      <c r="A1424" s="1451"/>
      <c r="C1424" s="1451"/>
      <c r="K1424" s="1451"/>
      <c r="L1424" s="1451"/>
      <c r="U1424" s="1451"/>
      <c r="AD1424" s="1451"/>
      <c r="AM1424" s="1451"/>
      <c r="AV1424" s="1451"/>
      <c r="BE1424" s="1451"/>
      <c r="BN1424" s="1451"/>
      <c r="BV1424" s="1451"/>
      <c r="BW1424" s="1451"/>
      <c r="CF1424" s="1451"/>
      <c r="CN1424" s="1451"/>
      <c r="CO1424" s="1530"/>
      <c r="CP1424" s="1530"/>
      <c r="CQ1424" s="1530"/>
      <c r="CR1424" s="1530"/>
      <c r="CS1424" s="1530"/>
      <c r="CT1424" s="1530"/>
      <c r="CU1424" s="1530"/>
      <c r="CV1424" s="1530"/>
      <c r="CW1424" s="1530"/>
      <c r="CX1424" s="1530"/>
      <c r="CY1424" s="1530"/>
      <c r="CZ1424" s="1530"/>
      <c r="DA1424" s="1530"/>
      <c r="DB1424" s="1530"/>
      <c r="DC1424" s="1530"/>
      <c r="DD1424" s="1530"/>
      <c r="DE1424" s="1530"/>
      <c r="DF1424" s="1530"/>
      <c r="DG1424" s="1530"/>
      <c r="DH1424" s="1530"/>
      <c r="DI1424" s="1530"/>
      <c r="DJ1424" s="1530"/>
      <c r="DK1424" s="1530"/>
      <c r="DL1424" s="1530"/>
      <c r="DM1424" s="1530"/>
      <c r="DN1424" s="1571"/>
      <c r="DO1424" s="1530"/>
      <c r="DP1424" s="1530"/>
    </row>
    <row r="1425" spans="1:120">
      <c r="A1425" s="1451"/>
      <c r="C1425" s="1451"/>
      <c r="K1425" s="1451"/>
      <c r="L1425" s="1451"/>
      <c r="U1425" s="1451"/>
      <c r="AD1425" s="1451"/>
      <c r="AM1425" s="1451"/>
      <c r="AV1425" s="1451"/>
      <c r="BE1425" s="1451"/>
      <c r="BN1425" s="1451"/>
      <c r="BV1425" s="1451"/>
      <c r="BW1425" s="1451"/>
      <c r="CF1425" s="1451"/>
      <c r="CN1425" s="1451"/>
      <c r="CO1425" s="1530"/>
      <c r="CP1425" s="1530"/>
      <c r="CQ1425" s="1530"/>
      <c r="CR1425" s="1530"/>
      <c r="CS1425" s="1530"/>
      <c r="CT1425" s="1530"/>
      <c r="CU1425" s="1530"/>
      <c r="CV1425" s="1530"/>
      <c r="CW1425" s="1530"/>
      <c r="CX1425" s="1530"/>
      <c r="CY1425" s="1530"/>
      <c r="CZ1425" s="1530"/>
      <c r="DA1425" s="1530"/>
      <c r="DB1425" s="1530"/>
      <c r="DC1425" s="1530"/>
      <c r="DD1425" s="1530"/>
      <c r="DE1425" s="1530"/>
      <c r="DF1425" s="1530"/>
      <c r="DG1425" s="1530"/>
      <c r="DH1425" s="1530"/>
      <c r="DI1425" s="1530"/>
      <c r="DJ1425" s="1530"/>
      <c r="DK1425" s="1530"/>
      <c r="DL1425" s="1530"/>
      <c r="DM1425" s="1530"/>
      <c r="DN1425" s="1571"/>
      <c r="DO1425" s="1530"/>
      <c r="DP1425" s="1530"/>
    </row>
    <row r="1426" spans="1:120">
      <c r="A1426" s="1451"/>
      <c r="C1426" s="1451"/>
      <c r="K1426" s="1451"/>
      <c r="L1426" s="1451"/>
      <c r="U1426" s="1451"/>
      <c r="AD1426" s="1451"/>
      <c r="AM1426" s="1451"/>
      <c r="AV1426" s="1451"/>
      <c r="BE1426" s="1451"/>
      <c r="BN1426" s="1451"/>
      <c r="BV1426" s="1451"/>
      <c r="BW1426" s="1451"/>
      <c r="CF1426" s="1451"/>
      <c r="CN1426" s="1451"/>
      <c r="CO1426" s="1530"/>
      <c r="CP1426" s="1530"/>
      <c r="CQ1426" s="1530"/>
      <c r="CR1426" s="1530"/>
      <c r="CS1426" s="1530"/>
      <c r="CT1426" s="1530"/>
      <c r="CU1426" s="1530"/>
      <c r="CV1426" s="1530"/>
      <c r="CW1426" s="1530"/>
      <c r="CX1426" s="1530"/>
      <c r="CY1426" s="1530"/>
      <c r="CZ1426" s="1530"/>
      <c r="DA1426" s="1530"/>
      <c r="DB1426" s="1530"/>
      <c r="DC1426" s="1530"/>
      <c r="DD1426" s="1530"/>
      <c r="DE1426" s="1530"/>
      <c r="DF1426" s="1530"/>
      <c r="DG1426" s="1530"/>
      <c r="DH1426" s="1530"/>
      <c r="DI1426" s="1530"/>
      <c r="DJ1426" s="1530"/>
      <c r="DK1426" s="1530"/>
      <c r="DL1426" s="1530"/>
      <c r="DM1426" s="1530"/>
      <c r="DN1426" s="1571"/>
      <c r="DO1426" s="1530"/>
      <c r="DP1426" s="1530"/>
    </row>
    <row r="1427" spans="1:120">
      <c r="A1427" s="1451"/>
      <c r="C1427" s="1451"/>
      <c r="K1427" s="1451"/>
      <c r="L1427" s="1451"/>
      <c r="U1427" s="1451"/>
      <c r="AD1427" s="1451"/>
      <c r="AM1427" s="1451"/>
      <c r="AV1427" s="1451"/>
      <c r="BE1427" s="1451"/>
      <c r="BN1427" s="1451"/>
      <c r="BV1427" s="1451"/>
      <c r="BW1427" s="1451"/>
      <c r="CF1427" s="1451"/>
      <c r="CN1427" s="1451"/>
      <c r="CO1427" s="1530"/>
      <c r="CP1427" s="1530"/>
      <c r="CQ1427" s="1530"/>
      <c r="CR1427" s="1530"/>
      <c r="CS1427" s="1530"/>
      <c r="CT1427" s="1530"/>
      <c r="CU1427" s="1530"/>
      <c r="CV1427" s="1530"/>
      <c r="CW1427" s="1530"/>
      <c r="CX1427" s="1530"/>
      <c r="CY1427" s="1530"/>
      <c r="CZ1427" s="1530"/>
      <c r="DA1427" s="1530"/>
      <c r="DB1427" s="1530"/>
      <c r="DC1427" s="1530"/>
      <c r="DD1427" s="1530"/>
      <c r="DE1427" s="1530"/>
      <c r="DF1427" s="1530"/>
      <c r="DG1427" s="1530"/>
      <c r="DH1427" s="1530"/>
      <c r="DI1427" s="1530"/>
      <c r="DJ1427" s="1530"/>
      <c r="DK1427" s="1530"/>
      <c r="DL1427" s="1530"/>
      <c r="DM1427" s="1530"/>
      <c r="DN1427" s="1571"/>
      <c r="DO1427" s="1530"/>
      <c r="DP1427" s="1530"/>
    </row>
    <row r="1428" spans="1:120">
      <c r="A1428" s="1451"/>
      <c r="C1428" s="1451"/>
      <c r="K1428" s="1451"/>
      <c r="L1428" s="1451"/>
      <c r="U1428" s="1451"/>
      <c r="AD1428" s="1451"/>
      <c r="AM1428" s="1451"/>
      <c r="AV1428" s="1451"/>
      <c r="BE1428" s="1451"/>
      <c r="BN1428" s="1451"/>
      <c r="BV1428" s="1451"/>
      <c r="BW1428" s="1451"/>
      <c r="CF1428" s="1451"/>
      <c r="CN1428" s="1451"/>
      <c r="CO1428" s="1530"/>
      <c r="CP1428" s="1530"/>
      <c r="CQ1428" s="1530"/>
      <c r="CR1428" s="1530"/>
      <c r="CS1428" s="1530"/>
      <c r="CT1428" s="1530"/>
      <c r="CU1428" s="1530"/>
      <c r="CV1428" s="1530"/>
      <c r="CW1428" s="1530"/>
      <c r="CX1428" s="1530"/>
      <c r="CY1428" s="1530"/>
      <c r="CZ1428" s="1530"/>
      <c r="DA1428" s="1530"/>
      <c r="DB1428" s="1530"/>
      <c r="DC1428" s="1530"/>
      <c r="DD1428" s="1530"/>
      <c r="DE1428" s="1530"/>
      <c r="DF1428" s="1530"/>
      <c r="DG1428" s="1530"/>
      <c r="DH1428" s="1530"/>
      <c r="DI1428" s="1530"/>
      <c r="DJ1428" s="1530"/>
      <c r="DK1428" s="1530"/>
      <c r="DL1428" s="1530"/>
      <c r="DM1428" s="1530"/>
      <c r="DN1428" s="1571"/>
      <c r="DO1428" s="1530"/>
      <c r="DP1428" s="1530"/>
    </row>
    <row r="1429" spans="1:120">
      <c r="A1429" s="1451"/>
      <c r="C1429" s="1451"/>
      <c r="K1429" s="1451"/>
      <c r="L1429" s="1451"/>
      <c r="U1429" s="1451"/>
      <c r="AD1429" s="1451"/>
      <c r="AM1429" s="1451"/>
      <c r="AV1429" s="1451"/>
      <c r="BE1429" s="1451"/>
      <c r="BN1429" s="1451"/>
      <c r="BV1429" s="1451"/>
      <c r="BW1429" s="1451"/>
      <c r="CF1429" s="1451"/>
      <c r="CN1429" s="1451"/>
      <c r="CO1429" s="1530"/>
      <c r="CP1429" s="1530"/>
      <c r="CQ1429" s="1530"/>
      <c r="CR1429" s="1530"/>
      <c r="CS1429" s="1530"/>
      <c r="CT1429" s="1530"/>
      <c r="CU1429" s="1530"/>
      <c r="CV1429" s="1530"/>
      <c r="CW1429" s="1530"/>
      <c r="CX1429" s="1530"/>
      <c r="CY1429" s="1530"/>
      <c r="CZ1429" s="1530"/>
      <c r="DA1429" s="1530"/>
      <c r="DB1429" s="1530"/>
      <c r="DC1429" s="1530"/>
      <c r="DD1429" s="1530"/>
      <c r="DE1429" s="1530"/>
      <c r="DF1429" s="1530"/>
      <c r="DG1429" s="1530"/>
      <c r="DH1429" s="1530"/>
      <c r="DI1429" s="1530"/>
      <c r="DJ1429" s="1530"/>
      <c r="DK1429" s="1530"/>
      <c r="DL1429" s="1530"/>
      <c r="DM1429" s="1530"/>
      <c r="DN1429" s="1571"/>
      <c r="DO1429" s="1530"/>
      <c r="DP1429" s="1530"/>
    </row>
    <row r="1430" spans="1:120">
      <c r="A1430" s="1451"/>
      <c r="C1430" s="1451"/>
      <c r="K1430" s="1451"/>
      <c r="L1430" s="1451"/>
      <c r="U1430" s="1451"/>
      <c r="AD1430" s="1451"/>
      <c r="AM1430" s="1451"/>
      <c r="AV1430" s="1451"/>
      <c r="BE1430" s="1451"/>
      <c r="BN1430" s="1451"/>
      <c r="BV1430" s="1451"/>
      <c r="BW1430" s="1451"/>
      <c r="CF1430" s="1451"/>
      <c r="CN1430" s="1451"/>
      <c r="CO1430" s="1530"/>
      <c r="CP1430" s="1530"/>
      <c r="CQ1430" s="1530"/>
      <c r="CR1430" s="1530"/>
      <c r="CS1430" s="1530"/>
      <c r="CT1430" s="1530"/>
      <c r="CU1430" s="1530"/>
      <c r="CV1430" s="1530"/>
      <c r="CW1430" s="1530"/>
      <c r="CX1430" s="1530"/>
      <c r="CY1430" s="1530"/>
      <c r="CZ1430" s="1530"/>
      <c r="DA1430" s="1530"/>
      <c r="DB1430" s="1530"/>
      <c r="DC1430" s="1530"/>
      <c r="DD1430" s="1530"/>
      <c r="DE1430" s="1530"/>
      <c r="DF1430" s="1530"/>
      <c r="DG1430" s="1530"/>
      <c r="DH1430" s="1530"/>
      <c r="DI1430" s="1530"/>
      <c r="DJ1430" s="1530"/>
      <c r="DK1430" s="1530"/>
      <c r="DL1430" s="1530"/>
      <c r="DM1430" s="1530"/>
      <c r="DN1430" s="1571"/>
      <c r="DO1430" s="1530"/>
      <c r="DP1430" s="1530"/>
    </row>
    <row r="1431" spans="1:120">
      <c r="A1431" s="1451"/>
      <c r="C1431" s="1451"/>
      <c r="K1431" s="1451"/>
      <c r="L1431" s="1451"/>
      <c r="U1431" s="1451"/>
      <c r="AD1431" s="1451"/>
      <c r="AM1431" s="1451"/>
      <c r="AV1431" s="1451"/>
      <c r="BE1431" s="1451"/>
      <c r="BN1431" s="1451"/>
      <c r="BV1431" s="1451"/>
      <c r="BW1431" s="1451"/>
      <c r="CF1431" s="1451"/>
      <c r="CN1431" s="1451"/>
      <c r="CO1431" s="1530"/>
      <c r="CP1431" s="1530"/>
      <c r="CQ1431" s="1530"/>
      <c r="CR1431" s="1530"/>
      <c r="CS1431" s="1530"/>
      <c r="CT1431" s="1530"/>
      <c r="CU1431" s="1530"/>
      <c r="CV1431" s="1530"/>
      <c r="CW1431" s="1530"/>
      <c r="CX1431" s="1530"/>
      <c r="CY1431" s="1530"/>
      <c r="CZ1431" s="1530"/>
      <c r="DA1431" s="1530"/>
      <c r="DB1431" s="1530"/>
      <c r="DC1431" s="1530"/>
      <c r="DD1431" s="1530"/>
      <c r="DE1431" s="1530"/>
      <c r="DF1431" s="1530"/>
      <c r="DG1431" s="1530"/>
      <c r="DH1431" s="1530"/>
      <c r="DI1431" s="1530"/>
      <c r="DJ1431" s="1530"/>
      <c r="DK1431" s="1530"/>
      <c r="DL1431" s="1530"/>
      <c r="DM1431" s="1530"/>
      <c r="DN1431" s="1571"/>
      <c r="DO1431" s="1530"/>
      <c r="DP1431" s="1530"/>
    </row>
    <row r="1432" spans="1:120">
      <c r="A1432" s="1451"/>
      <c r="C1432" s="1451"/>
      <c r="K1432" s="1451"/>
      <c r="L1432" s="1451"/>
      <c r="U1432" s="1451"/>
      <c r="AD1432" s="1451"/>
      <c r="AM1432" s="1451"/>
      <c r="AV1432" s="1451"/>
      <c r="BE1432" s="1451"/>
      <c r="BN1432" s="1451"/>
      <c r="BV1432" s="1451"/>
      <c r="BW1432" s="1451"/>
      <c r="CF1432" s="1451"/>
      <c r="CN1432" s="1451"/>
      <c r="CO1432" s="1530"/>
      <c r="CP1432" s="1530"/>
      <c r="CQ1432" s="1530"/>
      <c r="CR1432" s="1530"/>
      <c r="CS1432" s="1530"/>
      <c r="CT1432" s="1530"/>
      <c r="CU1432" s="1530"/>
      <c r="CV1432" s="1530"/>
      <c r="CW1432" s="1530"/>
      <c r="CX1432" s="1530"/>
      <c r="CY1432" s="1530"/>
      <c r="CZ1432" s="1530"/>
      <c r="DA1432" s="1530"/>
      <c r="DB1432" s="1530"/>
      <c r="DC1432" s="1530"/>
      <c r="DD1432" s="1530"/>
      <c r="DE1432" s="1530"/>
      <c r="DF1432" s="1530"/>
      <c r="DG1432" s="1530"/>
      <c r="DH1432" s="1530"/>
      <c r="DI1432" s="1530"/>
      <c r="DJ1432" s="1530"/>
      <c r="DK1432" s="1530"/>
      <c r="DL1432" s="1530"/>
      <c r="DM1432" s="1530"/>
      <c r="DN1432" s="1571"/>
      <c r="DO1432" s="1530"/>
      <c r="DP1432" s="1530"/>
    </row>
    <row r="1433" spans="1:120">
      <c r="A1433" s="1451"/>
      <c r="C1433" s="1451"/>
      <c r="K1433" s="1451"/>
      <c r="L1433" s="1451"/>
      <c r="U1433" s="1451"/>
      <c r="AD1433" s="1451"/>
      <c r="AM1433" s="1451"/>
      <c r="AV1433" s="1451"/>
      <c r="BE1433" s="1451"/>
      <c r="BN1433" s="1451"/>
      <c r="BV1433" s="1451"/>
      <c r="BW1433" s="1451"/>
      <c r="CF1433" s="1451"/>
      <c r="CN1433" s="1451"/>
      <c r="CO1433" s="1530"/>
      <c r="CP1433" s="1530"/>
      <c r="CQ1433" s="1530"/>
      <c r="CR1433" s="1530"/>
      <c r="CS1433" s="1530"/>
      <c r="CT1433" s="1530"/>
      <c r="CU1433" s="1530"/>
      <c r="CV1433" s="1530"/>
      <c r="CW1433" s="1530"/>
      <c r="CX1433" s="1530"/>
      <c r="CY1433" s="1530"/>
      <c r="CZ1433" s="1530"/>
      <c r="DA1433" s="1530"/>
      <c r="DB1433" s="1530"/>
      <c r="DC1433" s="1530"/>
      <c r="DD1433" s="1530"/>
      <c r="DE1433" s="1530"/>
      <c r="DF1433" s="1530"/>
      <c r="DG1433" s="1530"/>
      <c r="DH1433" s="1530"/>
      <c r="DI1433" s="1530"/>
      <c r="DJ1433" s="1530"/>
      <c r="DK1433" s="1530"/>
      <c r="DL1433" s="1530"/>
      <c r="DM1433" s="1530"/>
      <c r="DN1433" s="1571"/>
      <c r="DO1433" s="1530"/>
      <c r="DP1433" s="1530"/>
    </row>
    <row r="1434" spans="1:120">
      <c r="A1434" s="1451"/>
      <c r="C1434" s="1451"/>
      <c r="K1434" s="1451"/>
      <c r="L1434" s="1451"/>
      <c r="U1434" s="1451"/>
      <c r="AD1434" s="1451"/>
      <c r="AM1434" s="1451"/>
      <c r="AV1434" s="1451"/>
      <c r="BE1434" s="1451"/>
      <c r="BN1434" s="1451"/>
      <c r="BV1434" s="1451"/>
      <c r="BW1434" s="1451"/>
      <c r="CF1434" s="1451"/>
      <c r="CN1434" s="1451"/>
      <c r="CO1434" s="1530"/>
      <c r="CP1434" s="1530"/>
      <c r="CQ1434" s="1530"/>
      <c r="CR1434" s="1530"/>
      <c r="CS1434" s="1530"/>
      <c r="CT1434" s="1530"/>
      <c r="CU1434" s="1530"/>
      <c r="CV1434" s="1530"/>
      <c r="CW1434" s="1530"/>
      <c r="CX1434" s="1530"/>
      <c r="CY1434" s="1530"/>
      <c r="CZ1434" s="1530"/>
      <c r="DA1434" s="1530"/>
      <c r="DB1434" s="1530"/>
      <c r="DC1434" s="1530"/>
      <c r="DD1434" s="1530"/>
      <c r="DE1434" s="1530"/>
      <c r="DF1434" s="1530"/>
      <c r="DG1434" s="1530"/>
      <c r="DH1434" s="1530"/>
      <c r="DI1434" s="1530"/>
      <c r="DJ1434" s="1530"/>
      <c r="DK1434" s="1530"/>
      <c r="DL1434" s="1530"/>
      <c r="DM1434" s="1530"/>
      <c r="DN1434" s="1571"/>
      <c r="DO1434" s="1530"/>
      <c r="DP1434" s="1530"/>
    </row>
    <row r="1435" spans="1:120">
      <c r="A1435" s="1451"/>
      <c r="C1435" s="1451"/>
      <c r="K1435" s="1451"/>
      <c r="L1435" s="1451"/>
      <c r="U1435" s="1451"/>
      <c r="AD1435" s="1451"/>
      <c r="AM1435" s="1451"/>
      <c r="AV1435" s="1451"/>
      <c r="BE1435" s="1451"/>
      <c r="BN1435" s="1451"/>
      <c r="BV1435" s="1451"/>
      <c r="BW1435" s="1451"/>
      <c r="CF1435" s="1451"/>
      <c r="CN1435" s="1451"/>
      <c r="CO1435" s="1530"/>
      <c r="CP1435" s="1530"/>
      <c r="CQ1435" s="1530"/>
      <c r="CR1435" s="1530"/>
      <c r="CS1435" s="1530"/>
      <c r="CT1435" s="1530"/>
      <c r="CU1435" s="1530"/>
      <c r="CV1435" s="1530"/>
      <c r="CW1435" s="1530"/>
      <c r="CX1435" s="1530"/>
      <c r="CY1435" s="1530"/>
      <c r="CZ1435" s="1530"/>
      <c r="DA1435" s="1530"/>
      <c r="DB1435" s="1530"/>
      <c r="DC1435" s="1530"/>
      <c r="DD1435" s="1530"/>
      <c r="DE1435" s="1530"/>
      <c r="DF1435" s="1530"/>
      <c r="DG1435" s="1530"/>
      <c r="DH1435" s="1530"/>
      <c r="DI1435" s="1530"/>
      <c r="DJ1435" s="1530"/>
      <c r="DK1435" s="1530"/>
      <c r="DL1435" s="1530"/>
      <c r="DM1435" s="1530"/>
      <c r="DN1435" s="1571"/>
      <c r="DO1435" s="1530"/>
      <c r="DP1435" s="1530"/>
    </row>
    <row r="1436" spans="1:120">
      <c r="A1436" s="1451"/>
      <c r="C1436" s="1451"/>
      <c r="K1436" s="1451"/>
      <c r="L1436" s="1451"/>
      <c r="U1436" s="1451"/>
      <c r="AD1436" s="1451"/>
      <c r="AM1436" s="1451"/>
      <c r="AV1436" s="1451"/>
      <c r="BE1436" s="1451"/>
      <c r="BN1436" s="1451"/>
      <c r="BV1436" s="1451"/>
      <c r="BW1436" s="1451"/>
      <c r="CF1436" s="1451"/>
      <c r="CN1436" s="1451"/>
      <c r="CO1436" s="1530"/>
      <c r="CP1436" s="1530"/>
      <c r="CQ1436" s="1530"/>
      <c r="CR1436" s="1530"/>
      <c r="CS1436" s="1530"/>
      <c r="CT1436" s="1530"/>
      <c r="CU1436" s="1530"/>
      <c r="CV1436" s="1530"/>
      <c r="CW1436" s="1530"/>
      <c r="CX1436" s="1530"/>
      <c r="CY1436" s="1530"/>
      <c r="CZ1436" s="1530"/>
      <c r="DA1436" s="1530"/>
      <c r="DB1436" s="1530"/>
      <c r="DC1436" s="1530"/>
      <c r="DD1436" s="1530"/>
      <c r="DE1436" s="1530"/>
      <c r="DF1436" s="1530"/>
      <c r="DG1436" s="1530"/>
      <c r="DH1436" s="1530"/>
      <c r="DI1436" s="1530"/>
      <c r="DJ1436" s="1530"/>
      <c r="DK1436" s="1530"/>
      <c r="DL1436" s="1530"/>
      <c r="DM1436" s="1530"/>
      <c r="DN1436" s="1571"/>
      <c r="DO1436" s="1530"/>
      <c r="DP1436" s="1530"/>
    </row>
    <row r="1437" spans="1:120">
      <c r="A1437" s="1451"/>
      <c r="C1437" s="1451"/>
      <c r="K1437" s="1451"/>
      <c r="L1437" s="1451"/>
      <c r="U1437" s="1451"/>
      <c r="AD1437" s="1451"/>
      <c r="AM1437" s="1451"/>
      <c r="AV1437" s="1451"/>
      <c r="BE1437" s="1451"/>
      <c r="BN1437" s="1451"/>
      <c r="BV1437" s="1451"/>
      <c r="BW1437" s="1451"/>
      <c r="CF1437" s="1451"/>
      <c r="CN1437" s="1451"/>
      <c r="CO1437" s="1530"/>
      <c r="CP1437" s="1530"/>
      <c r="CQ1437" s="1530"/>
      <c r="CR1437" s="1530"/>
      <c r="CS1437" s="1530"/>
      <c r="CT1437" s="1530"/>
      <c r="CU1437" s="1530"/>
      <c r="CV1437" s="1530"/>
      <c r="CW1437" s="1530"/>
      <c r="CX1437" s="1530"/>
      <c r="CY1437" s="1530"/>
      <c r="CZ1437" s="1530"/>
      <c r="DA1437" s="1530"/>
      <c r="DB1437" s="1530"/>
      <c r="DC1437" s="1530"/>
      <c r="DD1437" s="1530"/>
      <c r="DE1437" s="1530"/>
      <c r="DF1437" s="1530"/>
      <c r="DG1437" s="1530"/>
      <c r="DH1437" s="1530"/>
      <c r="DI1437" s="1530"/>
      <c r="DJ1437" s="1530"/>
      <c r="DK1437" s="1530"/>
      <c r="DL1437" s="1530"/>
      <c r="DM1437" s="1530"/>
      <c r="DN1437" s="1571"/>
      <c r="DO1437" s="1530"/>
      <c r="DP1437" s="1530"/>
    </row>
    <row r="1438" spans="1:120">
      <c r="A1438" s="1451"/>
      <c r="C1438" s="1451"/>
      <c r="K1438" s="1451"/>
      <c r="L1438" s="1451"/>
      <c r="U1438" s="1451"/>
      <c r="AD1438" s="1451"/>
      <c r="AM1438" s="1451"/>
      <c r="AV1438" s="1451"/>
      <c r="BE1438" s="1451"/>
      <c r="BN1438" s="1451"/>
      <c r="BV1438" s="1451"/>
      <c r="BW1438" s="1451"/>
      <c r="CF1438" s="1451"/>
      <c r="CN1438" s="1451"/>
      <c r="CO1438" s="1530"/>
      <c r="CP1438" s="1530"/>
      <c r="CQ1438" s="1530"/>
      <c r="CR1438" s="1530"/>
      <c r="CS1438" s="1530"/>
      <c r="CT1438" s="1530"/>
      <c r="CU1438" s="1530"/>
      <c r="CV1438" s="1530"/>
      <c r="CW1438" s="1530"/>
      <c r="CX1438" s="1530"/>
      <c r="CY1438" s="1530"/>
      <c r="CZ1438" s="1530"/>
      <c r="DA1438" s="1530"/>
      <c r="DB1438" s="1530"/>
      <c r="DC1438" s="1530"/>
      <c r="DD1438" s="1530"/>
      <c r="DE1438" s="1530"/>
      <c r="DF1438" s="1530"/>
      <c r="DG1438" s="1530"/>
      <c r="DH1438" s="1530"/>
      <c r="DI1438" s="1530"/>
      <c r="DJ1438" s="1530"/>
      <c r="DK1438" s="1530"/>
      <c r="DL1438" s="1530"/>
      <c r="DM1438" s="1530"/>
      <c r="DN1438" s="1571"/>
      <c r="DO1438" s="1530"/>
      <c r="DP1438" s="1530"/>
    </row>
    <row r="1439" spans="1:120">
      <c r="A1439" s="1451"/>
      <c r="C1439" s="1451"/>
      <c r="K1439" s="1451"/>
      <c r="L1439" s="1451"/>
      <c r="U1439" s="1451"/>
      <c r="AD1439" s="1451"/>
      <c r="AM1439" s="1451"/>
      <c r="AV1439" s="1451"/>
      <c r="BE1439" s="1451"/>
      <c r="BN1439" s="1451"/>
      <c r="BV1439" s="1451"/>
      <c r="BW1439" s="1451"/>
      <c r="CF1439" s="1451"/>
      <c r="CN1439" s="1451"/>
      <c r="CO1439" s="1530"/>
      <c r="CP1439" s="1530"/>
      <c r="CQ1439" s="1530"/>
      <c r="CR1439" s="1530"/>
      <c r="CS1439" s="1530"/>
      <c r="CT1439" s="1530"/>
      <c r="CU1439" s="1530"/>
      <c r="CV1439" s="1530"/>
      <c r="CW1439" s="1530"/>
      <c r="CX1439" s="1530"/>
      <c r="CY1439" s="1530"/>
      <c r="CZ1439" s="1530"/>
      <c r="DA1439" s="1530"/>
      <c r="DB1439" s="1530"/>
      <c r="DC1439" s="1530"/>
      <c r="DD1439" s="1530"/>
      <c r="DE1439" s="1530"/>
      <c r="DF1439" s="1530"/>
      <c r="DG1439" s="1530"/>
      <c r="DH1439" s="1530"/>
      <c r="DI1439" s="1530"/>
      <c r="DJ1439" s="1530"/>
      <c r="DK1439" s="1530"/>
      <c r="DL1439" s="1530"/>
      <c r="DM1439" s="1530"/>
      <c r="DN1439" s="1571"/>
      <c r="DO1439" s="1530"/>
      <c r="DP1439" s="1530"/>
    </row>
    <row r="1440" spans="1:120">
      <c r="A1440" s="1451"/>
      <c r="C1440" s="1451"/>
      <c r="K1440" s="1451"/>
      <c r="L1440" s="1451"/>
      <c r="U1440" s="1451"/>
      <c r="AD1440" s="1451"/>
      <c r="AM1440" s="1451"/>
      <c r="AV1440" s="1451"/>
      <c r="BE1440" s="1451"/>
      <c r="BN1440" s="1451"/>
      <c r="BV1440" s="1451"/>
      <c r="BW1440" s="1451"/>
      <c r="CF1440" s="1451"/>
      <c r="CN1440" s="1451"/>
      <c r="CO1440" s="1530"/>
      <c r="CP1440" s="1530"/>
      <c r="CQ1440" s="1530"/>
      <c r="CR1440" s="1530"/>
      <c r="CS1440" s="1530"/>
      <c r="CT1440" s="1530"/>
      <c r="CU1440" s="1530"/>
      <c r="CV1440" s="1530"/>
      <c r="CW1440" s="1530"/>
      <c r="CX1440" s="1530"/>
      <c r="CY1440" s="1530"/>
      <c r="CZ1440" s="1530"/>
      <c r="DA1440" s="1530"/>
      <c r="DB1440" s="1530"/>
      <c r="DC1440" s="1530"/>
      <c r="DD1440" s="1530"/>
      <c r="DE1440" s="1530"/>
      <c r="DF1440" s="1530"/>
      <c r="DG1440" s="1530"/>
      <c r="DH1440" s="1530"/>
      <c r="DI1440" s="1530"/>
      <c r="DJ1440" s="1530"/>
      <c r="DK1440" s="1530"/>
      <c r="DL1440" s="1530"/>
      <c r="DM1440" s="1530"/>
      <c r="DN1440" s="1571"/>
      <c r="DO1440" s="1530"/>
      <c r="DP1440" s="1530"/>
    </row>
    <row r="1441" spans="1:120">
      <c r="A1441" s="1451"/>
      <c r="C1441" s="1451"/>
      <c r="K1441" s="1451"/>
      <c r="L1441" s="1451"/>
      <c r="U1441" s="1451"/>
      <c r="AD1441" s="1451"/>
      <c r="AM1441" s="1451"/>
      <c r="AV1441" s="1451"/>
      <c r="BE1441" s="1451"/>
      <c r="BN1441" s="1451"/>
      <c r="BV1441" s="1451"/>
      <c r="BW1441" s="1451"/>
      <c r="CF1441" s="1451"/>
      <c r="CN1441" s="1451"/>
      <c r="CO1441" s="1530"/>
      <c r="CP1441" s="1530"/>
      <c r="CQ1441" s="1530"/>
      <c r="CR1441" s="1530"/>
      <c r="CS1441" s="1530"/>
      <c r="CT1441" s="1530"/>
      <c r="CU1441" s="1530"/>
      <c r="CV1441" s="1530"/>
      <c r="CW1441" s="1530"/>
      <c r="CX1441" s="1530"/>
      <c r="CY1441" s="1530"/>
      <c r="CZ1441" s="1530"/>
      <c r="DA1441" s="1530"/>
      <c r="DB1441" s="1530"/>
      <c r="DC1441" s="1530"/>
      <c r="DD1441" s="1530"/>
      <c r="DE1441" s="1530"/>
      <c r="DF1441" s="1530"/>
      <c r="DG1441" s="1530"/>
      <c r="DH1441" s="1530"/>
      <c r="DI1441" s="1530"/>
      <c r="DJ1441" s="1530"/>
      <c r="DK1441" s="1530"/>
      <c r="DL1441" s="1530"/>
      <c r="DM1441" s="1530"/>
      <c r="DN1441" s="1571"/>
      <c r="DO1441" s="1530"/>
      <c r="DP1441" s="1530"/>
    </row>
    <row r="1442" spans="1:120">
      <c r="A1442" s="1451"/>
      <c r="C1442" s="1451"/>
      <c r="K1442" s="1451"/>
      <c r="L1442" s="1451"/>
      <c r="U1442" s="1451"/>
      <c r="AD1442" s="1451"/>
      <c r="AM1442" s="1451"/>
      <c r="AV1442" s="1451"/>
      <c r="BE1442" s="1451"/>
      <c r="BN1442" s="1451"/>
      <c r="BV1442" s="1451"/>
      <c r="BW1442" s="1451"/>
      <c r="CF1442" s="1451"/>
      <c r="CN1442" s="1451"/>
      <c r="CO1442" s="1530"/>
      <c r="CP1442" s="1530"/>
      <c r="CQ1442" s="1530"/>
      <c r="CR1442" s="1530"/>
      <c r="CS1442" s="1530"/>
      <c r="CT1442" s="1530"/>
      <c r="CU1442" s="1530"/>
      <c r="CV1442" s="1530"/>
      <c r="CW1442" s="1530"/>
      <c r="CX1442" s="1530"/>
      <c r="CY1442" s="1530"/>
      <c r="CZ1442" s="1530"/>
      <c r="DA1442" s="1530"/>
      <c r="DB1442" s="1530"/>
      <c r="DC1442" s="1530"/>
      <c r="DD1442" s="1530"/>
      <c r="DE1442" s="1530"/>
      <c r="DF1442" s="1530"/>
      <c r="DG1442" s="1530"/>
      <c r="DH1442" s="1530"/>
      <c r="DI1442" s="1530"/>
      <c r="DJ1442" s="1530"/>
      <c r="DK1442" s="1530"/>
      <c r="DL1442" s="1530"/>
      <c r="DM1442" s="1530"/>
      <c r="DN1442" s="1571"/>
      <c r="DO1442" s="1530"/>
      <c r="DP1442" s="1530"/>
    </row>
    <row r="1443" spans="1:120">
      <c r="A1443" s="1451"/>
      <c r="C1443" s="1451"/>
      <c r="K1443" s="1451"/>
      <c r="L1443" s="1451"/>
      <c r="U1443" s="1451"/>
      <c r="AD1443" s="1451"/>
      <c r="AM1443" s="1451"/>
      <c r="AV1443" s="1451"/>
      <c r="BE1443" s="1451"/>
      <c r="BN1443" s="1451"/>
      <c r="BV1443" s="1451"/>
      <c r="BW1443" s="1451"/>
      <c r="CF1443" s="1451"/>
      <c r="CN1443" s="1451"/>
      <c r="CO1443" s="1530"/>
      <c r="CP1443" s="1530"/>
      <c r="CQ1443" s="1530"/>
      <c r="CR1443" s="1530"/>
      <c r="CS1443" s="1530"/>
      <c r="CT1443" s="1530"/>
      <c r="CU1443" s="1530"/>
      <c r="CV1443" s="1530"/>
      <c r="CW1443" s="1530"/>
      <c r="CX1443" s="1530"/>
      <c r="CY1443" s="1530"/>
      <c r="CZ1443" s="1530"/>
      <c r="DA1443" s="1530"/>
      <c r="DB1443" s="1530"/>
      <c r="DC1443" s="1530"/>
      <c r="DD1443" s="1530"/>
      <c r="DE1443" s="1530"/>
      <c r="DF1443" s="1530"/>
      <c r="DG1443" s="1530"/>
      <c r="DH1443" s="1530"/>
      <c r="DI1443" s="1530"/>
      <c r="DJ1443" s="1530"/>
      <c r="DK1443" s="1530"/>
      <c r="DL1443" s="1530"/>
      <c r="DM1443" s="1530"/>
      <c r="DN1443" s="1571"/>
      <c r="DO1443" s="1530"/>
      <c r="DP1443" s="1530"/>
    </row>
    <row r="1444" spans="1:120">
      <c r="A1444" s="1451"/>
      <c r="C1444" s="1451"/>
      <c r="K1444" s="1451"/>
      <c r="L1444" s="1451"/>
      <c r="U1444" s="1451"/>
      <c r="AD1444" s="1451"/>
      <c r="AM1444" s="1451"/>
      <c r="AV1444" s="1451"/>
      <c r="BE1444" s="1451"/>
      <c r="BN1444" s="1451"/>
      <c r="BV1444" s="1451"/>
      <c r="BW1444" s="1451"/>
      <c r="CF1444" s="1451"/>
      <c r="CN1444" s="1451"/>
      <c r="CO1444" s="1530"/>
      <c r="CP1444" s="1530"/>
      <c r="CQ1444" s="1530"/>
      <c r="CR1444" s="1530"/>
      <c r="CS1444" s="1530"/>
      <c r="CT1444" s="1530"/>
      <c r="CU1444" s="1530"/>
      <c r="CV1444" s="1530"/>
      <c r="CW1444" s="1530"/>
      <c r="CX1444" s="1530"/>
      <c r="CY1444" s="1530"/>
      <c r="CZ1444" s="1530"/>
      <c r="DA1444" s="1530"/>
      <c r="DB1444" s="1530"/>
      <c r="DC1444" s="1530"/>
      <c r="DD1444" s="1530"/>
      <c r="DE1444" s="1530"/>
      <c r="DF1444" s="1530"/>
      <c r="DG1444" s="1530"/>
      <c r="DH1444" s="1530"/>
      <c r="DI1444" s="1530"/>
      <c r="DJ1444" s="1530"/>
      <c r="DK1444" s="1530"/>
      <c r="DL1444" s="1530"/>
      <c r="DM1444" s="1530"/>
      <c r="DN1444" s="1571"/>
      <c r="DO1444" s="1530"/>
      <c r="DP1444" s="1530"/>
    </row>
    <row r="1445" spans="1:120">
      <c r="A1445" s="1451"/>
      <c r="C1445" s="1451"/>
      <c r="K1445" s="1451"/>
      <c r="L1445" s="1451"/>
      <c r="U1445" s="1451"/>
      <c r="AD1445" s="1451"/>
      <c r="AM1445" s="1451"/>
      <c r="AV1445" s="1451"/>
      <c r="BE1445" s="1451"/>
      <c r="BN1445" s="1451"/>
      <c r="BV1445" s="1451"/>
      <c r="BW1445" s="1451"/>
      <c r="CF1445" s="1451"/>
      <c r="CN1445" s="1451"/>
      <c r="CO1445" s="1530"/>
      <c r="CP1445" s="1530"/>
      <c r="CQ1445" s="1530"/>
      <c r="CR1445" s="1530"/>
      <c r="CS1445" s="1530"/>
      <c r="CT1445" s="1530"/>
      <c r="CU1445" s="1530"/>
      <c r="CV1445" s="1530"/>
      <c r="CW1445" s="1530"/>
      <c r="CX1445" s="1530"/>
      <c r="CY1445" s="1530"/>
      <c r="CZ1445" s="1530"/>
      <c r="DA1445" s="1530"/>
      <c r="DB1445" s="1530"/>
      <c r="DC1445" s="1530"/>
      <c r="DD1445" s="1530"/>
      <c r="DE1445" s="1530"/>
      <c r="DF1445" s="1530"/>
      <c r="DG1445" s="1530"/>
      <c r="DH1445" s="1530"/>
      <c r="DI1445" s="1530"/>
      <c r="DJ1445" s="1530"/>
      <c r="DK1445" s="1530"/>
      <c r="DL1445" s="1530"/>
      <c r="DM1445" s="1530"/>
      <c r="DN1445" s="1571"/>
      <c r="DO1445" s="1530"/>
      <c r="DP1445" s="1530"/>
    </row>
    <row r="1446" spans="1:120">
      <c r="A1446" s="1451"/>
      <c r="C1446" s="1451"/>
      <c r="K1446" s="1451"/>
      <c r="L1446" s="1451"/>
      <c r="U1446" s="1451"/>
      <c r="AD1446" s="1451"/>
      <c r="AM1446" s="1451"/>
      <c r="AV1446" s="1451"/>
      <c r="BE1446" s="1451"/>
      <c r="BN1446" s="1451"/>
      <c r="BV1446" s="1451"/>
      <c r="BW1446" s="1451"/>
      <c r="CF1446" s="1451"/>
      <c r="CN1446" s="1451"/>
      <c r="CO1446" s="1530"/>
      <c r="CP1446" s="1530"/>
      <c r="CQ1446" s="1530"/>
      <c r="CR1446" s="1530"/>
      <c r="CS1446" s="1530"/>
      <c r="CT1446" s="1530"/>
      <c r="CU1446" s="1530"/>
      <c r="CV1446" s="1530"/>
      <c r="CW1446" s="1530"/>
      <c r="CX1446" s="1530"/>
      <c r="CY1446" s="1530"/>
      <c r="CZ1446" s="1530"/>
      <c r="DA1446" s="1530"/>
      <c r="DB1446" s="1530"/>
      <c r="DC1446" s="1530"/>
      <c r="DD1446" s="1530"/>
      <c r="DE1446" s="1530"/>
      <c r="DF1446" s="1530"/>
      <c r="DG1446" s="1530"/>
      <c r="DH1446" s="1530"/>
      <c r="DI1446" s="1530"/>
      <c r="DJ1446" s="1530"/>
      <c r="DK1446" s="1530"/>
      <c r="DL1446" s="1530"/>
      <c r="DM1446" s="1530"/>
      <c r="DN1446" s="1571"/>
      <c r="DO1446" s="1530"/>
      <c r="DP1446" s="1530"/>
    </row>
    <row r="1447" spans="1:120">
      <c r="A1447" s="1451"/>
      <c r="C1447" s="1451"/>
      <c r="K1447" s="1451"/>
      <c r="L1447" s="1451"/>
      <c r="U1447" s="1451"/>
      <c r="AD1447" s="1451"/>
      <c r="AM1447" s="1451"/>
      <c r="AV1447" s="1451"/>
      <c r="BE1447" s="1451"/>
      <c r="BN1447" s="1451"/>
      <c r="BV1447" s="1451"/>
      <c r="BW1447" s="1451"/>
      <c r="CF1447" s="1451"/>
      <c r="CN1447" s="1451"/>
      <c r="CO1447" s="1530"/>
      <c r="CP1447" s="1530"/>
      <c r="CQ1447" s="1530"/>
      <c r="CR1447" s="1530"/>
      <c r="CS1447" s="1530"/>
      <c r="CT1447" s="1530"/>
      <c r="CU1447" s="1530"/>
      <c r="CV1447" s="1530"/>
      <c r="CW1447" s="1530"/>
      <c r="CX1447" s="1530"/>
      <c r="CY1447" s="1530"/>
      <c r="CZ1447" s="1530"/>
      <c r="DA1447" s="1530"/>
      <c r="DB1447" s="1530"/>
      <c r="DC1447" s="1530"/>
      <c r="DD1447" s="1530"/>
      <c r="DE1447" s="1530"/>
      <c r="DF1447" s="1530"/>
      <c r="DG1447" s="1530"/>
      <c r="DH1447" s="1530"/>
      <c r="DI1447" s="1530"/>
      <c r="DJ1447" s="1530"/>
      <c r="DK1447" s="1530"/>
      <c r="DL1447" s="1530"/>
      <c r="DM1447" s="1530"/>
      <c r="DN1447" s="1571"/>
      <c r="DO1447" s="1530"/>
      <c r="DP1447" s="1530"/>
    </row>
    <row r="1448" spans="1:120">
      <c r="A1448" s="1451"/>
      <c r="C1448" s="1451"/>
      <c r="K1448" s="1451"/>
      <c r="L1448" s="1451"/>
      <c r="U1448" s="1451"/>
      <c r="AD1448" s="1451"/>
      <c r="AM1448" s="1451"/>
      <c r="AV1448" s="1451"/>
      <c r="BE1448" s="1451"/>
      <c r="BN1448" s="1451"/>
      <c r="BV1448" s="1451"/>
      <c r="BW1448" s="1451"/>
      <c r="CF1448" s="1451"/>
      <c r="CN1448" s="1451"/>
      <c r="CO1448" s="1530"/>
      <c r="CP1448" s="1530"/>
      <c r="CQ1448" s="1530"/>
      <c r="CR1448" s="1530"/>
      <c r="CS1448" s="1530"/>
      <c r="CT1448" s="1530"/>
      <c r="CU1448" s="1530"/>
      <c r="CV1448" s="1530"/>
      <c r="CW1448" s="1530"/>
      <c r="CX1448" s="1530"/>
      <c r="CY1448" s="1530"/>
      <c r="CZ1448" s="1530"/>
      <c r="DA1448" s="1530"/>
      <c r="DB1448" s="1530"/>
      <c r="DC1448" s="1530"/>
      <c r="DD1448" s="1530"/>
      <c r="DE1448" s="1530"/>
      <c r="DF1448" s="1530"/>
      <c r="DG1448" s="1530"/>
      <c r="DH1448" s="1530"/>
      <c r="DI1448" s="1530"/>
      <c r="DJ1448" s="1530"/>
      <c r="DK1448" s="1530"/>
      <c r="DL1448" s="1530"/>
      <c r="DM1448" s="1530"/>
      <c r="DN1448" s="1571"/>
      <c r="DO1448" s="1530"/>
      <c r="DP1448" s="1530"/>
    </row>
    <row r="1449" spans="1:120">
      <c r="A1449" s="1451"/>
      <c r="C1449" s="1451"/>
      <c r="K1449" s="1451"/>
      <c r="L1449" s="1451"/>
      <c r="U1449" s="1451"/>
      <c r="AD1449" s="1451"/>
      <c r="AM1449" s="1451"/>
      <c r="AV1449" s="1451"/>
      <c r="BE1449" s="1451"/>
      <c r="BN1449" s="1451"/>
      <c r="BV1449" s="1451"/>
      <c r="BW1449" s="1451"/>
      <c r="CF1449" s="1451"/>
      <c r="CN1449" s="1451"/>
      <c r="CO1449" s="1530"/>
      <c r="CP1449" s="1530"/>
      <c r="CQ1449" s="1530"/>
      <c r="CR1449" s="1530"/>
      <c r="CS1449" s="1530"/>
      <c r="CT1449" s="1530"/>
      <c r="CU1449" s="1530"/>
      <c r="CV1449" s="1530"/>
      <c r="CW1449" s="1530"/>
      <c r="CX1449" s="1530"/>
      <c r="CY1449" s="1530"/>
      <c r="CZ1449" s="1530"/>
      <c r="DA1449" s="1530"/>
      <c r="DB1449" s="1530"/>
      <c r="DC1449" s="1530"/>
      <c r="DD1449" s="1530"/>
      <c r="DE1449" s="1530"/>
      <c r="DF1449" s="1530"/>
      <c r="DG1449" s="1530"/>
      <c r="DH1449" s="1530"/>
      <c r="DI1449" s="1530"/>
      <c r="DJ1449" s="1530"/>
      <c r="DK1449" s="1530"/>
      <c r="DL1449" s="1530"/>
      <c r="DM1449" s="1530"/>
      <c r="DN1449" s="1571"/>
      <c r="DO1449" s="1530"/>
      <c r="DP1449" s="1530"/>
    </row>
    <row r="1450" spans="1:120">
      <c r="A1450" s="1451"/>
      <c r="C1450" s="1451"/>
      <c r="K1450" s="1451"/>
      <c r="L1450" s="1451"/>
      <c r="U1450" s="1451"/>
      <c r="AD1450" s="1451"/>
      <c r="AM1450" s="1451"/>
      <c r="AV1450" s="1451"/>
      <c r="BE1450" s="1451"/>
      <c r="BN1450" s="1451"/>
      <c r="BV1450" s="1451"/>
      <c r="BW1450" s="1451"/>
      <c r="CF1450" s="1451"/>
      <c r="CN1450" s="1451"/>
      <c r="CO1450" s="1530"/>
      <c r="CP1450" s="1530"/>
      <c r="CQ1450" s="1530"/>
      <c r="CR1450" s="1530"/>
      <c r="CS1450" s="1530"/>
      <c r="CT1450" s="1530"/>
      <c r="CU1450" s="1530"/>
      <c r="CV1450" s="1530"/>
      <c r="CW1450" s="1530"/>
      <c r="CX1450" s="1530"/>
      <c r="CY1450" s="1530"/>
      <c r="CZ1450" s="1530"/>
      <c r="DA1450" s="1530"/>
      <c r="DB1450" s="1530"/>
      <c r="DC1450" s="1530"/>
      <c r="DD1450" s="1530"/>
      <c r="DE1450" s="1530"/>
      <c r="DF1450" s="1530"/>
      <c r="DG1450" s="1530"/>
      <c r="DH1450" s="1530"/>
      <c r="DI1450" s="1530"/>
      <c r="DJ1450" s="1530"/>
      <c r="DK1450" s="1530"/>
      <c r="DL1450" s="1530"/>
      <c r="DM1450" s="1530"/>
      <c r="DN1450" s="1571"/>
      <c r="DO1450" s="1530"/>
      <c r="DP1450" s="1530"/>
    </row>
    <row r="1451" spans="1:120">
      <c r="A1451" s="1451"/>
      <c r="C1451" s="1451"/>
      <c r="K1451" s="1451"/>
      <c r="L1451" s="1451"/>
      <c r="U1451" s="1451"/>
      <c r="AD1451" s="1451"/>
      <c r="AM1451" s="1451"/>
      <c r="AV1451" s="1451"/>
      <c r="BE1451" s="1451"/>
      <c r="BN1451" s="1451"/>
      <c r="BV1451" s="1451"/>
      <c r="BW1451" s="1451"/>
      <c r="CF1451" s="1451"/>
      <c r="CN1451" s="1451"/>
      <c r="CO1451" s="1530"/>
      <c r="CP1451" s="1530"/>
      <c r="CQ1451" s="1530"/>
      <c r="CR1451" s="1530"/>
      <c r="CS1451" s="1530"/>
      <c r="CT1451" s="1530"/>
      <c r="CU1451" s="1530"/>
      <c r="CV1451" s="1530"/>
      <c r="CW1451" s="1530"/>
      <c r="CX1451" s="1530"/>
      <c r="CY1451" s="1530"/>
      <c r="CZ1451" s="1530"/>
      <c r="DA1451" s="1530"/>
      <c r="DB1451" s="1530"/>
      <c r="DC1451" s="1530"/>
      <c r="DD1451" s="1530"/>
      <c r="DE1451" s="1530"/>
      <c r="DF1451" s="1530"/>
      <c r="DG1451" s="1530"/>
      <c r="DH1451" s="1530"/>
      <c r="DI1451" s="1530"/>
      <c r="DJ1451" s="1530"/>
      <c r="DK1451" s="1530"/>
      <c r="DL1451" s="1530"/>
      <c r="DM1451" s="1530"/>
      <c r="DN1451" s="1571"/>
      <c r="DO1451" s="1530"/>
      <c r="DP1451" s="1530"/>
    </row>
    <row r="1452" spans="1:120">
      <c r="A1452" s="1451"/>
      <c r="C1452" s="1451"/>
      <c r="K1452" s="1451"/>
      <c r="L1452" s="1451"/>
      <c r="U1452" s="1451"/>
      <c r="AD1452" s="1451"/>
      <c r="AM1452" s="1451"/>
      <c r="AV1452" s="1451"/>
      <c r="BE1452" s="1451"/>
      <c r="BN1452" s="1451"/>
      <c r="BV1452" s="1451"/>
      <c r="BW1452" s="1451"/>
      <c r="CF1452" s="1451"/>
      <c r="CN1452" s="1451"/>
      <c r="CO1452" s="1530"/>
      <c r="CP1452" s="1530"/>
      <c r="CQ1452" s="1530"/>
      <c r="CR1452" s="1530"/>
      <c r="CS1452" s="1530"/>
      <c r="CT1452" s="1530"/>
      <c r="CU1452" s="1530"/>
      <c r="CV1452" s="1530"/>
      <c r="CW1452" s="1530"/>
      <c r="CX1452" s="1530"/>
      <c r="CY1452" s="1530"/>
      <c r="CZ1452" s="1530"/>
      <c r="DA1452" s="1530"/>
      <c r="DB1452" s="1530"/>
      <c r="DC1452" s="1530"/>
      <c r="DD1452" s="1530"/>
      <c r="DE1452" s="1530"/>
      <c r="DF1452" s="1530"/>
      <c r="DG1452" s="1530"/>
      <c r="DH1452" s="1530"/>
      <c r="DI1452" s="1530"/>
      <c r="DJ1452" s="1530"/>
      <c r="DK1452" s="1530"/>
      <c r="DL1452" s="1530"/>
      <c r="DM1452" s="1530"/>
      <c r="DN1452" s="1571"/>
      <c r="DO1452" s="1530"/>
      <c r="DP1452" s="1530"/>
    </row>
    <row r="1453" spans="1:120">
      <c r="A1453" s="1451"/>
      <c r="C1453" s="1451"/>
      <c r="K1453" s="1451"/>
      <c r="L1453" s="1451"/>
      <c r="U1453" s="1451"/>
      <c r="AD1453" s="1451"/>
      <c r="AM1453" s="1451"/>
      <c r="AV1453" s="1451"/>
      <c r="BE1453" s="1451"/>
      <c r="BN1453" s="1451"/>
      <c r="BV1453" s="1451"/>
      <c r="BW1453" s="1451"/>
      <c r="CF1453" s="1451"/>
      <c r="CN1453" s="1451"/>
      <c r="CO1453" s="1530"/>
      <c r="CP1453" s="1530"/>
      <c r="CQ1453" s="1530"/>
      <c r="CR1453" s="1530"/>
      <c r="CS1453" s="1530"/>
      <c r="CT1453" s="1530"/>
      <c r="CU1453" s="1530"/>
      <c r="CV1453" s="1530"/>
      <c r="CW1453" s="1530"/>
      <c r="CX1453" s="1530"/>
      <c r="CY1453" s="1530"/>
      <c r="CZ1453" s="1530"/>
      <c r="DA1453" s="1530"/>
      <c r="DB1453" s="1530"/>
      <c r="DC1453" s="1530"/>
      <c r="DD1453" s="1530"/>
      <c r="DE1453" s="1530"/>
      <c r="DF1453" s="1530"/>
      <c r="DG1453" s="1530"/>
      <c r="DH1453" s="1530"/>
      <c r="DI1453" s="1530"/>
      <c r="DJ1453" s="1530"/>
      <c r="DK1453" s="1530"/>
      <c r="DL1453" s="1530"/>
      <c r="DM1453" s="1530"/>
      <c r="DN1453" s="1571"/>
      <c r="DO1453" s="1530"/>
      <c r="DP1453" s="1530"/>
    </row>
    <row r="1454" spans="1:120">
      <c r="A1454" s="1451"/>
      <c r="C1454" s="1451"/>
      <c r="K1454" s="1451"/>
      <c r="L1454" s="1451"/>
      <c r="U1454" s="1451"/>
      <c r="AD1454" s="1451"/>
      <c r="AM1454" s="1451"/>
      <c r="AV1454" s="1451"/>
      <c r="BE1454" s="1451"/>
      <c r="BN1454" s="1451"/>
      <c r="BV1454" s="1451"/>
      <c r="BW1454" s="1451"/>
      <c r="CF1454" s="1451"/>
      <c r="CN1454" s="1451"/>
      <c r="CO1454" s="1530"/>
      <c r="CP1454" s="1530"/>
      <c r="CQ1454" s="1530"/>
      <c r="CR1454" s="1530"/>
      <c r="CS1454" s="1530"/>
      <c r="CT1454" s="1530"/>
      <c r="CU1454" s="1530"/>
      <c r="CV1454" s="1530"/>
      <c r="CW1454" s="1530"/>
      <c r="CX1454" s="1530"/>
      <c r="CY1454" s="1530"/>
      <c r="CZ1454" s="1530"/>
      <c r="DA1454" s="1530"/>
      <c r="DB1454" s="1530"/>
      <c r="DC1454" s="1530"/>
      <c r="DD1454" s="1530"/>
      <c r="DE1454" s="1530"/>
      <c r="DF1454" s="1530"/>
      <c r="DG1454" s="1530"/>
      <c r="DH1454" s="1530"/>
      <c r="DI1454" s="1530"/>
      <c r="DJ1454" s="1530"/>
      <c r="DK1454" s="1530"/>
      <c r="DL1454" s="1530"/>
      <c r="DM1454" s="1530"/>
      <c r="DN1454" s="1571"/>
      <c r="DO1454" s="1530"/>
      <c r="DP1454" s="1530"/>
    </row>
    <row r="1455" spans="1:120">
      <c r="A1455" s="1451"/>
      <c r="C1455" s="1451"/>
      <c r="K1455" s="1451"/>
      <c r="L1455" s="1451"/>
      <c r="U1455" s="1451"/>
      <c r="AD1455" s="1451"/>
      <c r="AM1455" s="1451"/>
      <c r="AV1455" s="1451"/>
      <c r="BE1455" s="1451"/>
      <c r="BN1455" s="1451"/>
      <c r="BV1455" s="1451"/>
      <c r="BW1455" s="1451"/>
      <c r="CF1455" s="1451"/>
      <c r="CN1455" s="1451"/>
      <c r="CO1455" s="1530"/>
      <c r="CP1455" s="1530"/>
      <c r="CQ1455" s="1530"/>
      <c r="CR1455" s="1530"/>
      <c r="CS1455" s="1530"/>
      <c r="CT1455" s="1530"/>
      <c r="CU1455" s="1530"/>
      <c r="CV1455" s="1530"/>
      <c r="CW1455" s="1530"/>
      <c r="CX1455" s="1530"/>
      <c r="CY1455" s="1530"/>
      <c r="CZ1455" s="1530"/>
      <c r="DA1455" s="1530"/>
      <c r="DB1455" s="1530"/>
      <c r="DC1455" s="1530"/>
      <c r="DD1455" s="1530"/>
      <c r="DE1455" s="1530"/>
      <c r="DF1455" s="1530"/>
      <c r="DG1455" s="1530"/>
      <c r="DH1455" s="1530"/>
      <c r="DI1455" s="1530"/>
      <c r="DJ1455" s="1530"/>
      <c r="DK1455" s="1530"/>
      <c r="DL1455" s="1530"/>
      <c r="DM1455" s="1530"/>
      <c r="DN1455" s="1571"/>
      <c r="DO1455" s="1530"/>
      <c r="DP1455" s="1530"/>
    </row>
    <row r="1456" spans="1:120">
      <c r="A1456" s="1451"/>
      <c r="C1456" s="1451"/>
      <c r="K1456" s="1451"/>
      <c r="L1456" s="1451"/>
      <c r="U1456" s="1451"/>
      <c r="AD1456" s="1451"/>
      <c r="AM1456" s="1451"/>
      <c r="AV1456" s="1451"/>
      <c r="BE1456" s="1451"/>
      <c r="BN1456" s="1451"/>
      <c r="BV1456" s="1451"/>
      <c r="BW1456" s="1451"/>
      <c r="CF1456" s="1451"/>
      <c r="CN1456" s="1451"/>
      <c r="CO1456" s="1530"/>
      <c r="CP1456" s="1530"/>
      <c r="CQ1456" s="1530"/>
      <c r="CR1456" s="1530"/>
      <c r="CS1456" s="1530"/>
      <c r="CT1456" s="1530"/>
      <c r="CU1456" s="1530"/>
      <c r="CV1456" s="1530"/>
      <c r="CW1456" s="1530"/>
      <c r="CX1456" s="1530"/>
      <c r="CY1456" s="1530"/>
      <c r="CZ1456" s="1530"/>
      <c r="DA1456" s="1530"/>
      <c r="DB1456" s="1530"/>
      <c r="DC1456" s="1530"/>
      <c r="DD1456" s="1530"/>
      <c r="DE1456" s="1530"/>
      <c r="DF1456" s="1530"/>
      <c r="DG1456" s="1530"/>
      <c r="DH1456" s="1530"/>
      <c r="DI1456" s="1530"/>
      <c r="DJ1456" s="1530"/>
      <c r="DK1456" s="1530"/>
      <c r="DL1456" s="1530"/>
      <c r="DM1456" s="1530"/>
      <c r="DN1456" s="1571"/>
      <c r="DO1456" s="1530"/>
      <c r="DP1456" s="1530"/>
    </row>
    <row r="1457" spans="1:120">
      <c r="A1457" s="1451"/>
      <c r="C1457" s="1451"/>
      <c r="K1457" s="1451"/>
      <c r="L1457" s="1451"/>
      <c r="U1457" s="1451"/>
      <c r="AD1457" s="1451"/>
      <c r="AM1457" s="1451"/>
      <c r="AV1457" s="1451"/>
      <c r="BE1457" s="1451"/>
      <c r="BN1457" s="1451"/>
      <c r="BV1457" s="1451"/>
      <c r="BW1457" s="1451"/>
      <c r="CF1457" s="1451"/>
      <c r="CN1457" s="1451"/>
      <c r="CO1457" s="1530"/>
      <c r="CP1457" s="1530"/>
      <c r="CQ1457" s="1530"/>
      <c r="CR1457" s="1530"/>
      <c r="CS1457" s="1530"/>
      <c r="CT1457" s="1530"/>
      <c r="CU1457" s="1530"/>
      <c r="CV1457" s="1530"/>
      <c r="CW1457" s="1530"/>
      <c r="CX1457" s="1530"/>
      <c r="CY1457" s="1530"/>
      <c r="CZ1457" s="1530"/>
      <c r="DA1457" s="1530"/>
      <c r="DB1457" s="1530"/>
      <c r="DC1457" s="1530"/>
      <c r="DD1457" s="1530"/>
      <c r="DE1457" s="1530"/>
      <c r="DF1457" s="1530"/>
      <c r="DG1457" s="1530"/>
      <c r="DH1457" s="1530"/>
      <c r="DI1457" s="1530"/>
      <c r="DJ1457" s="1530"/>
      <c r="DK1457" s="1530"/>
      <c r="DL1457" s="1530"/>
      <c r="DM1457" s="1530"/>
      <c r="DN1457" s="1571"/>
      <c r="DO1457" s="1530"/>
      <c r="DP1457" s="1530"/>
    </row>
    <row r="1458" spans="1:120">
      <c r="A1458" s="1451"/>
      <c r="C1458" s="1451"/>
      <c r="K1458" s="1451"/>
      <c r="L1458" s="1451"/>
      <c r="U1458" s="1451"/>
      <c r="AD1458" s="1451"/>
      <c r="AM1458" s="1451"/>
      <c r="AV1458" s="1451"/>
      <c r="BE1458" s="1451"/>
      <c r="BN1458" s="1451"/>
      <c r="BV1458" s="1451"/>
      <c r="BW1458" s="1451"/>
      <c r="CF1458" s="1451"/>
      <c r="CN1458" s="1451"/>
      <c r="CO1458" s="1530"/>
      <c r="CP1458" s="1530"/>
      <c r="CQ1458" s="1530"/>
      <c r="CR1458" s="1530"/>
      <c r="CS1458" s="1530"/>
      <c r="CT1458" s="1530"/>
      <c r="CU1458" s="1530"/>
      <c r="CV1458" s="1530"/>
      <c r="CW1458" s="1530"/>
      <c r="CX1458" s="1530"/>
      <c r="CY1458" s="1530"/>
      <c r="CZ1458" s="1530"/>
      <c r="DA1458" s="1530"/>
      <c r="DB1458" s="1530"/>
      <c r="DC1458" s="1530"/>
      <c r="DD1458" s="1530"/>
      <c r="DE1458" s="1530"/>
      <c r="DF1458" s="1530"/>
      <c r="DG1458" s="1530"/>
      <c r="DH1458" s="1530"/>
      <c r="DI1458" s="1530"/>
      <c r="DJ1458" s="1530"/>
      <c r="DK1458" s="1530"/>
      <c r="DL1458" s="1530"/>
      <c r="DM1458" s="1530"/>
      <c r="DN1458" s="1571"/>
      <c r="DO1458" s="1530"/>
      <c r="DP1458" s="1530"/>
    </row>
    <row r="1459" spans="1:120">
      <c r="A1459" s="1451"/>
      <c r="C1459" s="1451"/>
      <c r="K1459" s="1451"/>
      <c r="L1459" s="1451"/>
      <c r="U1459" s="1451"/>
      <c r="AD1459" s="1451"/>
      <c r="AM1459" s="1451"/>
      <c r="AV1459" s="1451"/>
      <c r="BE1459" s="1451"/>
      <c r="BN1459" s="1451"/>
      <c r="BV1459" s="1451"/>
      <c r="BW1459" s="1451"/>
      <c r="CF1459" s="1451"/>
      <c r="CN1459" s="1451"/>
      <c r="CO1459" s="1530"/>
      <c r="CP1459" s="1530"/>
      <c r="CQ1459" s="1530"/>
      <c r="CR1459" s="1530"/>
      <c r="CS1459" s="1530"/>
      <c r="CT1459" s="1530"/>
      <c r="CU1459" s="1530"/>
      <c r="CV1459" s="1530"/>
      <c r="CW1459" s="1530"/>
      <c r="CX1459" s="1530"/>
      <c r="CY1459" s="1530"/>
      <c r="CZ1459" s="1530"/>
      <c r="DA1459" s="1530"/>
      <c r="DB1459" s="1530"/>
      <c r="DC1459" s="1530"/>
      <c r="DD1459" s="1530"/>
      <c r="DE1459" s="1530"/>
      <c r="DF1459" s="1530"/>
      <c r="DG1459" s="1530"/>
      <c r="DH1459" s="1530"/>
      <c r="DI1459" s="1530"/>
      <c r="DJ1459" s="1530"/>
      <c r="DK1459" s="1530"/>
      <c r="DL1459" s="1530"/>
      <c r="DM1459" s="1530"/>
      <c r="DN1459" s="1571"/>
      <c r="DO1459" s="1530"/>
      <c r="DP1459" s="1530"/>
    </row>
    <row r="1460" spans="1:120">
      <c r="A1460" s="1451"/>
      <c r="C1460" s="1451"/>
      <c r="K1460" s="1451"/>
      <c r="L1460" s="1451"/>
      <c r="U1460" s="1451"/>
      <c r="AD1460" s="1451"/>
      <c r="AM1460" s="1451"/>
      <c r="AV1460" s="1451"/>
      <c r="BE1460" s="1451"/>
      <c r="BN1460" s="1451"/>
      <c r="BV1460" s="1451"/>
      <c r="BW1460" s="1451"/>
      <c r="CF1460" s="1451"/>
      <c r="CN1460" s="1451"/>
      <c r="CO1460" s="1530"/>
      <c r="CP1460" s="1530"/>
      <c r="CQ1460" s="1530"/>
      <c r="CR1460" s="1530"/>
      <c r="CS1460" s="1530"/>
      <c r="CT1460" s="1530"/>
      <c r="CU1460" s="1530"/>
      <c r="CV1460" s="1530"/>
      <c r="CW1460" s="1530"/>
      <c r="CX1460" s="1530"/>
      <c r="CY1460" s="1530"/>
      <c r="CZ1460" s="1530"/>
      <c r="DA1460" s="1530"/>
      <c r="DB1460" s="1530"/>
      <c r="DC1460" s="1530"/>
      <c r="DD1460" s="1530"/>
      <c r="DE1460" s="1530"/>
      <c r="DF1460" s="1530"/>
      <c r="DG1460" s="1530"/>
      <c r="DH1460" s="1530"/>
      <c r="DI1460" s="1530"/>
      <c r="DJ1460" s="1530"/>
      <c r="DK1460" s="1530"/>
      <c r="DL1460" s="1530"/>
      <c r="DM1460" s="1530"/>
      <c r="DN1460" s="1571"/>
      <c r="DO1460" s="1530"/>
      <c r="DP1460" s="1530"/>
    </row>
    <row r="1461" spans="1:120">
      <c r="A1461" s="1451"/>
      <c r="C1461" s="1451"/>
      <c r="K1461" s="1451"/>
      <c r="L1461" s="1451"/>
      <c r="U1461" s="1451"/>
      <c r="AD1461" s="1451"/>
      <c r="AM1461" s="1451"/>
      <c r="AV1461" s="1451"/>
      <c r="BE1461" s="1451"/>
      <c r="BN1461" s="1451"/>
      <c r="BV1461" s="1451"/>
      <c r="BW1461" s="1451"/>
      <c r="CF1461" s="1451"/>
      <c r="CN1461" s="1451"/>
      <c r="CO1461" s="1530"/>
      <c r="CP1461" s="1530"/>
      <c r="CQ1461" s="1530"/>
      <c r="CR1461" s="1530"/>
      <c r="CS1461" s="1530"/>
      <c r="CT1461" s="1530"/>
      <c r="CU1461" s="1530"/>
      <c r="CV1461" s="1530"/>
      <c r="CW1461" s="1530"/>
      <c r="CX1461" s="1530"/>
      <c r="CY1461" s="1530"/>
      <c r="CZ1461" s="1530"/>
      <c r="DA1461" s="1530"/>
      <c r="DB1461" s="1530"/>
      <c r="DC1461" s="1530"/>
      <c r="DD1461" s="1530"/>
      <c r="DE1461" s="1530"/>
      <c r="DF1461" s="1530"/>
      <c r="DG1461" s="1530"/>
      <c r="DH1461" s="1530"/>
      <c r="DI1461" s="1530"/>
      <c r="DJ1461" s="1530"/>
      <c r="DK1461" s="1530"/>
      <c r="DL1461" s="1530"/>
      <c r="DM1461" s="1530"/>
      <c r="DN1461" s="1571"/>
      <c r="DO1461" s="1530"/>
      <c r="DP1461" s="1530"/>
    </row>
    <row r="1462" spans="1:120">
      <c r="A1462" s="1451"/>
      <c r="C1462" s="1451"/>
      <c r="K1462" s="1451"/>
      <c r="L1462" s="1451"/>
      <c r="U1462" s="1451"/>
      <c r="AD1462" s="1451"/>
      <c r="AM1462" s="1451"/>
      <c r="AV1462" s="1451"/>
      <c r="BE1462" s="1451"/>
      <c r="BN1462" s="1451"/>
      <c r="BV1462" s="1451"/>
      <c r="BW1462" s="1451"/>
      <c r="CF1462" s="1451"/>
      <c r="CN1462" s="1451"/>
      <c r="CO1462" s="1530"/>
      <c r="CP1462" s="1530"/>
      <c r="CQ1462" s="1530"/>
      <c r="CR1462" s="1530"/>
      <c r="CS1462" s="1530"/>
      <c r="CT1462" s="1530"/>
      <c r="CU1462" s="1530"/>
      <c r="CV1462" s="1530"/>
      <c r="CW1462" s="1530"/>
      <c r="CX1462" s="1530"/>
      <c r="CY1462" s="1530"/>
      <c r="CZ1462" s="1530"/>
      <c r="DA1462" s="1530"/>
      <c r="DB1462" s="1530"/>
      <c r="DC1462" s="1530"/>
      <c r="DD1462" s="1530"/>
      <c r="DE1462" s="1530"/>
      <c r="DF1462" s="1530"/>
      <c r="DG1462" s="1530"/>
      <c r="DH1462" s="1530"/>
      <c r="DI1462" s="1530"/>
      <c r="DJ1462" s="1530"/>
      <c r="DK1462" s="1530"/>
      <c r="DL1462" s="1530"/>
      <c r="DM1462" s="1530"/>
      <c r="DN1462" s="1571"/>
      <c r="DO1462" s="1530"/>
      <c r="DP1462" s="1530"/>
    </row>
    <row r="1463" spans="1:120">
      <c r="A1463" s="1451"/>
      <c r="C1463" s="1451"/>
      <c r="K1463" s="1451"/>
      <c r="L1463" s="1451"/>
      <c r="U1463" s="1451"/>
      <c r="AD1463" s="1451"/>
      <c r="AM1463" s="1451"/>
      <c r="AV1463" s="1451"/>
      <c r="BE1463" s="1451"/>
      <c r="BN1463" s="1451"/>
      <c r="BV1463" s="1451"/>
      <c r="BW1463" s="1451"/>
      <c r="CF1463" s="1451"/>
      <c r="CN1463" s="1451"/>
      <c r="CO1463" s="1530"/>
      <c r="CP1463" s="1530"/>
      <c r="CQ1463" s="1530"/>
      <c r="CR1463" s="1530"/>
      <c r="CS1463" s="1530"/>
      <c r="CT1463" s="1530"/>
      <c r="CU1463" s="1530"/>
      <c r="CV1463" s="1530"/>
      <c r="CW1463" s="1530"/>
      <c r="CX1463" s="1530"/>
      <c r="CY1463" s="1530"/>
      <c r="CZ1463" s="1530"/>
      <c r="DA1463" s="1530"/>
      <c r="DB1463" s="1530"/>
      <c r="DC1463" s="1530"/>
      <c r="DD1463" s="1530"/>
      <c r="DE1463" s="1530"/>
      <c r="DF1463" s="1530"/>
      <c r="DG1463" s="1530"/>
      <c r="DH1463" s="1530"/>
      <c r="DI1463" s="1530"/>
      <c r="DJ1463" s="1530"/>
      <c r="DK1463" s="1530"/>
      <c r="DL1463" s="1530"/>
      <c r="DM1463" s="1530"/>
      <c r="DN1463" s="1571"/>
      <c r="DO1463" s="1530"/>
      <c r="DP1463" s="1530"/>
    </row>
    <row r="1464" spans="1:120">
      <c r="A1464" s="1451"/>
      <c r="C1464" s="1451"/>
      <c r="K1464" s="1451"/>
      <c r="L1464" s="1451"/>
      <c r="U1464" s="1451"/>
      <c r="AD1464" s="1451"/>
      <c r="AM1464" s="1451"/>
      <c r="AV1464" s="1451"/>
      <c r="BE1464" s="1451"/>
      <c r="BN1464" s="1451"/>
      <c r="BV1464" s="1451"/>
      <c r="BW1464" s="1451"/>
      <c r="CF1464" s="1451"/>
      <c r="CN1464" s="1451"/>
      <c r="CO1464" s="1530"/>
      <c r="CP1464" s="1530"/>
      <c r="CQ1464" s="1530"/>
      <c r="CR1464" s="1530"/>
      <c r="CS1464" s="1530"/>
      <c r="CT1464" s="1530"/>
      <c r="CU1464" s="1530"/>
      <c r="CV1464" s="1530"/>
      <c r="CW1464" s="1530"/>
      <c r="CX1464" s="1530"/>
      <c r="CY1464" s="1530"/>
      <c r="CZ1464" s="1530"/>
      <c r="DA1464" s="1530"/>
      <c r="DB1464" s="1530"/>
      <c r="DC1464" s="1530"/>
      <c r="DD1464" s="1530"/>
      <c r="DE1464" s="1530"/>
      <c r="DF1464" s="1530"/>
      <c r="DG1464" s="1530"/>
      <c r="DH1464" s="1530"/>
      <c r="DI1464" s="1530"/>
      <c r="DJ1464" s="1530"/>
      <c r="DK1464" s="1530"/>
      <c r="DL1464" s="1530"/>
      <c r="DM1464" s="1530"/>
      <c r="DN1464" s="1571"/>
      <c r="DO1464" s="1530"/>
      <c r="DP1464" s="1530"/>
    </row>
    <row r="1465" spans="1:120">
      <c r="A1465" s="1451"/>
      <c r="C1465" s="1451"/>
      <c r="K1465" s="1451"/>
      <c r="L1465" s="1451"/>
      <c r="U1465" s="1451"/>
      <c r="AD1465" s="1451"/>
      <c r="AM1465" s="1451"/>
      <c r="AV1465" s="1451"/>
      <c r="BE1465" s="1451"/>
      <c r="BN1465" s="1451"/>
      <c r="BV1465" s="1451"/>
      <c r="BW1465" s="1451"/>
      <c r="CF1465" s="1451"/>
      <c r="CN1465" s="1451"/>
      <c r="CO1465" s="1530"/>
      <c r="CP1465" s="1530"/>
      <c r="CQ1465" s="1530"/>
      <c r="CR1465" s="1530"/>
      <c r="CS1465" s="1530"/>
      <c r="CT1465" s="1530"/>
      <c r="CU1465" s="1530"/>
      <c r="CV1465" s="1530"/>
      <c r="CW1465" s="1530"/>
      <c r="CX1465" s="1530"/>
      <c r="CY1465" s="1530"/>
      <c r="CZ1465" s="1530"/>
      <c r="DA1465" s="1530"/>
      <c r="DB1465" s="1530"/>
      <c r="DC1465" s="1530"/>
      <c r="DD1465" s="1530"/>
      <c r="DE1465" s="1530"/>
      <c r="DF1465" s="1530"/>
      <c r="DG1465" s="1530"/>
      <c r="DH1465" s="1530"/>
      <c r="DI1465" s="1530"/>
      <c r="DJ1465" s="1530"/>
      <c r="DK1465" s="1530"/>
      <c r="DL1465" s="1530"/>
      <c r="DM1465" s="1530"/>
      <c r="DN1465" s="1571"/>
      <c r="DO1465" s="1530"/>
      <c r="DP1465" s="1530"/>
    </row>
    <row r="1466" spans="1:120">
      <c r="A1466" s="1451"/>
      <c r="C1466" s="1451"/>
      <c r="K1466" s="1451"/>
      <c r="L1466" s="1451"/>
      <c r="U1466" s="1451"/>
      <c r="AD1466" s="1451"/>
      <c r="AM1466" s="1451"/>
      <c r="AV1466" s="1451"/>
      <c r="BE1466" s="1451"/>
      <c r="BN1466" s="1451"/>
      <c r="BV1466" s="1451"/>
      <c r="BW1466" s="1451"/>
      <c r="CF1466" s="1451"/>
      <c r="CN1466" s="1451"/>
      <c r="CO1466" s="1530"/>
      <c r="CP1466" s="1530"/>
      <c r="CQ1466" s="1530"/>
      <c r="CR1466" s="1530"/>
      <c r="CS1466" s="1530"/>
      <c r="CT1466" s="1530"/>
      <c r="CU1466" s="1530"/>
      <c r="CV1466" s="1530"/>
      <c r="CW1466" s="1530"/>
      <c r="CX1466" s="1530"/>
      <c r="CY1466" s="1530"/>
      <c r="CZ1466" s="1530"/>
      <c r="DA1466" s="1530"/>
      <c r="DB1466" s="1530"/>
      <c r="DC1466" s="1530"/>
      <c r="DD1466" s="1530"/>
      <c r="DE1466" s="1530"/>
      <c r="DF1466" s="1530"/>
      <c r="DG1466" s="1530"/>
      <c r="DH1466" s="1530"/>
      <c r="DI1466" s="1530"/>
      <c r="DJ1466" s="1530"/>
      <c r="DK1466" s="1530"/>
      <c r="DL1466" s="1530"/>
      <c r="DM1466" s="1530"/>
      <c r="DN1466" s="1571"/>
      <c r="DO1466" s="1530"/>
      <c r="DP1466" s="1530"/>
    </row>
    <row r="1467" spans="1:120">
      <c r="A1467" s="1451"/>
      <c r="C1467" s="1451"/>
      <c r="K1467" s="1451"/>
      <c r="L1467" s="1451"/>
      <c r="U1467" s="1451"/>
      <c r="AD1467" s="1451"/>
      <c r="AM1467" s="1451"/>
      <c r="AV1467" s="1451"/>
      <c r="BE1467" s="1451"/>
      <c r="BN1467" s="1451"/>
      <c r="BV1467" s="1451"/>
      <c r="BW1467" s="1451"/>
      <c r="CF1467" s="1451"/>
      <c r="CN1467" s="1451"/>
      <c r="CO1467" s="1530"/>
      <c r="CP1467" s="1530"/>
      <c r="CQ1467" s="1530"/>
      <c r="CR1467" s="1530"/>
      <c r="CS1467" s="1530"/>
      <c r="CT1467" s="1530"/>
      <c r="CU1467" s="1530"/>
      <c r="CV1467" s="1530"/>
      <c r="CW1467" s="1530"/>
      <c r="CX1467" s="1530"/>
      <c r="CY1467" s="1530"/>
      <c r="CZ1467" s="1530"/>
      <c r="DA1467" s="1530"/>
      <c r="DB1467" s="1530"/>
      <c r="DC1467" s="1530"/>
      <c r="DD1467" s="1530"/>
      <c r="DE1467" s="1530"/>
      <c r="DF1467" s="1530"/>
      <c r="DG1467" s="1530"/>
      <c r="DH1467" s="1530"/>
      <c r="DI1467" s="1530"/>
      <c r="DJ1467" s="1530"/>
      <c r="DK1467" s="1530"/>
      <c r="DL1467" s="1530"/>
      <c r="DM1467" s="1530"/>
      <c r="DN1467" s="1571"/>
      <c r="DO1467" s="1530"/>
      <c r="DP1467" s="1530"/>
    </row>
    <row r="1468" spans="1:120">
      <c r="A1468" s="1451"/>
      <c r="C1468" s="1451"/>
      <c r="K1468" s="1451"/>
      <c r="L1468" s="1451"/>
      <c r="U1468" s="1451"/>
      <c r="AD1468" s="1451"/>
      <c r="AM1468" s="1451"/>
      <c r="AV1468" s="1451"/>
      <c r="BE1468" s="1451"/>
      <c r="BN1468" s="1451"/>
      <c r="BV1468" s="1451"/>
      <c r="BW1468" s="1451"/>
      <c r="CF1468" s="1451"/>
      <c r="CN1468" s="1451"/>
      <c r="CO1468" s="1530"/>
      <c r="CP1468" s="1530"/>
      <c r="CQ1468" s="1530"/>
      <c r="CR1468" s="1530"/>
      <c r="CS1468" s="1530"/>
      <c r="CT1468" s="1530"/>
      <c r="CU1468" s="1530"/>
      <c r="CV1468" s="1530"/>
      <c r="CW1468" s="1530"/>
      <c r="CX1468" s="1530"/>
      <c r="CY1468" s="1530"/>
      <c r="CZ1468" s="1530"/>
      <c r="DA1468" s="1530"/>
      <c r="DB1468" s="1530"/>
      <c r="DC1468" s="1530"/>
      <c r="DD1468" s="1530"/>
      <c r="DE1468" s="1530"/>
      <c r="DF1468" s="1530"/>
      <c r="DG1468" s="1530"/>
      <c r="DH1468" s="1530"/>
      <c r="DI1468" s="1530"/>
      <c r="DJ1468" s="1530"/>
      <c r="DK1468" s="1530"/>
      <c r="DL1468" s="1530"/>
      <c r="DM1468" s="1530"/>
      <c r="DN1468" s="1571"/>
      <c r="DO1468" s="1530"/>
      <c r="DP1468" s="1530"/>
    </row>
    <row r="1469" spans="1:120">
      <c r="A1469" s="1451"/>
      <c r="C1469" s="1451"/>
      <c r="K1469" s="1451"/>
      <c r="L1469" s="1451"/>
      <c r="U1469" s="1451"/>
      <c r="AD1469" s="1451"/>
      <c r="AM1469" s="1451"/>
      <c r="AV1469" s="1451"/>
      <c r="BE1469" s="1451"/>
      <c r="BN1469" s="1451"/>
      <c r="BV1469" s="1451"/>
      <c r="BW1469" s="1451"/>
      <c r="CF1469" s="1451"/>
      <c r="CN1469" s="1451"/>
      <c r="CO1469" s="1530"/>
      <c r="CP1469" s="1530"/>
      <c r="CQ1469" s="1530"/>
      <c r="CR1469" s="1530"/>
      <c r="CS1469" s="1530"/>
      <c r="CT1469" s="1530"/>
      <c r="CU1469" s="1530"/>
      <c r="CV1469" s="1530"/>
      <c r="CW1469" s="1530"/>
      <c r="CX1469" s="1530"/>
      <c r="CY1469" s="1530"/>
      <c r="CZ1469" s="1530"/>
      <c r="DA1469" s="1530"/>
      <c r="DB1469" s="1530"/>
      <c r="DC1469" s="1530"/>
      <c r="DD1469" s="1530"/>
      <c r="DE1469" s="1530"/>
      <c r="DF1469" s="1530"/>
      <c r="DG1469" s="1530"/>
      <c r="DH1469" s="1530"/>
      <c r="DI1469" s="1530"/>
      <c r="DJ1469" s="1530"/>
      <c r="DK1469" s="1530"/>
      <c r="DL1469" s="1530"/>
      <c r="DM1469" s="1530"/>
      <c r="DN1469" s="1571"/>
      <c r="DO1469" s="1530"/>
      <c r="DP1469" s="1530"/>
    </row>
    <row r="1470" spans="1:120">
      <c r="A1470" s="1451"/>
      <c r="C1470" s="1451"/>
      <c r="K1470" s="1451"/>
      <c r="L1470" s="1451"/>
      <c r="U1470" s="1451"/>
      <c r="AD1470" s="1451"/>
      <c r="AM1470" s="1451"/>
      <c r="AV1470" s="1451"/>
      <c r="BE1470" s="1451"/>
      <c r="BN1470" s="1451"/>
      <c r="BV1470" s="1451"/>
      <c r="BW1470" s="1451"/>
      <c r="CF1470" s="1451"/>
      <c r="CN1470" s="1451"/>
      <c r="CO1470" s="1530"/>
      <c r="CP1470" s="1530"/>
      <c r="CQ1470" s="1530"/>
      <c r="CR1470" s="1530"/>
      <c r="CS1470" s="1530"/>
      <c r="CT1470" s="1530"/>
      <c r="CU1470" s="1530"/>
      <c r="CV1470" s="1530"/>
      <c r="CW1470" s="1530"/>
      <c r="CX1470" s="1530"/>
      <c r="CY1470" s="1530"/>
      <c r="CZ1470" s="1530"/>
      <c r="DA1470" s="1530"/>
      <c r="DB1470" s="1530"/>
      <c r="DC1470" s="1530"/>
      <c r="DD1470" s="1530"/>
      <c r="DE1470" s="1530"/>
      <c r="DF1470" s="1530"/>
      <c r="DG1470" s="1530"/>
      <c r="DH1470" s="1530"/>
      <c r="DI1470" s="1530"/>
      <c r="DJ1470" s="1530"/>
      <c r="DK1470" s="1530"/>
      <c r="DL1470" s="1530"/>
      <c r="DM1470" s="1530"/>
      <c r="DN1470" s="1571"/>
      <c r="DO1470" s="1530"/>
      <c r="DP1470" s="1530"/>
    </row>
    <row r="1471" spans="1:120">
      <c r="A1471" s="1451"/>
      <c r="C1471" s="1451"/>
      <c r="K1471" s="1451"/>
      <c r="L1471" s="1451"/>
      <c r="U1471" s="1451"/>
      <c r="AD1471" s="1451"/>
      <c r="AM1471" s="1451"/>
      <c r="AV1471" s="1451"/>
      <c r="BE1471" s="1451"/>
      <c r="BN1471" s="1451"/>
      <c r="BV1471" s="1451"/>
      <c r="BW1471" s="1451"/>
      <c r="CF1471" s="1451"/>
      <c r="CN1471" s="1451"/>
      <c r="CO1471" s="1530"/>
      <c r="CP1471" s="1530"/>
      <c r="CQ1471" s="1530"/>
      <c r="CR1471" s="1530"/>
      <c r="CS1471" s="1530"/>
      <c r="CT1471" s="1530"/>
      <c r="CU1471" s="1530"/>
      <c r="CV1471" s="1530"/>
      <c r="CW1471" s="1530"/>
      <c r="CX1471" s="1530"/>
      <c r="CY1471" s="1530"/>
      <c r="CZ1471" s="1530"/>
      <c r="DA1471" s="1530"/>
      <c r="DB1471" s="1530"/>
      <c r="DC1471" s="1530"/>
      <c r="DD1471" s="1530"/>
      <c r="DE1471" s="1530"/>
      <c r="DF1471" s="1530"/>
      <c r="DG1471" s="1530"/>
      <c r="DH1471" s="1530"/>
      <c r="DI1471" s="1530"/>
      <c r="DJ1471" s="1530"/>
      <c r="DK1471" s="1530"/>
      <c r="DL1471" s="1530"/>
      <c r="DM1471" s="1530"/>
      <c r="DN1471" s="1571"/>
      <c r="DO1471" s="1530"/>
      <c r="DP1471" s="1530"/>
    </row>
    <row r="1472" spans="1:120">
      <c r="A1472" s="1451"/>
      <c r="C1472" s="1451"/>
      <c r="K1472" s="1451"/>
      <c r="L1472" s="1451"/>
      <c r="U1472" s="1451"/>
      <c r="AD1472" s="1451"/>
      <c r="AM1472" s="1451"/>
      <c r="AV1472" s="1451"/>
      <c r="BE1472" s="1451"/>
      <c r="BN1472" s="1451"/>
      <c r="BV1472" s="1451"/>
      <c r="BW1472" s="1451"/>
      <c r="CF1472" s="1451"/>
      <c r="CN1472" s="1451"/>
      <c r="CO1472" s="1530"/>
      <c r="CP1472" s="1530"/>
      <c r="CQ1472" s="1530"/>
      <c r="CR1472" s="1530"/>
      <c r="CS1472" s="1530"/>
      <c r="CT1472" s="1530"/>
      <c r="CU1472" s="1530"/>
      <c r="CV1472" s="1530"/>
      <c r="CW1472" s="1530"/>
      <c r="CX1472" s="1530"/>
      <c r="CY1472" s="1530"/>
      <c r="CZ1472" s="1530"/>
      <c r="DA1472" s="1530"/>
      <c r="DB1472" s="1530"/>
      <c r="DC1472" s="1530"/>
      <c r="DD1472" s="1530"/>
      <c r="DE1472" s="1530"/>
      <c r="DF1472" s="1530"/>
      <c r="DG1472" s="1530"/>
      <c r="DH1472" s="1530"/>
      <c r="DI1472" s="1530"/>
      <c r="DJ1472" s="1530"/>
      <c r="DK1472" s="1530"/>
      <c r="DL1472" s="1530"/>
      <c r="DM1472" s="1530"/>
      <c r="DN1472" s="1571"/>
      <c r="DO1472" s="1530"/>
      <c r="DP1472" s="1530"/>
    </row>
    <row r="1473" spans="1:120">
      <c r="A1473" s="1451"/>
      <c r="C1473" s="1451"/>
      <c r="K1473" s="1451"/>
      <c r="L1473" s="1451"/>
      <c r="U1473" s="1451"/>
      <c r="AD1473" s="1451"/>
      <c r="AM1473" s="1451"/>
      <c r="AV1473" s="1451"/>
      <c r="BE1473" s="1451"/>
      <c r="BN1473" s="1451"/>
      <c r="BV1473" s="1451"/>
      <c r="BW1473" s="1451"/>
      <c r="CF1473" s="1451"/>
      <c r="CN1473" s="1451"/>
      <c r="CO1473" s="1530"/>
      <c r="CP1473" s="1530"/>
      <c r="CQ1473" s="1530"/>
      <c r="CR1473" s="1530"/>
      <c r="CS1473" s="1530"/>
      <c r="CT1473" s="1530"/>
      <c r="CU1473" s="1530"/>
      <c r="CV1473" s="1530"/>
      <c r="CW1473" s="1530"/>
      <c r="CX1473" s="1530"/>
      <c r="CY1473" s="1530"/>
      <c r="CZ1473" s="1530"/>
      <c r="DA1473" s="1530"/>
      <c r="DB1473" s="1530"/>
      <c r="DC1473" s="1530"/>
      <c r="DD1473" s="1530"/>
      <c r="DE1473" s="1530"/>
      <c r="DF1473" s="1530"/>
      <c r="DG1473" s="1530"/>
      <c r="DH1473" s="1530"/>
      <c r="DI1473" s="1530"/>
      <c r="DJ1473" s="1530"/>
      <c r="DK1473" s="1530"/>
      <c r="DL1473" s="1530"/>
      <c r="DM1473" s="1530"/>
      <c r="DN1473" s="1571"/>
      <c r="DO1473" s="1530"/>
      <c r="DP1473" s="1530"/>
    </row>
    <row r="1474" spans="1:120">
      <c r="A1474" s="1451"/>
      <c r="C1474" s="1451"/>
      <c r="K1474" s="1451"/>
      <c r="L1474" s="1451"/>
      <c r="U1474" s="1451"/>
      <c r="AD1474" s="1451"/>
      <c r="AM1474" s="1451"/>
      <c r="AV1474" s="1451"/>
      <c r="BE1474" s="1451"/>
      <c r="BN1474" s="1451"/>
      <c r="BV1474" s="1451"/>
      <c r="BW1474" s="1451"/>
      <c r="CF1474" s="1451"/>
      <c r="CN1474" s="1451"/>
      <c r="CO1474" s="1530"/>
      <c r="CP1474" s="1530"/>
      <c r="CQ1474" s="1530"/>
      <c r="CR1474" s="1530"/>
      <c r="CS1474" s="1530"/>
      <c r="CT1474" s="1530"/>
      <c r="CU1474" s="1530"/>
      <c r="CV1474" s="1530"/>
      <c r="CW1474" s="1530"/>
      <c r="CX1474" s="1530"/>
      <c r="CY1474" s="1530"/>
      <c r="CZ1474" s="1530"/>
      <c r="DA1474" s="1530"/>
      <c r="DB1474" s="1530"/>
      <c r="DC1474" s="1530"/>
      <c r="DD1474" s="1530"/>
      <c r="DE1474" s="1530"/>
      <c r="DF1474" s="1530"/>
      <c r="DG1474" s="1530"/>
      <c r="DH1474" s="1530"/>
      <c r="DI1474" s="1530"/>
      <c r="DJ1474" s="1530"/>
      <c r="DK1474" s="1530"/>
      <c r="DL1474" s="1530"/>
      <c r="DM1474" s="1530"/>
      <c r="DN1474" s="1571"/>
      <c r="DO1474" s="1530"/>
      <c r="DP1474" s="1530"/>
    </row>
    <row r="1475" spans="1:120">
      <c r="A1475" s="1451"/>
      <c r="C1475" s="1451"/>
      <c r="K1475" s="1451"/>
      <c r="L1475" s="1451"/>
      <c r="U1475" s="1451"/>
      <c r="AD1475" s="1451"/>
      <c r="AM1475" s="1451"/>
      <c r="AV1475" s="1451"/>
      <c r="BE1475" s="1451"/>
      <c r="BN1475" s="1451"/>
      <c r="BV1475" s="1451"/>
      <c r="BW1475" s="1451"/>
      <c r="CF1475" s="1451"/>
      <c r="CN1475" s="1451"/>
      <c r="CO1475" s="1530"/>
      <c r="CP1475" s="1530"/>
      <c r="CQ1475" s="1530"/>
      <c r="CR1475" s="1530"/>
      <c r="CS1475" s="1530"/>
      <c r="CT1475" s="1530"/>
      <c r="CU1475" s="1530"/>
      <c r="CV1475" s="1530"/>
      <c r="CW1475" s="1530"/>
      <c r="CX1475" s="1530"/>
      <c r="CY1475" s="1530"/>
      <c r="CZ1475" s="1530"/>
      <c r="DA1475" s="1530"/>
      <c r="DB1475" s="1530"/>
      <c r="DC1475" s="1530"/>
      <c r="DD1475" s="1530"/>
      <c r="DE1475" s="1530"/>
      <c r="DF1475" s="1530"/>
      <c r="DG1475" s="1530"/>
      <c r="DH1475" s="1530"/>
      <c r="DI1475" s="1530"/>
      <c r="DJ1475" s="1530"/>
      <c r="DK1475" s="1530"/>
      <c r="DL1475" s="1530"/>
      <c r="DM1475" s="1530"/>
      <c r="DN1475" s="1571"/>
      <c r="DO1475" s="1530"/>
      <c r="DP1475" s="1530"/>
    </row>
    <row r="1476" spans="1:120">
      <c r="A1476" s="1451"/>
      <c r="C1476" s="1451"/>
      <c r="K1476" s="1451"/>
      <c r="L1476" s="1451"/>
      <c r="U1476" s="1451"/>
      <c r="AD1476" s="1451"/>
      <c r="AM1476" s="1451"/>
      <c r="AV1476" s="1451"/>
      <c r="BE1476" s="1451"/>
      <c r="BN1476" s="1451"/>
      <c r="BV1476" s="1451"/>
      <c r="BW1476" s="1451"/>
      <c r="CF1476" s="1451"/>
      <c r="CN1476" s="1451"/>
      <c r="CO1476" s="1530"/>
      <c r="CP1476" s="1530"/>
      <c r="CQ1476" s="1530"/>
      <c r="CR1476" s="1530"/>
      <c r="CS1476" s="1530"/>
      <c r="CT1476" s="1530"/>
      <c r="CU1476" s="1530"/>
      <c r="CV1476" s="1530"/>
      <c r="CW1476" s="1530"/>
      <c r="CX1476" s="1530"/>
      <c r="CY1476" s="1530"/>
      <c r="CZ1476" s="1530"/>
      <c r="DA1476" s="1530"/>
      <c r="DB1476" s="1530"/>
      <c r="DC1476" s="1530"/>
      <c r="DD1476" s="1530"/>
      <c r="DE1476" s="1530"/>
      <c r="DF1476" s="1530"/>
      <c r="DG1476" s="1530"/>
      <c r="DH1476" s="1530"/>
      <c r="DI1476" s="1530"/>
      <c r="DJ1476" s="1530"/>
      <c r="DK1476" s="1530"/>
      <c r="DL1476" s="1530"/>
      <c r="DM1476" s="1530"/>
      <c r="DN1476" s="1571"/>
      <c r="DO1476" s="1530"/>
      <c r="DP1476" s="1530"/>
    </row>
    <row r="1477" spans="1:120">
      <c r="A1477" s="1451"/>
      <c r="C1477" s="1451"/>
      <c r="K1477" s="1451"/>
      <c r="L1477" s="1451"/>
      <c r="U1477" s="1451"/>
      <c r="AD1477" s="1451"/>
      <c r="AM1477" s="1451"/>
      <c r="AV1477" s="1451"/>
      <c r="BE1477" s="1451"/>
      <c r="BN1477" s="1451"/>
      <c r="BV1477" s="1451"/>
      <c r="BW1477" s="1451"/>
      <c r="CF1477" s="1451"/>
      <c r="CN1477" s="1451"/>
      <c r="CO1477" s="1530"/>
      <c r="CP1477" s="1530"/>
      <c r="CQ1477" s="1530"/>
      <c r="CR1477" s="1530"/>
      <c r="CS1477" s="1530"/>
      <c r="CT1477" s="1530"/>
      <c r="CU1477" s="1530"/>
      <c r="CV1477" s="1530"/>
      <c r="CW1477" s="1530"/>
      <c r="CX1477" s="1530"/>
      <c r="CY1477" s="1530"/>
      <c r="CZ1477" s="1530"/>
      <c r="DA1477" s="1530"/>
      <c r="DB1477" s="1530"/>
      <c r="DC1477" s="1530"/>
      <c r="DD1477" s="1530"/>
      <c r="DE1477" s="1530"/>
      <c r="DF1477" s="1530"/>
      <c r="DG1477" s="1530"/>
      <c r="DH1477" s="1530"/>
      <c r="DI1477" s="1530"/>
      <c r="DJ1477" s="1530"/>
      <c r="DK1477" s="1530"/>
      <c r="DL1477" s="1530"/>
      <c r="DM1477" s="1530"/>
      <c r="DN1477" s="1571"/>
      <c r="DO1477" s="1530"/>
      <c r="DP1477" s="1530"/>
    </row>
    <row r="1478" spans="1:120">
      <c r="A1478" s="1451"/>
      <c r="C1478" s="1451"/>
      <c r="K1478" s="1451"/>
      <c r="L1478" s="1451"/>
      <c r="U1478" s="1451"/>
      <c r="AD1478" s="1451"/>
      <c r="AM1478" s="1451"/>
      <c r="AV1478" s="1451"/>
      <c r="BE1478" s="1451"/>
      <c r="BN1478" s="1451"/>
      <c r="BV1478" s="1451"/>
      <c r="BW1478" s="1451"/>
      <c r="CF1478" s="1451"/>
      <c r="CN1478" s="1451"/>
      <c r="CO1478" s="1530"/>
      <c r="CP1478" s="1530"/>
      <c r="CQ1478" s="1530"/>
      <c r="CR1478" s="1530"/>
      <c r="CS1478" s="1530"/>
      <c r="CT1478" s="1530"/>
      <c r="CU1478" s="1530"/>
      <c r="CV1478" s="1530"/>
      <c r="CW1478" s="1530"/>
      <c r="CX1478" s="1530"/>
      <c r="CY1478" s="1530"/>
      <c r="CZ1478" s="1530"/>
      <c r="DA1478" s="1530"/>
      <c r="DB1478" s="1530"/>
      <c r="DC1478" s="1530"/>
      <c r="DD1478" s="1530"/>
      <c r="DE1478" s="1530"/>
      <c r="DF1478" s="1530"/>
      <c r="DG1478" s="1530"/>
      <c r="DH1478" s="1530"/>
      <c r="DI1478" s="1530"/>
      <c r="DJ1478" s="1530"/>
      <c r="DK1478" s="1530"/>
      <c r="DL1478" s="1530"/>
      <c r="DM1478" s="1530"/>
      <c r="DN1478" s="1571"/>
      <c r="DO1478" s="1530"/>
      <c r="DP1478" s="1530"/>
    </row>
    <row r="1479" spans="1:120">
      <c r="A1479" s="1451"/>
      <c r="C1479" s="1451"/>
      <c r="K1479" s="1451"/>
      <c r="L1479" s="1451"/>
      <c r="U1479" s="1451"/>
      <c r="AD1479" s="1451"/>
      <c r="AM1479" s="1451"/>
      <c r="AV1479" s="1451"/>
      <c r="BE1479" s="1451"/>
      <c r="BN1479" s="1451"/>
      <c r="BV1479" s="1451"/>
      <c r="BW1479" s="1451"/>
      <c r="CF1479" s="1451"/>
      <c r="CN1479" s="1451"/>
      <c r="CO1479" s="1530"/>
      <c r="CP1479" s="1530"/>
      <c r="CQ1479" s="1530"/>
      <c r="CR1479" s="1530"/>
      <c r="CS1479" s="1530"/>
      <c r="CT1479" s="1530"/>
      <c r="CU1479" s="1530"/>
      <c r="CV1479" s="1530"/>
      <c r="CW1479" s="1530"/>
      <c r="CX1479" s="1530"/>
      <c r="CY1479" s="1530"/>
      <c r="CZ1479" s="1530"/>
      <c r="DA1479" s="1530"/>
      <c r="DB1479" s="1530"/>
      <c r="DC1479" s="1530"/>
      <c r="DD1479" s="1530"/>
      <c r="DE1479" s="1530"/>
      <c r="DF1479" s="1530"/>
      <c r="DG1479" s="1530"/>
      <c r="DH1479" s="1530"/>
      <c r="DI1479" s="1530"/>
      <c r="DJ1479" s="1530"/>
      <c r="DK1479" s="1530"/>
      <c r="DL1479" s="1530"/>
      <c r="DM1479" s="1530"/>
      <c r="DN1479" s="1571"/>
      <c r="DO1479" s="1530"/>
      <c r="DP1479" s="1530"/>
    </row>
    <row r="1480" spans="1:120">
      <c r="A1480" s="1451"/>
      <c r="C1480" s="1451"/>
      <c r="K1480" s="1451"/>
      <c r="L1480" s="1451"/>
      <c r="U1480" s="1451"/>
      <c r="AD1480" s="1451"/>
      <c r="AM1480" s="1451"/>
      <c r="AV1480" s="1451"/>
      <c r="BE1480" s="1451"/>
      <c r="BN1480" s="1451"/>
      <c r="BV1480" s="1451"/>
      <c r="BW1480" s="1451"/>
      <c r="CF1480" s="1451"/>
      <c r="CN1480" s="1451"/>
      <c r="CO1480" s="1530"/>
      <c r="CP1480" s="1530"/>
      <c r="CQ1480" s="1530"/>
      <c r="CR1480" s="1530"/>
      <c r="CS1480" s="1530"/>
      <c r="CT1480" s="1530"/>
      <c r="CU1480" s="1530"/>
      <c r="CV1480" s="1530"/>
      <c r="CW1480" s="1530"/>
      <c r="CX1480" s="1530"/>
      <c r="CY1480" s="1530"/>
      <c r="CZ1480" s="1530"/>
      <c r="DA1480" s="1530"/>
      <c r="DB1480" s="1530"/>
      <c r="DC1480" s="1530"/>
      <c r="DD1480" s="1530"/>
      <c r="DE1480" s="1530"/>
      <c r="DF1480" s="1530"/>
      <c r="DG1480" s="1530"/>
      <c r="DH1480" s="1530"/>
      <c r="DI1480" s="1530"/>
      <c r="DJ1480" s="1530"/>
      <c r="DK1480" s="1530"/>
      <c r="DL1480" s="1530"/>
      <c r="DM1480" s="1530"/>
      <c r="DN1480" s="1571"/>
      <c r="DO1480" s="1530"/>
      <c r="DP1480" s="1530"/>
    </row>
    <row r="1481" spans="1:120">
      <c r="A1481" s="1451"/>
      <c r="C1481" s="1451"/>
      <c r="K1481" s="1451"/>
      <c r="L1481" s="1451"/>
      <c r="U1481" s="1451"/>
      <c r="AD1481" s="1451"/>
      <c r="AM1481" s="1451"/>
      <c r="AV1481" s="1451"/>
      <c r="BE1481" s="1451"/>
      <c r="BN1481" s="1451"/>
      <c r="BV1481" s="1451"/>
      <c r="BW1481" s="1451"/>
      <c r="CF1481" s="1451"/>
      <c r="CN1481" s="1451"/>
      <c r="CO1481" s="1530"/>
      <c r="CP1481" s="1530"/>
      <c r="CQ1481" s="1530"/>
      <c r="CR1481" s="1530"/>
      <c r="CS1481" s="1530"/>
      <c r="CT1481" s="1530"/>
      <c r="CU1481" s="1530"/>
      <c r="CV1481" s="1530"/>
      <c r="CW1481" s="1530"/>
      <c r="CX1481" s="1530"/>
      <c r="CY1481" s="1530"/>
      <c r="CZ1481" s="1530"/>
      <c r="DA1481" s="1530"/>
      <c r="DB1481" s="1530"/>
      <c r="DC1481" s="1530"/>
      <c r="DD1481" s="1530"/>
      <c r="DE1481" s="1530"/>
      <c r="DF1481" s="1530"/>
      <c r="DG1481" s="1530"/>
      <c r="DH1481" s="1530"/>
      <c r="DI1481" s="1530"/>
      <c r="DJ1481" s="1530"/>
      <c r="DK1481" s="1530"/>
      <c r="DL1481" s="1530"/>
      <c r="DM1481" s="1530"/>
      <c r="DN1481" s="1571"/>
      <c r="DO1481" s="1530"/>
      <c r="DP1481" s="1530"/>
    </row>
    <row r="1482" spans="1:120">
      <c r="A1482" s="1451"/>
      <c r="C1482" s="1451"/>
      <c r="K1482" s="1451"/>
      <c r="L1482" s="1451"/>
      <c r="U1482" s="1451"/>
      <c r="AD1482" s="1451"/>
      <c r="AM1482" s="1451"/>
      <c r="AV1482" s="1451"/>
      <c r="BE1482" s="1451"/>
      <c r="BN1482" s="1451"/>
      <c r="BV1482" s="1451"/>
      <c r="BW1482" s="1451"/>
      <c r="CF1482" s="1451"/>
      <c r="CN1482" s="1451"/>
      <c r="CO1482" s="1530"/>
      <c r="CP1482" s="1530"/>
      <c r="CQ1482" s="1530"/>
      <c r="CR1482" s="1530"/>
      <c r="CS1482" s="1530"/>
      <c r="CT1482" s="1530"/>
      <c r="CU1482" s="1530"/>
      <c r="CV1482" s="1530"/>
      <c r="CW1482" s="1530"/>
      <c r="CX1482" s="1530"/>
      <c r="CY1482" s="1530"/>
      <c r="CZ1482" s="1530"/>
      <c r="DA1482" s="1530"/>
      <c r="DB1482" s="1530"/>
      <c r="DC1482" s="1530"/>
      <c r="DD1482" s="1530"/>
      <c r="DE1482" s="1530"/>
      <c r="DF1482" s="1530"/>
      <c r="DG1482" s="1530"/>
      <c r="DH1482" s="1530"/>
      <c r="DI1482" s="1530"/>
      <c r="DJ1482" s="1530"/>
      <c r="DK1482" s="1530"/>
      <c r="DL1482" s="1530"/>
      <c r="DM1482" s="1530"/>
      <c r="DN1482" s="1571"/>
      <c r="DO1482" s="1530"/>
      <c r="DP1482" s="1530"/>
    </row>
    <row r="1483" spans="1:120">
      <c r="A1483" s="1451"/>
      <c r="C1483" s="1451"/>
      <c r="K1483" s="1451"/>
      <c r="L1483" s="1451"/>
      <c r="U1483" s="1451"/>
      <c r="AD1483" s="1451"/>
      <c r="AM1483" s="1451"/>
      <c r="AV1483" s="1451"/>
      <c r="BE1483" s="1451"/>
      <c r="BN1483" s="1451"/>
      <c r="BV1483" s="1451"/>
      <c r="BW1483" s="1451"/>
      <c r="CF1483" s="1451"/>
      <c r="CN1483" s="1451"/>
      <c r="CO1483" s="1530"/>
      <c r="CP1483" s="1530"/>
      <c r="CQ1483" s="1530"/>
      <c r="CR1483" s="1530"/>
      <c r="CS1483" s="1530"/>
      <c r="CT1483" s="1530"/>
      <c r="CU1483" s="1530"/>
      <c r="CV1483" s="1530"/>
      <c r="CW1483" s="1530"/>
      <c r="CX1483" s="1530"/>
      <c r="CY1483" s="1530"/>
      <c r="CZ1483" s="1530"/>
      <c r="DA1483" s="1530"/>
      <c r="DB1483" s="1530"/>
      <c r="DC1483" s="1530"/>
      <c r="DD1483" s="1530"/>
      <c r="DE1483" s="1530"/>
      <c r="DF1483" s="1530"/>
      <c r="DG1483" s="1530"/>
      <c r="DH1483" s="1530"/>
      <c r="DI1483" s="1530"/>
      <c r="DJ1483" s="1530"/>
      <c r="DK1483" s="1530"/>
      <c r="DL1483" s="1530"/>
      <c r="DM1483" s="1530"/>
      <c r="DN1483" s="1571"/>
      <c r="DO1483" s="1530"/>
      <c r="DP1483" s="1530"/>
    </row>
    <row r="1484" spans="1:120">
      <c r="A1484" s="1451"/>
      <c r="C1484" s="1451"/>
      <c r="K1484" s="1451"/>
      <c r="L1484" s="1451"/>
      <c r="U1484" s="1451"/>
      <c r="AD1484" s="1451"/>
      <c r="AM1484" s="1451"/>
      <c r="AV1484" s="1451"/>
      <c r="BE1484" s="1451"/>
      <c r="BN1484" s="1451"/>
      <c r="BV1484" s="1451"/>
      <c r="BW1484" s="1451"/>
      <c r="CF1484" s="1451"/>
      <c r="CN1484" s="1451"/>
      <c r="CO1484" s="1530"/>
      <c r="CP1484" s="1530"/>
      <c r="CQ1484" s="1530"/>
      <c r="CR1484" s="1530"/>
      <c r="CS1484" s="1530"/>
      <c r="CT1484" s="1530"/>
      <c r="CU1484" s="1530"/>
      <c r="CV1484" s="1530"/>
      <c r="CW1484" s="1530"/>
      <c r="CX1484" s="1530"/>
      <c r="CY1484" s="1530"/>
      <c r="CZ1484" s="1530"/>
      <c r="DA1484" s="1530"/>
      <c r="DB1484" s="1530"/>
      <c r="DC1484" s="1530"/>
      <c r="DD1484" s="1530"/>
      <c r="DE1484" s="1530"/>
      <c r="DF1484" s="1530"/>
      <c r="DG1484" s="1530"/>
      <c r="DH1484" s="1530"/>
      <c r="DI1484" s="1530"/>
      <c r="DJ1484" s="1530"/>
      <c r="DK1484" s="1530"/>
      <c r="DL1484" s="1530"/>
      <c r="DM1484" s="1530"/>
      <c r="DN1484" s="1571"/>
      <c r="DO1484" s="1530"/>
      <c r="DP1484" s="1530"/>
    </row>
    <row r="1485" spans="1:120">
      <c r="A1485" s="1451"/>
      <c r="C1485" s="1451"/>
      <c r="K1485" s="1451"/>
      <c r="L1485" s="1451"/>
      <c r="U1485" s="1451"/>
      <c r="AD1485" s="1451"/>
      <c r="AM1485" s="1451"/>
      <c r="AV1485" s="1451"/>
      <c r="BE1485" s="1451"/>
      <c r="BN1485" s="1451"/>
      <c r="BV1485" s="1451"/>
      <c r="BW1485" s="1451"/>
      <c r="CF1485" s="1451"/>
      <c r="CN1485" s="1451"/>
      <c r="CO1485" s="1530"/>
      <c r="CP1485" s="1530"/>
      <c r="CQ1485" s="1530"/>
      <c r="CR1485" s="1530"/>
      <c r="CS1485" s="1530"/>
      <c r="CT1485" s="1530"/>
      <c r="CU1485" s="1530"/>
      <c r="CV1485" s="1530"/>
      <c r="CW1485" s="1530"/>
      <c r="CX1485" s="1530"/>
      <c r="CY1485" s="1530"/>
      <c r="CZ1485" s="1530"/>
      <c r="DA1485" s="1530"/>
      <c r="DB1485" s="1530"/>
      <c r="DC1485" s="1530"/>
      <c r="DD1485" s="1530"/>
      <c r="DE1485" s="1530"/>
      <c r="DF1485" s="1530"/>
      <c r="DG1485" s="1530"/>
      <c r="DH1485" s="1530"/>
      <c r="DI1485" s="1530"/>
      <c r="DJ1485" s="1530"/>
      <c r="DK1485" s="1530"/>
      <c r="DL1485" s="1530"/>
      <c r="DM1485" s="1530"/>
      <c r="DN1485" s="1571"/>
      <c r="DO1485" s="1530"/>
      <c r="DP1485" s="1530"/>
    </row>
    <row r="1486" spans="1:120">
      <c r="A1486" s="1451"/>
      <c r="C1486" s="1451"/>
      <c r="K1486" s="1451"/>
      <c r="L1486" s="1451"/>
      <c r="U1486" s="1451"/>
      <c r="AD1486" s="1451"/>
      <c r="AM1486" s="1451"/>
      <c r="AV1486" s="1451"/>
      <c r="BE1486" s="1451"/>
      <c r="BN1486" s="1451"/>
      <c r="BV1486" s="1451"/>
      <c r="BW1486" s="1451"/>
      <c r="CF1486" s="1451"/>
      <c r="CN1486" s="1451"/>
      <c r="CO1486" s="1530"/>
      <c r="CP1486" s="1530"/>
      <c r="CQ1486" s="1530"/>
      <c r="CR1486" s="1530"/>
      <c r="CS1486" s="1530"/>
      <c r="CT1486" s="1530"/>
      <c r="CU1486" s="1530"/>
      <c r="CV1486" s="1530"/>
      <c r="CW1486" s="1530"/>
      <c r="CX1486" s="1530"/>
      <c r="CY1486" s="1530"/>
      <c r="CZ1486" s="1530"/>
      <c r="DA1486" s="1530"/>
      <c r="DB1486" s="1530"/>
      <c r="DC1486" s="1530"/>
      <c r="DD1486" s="1530"/>
      <c r="DE1486" s="1530"/>
      <c r="DF1486" s="1530"/>
      <c r="DG1486" s="1530"/>
      <c r="DH1486" s="1530"/>
      <c r="DI1486" s="1530"/>
      <c r="DJ1486" s="1530"/>
      <c r="DK1486" s="1530"/>
      <c r="DL1486" s="1530"/>
      <c r="DM1486" s="1530"/>
      <c r="DN1486" s="1571"/>
      <c r="DO1486" s="1530"/>
      <c r="DP1486" s="1530"/>
    </row>
    <row r="1487" spans="1:120">
      <c r="A1487" s="1451"/>
      <c r="C1487" s="1451"/>
      <c r="K1487" s="1451"/>
      <c r="L1487" s="1451"/>
      <c r="U1487" s="1451"/>
      <c r="AD1487" s="1451"/>
      <c r="AM1487" s="1451"/>
      <c r="AV1487" s="1451"/>
      <c r="BE1487" s="1451"/>
      <c r="BN1487" s="1451"/>
      <c r="BV1487" s="1451"/>
      <c r="BW1487" s="1451"/>
      <c r="CF1487" s="1451"/>
      <c r="CN1487" s="1451"/>
      <c r="CO1487" s="1530"/>
      <c r="CP1487" s="1530"/>
      <c r="CQ1487" s="1530"/>
      <c r="CR1487" s="1530"/>
      <c r="CS1487" s="1530"/>
      <c r="CT1487" s="1530"/>
      <c r="CU1487" s="1530"/>
      <c r="CV1487" s="1530"/>
      <c r="CW1487" s="1530"/>
      <c r="CX1487" s="1530"/>
      <c r="CY1487" s="1530"/>
      <c r="CZ1487" s="1530"/>
      <c r="DA1487" s="1530"/>
      <c r="DB1487" s="1530"/>
      <c r="DC1487" s="1530"/>
      <c r="DD1487" s="1530"/>
      <c r="DE1487" s="1530"/>
      <c r="DF1487" s="1530"/>
      <c r="DG1487" s="1530"/>
      <c r="DH1487" s="1530"/>
      <c r="DI1487" s="1530"/>
      <c r="DJ1487" s="1530"/>
      <c r="DK1487" s="1530"/>
      <c r="DL1487" s="1530"/>
      <c r="DM1487" s="1530"/>
      <c r="DN1487" s="1571"/>
      <c r="DO1487" s="1530"/>
      <c r="DP1487" s="1530"/>
    </row>
    <row r="1488" spans="1:120">
      <c r="A1488" s="1451"/>
      <c r="C1488" s="1451"/>
      <c r="K1488" s="1451"/>
      <c r="L1488" s="1451"/>
      <c r="U1488" s="1451"/>
      <c r="AD1488" s="1451"/>
      <c r="AM1488" s="1451"/>
      <c r="AV1488" s="1451"/>
      <c r="BE1488" s="1451"/>
      <c r="BN1488" s="1451"/>
      <c r="BV1488" s="1451"/>
      <c r="BW1488" s="1451"/>
      <c r="CF1488" s="1451"/>
      <c r="CN1488" s="1451"/>
      <c r="CO1488" s="1530"/>
      <c r="CP1488" s="1530"/>
      <c r="CQ1488" s="1530"/>
      <c r="CR1488" s="1530"/>
      <c r="CS1488" s="1530"/>
      <c r="CT1488" s="1530"/>
      <c r="CU1488" s="1530"/>
      <c r="CV1488" s="1530"/>
      <c r="CW1488" s="1530"/>
      <c r="CX1488" s="1530"/>
      <c r="CY1488" s="1530"/>
      <c r="CZ1488" s="1530"/>
      <c r="DA1488" s="1530"/>
      <c r="DB1488" s="1530"/>
      <c r="DC1488" s="1530"/>
      <c r="DD1488" s="1530"/>
      <c r="DE1488" s="1530"/>
      <c r="DF1488" s="1530"/>
      <c r="DG1488" s="1530"/>
      <c r="DH1488" s="1530"/>
      <c r="DI1488" s="1530"/>
      <c r="DJ1488" s="1530"/>
      <c r="DK1488" s="1530"/>
      <c r="DL1488" s="1530"/>
      <c r="DM1488" s="1530"/>
      <c r="DN1488" s="1571"/>
      <c r="DO1488" s="1530"/>
      <c r="DP1488" s="1530"/>
    </row>
    <row r="1489" spans="1:120">
      <c r="A1489" s="1451"/>
      <c r="C1489" s="1451"/>
      <c r="K1489" s="1451"/>
      <c r="L1489" s="1451"/>
      <c r="U1489" s="1451"/>
      <c r="AD1489" s="1451"/>
      <c r="AM1489" s="1451"/>
      <c r="AV1489" s="1451"/>
      <c r="BE1489" s="1451"/>
      <c r="BN1489" s="1451"/>
      <c r="BV1489" s="1451"/>
      <c r="BW1489" s="1451"/>
      <c r="CF1489" s="1451"/>
      <c r="CN1489" s="1451"/>
      <c r="CO1489" s="1530"/>
      <c r="CP1489" s="1530"/>
      <c r="CQ1489" s="1530"/>
      <c r="CR1489" s="1530"/>
      <c r="CS1489" s="1530"/>
      <c r="CT1489" s="1530"/>
      <c r="CU1489" s="1530"/>
      <c r="CV1489" s="1530"/>
      <c r="CW1489" s="1530"/>
      <c r="CX1489" s="1530"/>
      <c r="CY1489" s="1530"/>
      <c r="CZ1489" s="1530"/>
      <c r="DA1489" s="1530"/>
      <c r="DB1489" s="1530"/>
      <c r="DC1489" s="1530"/>
      <c r="DD1489" s="1530"/>
      <c r="DE1489" s="1530"/>
      <c r="DF1489" s="1530"/>
      <c r="DG1489" s="1530"/>
      <c r="DH1489" s="1530"/>
      <c r="DI1489" s="1530"/>
      <c r="DJ1489" s="1530"/>
      <c r="DK1489" s="1530"/>
      <c r="DL1489" s="1530"/>
      <c r="DM1489" s="1530"/>
      <c r="DN1489" s="1571"/>
      <c r="DO1489" s="1530"/>
      <c r="DP1489" s="1530"/>
    </row>
    <row r="1490" spans="1:120">
      <c r="A1490" s="1451"/>
      <c r="C1490" s="1451"/>
      <c r="K1490" s="1451"/>
      <c r="L1490" s="1451"/>
      <c r="U1490" s="1451"/>
      <c r="AD1490" s="1451"/>
      <c r="AM1490" s="1451"/>
      <c r="AV1490" s="1451"/>
      <c r="BE1490" s="1451"/>
      <c r="BN1490" s="1451"/>
      <c r="BV1490" s="1451"/>
      <c r="BW1490" s="1451"/>
      <c r="CF1490" s="1451"/>
      <c r="CN1490" s="1451"/>
      <c r="CO1490" s="1530"/>
      <c r="CP1490" s="1530"/>
      <c r="CQ1490" s="1530"/>
      <c r="CR1490" s="1530"/>
      <c r="CS1490" s="1530"/>
      <c r="CT1490" s="1530"/>
      <c r="CU1490" s="1530"/>
      <c r="CV1490" s="1530"/>
      <c r="CW1490" s="1530"/>
      <c r="CX1490" s="1530"/>
      <c r="CY1490" s="1530"/>
      <c r="CZ1490" s="1530"/>
      <c r="DA1490" s="1530"/>
      <c r="DB1490" s="1530"/>
      <c r="DC1490" s="1530"/>
      <c r="DD1490" s="1530"/>
      <c r="DE1490" s="1530"/>
      <c r="DF1490" s="1530"/>
      <c r="DG1490" s="1530"/>
      <c r="DH1490" s="1530"/>
      <c r="DI1490" s="1530"/>
      <c r="DJ1490" s="1530"/>
      <c r="DK1490" s="1530"/>
      <c r="DL1490" s="1530"/>
      <c r="DM1490" s="1530"/>
      <c r="DN1490" s="1571"/>
      <c r="DO1490" s="1530"/>
      <c r="DP1490" s="1530"/>
    </row>
    <row r="1491" spans="1:120">
      <c r="A1491" s="1451"/>
      <c r="C1491" s="1451"/>
      <c r="K1491" s="1451"/>
      <c r="L1491" s="1451"/>
      <c r="U1491" s="1451"/>
      <c r="AD1491" s="1451"/>
      <c r="AM1491" s="1451"/>
      <c r="AV1491" s="1451"/>
      <c r="BE1491" s="1451"/>
      <c r="BN1491" s="1451"/>
      <c r="BV1491" s="1451"/>
      <c r="BW1491" s="1451"/>
      <c r="CF1491" s="1451"/>
      <c r="CN1491" s="1451"/>
      <c r="CO1491" s="1530"/>
      <c r="CP1491" s="1530"/>
      <c r="CQ1491" s="1530"/>
      <c r="CR1491" s="1530"/>
      <c r="CS1491" s="1530"/>
      <c r="CT1491" s="1530"/>
      <c r="CU1491" s="1530"/>
      <c r="CV1491" s="1530"/>
      <c r="CW1491" s="1530"/>
      <c r="CX1491" s="1530"/>
      <c r="CY1491" s="1530"/>
      <c r="CZ1491" s="1530"/>
      <c r="DA1491" s="1530"/>
      <c r="DB1491" s="1530"/>
      <c r="DC1491" s="1530"/>
      <c r="DD1491" s="1530"/>
      <c r="DE1491" s="1530"/>
      <c r="DF1491" s="1530"/>
      <c r="DG1491" s="1530"/>
      <c r="DH1491" s="1530"/>
      <c r="DI1491" s="1530"/>
      <c r="DJ1491" s="1530"/>
      <c r="DK1491" s="1530"/>
      <c r="DL1491" s="1530"/>
      <c r="DM1491" s="1530"/>
      <c r="DN1491" s="1571"/>
      <c r="DO1491" s="1530"/>
      <c r="DP1491" s="1530"/>
    </row>
    <row r="1492" spans="1:120">
      <c r="A1492" s="1451"/>
      <c r="C1492" s="1451"/>
      <c r="K1492" s="1451"/>
      <c r="L1492" s="1451"/>
      <c r="U1492" s="1451"/>
      <c r="AD1492" s="1451"/>
      <c r="AM1492" s="1451"/>
      <c r="AV1492" s="1451"/>
      <c r="BE1492" s="1451"/>
      <c r="BN1492" s="1451"/>
      <c r="BV1492" s="1451"/>
      <c r="BW1492" s="1451"/>
      <c r="CF1492" s="1451"/>
      <c r="CN1492" s="1451"/>
      <c r="CO1492" s="1530"/>
      <c r="CP1492" s="1530"/>
      <c r="CQ1492" s="1530"/>
      <c r="CR1492" s="1530"/>
      <c r="CS1492" s="1530"/>
      <c r="CT1492" s="1530"/>
      <c r="CU1492" s="1530"/>
      <c r="CV1492" s="1530"/>
      <c r="CW1492" s="1530"/>
      <c r="CX1492" s="1530"/>
      <c r="CY1492" s="1530"/>
      <c r="CZ1492" s="1530"/>
      <c r="DA1492" s="1530"/>
      <c r="DB1492" s="1530"/>
      <c r="DC1492" s="1530"/>
      <c r="DD1492" s="1530"/>
      <c r="DE1492" s="1530"/>
      <c r="DF1492" s="1530"/>
      <c r="DG1492" s="1530"/>
      <c r="DH1492" s="1530"/>
      <c r="DI1492" s="1530"/>
      <c r="DJ1492" s="1530"/>
      <c r="DK1492" s="1530"/>
      <c r="DL1492" s="1530"/>
      <c r="DM1492" s="1530"/>
      <c r="DN1492" s="1571"/>
      <c r="DO1492" s="1530"/>
      <c r="DP1492" s="1530"/>
    </row>
    <row r="1493" spans="1:120">
      <c r="A1493" s="1451"/>
      <c r="C1493" s="1451"/>
      <c r="K1493" s="1451"/>
      <c r="L1493" s="1451"/>
      <c r="U1493" s="1451"/>
      <c r="AD1493" s="1451"/>
      <c r="AM1493" s="1451"/>
      <c r="AV1493" s="1451"/>
      <c r="BE1493" s="1451"/>
      <c r="BN1493" s="1451"/>
      <c r="BV1493" s="1451"/>
      <c r="BW1493" s="1451"/>
      <c r="CF1493" s="1451"/>
      <c r="CN1493" s="1451"/>
      <c r="CO1493" s="1530"/>
      <c r="CP1493" s="1530"/>
      <c r="CQ1493" s="1530"/>
      <c r="CR1493" s="1530"/>
      <c r="CS1493" s="1530"/>
      <c r="CT1493" s="1530"/>
      <c r="CU1493" s="1530"/>
      <c r="CV1493" s="1530"/>
      <c r="CW1493" s="1530"/>
      <c r="CX1493" s="1530"/>
      <c r="CY1493" s="1530"/>
      <c r="CZ1493" s="1530"/>
      <c r="DA1493" s="1530"/>
      <c r="DB1493" s="1530"/>
      <c r="DC1493" s="1530"/>
      <c r="DD1493" s="1530"/>
      <c r="DE1493" s="1530"/>
      <c r="DF1493" s="1530"/>
      <c r="DG1493" s="1530"/>
      <c r="DH1493" s="1530"/>
      <c r="DI1493" s="1530"/>
      <c r="DJ1493" s="1530"/>
      <c r="DK1493" s="1530"/>
      <c r="DL1493" s="1530"/>
      <c r="DM1493" s="1530"/>
      <c r="DN1493" s="1571"/>
      <c r="DO1493" s="1530"/>
      <c r="DP1493" s="1530"/>
    </row>
    <row r="1494" spans="1:120">
      <c r="A1494" s="1451"/>
      <c r="C1494" s="1451"/>
      <c r="K1494" s="1451"/>
      <c r="L1494" s="1451"/>
      <c r="U1494" s="1451"/>
      <c r="AD1494" s="1451"/>
      <c r="AM1494" s="1451"/>
      <c r="AV1494" s="1451"/>
      <c r="BE1494" s="1451"/>
      <c r="BN1494" s="1451"/>
      <c r="BV1494" s="1451"/>
      <c r="BW1494" s="1451"/>
      <c r="CF1494" s="1451"/>
      <c r="CN1494" s="1451"/>
      <c r="CO1494" s="1530"/>
      <c r="CP1494" s="1530"/>
      <c r="CQ1494" s="1530"/>
      <c r="CR1494" s="1530"/>
      <c r="CS1494" s="1530"/>
      <c r="CT1494" s="1530"/>
      <c r="CU1494" s="1530"/>
      <c r="CV1494" s="1530"/>
      <c r="CW1494" s="1530"/>
      <c r="CX1494" s="1530"/>
      <c r="CY1494" s="1530"/>
      <c r="CZ1494" s="1530"/>
      <c r="DA1494" s="1530"/>
      <c r="DB1494" s="1530"/>
      <c r="DC1494" s="1530"/>
      <c r="DD1494" s="1530"/>
      <c r="DE1494" s="1530"/>
      <c r="DF1494" s="1530"/>
      <c r="DG1494" s="1530"/>
      <c r="DH1494" s="1530"/>
      <c r="DI1494" s="1530"/>
      <c r="DJ1494" s="1530"/>
      <c r="DK1494" s="1530"/>
      <c r="DL1494" s="1530"/>
      <c r="DM1494" s="1530"/>
      <c r="DN1494" s="1571"/>
      <c r="DO1494" s="1530"/>
      <c r="DP1494" s="1530"/>
    </row>
    <row r="1495" spans="1:120">
      <c r="A1495" s="1451"/>
      <c r="C1495" s="1451"/>
      <c r="K1495" s="1451"/>
      <c r="L1495" s="1451"/>
      <c r="U1495" s="1451"/>
      <c r="AD1495" s="1451"/>
      <c r="AM1495" s="1451"/>
      <c r="AV1495" s="1451"/>
      <c r="BE1495" s="1451"/>
      <c r="BN1495" s="1451"/>
      <c r="BV1495" s="1451"/>
      <c r="BW1495" s="1451"/>
      <c r="CF1495" s="1451"/>
      <c r="CN1495" s="1451"/>
      <c r="CO1495" s="1530"/>
      <c r="CP1495" s="1530"/>
      <c r="CQ1495" s="1530"/>
      <c r="CR1495" s="1530"/>
      <c r="CS1495" s="1530"/>
      <c r="CT1495" s="1530"/>
      <c r="CU1495" s="1530"/>
      <c r="CV1495" s="1530"/>
      <c r="CW1495" s="1530"/>
      <c r="CX1495" s="1530"/>
      <c r="CY1495" s="1530"/>
      <c r="CZ1495" s="1530"/>
      <c r="DA1495" s="1530"/>
      <c r="DB1495" s="1530"/>
      <c r="DC1495" s="1530"/>
      <c r="DD1495" s="1530"/>
      <c r="DE1495" s="1530"/>
      <c r="DF1495" s="1530"/>
      <c r="DG1495" s="1530"/>
      <c r="DH1495" s="1530"/>
      <c r="DI1495" s="1530"/>
      <c r="DJ1495" s="1530"/>
      <c r="DK1495" s="1530"/>
      <c r="DL1495" s="1530"/>
      <c r="DM1495" s="1530"/>
      <c r="DN1495" s="1571"/>
      <c r="DO1495" s="1530"/>
      <c r="DP1495" s="1530"/>
    </row>
    <row r="1496" spans="1:120">
      <c r="A1496" s="1451"/>
      <c r="C1496" s="1451"/>
      <c r="K1496" s="1451"/>
      <c r="L1496" s="1451"/>
      <c r="U1496" s="1451"/>
      <c r="AD1496" s="1451"/>
      <c r="AM1496" s="1451"/>
      <c r="AV1496" s="1451"/>
      <c r="BE1496" s="1451"/>
      <c r="BN1496" s="1451"/>
      <c r="BV1496" s="1451"/>
      <c r="BW1496" s="1451"/>
      <c r="CF1496" s="1451"/>
      <c r="CN1496" s="1451"/>
      <c r="CO1496" s="1530"/>
      <c r="CP1496" s="1530"/>
      <c r="CQ1496" s="1530"/>
      <c r="CR1496" s="1530"/>
      <c r="CS1496" s="1530"/>
      <c r="CT1496" s="1530"/>
      <c r="CU1496" s="1530"/>
      <c r="CV1496" s="1530"/>
      <c r="CW1496" s="1530"/>
      <c r="CX1496" s="1530"/>
      <c r="CY1496" s="1530"/>
      <c r="CZ1496" s="1530"/>
      <c r="DA1496" s="1530"/>
      <c r="DB1496" s="1530"/>
      <c r="DC1496" s="1530"/>
      <c r="DD1496" s="1530"/>
      <c r="DE1496" s="1530"/>
      <c r="DF1496" s="1530"/>
      <c r="DG1496" s="1530"/>
      <c r="DH1496" s="1530"/>
      <c r="DI1496" s="1530"/>
      <c r="DJ1496" s="1530"/>
      <c r="DK1496" s="1530"/>
      <c r="DL1496" s="1530"/>
      <c r="DM1496" s="1530"/>
      <c r="DN1496" s="1571"/>
      <c r="DO1496" s="1530"/>
      <c r="DP1496" s="1530"/>
    </row>
    <row r="1497" spans="1:120">
      <c r="A1497" s="1451"/>
      <c r="C1497" s="1451"/>
      <c r="K1497" s="1451"/>
      <c r="L1497" s="1451"/>
      <c r="U1497" s="1451"/>
      <c r="AD1497" s="1451"/>
      <c r="AM1497" s="1451"/>
      <c r="AV1497" s="1451"/>
      <c r="BE1497" s="1451"/>
      <c r="BN1497" s="1451"/>
      <c r="BV1497" s="1451"/>
      <c r="BW1497" s="1451"/>
      <c r="CF1497" s="1451"/>
      <c r="CN1497" s="1451"/>
      <c r="CO1497" s="1530"/>
      <c r="CP1497" s="1530"/>
      <c r="CQ1497" s="1530"/>
      <c r="CR1497" s="1530"/>
      <c r="CS1497" s="1530"/>
      <c r="CT1497" s="1530"/>
      <c r="CU1497" s="1530"/>
      <c r="CV1497" s="1530"/>
      <c r="CW1497" s="1530"/>
      <c r="CX1497" s="1530"/>
      <c r="CY1497" s="1530"/>
      <c r="CZ1497" s="1530"/>
      <c r="DA1497" s="1530"/>
      <c r="DB1497" s="1530"/>
      <c r="DC1497" s="1530"/>
      <c r="DD1497" s="1530"/>
      <c r="DE1497" s="1530"/>
      <c r="DF1497" s="1530"/>
      <c r="DG1497" s="1530"/>
      <c r="DH1497" s="1530"/>
      <c r="DI1497" s="1530"/>
      <c r="DJ1497" s="1530"/>
      <c r="DK1497" s="1530"/>
      <c r="DL1497" s="1530"/>
      <c r="DM1497" s="1530"/>
      <c r="DN1497" s="1571"/>
      <c r="DO1497" s="1530"/>
      <c r="DP1497" s="1530"/>
    </row>
    <row r="1498" spans="1:120">
      <c r="A1498" s="1451"/>
      <c r="C1498" s="1451"/>
      <c r="K1498" s="1451"/>
      <c r="L1498" s="1451"/>
      <c r="U1498" s="1451"/>
      <c r="AD1498" s="1451"/>
      <c r="AM1498" s="1451"/>
      <c r="AV1498" s="1451"/>
      <c r="BE1498" s="1451"/>
      <c r="BN1498" s="1451"/>
      <c r="BV1498" s="1451"/>
      <c r="BW1498" s="1451"/>
      <c r="CF1498" s="1451"/>
      <c r="CN1498" s="1451"/>
      <c r="CO1498" s="1530"/>
      <c r="CP1498" s="1530"/>
      <c r="CQ1498" s="1530"/>
      <c r="CR1498" s="1530"/>
      <c r="CS1498" s="1530"/>
      <c r="CT1498" s="1530"/>
      <c r="CU1498" s="1530"/>
      <c r="CV1498" s="1530"/>
      <c r="CW1498" s="1530"/>
      <c r="CX1498" s="1530"/>
      <c r="CY1498" s="1530"/>
      <c r="CZ1498" s="1530"/>
      <c r="DA1498" s="1530"/>
      <c r="DB1498" s="1530"/>
      <c r="DC1498" s="1530"/>
      <c r="DD1498" s="1530"/>
      <c r="DE1498" s="1530"/>
      <c r="DF1498" s="1530"/>
      <c r="DG1498" s="1530"/>
      <c r="DH1498" s="1530"/>
      <c r="DI1498" s="1530"/>
      <c r="DJ1498" s="1530"/>
      <c r="DK1498" s="1530"/>
      <c r="DL1498" s="1530"/>
      <c r="DM1498" s="1530"/>
      <c r="DN1498" s="1571"/>
      <c r="DO1498" s="1530"/>
      <c r="DP1498" s="1530"/>
    </row>
    <row r="1499" spans="1:120">
      <c r="A1499" s="1451"/>
      <c r="C1499" s="1451"/>
      <c r="K1499" s="1451"/>
      <c r="L1499" s="1451"/>
      <c r="U1499" s="1451"/>
      <c r="AD1499" s="1451"/>
      <c r="AM1499" s="1451"/>
      <c r="AV1499" s="1451"/>
      <c r="BE1499" s="1451"/>
      <c r="BN1499" s="1451"/>
      <c r="BV1499" s="1451"/>
      <c r="BW1499" s="1451"/>
      <c r="CF1499" s="1451"/>
      <c r="CN1499" s="1451"/>
      <c r="CO1499" s="1530"/>
      <c r="CP1499" s="1530"/>
      <c r="CQ1499" s="1530"/>
      <c r="CR1499" s="1530"/>
      <c r="CS1499" s="1530"/>
      <c r="CT1499" s="1530"/>
      <c r="CU1499" s="1530"/>
      <c r="CV1499" s="1530"/>
      <c r="CW1499" s="1530"/>
      <c r="CX1499" s="1530"/>
      <c r="CY1499" s="1530"/>
      <c r="CZ1499" s="1530"/>
      <c r="DA1499" s="1530"/>
      <c r="DB1499" s="1530"/>
      <c r="DC1499" s="1530"/>
      <c r="DD1499" s="1530"/>
      <c r="DE1499" s="1530"/>
      <c r="DF1499" s="1530"/>
      <c r="DG1499" s="1530"/>
      <c r="DH1499" s="1530"/>
      <c r="DI1499" s="1530"/>
      <c r="DJ1499" s="1530"/>
      <c r="DK1499" s="1530"/>
      <c r="DL1499" s="1530"/>
      <c r="DM1499" s="1530"/>
      <c r="DN1499" s="1571"/>
      <c r="DO1499" s="1530"/>
      <c r="DP1499" s="1530"/>
    </row>
    <row r="1500" spans="1:120">
      <c r="A1500" s="1451"/>
      <c r="C1500" s="1451"/>
      <c r="K1500" s="1451"/>
      <c r="L1500" s="1451"/>
      <c r="U1500" s="1451"/>
      <c r="AD1500" s="1451"/>
      <c r="AM1500" s="1451"/>
      <c r="AV1500" s="1451"/>
      <c r="BE1500" s="1451"/>
      <c r="BN1500" s="1451"/>
      <c r="BV1500" s="1451"/>
      <c r="BW1500" s="1451"/>
      <c r="CF1500" s="1451"/>
      <c r="CN1500" s="1451"/>
      <c r="CO1500" s="1530"/>
      <c r="CP1500" s="1530"/>
      <c r="CQ1500" s="1530"/>
      <c r="CR1500" s="1530"/>
      <c r="CS1500" s="1530"/>
      <c r="CT1500" s="1530"/>
      <c r="CU1500" s="1530"/>
      <c r="CV1500" s="1530"/>
      <c r="CW1500" s="1530"/>
      <c r="CX1500" s="1530"/>
      <c r="CY1500" s="1530"/>
      <c r="CZ1500" s="1530"/>
      <c r="DA1500" s="1530"/>
      <c r="DB1500" s="1530"/>
      <c r="DC1500" s="1530"/>
      <c r="DD1500" s="1530"/>
      <c r="DE1500" s="1530"/>
      <c r="DF1500" s="1530"/>
      <c r="DG1500" s="1530"/>
      <c r="DH1500" s="1530"/>
      <c r="DI1500" s="1530"/>
      <c r="DJ1500" s="1530"/>
      <c r="DK1500" s="1530"/>
      <c r="DL1500" s="1530"/>
      <c r="DM1500" s="1530"/>
      <c r="DN1500" s="1571"/>
      <c r="DO1500" s="1530"/>
      <c r="DP1500" s="1530"/>
    </row>
    <row r="1501" spans="1:120">
      <c r="A1501" s="1451"/>
      <c r="C1501" s="1451"/>
      <c r="K1501" s="1451"/>
      <c r="L1501" s="1451"/>
      <c r="U1501" s="1451"/>
      <c r="AD1501" s="1451"/>
      <c r="AM1501" s="1451"/>
      <c r="AV1501" s="1451"/>
      <c r="BE1501" s="1451"/>
      <c r="BN1501" s="1451"/>
      <c r="BV1501" s="1451"/>
      <c r="BW1501" s="1451"/>
      <c r="CF1501" s="1451"/>
      <c r="CN1501" s="1451"/>
      <c r="CO1501" s="1530"/>
      <c r="CP1501" s="1530"/>
      <c r="CQ1501" s="1530"/>
      <c r="CR1501" s="1530"/>
      <c r="CS1501" s="1530"/>
      <c r="CT1501" s="1530"/>
      <c r="CU1501" s="1530"/>
      <c r="CV1501" s="1530"/>
      <c r="CW1501" s="1530"/>
      <c r="CX1501" s="1530"/>
      <c r="CY1501" s="1530"/>
      <c r="CZ1501" s="1530"/>
      <c r="DA1501" s="1530"/>
      <c r="DB1501" s="1530"/>
      <c r="DC1501" s="1530"/>
      <c r="DD1501" s="1530"/>
      <c r="DE1501" s="1530"/>
      <c r="DF1501" s="1530"/>
      <c r="DG1501" s="1530"/>
      <c r="DH1501" s="1530"/>
      <c r="DI1501" s="1530"/>
      <c r="DJ1501" s="1530"/>
      <c r="DK1501" s="1530"/>
      <c r="DL1501" s="1530"/>
      <c r="DM1501" s="1530"/>
      <c r="DN1501" s="1571"/>
      <c r="DO1501" s="1530"/>
      <c r="DP1501" s="1530"/>
    </row>
    <row r="1502" spans="1:120">
      <c r="A1502" s="1451"/>
      <c r="C1502" s="1451"/>
      <c r="K1502" s="1451"/>
      <c r="L1502" s="1451"/>
      <c r="U1502" s="1451"/>
      <c r="AD1502" s="1451"/>
      <c r="AM1502" s="1451"/>
      <c r="AV1502" s="1451"/>
      <c r="BE1502" s="1451"/>
      <c r="BN1502" s="1451"/>
      <c r="BV1502" s="1451"/>
      <c r="BW1502" s="1451"/>
      <c r="CF1502" s="1451"/>
      <c r="CN1502" s="1451"/>
      <c r="CO1502" s="1530"/>
      <c r="CP1502" s="1530"/>
      <c r="CQ1502" s="1530"/>
      <c r="CR1502" s="1530"/>
      <c r="CS1502" s="1530"/>
      <c r="CT1502" s="1530"/>
      <c r="CU1502" s="1530"/>
      <c r="CV1502" s="1530"/>
      <c r="CW1502" s="1530"/>
      <c r="CX1502" s="1530"/>
      <c r="CY1502" s="1530"/>
      <c r="CZ1502" s="1530"/>
      <c r="DA1502" s="1530"/>
      <c r="DB1502" s="1530"/>
      <c r="DC1502" s="1530"/>
      <c r="DD1502" s="1530"/>
      <c r="DE1502" s="1530"/>
      <c r="DF1502" s="1530"/>
      <c r="DG1502" s="1530"/>
      <c r="DH1502" s="1530"/>
      <c r="DI1502" s="1530"/>
      <c r="DJ1502" s="1530"/>
      <c r="DK1502" s="1530"/>
      <c r="DL1502" s="1530"/>
      <c r="DM1502" s="1530"/>
      <c r="DN1502" s="1571"/>
      <c r="DO1502" s="1530"/>
      <c r="DP1502" s="1530"/>
    </row>
    <row r="1503" spans="1:120">
      <c r="A1503" s="1451"/>
      <c r="C1503" s="1451"/>
      <c r="K1503" s="1451"/>
      <c r="L1503" s="1451"/>
      <c r="U1503" s="1451"/>
      <c r="AD1503" s="1451"/>
      <c r="AM1503" s="1451"/>
      <c r="AV1503" s="1451"/>
      <c r="BE1503" s="1451"/>
      <c r="BN1503" s="1451"/>
      <c r="BV1503" s="1451"/>
      <c r="BW1503" s="1451"/>
      <c r="CF1503" s="1451"/>
      <c r="CN1503" s="1451"/>
      <c r="CO1503" s="1530"/>
      <c r="CP1503" s="1530"/>
      <c r="CQ1503" s="1530"/>
      <c r="CR1503" s="1530"/>
      <c r="CS1503" s="1530"/>
      <c r="CT1503" s="1530"/>
      <c r="CU1503" s="1530"/>
      <c r="CV1503" s="1530"/>
      <c r="CW1503" s="1530"/>
      <c r="CX1503" s="1530"/>
      <c r="CY1503" s="1530"/>
      <c r="CZ1503" s="1530"/>
      <c r="DA1503" s="1530"/>
      <c r="DB1503" s="1530"/>
      <c r="DC1503" s="1530"/>
      <c r="DD1503" s="1530"/>
      <c r="DE1503" s="1530"/>
      <c r="DF1503" s="1530"/>
      <c r="DG1503" s="1530"/>
      <c r="DH1503" s="1530"/>
      <c r="DI1503" s="1530"/>
      <c r="DJ1503" s="1530"/>
      <c r="DK1503" s="1530"/>
      <c r="DL1503" s="1530"/>
      <c r="DM1503" s="1530"/>
      <c r="DN1503" s="1571"/>
      <c r="DO1503" s="1530"/>
      <c r="DP1503" s="1530"/>
    </row>
    <row r="1504" spans="1:120">
      <c r="A1504" s="1451"/>
      <c r="C1504" s="1451"/>
      <c r="K1504" s="1451"/>
      <c r="L1504" s="1451"/>
      <c r="U1504" s="1451"/>
      <c r="AD1504" s="1451"/>
      <c r="AM1504" s="1451"/>
      <c r="AV1504" s="1451"/>
      <c r="BE1504" s="1451"/>
      <c r="BN1504" s="1451"/>
      <c r="BV1504" s="1451"/>
      <c r="BW1504" s="1451"/>
      <c r="CF1504" s="1451"/>
      <c r="CN1504" s="1451"/>
      <c r="CO1504" s="1530"/>
      <c r="CP1504" s="1530"/>
      <c r="CQ1504" s="1530"/>
      <c r="CR1504" s="1530"/>
      <c r="CS1504" s="1530"/>
      <c r="CT1504" s="1530"/>
      <c r="CU1504" s="1530"/>
      <c r="CV1504" s="1530"/>
      <c r="CW1504" s="1530"/>
      <c r="CX1504" s="1530"/>
      <c r="CY1504" s="1530"/>
      <c r="CZ1504" s="1530"/>
      <c r="DA1504" s="1530"/>
      <c r="DB1504" s="1530"/>
      <c r="DC1504" s="1530"/>
      <c r="DD1504" s="1530"/>
      <c r="DE1504" s="1530"/>
      <c r="DF1504" s="1530"/>
      <c r="DG1504" s="1530"/>
      <c r="DH1504" s="1530"/>
      <c r="DI1504" s="1530"/>
      <c r="DJ1504" s="1530"/>
      <c r="DK1504" s="1530"/>
      <c r="DL1504" s="1530"/>
      <c r="DM1504" s="1530"/>
      <c r="DN1504" s="1571"/>
      <c r="DO1504" s="1530"/>
      <c r="DP1504" s="1530"/>
    </row>
    <row r="1505" spans="1:120">
      <c r="A1505" s="1451"/>
      <c r="C1505" s="1451"/>
      <c r="K1505" s="1451"/>
      <c r="L1505" s="1451"/>
      <c r="U1505" s="1451"/>
      <c r="AD1505" s="1451"/>
      <c r="AM1505" s="1451"/>
      <c r="AV1505" s="1451"/>
      <c r="BE1505" s="1451"/>
      <c r="BN1505" s="1451"/>
      <c r="BV1505" s="1451"/>
      <c r="BW1505" s="1451"/>
      <c r="CF1505" s="1451"/>
      <c r="CN1505" s="1451"/>
      <c r="CO1505" s="1530"/>
      <c r="CP1505" s="1530"/>
      <c r="CQ1505" s="1530"/>
      <c r="CR1505" s="1530"/>
      <c r="CS1505" s="1530"/>
      <c r="CT1505" s="1530"/>
      <c r="CU1505" s="1530"/>
      <c r="CV1505" s="1530"/>
      <c r="CW1505" s="1530"/>
      <c r="CX1505" s="1530"/>
      <c r="CY1505" s="1530"/>
      <c r="CZ1505" s="1530"/>
      <c r="DA1505" s="1530"/>
      <c r="DB1505" s="1530"/>
      <c r="DC1505" s="1530"/>
      <c r="DD1505" s="1530"/>
      <c r="DE1505" s="1530"/>
      <c r="DF1505" s="1530"/>
      <c r="DG1505" s="1530"/>
      <c r="DH1505" s="1530"/>
      <c r="DI1505" s="1530"/>
      <c r="DJ1505" s="1530"/>
      <c r="DK1505" s="1530"/>
      <c r="DL1505" s="1530"/>
      <c r="DM1505" s="1530"/>
      <c r="DN1505" s="1571"/>
      <c r="DO1505" s="1530"/>
      <c r="DP1505" s="1530"/>
    </row>
    <row r="1506" spans="1:120">
      <c r="A1506" s="1451"/>
      <c r="C1506" s="1451"/>
      <c r="K1506" s="1451"/>
      <c r="L1506" s="1451"/>
      <c r="U1506" s="1451"/>
      <c r="AD1506" s="1451"/>
      <c r="AM1506" s="1451"/>
      <c r="AV1506" s="1451"/>
      <c r="BE1506" s="1451"/>
      <c r="BN1506" s="1451"/>
      <c r="BV1506" s="1451"/>
      <c r="BW1506" s="1451"/>
      <c r="CF1506" s="1451"/>
      <c r="CN1506" s="1451"/>
      <c r="CO1506" s="1530"/>
      <c r="CP1506" s="1530"/>
      <c r="CQ1506" s="1530"/>
      <c r="CR1506" s="1530"/>
      <c r="CS1506" s="1530"/>
      <c r="CT1506" s="1530"/>
      <c r="CU1506" s="1530"/>
      <c r="CV1506" s="1530"/>
      <c r="CW1506" s="1530"/>
      <c r="CX1506" s="1530"/>
      <c r="CY1506" s="1530"/>
      <c r="CZ1506" s="1530"/>
      <c r="DA1506" s="1530"/>
      <c r="DB1506" s="1530"/>
      <c r="DC1506" s="1530"/>
      <c r="DD1506" s="1530"/>
      <c r="DE1506" s="1530"/>
      <c r="DF1506" s="1530"/>
      <c r="DG1506" s="1530"/>
      <c r="DH1506" s="1530"/>
      <c r="DI1506" s="1530"/>
      <c r="DJ1506" s="1530"/>
      <c r="DK1506" s="1530"/>
      <c r="DL1506" s="1530"/>
      <c r="DM1506" s="1530"/>
      <c r="DN1506" s="1571"/>
      <c r="DO1506" s="1530"/>
      <c r="DP1506" s="1530"/>
    </row>
    <row r="1507" spans="1:120">
      <c r="A1507" s="1451"/>
      <c r="C1507" s="1451"/>
      <c r="K1507" s="1451"/>
      <c r="L1507" s="1451"/>
      <c r="U1507" s="1451"/>
      <c r="AD1507" s="1451"/>
      <c r="AM1507" s="1451"/>
      <c r="AV1507" s="1451"/>
      <c r="BE1507" s="1451"/>
      <c r="BN1507" s="1451"/>
      <c r="BV1507" s="1451"/>
      <c r="BW1507" s="1451"/>
      <c r="CF1507" s="1451"/>
      <c r="CN1507" s="1451"/>
      <c r="CO1507" s="1530"/>
      <c r="CP1507" s="1530"/>
      <c r="CQ1507" s="1530"/>
      <c r="CR1507" s="1530"/>
      <c r="CS1507" s="1530"/>
      <c r="CT1507" s="1530"/>
      <c r="CU1507" s="1530"/>
      <c r="CV1507" s="1530"/>
      <c r="CW1507" s="1530"/>
      <c r="CX1507" s="1530"/>
      <c r="CY1507" s="1530"/>
      <c r="CZ1507" s="1530"/>
      <c r="DA1507" s="1530"/>
      <c r="DB1507" s="1530"/>
      <c r="DC1507" s="1530"/>
      <c r="DD1507" s="1530"/>
      <c r="DE1507" s="1530"/>
      <c r="DF1507" s="1530"/>
      <c r="DG1507" s="1530"/>
      <c r="DH1507" s="1530"/>
      <c r="DI1507" s="1530"/>
      <c r="DJ1507" s="1530"/>
      <c r="DK1507" s="1530"/>
      <c r="DL1507" s="1530"/>
      <c r="DM1507" s="1530"/>
      <c r="DN1507" s="1571"/>
      <c r="DO1507" s="1530"/>
      <c r="DP1507" s="1530"/>
    </row>
    <row r="1508" spans="1:120">
      <c r="A1508" s="1451"/>
      <c r="C1508" s="1451"/>
      <c r="K1508" s="1451"/>
      <c r="L1508" s="1451"/>
      <c r="U1508" s="1451"/>
      <c r="AD1508" s="1451"/>
      <c r="AM1508" s="1451"/>
      <c r="AV1508" s="1451"/>
      <c r="BE1508" s="1451"/>
      <c r="BN1508" s="1451"/>
      <c r="BV1508" s="1451"/>
      <c r="BW1508" s="1451"/>
      <c r="CF1508" s="1451"/>
      <c r="CN1508" s="1451"/>
      <c r="CO1508" s="1530"/>
      <c r="CP1508" s="1530"/>
      <c r="CQ1508" s="1530"/>
      <c r="CR1508" s="1530"/>
      <c r="CS1508" s="1530"/>
      <c r="CT1508" s="1530"/>
      <c r="CU1508" s="1530"/>
      <c r="CV1508" s="1530"/>
      <c r="CW1508" s="1530"/>
      <c r="CX1508" s="1530"/>
      <c r="CY1508" s="1530"/>
      <c r="CZ1508" s="1530"/>
      <c r="DA1508" s="1530"/>
      <c r="DB1508" s="1530"/>
      <c r="DC1508" s="1530"/>
      <c r="DD1508" s="1530"/>
      <c r="DE1508" s="1530"/>
      <c r="DF1508" s="1530"/>
      <c r="DG1508" s="1530"/>
      <c r="DH1508" s="1530"/>
      <c r="DI1508" s="1530"/>
      <c r="DJ1508" s="1530"/>
      <c r="DK1508" s="1530"/>
      <c r="DL1508" s="1530"/>
      <c r="DM1508" s="1530"/>
      <c r="DN1508" s="1571"/>
      <c r="DO1508" s="1530"/>
      <c r="DP1508" s="1530"/>
    </row>
    <row r="1509" spans="1:120">
      <c r="A1509" s="1451"/>
      <c r="C1509" s="1451"/>
      <c r="K1509" s="1451"/>
      <c r="L1509" s="1451"/>
      <c r="U1509" s="1451"/>
      <c r="AD1509" s="1451"/>
      <c r="AM1509" s="1451"/>
      <c r="AV1509" s="1451"/>
      <c r="BE1509" s="1451"/>
      <c r="BN1509" s="1451"/>
      <c r="BV1509" s="1451"/>
      <c r="BW1509" s="1451"/>
      <c r="CF1509" s="1451"/>
      <c r="CN1509" s="1451"/>
      <c r="CO1509" s="1530"/>
      <c r="CP1509" s="1530"/>
      <c r="CQ1509" s="1530"/>
      <c r="CR1509" s="1530"/>
      <c r="CS1509" s="1530"/>
      <c r="CT1509" s="1530"/>
      <c r="CU1509" s="1530"/>
      <c r="CV1509" s="1530"/>
      <c r="CW1509" s="1530"/>
      <c r="CX1509" s="1530"/>
      <c r="CY1509" s="1530"/>
      <c r="CZ1509" s="1530"/>
      <c r="DA1509" s="1530"/>
      <c r="DB1509" s="1530"/>
      <c r="DC1509" s="1530"/>
      <c r="DD1509" s="1530"/>
      <c r="DE1509" s="1530"/>
      <c r="DF1509" s="1530"/>
      <c r="DG1509" s="1530"/>
      <c r="DH1509" s="1530"/>
      <c r="DI1509" s="1530"/>
      <c r="DJ1509" s="1530"/>
      <c r="DK1509" s="1530"/>
      <c r="DL1509" s="1530"/>
      <c r="DM1509" s="1530"/>
      <c r="DN1509" s="1571"/>
      <c r="DO1509" s="1530"/>
      <c r="DP1509" s="1530"/>
    </row>
    <row r="1510" spans="1:120">
      <c r="A1510" s="1451"/>
      <c r="C1510" s="1451"/>
      <c r="K1510" s="1451"/>
      <c r="L1510" s="1451"/>
      <c r="U1510" s="1451"/>
      <c r="AD1510" s="1451"/>
      <c r="AM1510" s="1451"/>
      <c r="AV1510" s="1451"/>
      <c r="BE1510" s="1451"/>
      <c r="BN1510" s="1451"/>
      <c r="BV1510" s="1451"/>
      <c r="BW1510" s="1451"/>
      <c r="CF1510" s="1451"/>
      <c r="CN1510" s="1451"/>
      <c r="CO1510" s="1530"/>
      <c r="CP1510" s="1530"/>
      <c r="CQ1510" s="1530"/>
      <c r="CR1510" s="1530"/>
      <c r="CS1510" s="1530"/>
      <c r="CT1510" s="1530"/>
      <c r="CU1510" s="1530"/>
      <c r="CV1510" s="1530"/>
      <c r="CW1510" s="1530"/>
      <c r="CX1510" s="1530"/>
      <c r="CY1510" s="1530"/>
      <c r="CZ1510" s="1530"/>
      <c r="DA1510" s="1530"/>
      <c r="DB1510" s="1530"/>
      <c r="DC1510" s="1530"/>
      <c r="DD1510" s="1530"/>
      <c r="DE1510" s="1530"/>
      <c r="DF1510" s="1530"/>
      <c r="DG1510" s="1530"/>
      <c r="DH1510" s="1530"/>
      <c r="DI1510" s="1530"/>
      <c r="DJ1510" s="1530"/>
      <c r="DK1510" s="1530"/>
      <c r="DL1510" s="1530"/>
      <c r="DM1510" s="1530"/>
      <c r="DN1510" s="1571"/>
      <c r="DO1510" s="1530"/>
      <c r="DP1510" s="1530"/>
    </row>
    <row r="1511" spans="1:120">
      <c r="A1511" s="1451"/>
      <c r="C1511" s="1451"/>
      <c r="K1511" s="1451"/>
      <c r="L1511" s="1451"/>
      <c r="U1511" s="1451"/>
      <c r="AD1511" s="1451"/>
      <c r="AM1511" s="1451"/>
      <c r="AV1511" s="1451"/>
      <c r="BE1511" s="1451"/>
      <c r="BN1511" s="1451"/>
      <c r="BV1511" s="1451"/>
      <c r="BW1511" s="1451"/>
      <c r="CF1511" s="1451"/>
      <c r="CN1511" s="1451"/>
      <c r="CO1511" s="1530"/>
      <c r="CP1511" s="1530"/>
      <c r="CQ1511" s="1530"/>
      <c r="CR1511" s="1530"/>
      <c r="CS1511" s="1530"/>
      <c r="CT1511" s="1530"/>
      <c r="CU1511" s="1530"/>
      <c r="CV1511" s="1530"/>
      <c r="CW1511" s="1530"/>
      <c r="CX1511" s="1530"/>
      <c r="CY1511" s="1530"/>
      <c r="CZ1511" s="1530"/>
      <c r="DA1511" s="1530"/>
      <c r="DB1511" s="1530"/>
      <c r="DC1511" s="1530"/>
      <c r="DD1511" s="1530"/>
      <c r="DE1511" s="1530"/>
      <c r="DF1511" s="1530"/>
      <c r="DG1511" s="1530"/>
      <c r="DH1511" s="1530"/>
      <c r="DI1511" s="1530"/>
      <c r="DJ1511" s="1530"/>
      <c r="DK1511" s="1530"/>
      <c r="DL1511" s="1530"/>
      <c r="DM1511" s="1530"/>
      <c r="DN1511" s="1571"/>
      <c r="DO1511" s="1530"/>
      <c r="DP1511" s="1530"/>
    </row>
    <row r="1512" spans="1:120">
      <c r="A1512" s="1451"/>
      <c r="C1512" s="1451"/>
      <c r="K1512" s="1451"/>
      <c r="L1512" s="1451"/>
      <c r="U1512" s="1451"/>
      <c r="AD1512" s="1451"/>
      <c r="AM1512" s="1451"/>
      <c r="AV1512" s="1451"/>
      <c r="BE1512" s="1451"/>
      <c r="BN1512" s="1451"/>
      <c r="BV1512" s="1451"/>
      <c r="BW1512" s="1451"/>
      <c r="CF1512" s="1451"/>
      <c r="CN1512" s="1451"/>
      <c r="CO1512" s="1530"/>
      <c r="CP1512" s="1530"/>
      <c r="CQ1512" s="1530"/>
      <c r="CR1512" s="1530"/>
      <c r="CS1512" s="1530"/>
      <c r="CT1512" s="1530"/>
      <c r="CU1512" s="1530"/>
      <c r="CV1512" s="1530"/>
      <c r="CW1512" s="1530"/>
      <c r="CX1512" s="1530"/>
      <c r="CY1512" s="1530"/>
      <c r="CZ1512" s="1530"/>
      <c r="DA1512" s="1530"/>
      <c r="DB1512" s="1530"/>
      <c r="DC1512" s="1530"/>
      <c r="DD1512" s="1530"/>
      <c r="DE1512" s="1530"/>
      <c r="DF1512" s="1530"/>
      <c r="DG1512" s="1530"/>
      <c r="DH1512" s="1530"/>
      <c r="DI1512" s="1530"/>
      <c r="DJ1512" s="1530"/>
      <c r="DK1512" s="1530"/>
      <c r="DL1512" s="1530"/>
      <c r="DM1512" s="1530"/>
      <c r="DN1512" s="1571"/>
      <c r="DO1512" s="1530"/>
      <c r="DP1512" s="1530"/>
    </row>
    <row r="1513" spans="1:120">
      <c r="A1513" s="1451"/>
      <c r="C1513" s="1451"/>
      <c r="K1513" s="1451"/>
      <c r="L1513" s="1451"/>
      <c r="U1513" s="1451"/>
      <c r="AD1513" s="1451"/>
      <c r="AM1513" s="1451"/>
      <c r="AV1513" s="1451"/>
      <c r="BE1513" s="1451"/>
      <c r="BN1513" s="1451"/>
      <c r="BV1513" s="1451"/>
      <c r="BW1513" s="1451"/>
      <c r="CF1513" s="1451"/>
      <c r="CN1513" s="1451"/>
      <c r="CO1513" s="1530"/>
      <c r="CP1513" s="1530"/>
      <c r="CQ1513" s="1530"/>
      <c r="CR1513" s="1530"/>
      <c r="CS1513" s="1530"/>
      <c r="CT1513" s="1530"/>
      <c r="CU1513" s="1530"/>
      <c r="CV1513" s="1530"/>
      <c r="CW1513" s="1530"/>
      <c r="CX1513" s="1530"/>
      <c r="CY1513" s="1530"/>
      <c r="CZ1513" s="1530"/>
      <c r="DA1513" s="1530"/>
      <c r="DB1513" s="1530"/>
      <c r="DC1513" s="1530"/>
      <c r="DD1513" s="1530"/>
      <c r="DE1513" s="1530"/>
      <c r="DF1513" s="1530"/>
      <c r="DG1513" s="1530"/>
      <c r="DH1513" s="1530"/>
      <c r="DI1513" s="1530"/>
      <c r="DJ1513" s="1530"/>
      <c r="DK1513" s="1530"/>
      <c r="DL1513" s="1530"/>
      <c r="DM1513" s="1530"/>
      <c r="DN1513" s="1571"/>
      <c r="DO1513" s="1530"/>
      <c r="DP1513" s="1530"/>
    </row>
    <row r="1514" spans="1:120">
      <c r="A1514" s="1451"/>
      <c r="C1514" s="1451"/>
      <c r="K1514" s="1451"/>
      <c r="L1514" s="1451"/>
      <c r="U1514" s="1451"/>
      <c r="AD1514" s="1451"/>
      <c r="AM1514" s="1451"/>
      <c r="AV1514" s="1451"/>
      <c r="BE1514" s="1451"/>
      <c r="BN1514" s="1451"/>
      <c r="BV1514" s="1451"/>
      <c r="BW1514" s="1451"/>
      <c r="CF1514" s="1451"/>
      <c r="CN1514" s="1451"/>
      <c r="CO1514" s="1530"/>
      <c r="CP1514" s="1530"/>
      <c r="CQ1514" s="1530"/>
      <c r="CR1514" s="1530"/>
      <c r="CS1514" s="1530"/>
      <c r="CT1514" s="1530"/>
      <c r="CU1514" s="1530"/>
      <c r="CV1514" s="1530"/>
      <c r="CW1514" s="1530"/>
      <c r="CX1514" s="1530"/>
      <c r="CY1514" s="1530"/>
      <c r="CZ1514" s="1530"/>
      <c r="DA1514" s="1530"/>
      <c r="DB1514" s="1530"/>
      <c r="DC1514" s="1530"/>
      <c r="DD1514" s="1530"/>
      <c r="DE1514" s="1530"/>
      <c r="DF1514" s="1530"/>
      <c r="DG1514" s="1530"/>
      <c r="DH1514" s="1530"/>
      <c r="DI1514" s="1530"/>
      <c r="DJ1514" s="1530"/>
      <c r="DK1514" s="1530"/>
      <c r="DL1514" s="1530"/>
      <c r="DM1514" s="1530"/>
      <c r="DN1514" s="1571"/>
      <c r="DO1514" s="1530"/>
      <c r="DP1514" s="1530"/>
    </row>
    <row r="1515" spans="1:120">
      <c r="A1515" s="1451"/>
      <c r="C1515" s="1451"/>
      <c r="K1515" s="1451"/>
      <c r="L1515" s="1451"/>
      <c r="U1515" s="1451"/>
      <c r="AD1515" s="1451"/>
      <c r="AM1515" s="1451"/>
      <c r="AV1515" s="1451"/>
      <c r="BE1515" s="1451"/>
      <c r="BN1515" s="1451"/>
      <c r="BV1515" s="1451"/>
      <c r="BW1515" s="1451"/>
      <c r="CF1515" s="1451"/>
      <c r="CN1515" s="1451"/>
      <c r="CO1515" s="1530"/>
      <c r="CP1515" s="1530"/>
      <c r="CQ1515" s="1530"/>
      <c r="CR1515" s="1530"/>
      <c r="CS1515" s="1530"/>
      <c r="CT1515" s="1530"/>
      <c r="CU1515" s="1530"/>
      <c r="CV1515" s="1530"/>
      <c r="CW1515" s="1530"/>
      <c r="CX1515" s="1530"/>
      <c r="CY1515" s="1530"/>
      <c r="CZ1515" s="1530"/>
      <c r="DA1515" s="1530"/>
      <c r="DB1515" s="1530"/>
      <c r="DC1515" s="1530"/>
      <c r="DD1515" s="1530"/>
      <c r="DE1515" s="1530"/>
      <c r="DF1515" s="1530"/>
      <c r="DG1515" s="1530"/>
      <c r="DH1515" s="1530"/>
      <c r="DI1515" s="1530"/>
      <c r="DJ1515" s="1530"/>
      <c r="DK1515" s="1530"/>
      <c r="DL1515" s="1530"/>
      <c r="DM1515" s="1530"/>
      <c r="DN1515" s="1571"/>
      <c r="DO1515" s="1530"/>
      <c r="DP1515" s="1530"/>
    </row>
    <row r="1516" spans="1:120">
      <c r="A1516" s="1451"/>
      <c r="C1516" s="1451"/>
      <c r="K1516" s="1451"/>
      <c r="L1516" s="1451"/>
      <c r="U1516" s="1451"/>
      <c r="AD1516" s="1451"/>
      <c r="AM1516" s="1451"/>
      <c r="AV1516" s="1451"/>
      <c r="BE1516" s="1451"/>
      <c r="BN1516" s="1451"/>
      <c r="BV1516" s="1451"/>
      <c r="BW1516" s="1451"/>
      <c r="CF1516" s="1451"/>
      <c r="CN1516" s="1451"/>
      <c r="CO1516" s="1530"/>
      <c r="CP1516" s="1530"/>
      <c r="CQ1516" s="1530"/>
      <c r="CR1516" s="1530"/>
      <c r="CS1516" s="1530"/>
      <c r="CT1516" s="1530"/>
      <c r="CU1516" s="1530"/>
      <c r="CV1516" s="1530"/>
      <c r="CW1516" s="1530"/>
      <c r="CX1516" s="1530"/>
      <c r="CY1516" s="1530"/>
      <c r="CZ1516" s="1530"/>
      <c r="DA1516" s="1530"/>
      <c r="DB1516" s="1530"/>
      <c r="DC1516" s="1530"/>
      <c r="DD1516" s="1530"/>
      <c r="DE1516" s="1530"/>
      <c r="DF1516" s="1530"/>
      <c r="DG1516" s="1530"/>
      <c r="DH1516" s="1530"/>
      <c r="DI1516" s="1530"/>
      <c r="DJ1516" s="1530"/>
      <c r="DK1516" s="1530"/>
      <c r="DL1516" s="1530"/>
      <c r="DM1516" s="1530"/>
      <c r="DN1516" s="1571"/>
      <c r="DO1516" s="1530"/>
      <c r="DP1516" s="1530"/>
    </row>
    <row r="1517" spans="1:120">
      <c r="A1517" s="1451"/>
      <c r="C1517" s="1451"/>
      <c r="K1517" s="1451"/>
      <c r="L1517" s="1451"/>
      <c r="U1517" s="1451"/>
      <c r="AD1517" s="1451"/>
      <c r="AM1517" s="1451"/>
      <c r="AV1517" s="1451"/>
      <c r="BE1517" s="1451"/>
      <c r="BN1517" s="1451"/>
      <c r="BV1517" s="1451"/>
      <c r="BW1517" s="1451"/>
      <c r="CF1517" s="1451"/>
      <c r="CN1517" s="1451"/>
      <c r="CO1517" s="1530"/>
      <c r="CP1517" s="1530"/>
      <c r="CQ1517" s="1530"/>
      <c r="CR1517" s="1530"/>
      <c r="CS1517" s="1530"/>
      <c r="CT1517" s="1530"/>
      <c r="CU1517" s="1530"/>
      <c r="CV1517" s="1530"/>
      <c r="CW1517" s="1530"/>
      <c r="CX1517" s="1530"/>
      <c r="CY1517" s="1530"/>
      <c r="CZ1517" s="1530"/>
      <c r="DA1517" s="1530"/>
      <c r="DB1517" s="1530"/>
      <c r="DC1517" s="1530"/>
      <c r="DD1517" s="1530"/>
      <c r="DE1517" s="1530"/>
      <c r="DF1517" s="1530"/>
      <c r="DG1517" s="1530"/>
      <c r="DH1517" s="1530"/>
      <c r="DI1517" s="1530"/>
      <c r="DJ1517" s="1530"/>
      <c r="DK1517" s="1530"/>
      <c r="DL1517" s="1530"/>
      <c r="DM1517" s="1530"/>
      <c r="DN1517" s="1571"/>
      <c r="DO1517" s="1530"/>
      <c r="DP1517" s="1530"/>
    </row>
    <row r="1518" spans="1:120">
      <c r="A1518" s="1451"/>
      <c r="C1518" s="1451"/>
      <c r="K1518" s="1451"/>
      <c r="L1518" s="1451"/>
      <c r="U1518" s="1451"/>
      <c r="AD1518" s="1451"/>
      <c r="AM1518" s="1451"/>
      <c r="AV1518" s="1451"/>
      <c r="BE1518" s="1451"/>
      <c r="BN1518" s="1451"/>
      <c r="BV1518" s="1451"/>
      <c r="BW1518" s="1451"/>
      <c r="CF1518" s="1451"/>
      <c r="CN1518" s="1451"/>
      <c r="CO1518" s="1530"/>
      <c r="CP1518" s="1530"/>
      <c r="CQ1518" s="1530"/>
      <c r="CR1518" s="1530"/>
      <c r="CS1518" s="1530"/>
      <c r="CT1518" s="1530"/>
      <c r="CU1518" s="1530"/>
      <c r="CV1518" s="1530"/>
      <c r="CW1518" s="1530"/>
      <c r="CX1518" s="1530"/>
      <c r="CY1518" s="1530"/>
      <c r="CZ1518" s="1530"/>
      <c r="DA1518" s="1530"/>
      <c r="DB1518" s="1530"/>
      <c r="DC1518" s="1530"/>
      <c r="DD1518" s="1530"/>
      <c r="DE1518" s="1530"/>
      <c r="DF1518" s="1530"/>
      <c r="DG1518" s="1530"/>
      <c r="DH1518" s="1530"/>
      <c r="DI1518" s="1530"/>
      <c r="DJ1518" s="1530"/>
      <c r="DK1518" s="1530"/>
      <c r="DL1518" s="1530"/>
      <c r="DM1518" s="1530"/>
      <c r="DN1518" s="1571"/>
      <c r="DO1518" s="1530"/>
      <c r="DP1518" s="1530"/>
    </row>
    <row r="1519" spans="1:120">
      <c r="A1519" s="1451"/>
      <c r="C1519" s="1451"/>
      <c r="K1519" s="1451"/>
      <c r="L1519" s="1451"/>
      <c r="U1519" s="1451"/>
      <c r="AD1519" s="1451"/>
      <c r="AM1519" s="1451"/>
      <c r="AV1519" s="1451"/>
      <c r="BE1519" s="1451"/>
      <c r="BN1519" s="1451"/>
      <c r="BV1519" s="1451"/>
      <c r="BW1519" s="1451"/>
      <c r="CF1519" s="1451"/>
      <c r="CN1519" s="1451"/>
      <c r="CO1519" s="1530"/>
      <c r="CP1519" s="1530"/>
      <c r="CQ1519" s="1530"/>
      <c r="CR1519" s="1530"/>
      <c r="CS1519" s="1530"/>
      <c r="CT1519" s="1530"/>
      <c r="CU1519" s="1530"/>
      <c r="CV1519" s="1530"/>
      <c r="CW1519" s="1530"/>
      <c r="CX1519" s="1530"/>
      <c r="CY1519" s="1530"/>
      <c r="CZ1519" s="1530"/>
      <c r="DA1519" s="1530"/>
      <c r="DB1519" s="1530"/>
      <c r="DC1519" s="1530"/>
      <c r="DD1519" s="1530"/>
      <c r="DE1519" s="1530"/>
      <c r="DF1519" s="1530"/>
      <c r="DG1519" s="1530"/>
      <c r="DH1519" s="1530"/>
      <c r="DI1519" s="1530"/>
      <c r="DJ1519" s="1530"/>
      <c r="DK1519" s="1530"/>
      <c r="DL1519" s="1530"/>
      <c r="DM1519" s="1530"/>
      <c r="DN1519" s="1571"/>
      <c r="DO1519" s="1530"/>
      <c r="DP1519" s="1530"/>
    </row>
    <row r="1520" spans="1:120">
      <c r="A1520" s="1451"/>
      <c r="C1520" s="1451"/>
      <c r="K1520" s="1451"/>
      <c r="L1520" s="1451"/>
      <c r="U1520" s="1451"/>
      <c r="AD1520" s="1451"/>
      <c r="AM1520" s="1451"/>
      <c r="AV1520" s="1451"/>
      <c r="BE1520" s="1451"/>
      <c r="BN1520" s="1451"/>
      <c r="BV1520" s="1451"/>
      <c r="BW1520" s="1451"/>
      <c r="CF1520" s="1451"/>
      <c r="CN1520" s="1451"/>
      <c r="CO1520" s="1530"/>
      <c r="CP1520" s="1530"/>
      <c r="CQ1520" s="1530"/>
      <c r="CR1520" s="1530"/>
      <c r="CS1520" s="1530"/>
      <c r="CT1520" s="1530"/>
      <c r="CU1520" s="1530"/>
      <c r="CV1520" s="1530"/>
      <c r="CW1520" s="1530"/>
      <c r="CX1520" s="1530"/>
      <c r="CY1520" s="1530"/>
      <c r="CZ1520" s="1530"/>
      <c r="DA1520" s="1530"/>
      <c r="DB1520" s="1530"/>
      <c r="DC1520" s="1530"/>
      <c r="DD1520" s="1530"/>
      <c r="DE1520" s="1530"/>
      <c r="DF1520" s="1530"/>
      <c r="DG1520" s="1530"/>
      <c r="DH1520" s="1530"/>
      <c r="DI1520" s="1530"/>
      <c r="DJ1520" s="1530"/>
      <c r="DK1520" s="1530"/>
      <c r="DL1520" s="1530"/>
      <c r="DM1520" s="1530"/>
      <c r="DN1520" s="1571"/>
      <c r="DO1520" s="1530"/>
      <c r="DP1520" s="1530"/>
    </row>
    <row r="1521" spans="1:120">
      <c r="A1521" s="1451"/>
      <c r="C1521" s="1451"/>
      <c r="K1521" s="1451"/>
      <c r="L1521" s="1451"/>
      <c r="U1521" s="1451"/>
      <c r="AD1521" s="1451"/>
      <c r="AM1521" s="1451"/>
      <c r="AV1521" s="1451"/>
      <c r="BE1521" s="1451"/>
      <c r="BN1521" s="1451"/>
      <c r="BV1521" s="1451"/>
      <c r="BW1521" s="1451"/>
      <c r="CF1521" s="1451"/>
      <c r="CN1521" s="1451"/>
      <c r="CO1521" s="1530"/>
      <c r="CP1521" s="1530"/>
      <c r="CQ1521" s="1530"/>
      <c r="CR1521" s="1530"/>
      <c r="CS1521" s="1530"/>
      <c r="CT1521" s="1530"/>
      <c r="CU1521" s="1530"/>
      <c r="CV1521" s="1530"/>
      <c r="CW1521" s="1530"/>
      <c r="CX1521" s="1530"/>
      <c r="CY1521" s="1530"/>
      <c r="CZ1521" s="1530"/>
      <c r="DA1521" s="1530"/>
      <c r="DB1521" s="1530"/>
      <c r="DC1521" s="1530"/>
      <c r="DD1521" s="1530"/>
      <c r="DE1521" s="1530"/>
      <c r="DF1521" s="1530"/>
      <c r="DG1521" s="1530"/>
      <c r="DH1521" s="1530"/>
      <c r="DI1521" s="1530"/>
      <c r="DJ1521" s="1530"/>
      <c r="DK1521" s="1530"/>
      <c r="DL1521" s="1530"/>
      <c r="DM1521" s="1530"/>
      <c r="DN1521" s="1571"/>
      <c r="DO1521" s="1530"/>
      <c r="DP1521" s="1530"/>
    </row>
    <row r="1522" spans="1:120">
      <c r="A1522" s="1451"/>
      <c r="C1522" s="1451"/>
      <c r="K1522" s="1451"/>
      <c r="L1522" s="1451"/>
      <c r="U1522" s="1451"/>
      <c r="AD1522" s="1451"/>
      <c r="AM1522" s="1451"/>
      <c r="AV1522" s="1451"/>
      <c r="BE1522" s="1451"/>
      <c r="BN1522" s="1451"/>
      <c r="BV1522" s="1451"/>
      <c r="BW1522" s="1451"/>
      <c r="CF1522" s="1451"/>
      <c r="CN1522" s="1451"/>
      <c r="CO1522" s="1530"/>
      <c r="CP1522" s="1530"/>
      <c r="CQ1522" s="1530"/>
      <c r="CR1522" s="1530"/>
      <c r="CS1522" s="1530"/>
      <c r="CT1522" s="1530"/>
      <c r="CU1522" s="1530"/>
      <c r="CV1522" s="1530"/>
      <c r="CW1522" s="1530"/>
      <c r="CX1522" s="1530"/>
      <c r="CY1522" s="1530"/>
      <c r="CZ1522" s="1530"/>
      <c r="DA1522" s="1530"/>
      <c r="DB1522" s="1530"/>
      <c r="DC1522" s="1530"/>
      <c r="DD1522" s="1530"/>
      <c r="DE1522" s="1530"/>
      <c r="DF1522" s="1530"/>
      <c r="DG1522" s="1530"/>
      <c r="DH1522" s="1530"/>
      <c r="DI1522" s="1530"/>
      <c r="DJ1522" s="1530"/>
      <c r="DK1522" s="1530"/>
      <c r="DL1522" s="1530"/>
      <c r="DM1522" s="1530"/>
      <c r="DN1522" s="1571"/>
      <c r="DO1522" s="1530"/>
      <c r="DP1522" s="1530"/>
    </row>
    <row r="1523" spans="1:120">
      <c r="A1523" s="1451"/>
      <c r="C1523" s="1451"/>
      <c r="K1523" s="1451"/>
      <c r="L1523" s="1451"/>
      <c r="U1523" s="1451"/>
      <c r="AD1523" s="1451"/>
      <c r="AM1523" s="1451"/>
      <c r="AV1523" s="1451"/>
      <c r="BE1523" s="1451"/>
      <c r="BN1523" s="1451"/>
      <c r="BV1523" s="1451"/>
      <c r="BW1523" s="1451"/>
      <c r="CF1523" s="1451"/>
      <c r="CN1523" s="1451"/>
      <c r="CO1523" s="1530"/>
      <c r="CP1523" s="1530"/>
      <c r="CQ1523" s="1530"/>
      <c r="CR1523" s="1530"/>
      <c r="CS1523" s="1530"/>
      <c r="CT1523" s="1530"/>
      <c r="CU1523" s="1530"/>
      <c r="CV1523" s="1530"/>
      <c r="CW1523" s="1530"/>
      <c r="CX1523" s="1530"/>
      <c r="CY1523" s="1530"/>
      <c r="CZ1523" s="1530"/>
      <c r="DA1523" s="1530"/>
      <c r="DB1523" s="1530"/>
      <c r="DC1523" s="1530"/>
      <c r="DD1523" s="1530"/>
      <c r="DE1523" s="1530"/>
      <c r="DF1523" s="1530"/>
      <c r="DG1523" s="1530"/>
      <c r="DH1523" s="1530"/>
      <c r="DI1523" s="1530"/>
      <c r="DJ1523" s="1530"/>
      <c r="DK1523" s="1530"/>
      <c r="DL1523" s="1530"/>
      <c r="DM1523" s="1530"/>
      <c r="DN1523" s="1571"/>
      <c r="DO1523" s="1530"/>
      <c r="DP1523" s="1530"/>
    </row>
    <row r="1524" spans="1:120">
      <c r="A1524" s="1451"/>
      <c r="C1524" s="1451"/>
      <c r="K1524" s="1451"/>
      <c r="L1524" s="1451"/>
      <c r="U1524" s="1451"/>
      <c r="AD1524" s="1451"/>
      <c r="AM1524" s="1451"/>
      <c r="AV1524" s="1451"/>
      <c r="BE1524" s="1451"/>
      <c r="BN1524" s="1451"/>
      <c r="BV1524" s="1451"/>
      <c r="BW1524" s="1451"/>
      <c r="CF1524" s="1451"/>
      <c r="CN1524" s="1451"/>
      <c r="CO1524" s="1530"/>
      <c r="CP1524" s="1530"/>
      <c r="CQ1524" s="1530"/>
      <c r="CR1524" s="1530"/>
      <c r="CS1524" s="1530"/>
      <c r="CT1524" s="1530"/>
      <c r="CU1524" s="1530"/>
      <c r="CV1524" s="1530"/>
      <c r="CW1524" s="1530"/>
      <c r="CX1524" s="1530"/>
      <c r="CY1524" s="1530"/>
      <c r="CZ1524" s="1530"/>
      <c r="DA1524" s="1530"/>
      <c r="DB1524" s="1530"/>
      <c r="DC1524" s="1530"/>
      <c r="DD1524" s="1530"/>
      <c r="DE1524" s="1530"/>
      <c r="DF1524" s="1530"/>
      <c r="DG1524" s="1530"/>
      <c r="DH1524" s="1530"/>
      <c r="DI1524" s="1530"/>
      <c r="DJ1524" s="1530"/>
      <c r="DK1524" s="1530"/>
      <c r="DL1524" s="1530"/>
      <c r="DM1524" s="1530"/>
      <c r="DN1524" s="1571"/>
      <c r="DO1524" s="1530"/>
      <c r="DP1524" s="1530"/>
    </row>
    <row r="1525" spans="1:120">
      <c r="A1525" s="1451"/>
      <c r="C1525" s="1451"/>
      <c r="K1525" s="1451"/>
      <c r="L1525" s="1451"/>
      <c r="U1525" s="1451"/>
      <c r="AD1525" s="1451"/>
      <c r="AM1525" s="1451"/>
      <c r="AV1525" s="1451"/>
      <c r="BE1525" s="1451"/>
      <c r="BN1525" s="1451"/>
      <c r="BV1525" s="1451"/>
      <c r="BW1525" s="1451"/>
      <c r="CF1525" s="1451"/>
      <c r="CN1525" s="1451"/>
      <c r="CO1525" s="1530"/>
      <c r="CP1525" s="1530"/>
      <c r="CQ1525" s="1530"/>
      <c r="CR1525" s="1530"/>
      <c r="CS1525" s="1530"/>
      <c r="CT1525" s="1530"/>
      <c r="CU1525" s="1530"/>
      <c r="CV1525" s="1530"/>
      <c r="CW1525" s="1530"/>
      <c r="CX1525" s="1530"/>
      <c r="CY1525" s="1530"/>
      <c r="CZ1525" s="1530"/>
      <c r="DA1525" s="1530"/>
      <c r="DB1525" s="1530"/>
      <c r="DC1525" s="1530"/>
      <c r="DD1525" s="1530"/>
      <c r="DE1525" s="1530"/>
      <c r="DF1525" s="1530"/>
      <c r="DG1525" s="1530"/>
      <c r="DH1525" s="1530"/>
      <c r="DI1525" s="1530"/>
      <c r="DJ1525" s="1530"/>
      <c r="DK1525" s="1530"/>
      <c r="DL1525" s="1530"/>
      <c r="DM1525" s="1530"/>
      <c r="DN1525" s="1571"/>
      <c r="DO1525" s="1530"/>
      <c r="DP1525" s="1530"/>
    </row>
    <row r="1526" spans="1:120">
      <c r="A1526" s="1451"/>
      <c r="C1526" s="1451"/>
      <c r="K1526" s="1451"/>
      <c r="L1526" s="1451"/>
      <c r="U1526" s="1451"/>
      <c r="AD1526" s="1451"/>
      <c r="AM1526" s="1451"/>
      <c r="AV1526" s="1451"/>
      <c r="BE1526" s="1451"/>
      <c r="BN1526" s="1451"/>
      <c r="BV1526" s="1451"/>
      <c r="BW1526" s="1451"/>
      <c r="CF1526" s="1451"/>
      <c r="CN1526" s="1451"/>
      <c r="CO1526" s="1530"/>
      <c r="CP1526" s="1530"/>
      <c r="CQ1526" s="1530"/>
      <c r="CR1526" s="1530"/>
      <c r="CS1526" s="1530"/>
      <c r="CT1526" s="1530"/>
      <c r="CU1526" s="1530"/>
      <c r="CV1526" s="1530"/>
      <c r="CW1526" s="1530"/>
      <c r="CX1526" s="1530"/>
      <c r="CY1526" s="1530"/>
      <c r="CZ1526" s="1530"/>
      <c r="DA1526" s="1530"/>
      <c r="DB1526" s="1530"/>
      <c r="DC1526" s="1530"/>
      <c r="DD1526" s="1530"/>
      <c r="DE1526" s="1530"/>
      <c r="DF1526" s="1530"/>
      <c r="DG1526" s="1530"/>
      <c r="DH1526" s="1530"/>
      <c r="DI1526" s="1530"/>
      <c r="DJ1526" s="1530"/>
      <c r="DK1526" s="1530"/>
      <c r="DL1526" s="1530"/>
      <c r="DM1526" s="1530"/>
      <c r="DN1526" s="1571"/>
      <c r="DO1526" s="1530"/>
      <c r="DP1526" s="1530"/>
    </row>
    <row r="1527" spans="1:120">
      <c r="A1527" s="1451"/>
      <c r="C1527" s="1451"/>
      <c r="K1527" s="1451"/>
      <c r="L1527" s="1451"/>
      <c r="U1527" s="1451"/>
      <c r="AD1527" s="1451"/>
      <c r="AM1527" s="1451"/>
      <c r="AV1527" s="1451"/>
      <c r="BE1527" s="1451"/>
      <c r="BN1527" s="1451"/>
      <c r="BV1527" s="1451"/>
      <c r="BW1527" s="1451"/>
      <c r="CF1527" s="1451"/>
      <c r="CN1527" s="1451"/>
      <c r="CO1527" s="1530"/>
      <c r="CP1527" s="1530"/>
      <c r="CQ1527" s="1530"/>
      <c r="CR1527" s="1530"/>
      <c r="CS1527" s="1530"/>
      <c r="CT1527" s="1530"/>
      <c r="CU1527" s="1530"/>
      <c r="CV1527" s="1530"/>
      <c r="CW1527" s="1530"/>
      <c r="CX1527" s="1530"/>
      <c r="CY1527" s="1530"/>
      <c r="CZ1527" s="1530"/>
      <c r="DA1527" s="1530"/>
      <c r="DB1527" s="1530"/>
      <c r="DC1527" s="1530"/>
      <c r="DD1527" s="1530"/>
      <c r="DE1527" s="1530"/>
      <c r="DF1527" s="1530"/>
      <c r="DG1527" s="1530"/>
      <c r="DH1527" s="1530"/>
      <c r="DI1527" s="1530"/>
      <c r="DJ1527" s="1530"/>
      <c r="DK1527" s="1530"/>
      <c r="DL1527" s="1530"/>
      <c r="DM1527" s="1530"/>
      <c r="DN1527" s="1571"/>
      <c r="DO1527" s="1530"/>
      <c r="DP1527" s="1530"/>
    </row>
    <row r="1528" spans="1:120">
      <c r="A1528" s="1451"/>
      <c r="C1528" s="1451"/>
      <c r="K1528" s="1451"/>
      <c r="L1528" s="1451"/>
      <c r="U1528" s="1451"/>
      <c r="AD1528" s="1451"/>
      <c r="AM1528" s="1451"/>
      <c r="AV1528" s="1451"/>
      <c r="BE1528" s="1451"/>
      <c r="BN1528" s="1451"/>
      <c r="BV1528" s="1451"/>
      <c r="BW1528" s="1451"/>
      <c r="CF1528" s="1451"/>
      <c r="CN1528" s="1451"/>
      <c r="CO1528" s="1530"/>
      <c r="CP1528" s="1530"/>
      <c r="CQ1528" s="1530"/>
      <c r="CR1528" s="1530"/>
      <c r="CS1528" s="1530"/>
      <c r="CT1528" s="1530"/>
      <c r="CU1528" s="1530"/>
      <c r="CV1528" s="1530"/>
      <c r="CW1528" s="1530"/>
      <c r="CX1528" s="1530"/>
      <c r="CY1528" s="1530"/>
      <c r="CZ1528" s="1530"/>
      <c r="DA1528" s="1530"/>
      <c r="DB1528" s="1530"/>
      <c r="DC1528" s="1530"/>
      <c r="DD1528" s="1530"/>
      <c r="DE1528" s="1530"/>
      <c r="DF1528" s="1530"/>
      <c r="DG1528" s="1530"/>
      <c r="DH1528" s="1530"/>
      <c r="DI1528" s="1530"/>
      <c r="DJ1528" s="1530"/>
      <c r="DK1528" s="1530"/>
      <c r="DL1528" s="1530"/>
      <c r="DM1528" s="1530"/>
      <c r="DN1528" s="1571"/>
      <c r="DO1528" s="1530"/>
      <c r="DP1528" s="1530"/>
    </row>
    <row r="1529" spans="1:120">
      <c r="A1529" s="1451"/>
      <c r="C1529" s="1451"/>
      <c r="K1529" s="1451"/>
      <c r="L1529" s="1451"/>
      <c r="U1529" s="1451"/>
      <c r="AD1529" s="1451"/>
      <c r="AM1529" s="1451"/>
      <c r="AV1529" s="1451"/>
      <c r="BE1529" s="1451"/>
      <c r="BN1529" s="1451"/>
      <c r="BV1529" s="1451"/>
      <c r="BW1529" s="1451"/>
      <c r="CF1529" s="1451"/>
      <c r="CN1529" s="1451"/>
      <c r="CO1529" s="1530"/>
      <c r="CP1529" s="1530"/>
      <c r="CQ1529" s="1530"/>
      <c r="CR1529" s="1530"/>
      <c r="CS1529" s="1530"/>
      <c r="CT1529" s="1530"/>
      <c r="CU1529" s="1530"/>
      <c r="CV1529" s="1530"/>
      <c r="CW1529" s="1530"/>
      <c r="CX1529" s="1530"/>
      <c r="CY1529" s="1530"/>
      <c r="CZ1529" s="1530"/>
      <c r="DA1529" s="1530"/>
      <c r="DB1529" s="1530"/>
      <c r="DC1529" s="1530"/>
      <c r="DD1529" s="1530"/>
      <c r="DE1529" s="1530"/>
      <c r="DF1529" s="1530"/>
      <c r="DG1529" s="1530"/>
      <c r="DH1529" s="1530"/>
      <c r="DI1529" s="1530"/>
      <c r="DJ1529" s="1530"/>
      <c r="DK1529" s="1530"/>
      <c r="DL1529" s="1530"/>
      <c r="DM1529" s="1530"/>
      <c r="DN1529" s="1571"/>
      <c r="DO1529" s="1530"/>
      <c r="DP1529" s="1530"/>
    </row>
    <row r="1530" spans="1:120">
      <c r="A1530" s="1451"/>
      <c r="C1530" s="1451"/>
      <c r="K1530" s="1451"/>
      <c r="L1530" s="1451"/>
      <c r="U1530" s="1451"/>
      <c r="AD1530" s="1451"/>
      <c r="AM1530" s="1451"/>
      <c r="AV1530" s="1451"/>
      <c r="BE1530" s="1451"/>
      <c r="BN1530" s="1451"/>
      <c r="BV1530" s="1451"/>
      <c r="BW1530" s="1451"/>
      <c r="CF1530" s="1451"/>
      <c r="CN1530" s="1451"/>
      <c r="CO1530" s="1530"/>
      <c r="CP1530" s="1530"/>
      <c r="CQ1530" s="1530"/>
      <c r="CR1530" s="1530"/>
      <c r="CS1530" s="1530"/>
      <c r="CT1530" s="1530"/>
      <c r="CU1530" s="1530"/>
      <c r="CV1530" s="1530"/>
      <c r="CW1530" s="1530"/>
      <c r="CX1530" s="1530"/>
      <c r="CY1530" s="1530"/>
      <c r="CZ1530" s="1530"/>
      <c r="DA1530" s="1530"/>
      <c r="DB1530" s="1530"/>
      <c r="DC1530" s="1530"/>
      <c r="DD1530" s="1530"/>
      <c r="DE1530" s="1530"/>
      <c r="DF1530" s="1530"/>
      <c r="DG1530" s="1530"/>
      <c r="DH1530" s="1530"/>
      <c r="DI1530" s="1530"/>
      <c r="DJ1530" s="1530"/>
      <c r="DK1530" s="1530"/>
      <c r="DL1530" s="1530"/>
      <c r="DM1530" s="1530"/>
      <c r="DN1530" s="1571"/>
      <c r="DO1530" s="1530"/>
      <c r="DP1530" s="1530"/>
    </row>
    <row r="1531" spans="1:120">
      <c r="A1531" s="1451"/>
      <c r="C1531" s="1451"/>
      <c r="K1531" s="1451"/>
      <c r="L1531" s="1451"/>
      <c r="U1531" s="1451"/>
      <c r="AD1531" s="1451"/>
      <c r="AM1531" s="1451"/>
      <c r="AV1531" s="1451"/>
      <c r="BE1531" s="1451"/>
      <c r="BN1531" s="1451"/>
      <c r="BV1531" s="1451"/>
      <c r="BW1531" s="1451"/>
      <c r="CF1531" s="1451"/>
      <c r="CN1531" s="1451"/>
      <c r="CO1531" s="1530"/>
      <c r="CP1531" s="1530"/>
      <c r="CQ1531" s="1530"/>
      <c r="CR1531" s="1530"/>
      <c r="CS1531" s="1530"/>
      <c r="CT1531" s="1530"/>
      <c r="CU1531" s="1530"/>
      <c r="CV1531" s="1530"/>
      <c r="CW1531" s="1530"/>
      <c r="CX1531" s="1530"/>
      <c r="CY1531" s="1530"/>
      <c r="CZ1531" s="1530"/>
      <c r="DA1531" s="1530"/>
      <c r="DB1531" s="1530"/>
      <c r="DC1531" s="1530"/>
      <c r="DD1531" s="1530"/>
      <c r="DE1531" s="1530"/>
      <c r="DF1531" s="1530"/>
      <c r="DG1531" s="1530"/>
      <c r="DH1531" s="1530"/>
      <c r="DI1531" s="1530"/>
      <c r="DJ1531" s="1530"/>
      <c r="DK1531" s="1530"/>
      <c r="DL1531" s="1530"/>
      <c r="DM1531" s="1530"/>
      <c r="DN1531" s="1571"/>
      <c r="DO1531" s="1530"/>
      <c r="DP1531" s="1530"/>
    </row>
    <row r="1532" spans="1:120">
      <c r="A1532" s="1451"/>
      <c r="C1532" s="1451"/>
      <c r="K1532" s="1451"/>
      <c r="L1532" s="1451"/>
      <c r="U1532" s="1451"/>
      <c r="AD1532" s="1451"/>
      <c r="AM1532" s="1451"/>
      <c r="AV1532" s="1451"/>
      <c r="BE1532" s="1451"/>
      <c r="BN1532" s="1451"/>
      <c r="BV1532" s="1451"/>
      <c r="BW1532" s="1451"/>
      <c r="CF1532" s="1451"/>
      <c r="CN1532" s="1451"/>
      <c r="CO1532" s="1530"/>
      <c r="CP1532" s="1530"/>
      <c r="CQ1532" s="1530"/>
      <c r="CR1532" s="1530"/>
      <c r="CS1532" s="1530"/>
      <c r="CT1532" s="1530"/>
      <c r="CU1532" s="1530"/>
      <c r="CV1532" s="1530"/>
      <c r="CW1532" s="1530"/>
      <c r="CX1532" s="1530"/>
      <c r="CY1532" s="1530"/>
      <c r="CZ1532" s="1530"/>
      <c r="DA1532" s="1530"/>
      <c r="DB1532" s="1530"/>
      <c r="DC1532" s="1530"/>
      <c r="DD1532" s="1530"/>
      <c r="DE1532" s="1530"/>
      <c r="DF1532" s="1530"/>
      <c r="DG1532" s="1530"/>
      <c r="DH1532" s="1530"/>
      <c r="DI1532" s="1530"/>
      <c r="DJ1532" s="1530"/>
      <c r="DK1532" s="1530"/>
      <c r="DL1532" s="1530"/>
      <c r="DM1532" s="1530"/>
      <c r="DN1532" s="1571"/>
      <c r="DO1532" s="1530"/>
      <c r="DP1532" s="1530"/>
    </row>
    <row r="1533" spans="1:120">
      <c r="A1533" s="1451"/>
      <c r="C1533" s="1451"/>
      <c r="K1533" s="1451"/>
      <c r="L1533" s="1451"/>
      <c r="U1533" s="1451"/>
      <c r="AD1533" s="1451"/>
      <c r="AM1533" s="1451"/>
      <c r="AV1533" s="1451"/>
      <c r="BE1533" s="1451"/>
      <c r="BN1533" s="1451"/>
      <c r="BV1533" s="1451"/>
      <c r="BW1533" s="1451"/>
      <c r="CF1533" s="1451"/>
      <c r="CN1533" s="1451"/>
      <c r="CO1533" s="1530"/>
      <c r="CP1533" s="1530"/>
      <c r="CQ1533" s="1530"/>
      <c r="CR1533" s="1530"/>
      <c r="CS1533" s="1530"/>
      <c r="CT1533" s="1530"/>
      <c r="CU1533" s="1530"/>
      <c r="CV1533" s="1530"/>
      <c r="CW1533" s="1530"/>
      <c r="CX1533" s="1530"/>
      <c r="CY1533" s="1530"/>
      <c r="CZ1533" s="1530"/>
      <c r="DA1533" s="1530"/>
      <c r="DB1533" s="1530"/>
      <c r="DC1533" s="1530"/>
      <c r="DD1533" s="1530"/>
      <c r="DE1533" s="1530"/>
      <c r="DF1533" s="1530"/>
      <c r="DG1533" s="1530"/>
      <c r="DH1533" s="1530"/>
      <c r="DI1533" s="1530"/>
      <c r="DJ1533" s="1530"/>
      <c r="DK1533" s="1530"/>
      <c r="DL1533" s="1530"/>
      <c r="DM1533" s="1530"/>
      <c r="DN1533" s="1571"/>
      <c r="DO1533" s="1530"/>
      <c r="DP1533" s="1530"/>
    </row>
    <row r="1534" spans="1:120">
      <c r="A1534" s="1451"/>
      <c r="C1534" s="1451"/>
      <c r="K1534" s="1451"/>
      <c r="L1534" s="1451"/>
      <c r="U1534" s="1451"/>
      <c r="AD1534" s="1451"/>
      <c r="AM1534" s="1451"/>
      <c r="AV1534" s="1451"/>
      <c r="BE1534" s="1451"/>
      <c r="BN1534" s="1451"/>
      <c r="BV1534" s="1451"/>
      <c r="BW1534" s="1451"/>
      <c r="CF1534" s="1451"/>
      <c r="CN1534" s="1451"/>
      <c r="CO1534" s="1530"/>
      <c r="CP1534" s="1530"/>
      <c r="CQ1534" s="1530"/>
      <c r="CR1534" s="1530"/>
      <c r="CS1534" s="1530"/>
      <c r="CT1534" s="1530"/>
      <c r="CU1534" s="1530"/>
      <c r="CV1534" s="1530"/>
      <c r="CW1534" s="1530"/>
      <c r="CX1534" s="1530"/>
      <c r="CY1534" s="1530"/>
      <c r="CZ1534" s="1530"/>
      <c r="DA1534" s="1530"/>
      <c r="DB1534" s="1530"/>
      <c r="DC1534" s="1530"/>
      <c r="DD1534" s="1530"/>
      <c r="DE1534" s="1530"/>
      <c r="DF1534" s="1530"/>
      <c r="DG1534" s="1530"/>
      <c r="DH1534" s="1530"/>
      <c r="DI1534" s="1530"/>
      <c r="DJ1534" s="1530"/>
      <c r="DK1534" s="1530"/>
      <c r="DL1534" s="1530"/>
      <c r="DM1534" s="1530"/>
      <c r="DN1534" s="1571"/>
      <c r="DO1534" s="1530"/>
      <c r="DP1534" s="1530"/>
    </row>
    <row r="1535" spans="1:120">
      <c r="A1535" s="1451"/>
      <c r="C1535" s="1451"/>
      <c r="K1535" s="1451"/>
      <c r="L1535" s="1451"/>
      <c r="U1535" s="1451"/>
      <c r="AD1535" s="1451"/>
      <c r="AM1535" s="1451"/>
      <c r="AV1535" s="1451"/>
      <c r="BE1535" s="1451"/>
      <c r="BN1535" s="1451"/>
      <c r="BV1535" s="1451"/>
      <c r="BW1535" s="1451"/>
      <c r="CF1535" s="1451"/>
      <c r="CN1535" s="1451"/>
      <c r="CO1535" s="1530"/>
      <c r="CP1535" s="1530"/>
      <c r="CQ1535" s="1530"/>
      <c r="CR1535" s="1530"/>
      <c r="CS1535" s="1530"/>
      <c r="CT1535" s="1530"/>
      <c r="CU1535" s="1530"/>
      <c r="CV1535" s="1530"/>
      <c r="CW1535" s="1530"/>
      <c r="CX1535" s="1530"/>
      <c r="CY1535" s="1530"/>
      <c r="CZ1535" s="1530"/>
      <c r="DA1535" s="1530"/>
      <c r="DB1535" s="1530"/>
      <c r="DC1535" s="1530"/>
      <c r="DD1535" s="1530"/>
      <c r="DE1535" s="1530"/>
      <c r="DF1535" s="1530"/>
      <c r="DG1535" s="1530"/>
      <c r="DH1535" s="1530"/>
      <c r="DI1535" s="1530"/>
      <c r="DJ1535" s="1530"/>
      <c r="DK1535" s="1530"/>
      <c r="DL1535" s="1530"/>
      <c r="DM1535" s="1530"/>
      <c r="DN1535" s="1571"/>
      <c r="DO1535" s="1530"/>
      <c r="DP1535" s="1530"/>
    </row>
    <row r="1536" spans="1:120">
      <c r="A1536" s="1451"/>
      <c r="C1536" s="1451"/>
      <c r="K1536" s="1451"/>
      <c r="L1536" s="1451"/>
      <c r="U1536" s="1451"/>
      <c r="AD1536" s="1451"/>
      <c r="AM1536" s="1451"/>
      <c r="AV1536" s="1451"/>
      <c r="BE1536" s="1451"/>
      <c r="BN1536" s="1451"/>
      <c r="BV1536" s="1451"/>
      <c r="BW1536" s="1451"/>
      <c r="CF1536" s="1451"/>
      <c r="CN1536" s="1451"/>
      <c r="CO1536" s="1530"/>
      <c r="CP1536" s="1530"/>
      <c r="CQ1536" s="1530"/>
      <c r="CR1536" s="1530"/>
      <c r="CS1536" s="1530"/>
      <c r="CT1536" s="1530"/>
      <c r="CU1536" s="1530"/>
      <c r="CV1536" s="1530"/>
      <c r="CW1536" s="1530"/>
      <c r="CX1536" s="1530"/>
      <c r="CY1536" s="1530"/>
      <c r="CZ1536" s="1530"/>
      <c r="DA1536" s="1530"/>
      <c r="DB1536" s="1530"/>
      <c r="DC1536" s="1530"/>
      <c r="DD1536" s="1530"/>
      <c r="DE1536" s="1530"/>
      <c r="DF1536" s="1530"/>
      <c r="DG1536" s="1530"/>
      <c r="DH1536" s="1530"/>
      <c r="DI1536" s="1530"/>
      <c r="DJ1536" s="1530"/>
      <c r="DK1536" s="1530"/>
      <c r="DL1536" s="1530"/>
      <c r="DM1536" s="1530"/>
      <c r="DN1536" s="1571"/>
      <c r="DO1536" s="1530"/>
      <c r="DP1536" s="1530"/>
    </row>
    <row r="1537" spans="1:120">
      <c r="A1537" s="1451"/>
      <c r="C1537" s="1451"/>
      <c r="K1537" s="1451"/>
      <c r="L1537" s="1451"/>
      <c r="U1537" s="1451"/>
      <c r="AD1537" s="1451"/>
      <c r="AM1537" s="1451"/>
      <c r="AV1537" s="1451"/>
      <c r="BE1537" s="1451"/>
      <c r="BN1537" s="1451"/>
      <c r="BV1537" s="1451"/>
      <c r="BW1537" s="1451"/>
      <c r="CF1537" s="1451"/>
      <c r="CN1537" s="1451"/>
      <c r="CO1537" s="1530"/>
      <c r="CP1537" s="1530"/>
      <c r="CQ1537" s="1530"/>
      <c r="CR1537" s="1530"/>
      <c r="CS1537" s="1530"/>
      <c r="CT1537" s="1530"/>
      <c r="CU1537" s="1530"/>
      <c r="CV1537" s="1530"/>
      <c r="CW1537" s="1530"/>
      <c r="CX1537" s="1530"/>
      <c r="CY1537" s="1530"/>
      <c r="CZ1537" s="1530"/>
      <c r="DA1537" s="1530"/>
      <c r="DB1537" s="1530"/>
      <c r="DC1537" s="1530"/>
      <c r="DD1537" s="1530"/>
      <c r="DE1537" s="1530"/>
      <c r="DF1537" s="1530"/>
      <c r="DG1537" s="1530"/>
      <c r="DH1537" s="1530"/>
      <c r="DI1537" s="1530"/>
      <c r="DJ1537" s="1530"/>
      <c r="DK1537" s="1530"/>
      <c r="DL1537" s="1530"/>
      <c r="DM1537" s="1530"/>
      <c r="DN1537" s="1571"/>
      <c r="DO1537" s="1530"/>
      <c r="DP1537" s="1530"/>
    </row>
    <row r="1538" spans="1:120">
      <c r="A1538" s="1451"/>
      <c r="C1538" s="1451"/>
      <c r="K1538" s="1451"/>
      <c r="L1538" s="1451"/>
      <c r="U1538" s="1451"/>
      <c r="AD1538" s="1451"/>
      <c r="AM1538" s="1451"/>
      <c r="AV1538" s="1451"/>
      <c r="BE1538" s="1451"/>
      <c r="BN1538" s="1451"/>
      <c r="BV1538" s="1451"/>
      <c r="BW1538" s="1451"/>
      <c r="CF1538" s="1451"/>
      <c r="CN1538" s="1451"/>
      <c r="CO1538" s="1530"/>
      <c r="CP1538" s="1530"/>
      <c r="CQ1538" s="1530"/>
      <c r="CR1538" s="1530"/>
      <c r="CS1538" s="1530"/>
      <c r="CT1538" s="1530"/>
      <c r="CU1538" s="1530"/>
      <c r="CV1538" s="1530"/>
      <c r="CW1538" s="1530"/>
      <c r="CX1538" s="1530"/>
      <c r="CY1538" s="1530"/>
      <c r="CZ1538" s="1530"/>
      <c r="DA1538" s="1530"/>
      <c r="DB1538" s="1530"/>
      <c r="DC1538" s="1530"/>
      <c r="DD1538" s="1530"/>
      <c r="DE1538" s="1530"/>
      <c r="DF1538" s="1530"/>
      <c r="DG1538" s="1530"/>
      <c r="DH1538" s="1530"/>
      <c r="DI1538" s="1530"/>
      <c r="DJ1538" s="1530"/>
      <c r="DK1538" s="1530"/>
      <c r="DL1538" s="1530"/>
      <c r="DM1538" s="1530"/>
      <c r="DN1538" s="1571"/>
      <c r="DO1538" s="1530"/>
      <c r="DP1538" s="1530"/>
    </row>
    <row r="1539" spans="1:120">
      <c r="A1539" s="1451"/>
      <c r="C1539" s="1451"/>
      <c r="K1539" s="1451"/>
      <c r="L1539" s="1451"/>
      <c r="U1539" s="1451"/>
      <c r="AD1539" s="1451"/>
      <c r="AM1539" s="1451"/>
      <c r="AV1539" s="1451"/>
      <c r="BE1539" s="1451"/>
      <c r="BN1539" s="1451"/>
      <c r="BV1539" s="1451"/>
      <c r="BW1539" s="1451"/>
      <c r="CF1539" s="1451"/>
      <c r="CN1539" s="1451"/>
      <c r="CO1539" s="1530"/>
      <c r="CP1539" s="1530"/>
      <c r="CQ1539" s="1530"/>
      <c r="CR1539" s="1530"/>
      <c r="CS1539" s="1530"/>
      <c r="CT1539" s="1530"/>
      <c r="CU1539" s="1530"/>
      <c r="CV1539" s="1530"/>
      <c r="CW1539" s="1530"/>
      <c r="CX1539" s="1530"/>
      <c r="CY1539" s="1530"/>
      <c r="CZ1539" s="1530"/>
      <c r="DA1539" s="1530"/>
      <c r="DB1539" s="1530"/>
      <c r="DC1539" s="1530"/>
      <c r="DD1539" s="1530"/>
      <c r="DE1539" s="1530"/>
      <c r="DF1539" s="1530"/>
      <c r="DG1539" s="1530"/>
      <c r="DH1539" s="1530"/>
      <c r="DI1539" s="1530"/>
      <c r="DJ1539" s="1530"/>
      <c r="DK1539" s="1530"/>
      <c r="DL1539" s="1530"/>
      <c r="DM1539" s="1530"/>
      <c r="DN1539" s="1571"/>
      <c r="DO1539" s="1530"/>
      <c r="DP1539" s="1530"/>
    </row>
    <row r="1540" spans="1:120">
      <c r="A1540" s="1451"/>
      <c r="C1540" s="1451"/>
      <c r="K1540" s="1451"/>
      <c r="L1540" s="1451"/>
      <c r="U1540" s="1451"/>
      <c r="AD1540" s="1451"/>
      <c r="AM1540" s="1451"/>
      <c r="AV1540" s="1451"/>
      <c r="BE1540" s="1451"/>
      <c r="BN1540" s="1451"/>
      <c r="BV1540" s="1451"/>
      <c r="BW1540" s="1451"/>
      <c r="CF1540" s="1451"/>
      <c r="CN1540" s="1451"/>
      <c r="CO1540" s="1530"/>
      <c r="CP1540" s="1530"/>
      <c r="CQ1540" s="1530"/>
      <c r="CR1540" s="1530"/>
      <c r="CS1540" s="1530"/>
      <c r="CT1540" s="1530"/>
      <c r="CU1540" s="1530"/>
      <c r="CV1540" s="1530"/>
      <c r="CW1540" s="1530"/>
      <c r="CX1540" s="1530"/>
      <c r="CY1540" s="1530"/>
      <c r="CZ1540" s="1530"/>
      <c r="DA1540" s="1530"/>
      <c r="DB1540" s="1530"/>
      <c r="DC1540" s="1530"/>
      <c r="DD1540" s="1530"/>
      <c r="DE1540" s="1530"/>
      <c r="DF1540" s="1530"/>
      <c r="DG1540" s="1530"/>
      <c r="DH1540" s="1530"/>
      <c r="DI1540" s="1530"/>
      <c r="DJ1540" s="1530"/>
      <c r="DK1540" s="1530"/>
      <c r="DL1540" s="1530"/>
      <c r="DM1540" s="1530"/>
      <c r="DN1540" s="1571"/>
      <c r="DO1540" s="1530"/>
      <c r="DP1540" s="1530"/>
    </row>
    <row r="1541" spans="1:120">
      <c r="A1541" s="1451"/>
      <c r="C1541" s="1451"/>
      <c r="K1541" s="1451"/>
      <c r="L1541" s="1451"/>
      <c r="U1541" s="1451"/>
      <c r="AD1541" s="1451"/>
      <c r="AM1541" s="1451"/>
      <c r="AV1541" s="1451"/>
      <c r="BE1541" s="1451"/>
      <c r="BN1541" s="1451"/>
      <c r="BV1541" s="1451"/>
      <c r="BW1541" s="1451"/>
      <c r="CF1541" s="1451"/>
      <c r="CN1541" s="1451"/>
      <c r="CO1541" s="1530"/>
      <c r="CP1541" s="1530"/>
      <c r="CQ1541" s="1530"/>
      <c r="CR1541" s="1530"/>
      <c r="CS1541" s="1530"/>
      <c r="CT1541" s="1530"/>
      <c r="CU1541" s="1530"/>
      <c r="CV1541" s="1530"/>
      <c r="CW1541" s="1530"/>
      <c r="CX1541" s="1530"/>
      <c r="CY1541" s="1530"/>
      <c r="CZ1541" s="1530"/>
      <c r="DA1541" s="1530"/>
      <c r="DB1541" s="1530"/>
      <c r="DC1541" s="1530"/>
      <c r="DD1541" s="1530"/>
      <c r="DE1541" s="1530"/>
      <c r="DF1541" s="1530"/>
      <c r="DG1541" s="1530"/>
      <c r="DH1541" s="1530"/>
      <c r="DI1541" s="1530"/>
      <c r="DJ1541" s="1530"/>
      <c r="DK1541" s="1530"/>
      <c r="DL1541" s="1530"/>
      <c r="DM1541" s="1530"/>
      <c r="DN1541" s="1571"/>
      <c r="DO1541" s="1530"/>
      <c r="DP1541" s="1530"/>
    </row>
    <row r="1542" spans="1:120">
      <c r="A1542" s="1451"/>
      <c r="C1542" s="1451"/>
      <c r="K1542" s="1451"/>
      <c r="L1542" s="1451"/>
      <c r="U1542" s="1451"/>
      <c r="AD1542" s="1451"/>
      <c r="AM1542" s="1451"/>
      <c r="AV1542" s="1451"/>
      <c r="BE1542" s="1451"/>
      <c r="BN1542" s="1451"/>
      <c r="BV1542" s="1451"/>
      <c r="BW1542" s="1451"/>
      <c r="CF1542" s="1451"/>
      <c r="CN1542" s="1451"/>
      <c r="CO1542" s="1530"/>
      <c r="CP1542" s="1530"/>
      <c r="CQ1542" s="1530"/>
      <c r="CR1542" s="1530"/>
      <c r="CS1542" s="1530"/>
      <c r="CT1542" s="1530"/>
      <c r="CU1542" s="1530"/>
      <c r="CV1542" s="1530"/>
      <c r="CW1542" s="1530"/>
      <c r="CX1542" s="1530"/>
      <c r="CY1542" s="1530"/>
      <c r="CZ1542" s="1530"/>
      <c r="DA1542" s="1530"/>
      <c r="DB1542" s="1530"/>
      <c r="DC1542" s="1530"/>
      <c r="DD1542" s="1530"/>
      <c r="DE1542" s="1530"/>
      <c r="DF1542" s="1530"/>
      <c r="DG1542" s="1530"/>
      <c r="DH1542" s="1530"/>
      <c r="DI1542" s="1530"/>
      <c r="DJ1542" s="1530"/>
      <c r="DK1542" s="1530"/>
      <c r="DL1542" s="1530"/>
      <c r="DM1542" s="1530"/>
      <c r="DN1542" s="1571"/>
      <c r="DO1542" s="1530"/>
      <c r="DP1542" s="1530"/>
    </row>
    <row r="1543" spans="1:120">
      <c r="A1543" s="1451"/>
      <c r="C1543" s="1451"/>
      <c r="K1543" s="1451"/>
      <c r="L1543" s="1451"/>
      <c r="U1543" s="1451"/>
      <c r="AD1543" s="1451"/>
      <c r="AM1543" s="1451"/>
      <c r="AV1543" s="1451"/>
      <c r="BE1543" s="1451"/>
      <c r="BN1543" s="1451"/>
      <c r="BV1543" s="1451"/>
      <c r="BW1543" s="1451"/>
      <c r="CF1543" s="1451"/>
      <c r="CN1543" s="1451"/>
      <c r="CO1543" s="1530"/>
      <c r="CP1543" s="1530"/>
      <c r="CQ1543" s="1530"/>
      <c r="CR1543" s="1530"/>
      <c r="CS1543" s="1530"/>
      <c r="CT1543" s="1530"/>
      <c r="CU1543" s="1530"/>
      <c r="CV1543" s="1530"/>
      <c r="CW1543" s="1530"/>
      <c r="CX1543" s="1530"/>
      <c r="CY1543" s="1530"/>
      <c r="CZ1543" s="1530"/>
      <c r="DA1543" s="1530"/>
      <c r="DB1543" s="1530"/>
      <c r="DC1543" s="1530"/>
      <c r="DD1543" s="1530"/>
      <c r="DE1543" s="1530"/>
      <c r="DF1543" s="1530"/>
      <c r="DG1543" s="1530"/>
      <c r="DH1543" s="1530"/>
      <c r="DI1543" s="1530"/>
      <c r="DJ1543" s="1530"/>
      <c r="DK1543" s="1530"/>
      <c r="DL1543" s="1530"/>
      <c r="DM1543" s="1530"/>
      <c r="DN1543" s="1571"/>
      <c r="DO1543" s="1530"/>
      <c r="DP1543" s="1530"/>
    </row>
    <row r="1544" spans="1:120">
      <c r="A1544" s="1451"/>
      <c r="C1544" s="1451"/>
      <c r="K1544" s="1451"/>
      <c r="L1544" s="1451"/>
      <c r="U1544" s="1451"/>
      <c r="AD1544" s="1451"/>
      <c r="AM1544" s="1451"/>
      <c r="AV1544" s="1451"/>
      <c r="BE1544" s="1451"/>
      <c r="BN1544" s="1451"/>
      <c r="BV1544" s="1451"/>
      <c r="BW1544" s="1451"/>
      <c r="CF1544" s="1451"/>
      <c r="CN1544" s="1451"/>
      <c r="CO1544" s="1530"/>
      <c r="CP1544" s="1530"/>
      <c r="CQ1544" s="1530"/>
      <c r="CR1544" s="1530"/>
      <c r="CS1544" s="1530"/>
      <c r="CT1544" s="1530"/>
      <c r="CU1544" s="1530"/>
      <c r="CV1544" s="1530"/>
      <c r="CW1544" s="1530"/>
      <c r="CX1544" s="1530"/>
      <c r="CY1544" s="1530"/>
      <c r="CZ1544" s="1530"/>
      <c r="DA1544" s="1530"/>
      <c r="DB1544" s="1530"/>
      <c r="DC1544" s="1530"/>
      <c r="DD1544" s="1530"/>
      <c r="DE1544" s="1530"/>
      <c r="DF1544" s="1530"/>
      <c r="DG1544" s="1530"/>
      <c r="DH1544" s="1530"/>
      <c r="DI1544" s="1530"/>
      <c r="DJ1544" s="1530"/>
      <c r="DK1544" s="1530"/>
      <c r="DL1544" s="1530"/>
      <c r="DM1544" s="1530"/>
      <c r="DN1544" s="1571"/>
      <c r="DO1544" s="1530"/>
      <c r="DP1544" s="1530"/>
    </row>
    <row r="1545" spans="1:120">
      <c r="A1545" s="1451"/>
      <c r="C1545" s="1451"/>
      <c r="K1545" s="1451"/>
      <c r="L1545" s="1451"/>
      <c r="U1545" s="1451"/>
      <c r="AD1545" s="1451"/>
      <c r="AM1545" s="1451"/>
      <c r="AV1545" s="1451"/>
      <c r="BE1545" s="1451"/>
      <c r="BN1545" s="1451"/>
      <c r="BV1545" s="1451"/>
      <c r="BW1545" s="1451"/>
      <c r="CF1545" s="1451"/>
      <c r="CN1545" s="1451"/>
      <c r="CO1545" s="1530"/>
      <c r="CP1545" s="1530"/>
      <c r="CQ1545" s="1530"/>
      <c r="CR1545" s="1530"/>
      <c r="CS1545" s="1530"/>
      <c r="CT1545" s="1530"/>
      <c r="CU1545" s="1530"/>
      <c r="CV1545" s="1530"/>
      <c r="CW1545" s="1530"/>
      <c r="CX1545" s="1530"/>
      <c r="CY1545" s="1530"/>
      <c r="CZ1545" s="1530"/>
      <c r="DA1545" s="1530"/>
      <c r="DB1545" s="1530"/>
      <c r="DC1545" s="1530"/>
      <c r="DD1545" s="1530"/>
      <c r="DE1545" s="1530"/>
      <c r="DF1545" s="1530"/>
      <c r="DG1545" s="1530"/>
      <c r="DH1545" s="1530"/>
      <c r="DI1545" s="1530"/>
      <c r="DJ1545" s="1530"/>
      <c r="DK1545" s="1530"/>
      <c r="DL1545" s="1530"/>
      <c r="DM1545" s="1530"/>
      <c r="DN1545" s="1571"/>
      <c r="DO1545" s="1530"/>
      <c r="DP1545" s="1530"/>
    </row>
    <row r="1546" spans="1:120">
      <c r="A1546" s="1451"/>
      <c r="C1546" s="1451"/>
      <c r="K1546" s="1451"/>
      <c r="L1546" s="1451"/>
      <c r="U1546" s="1451"/>
      <c r="AD1546" s="1451"/>
      <c r="AM1546" s="1451"/>
      <c r="AV1546" s="1451"/>
      <c r="BE1546" s="1451"/>
      <c r="BN1546" s="1451"/>
      <c r="BV1546" s="1451"/>
      <c r="BW1546" s="1451"/>
      <c r="CF1546" s="1451"/>
      <c r="CN1546" s="1451"/>
      <c r="CO1546" s="1530"/>
      <c r="CP1546" s="1530"/>
      <c r="CQ1546" s="1530"/>
      <c r="CR1546" s="1530"/>
      <c r="CS1546" s="1530"/>
      <c r="CT1546" s="1530"/>
      <c r="CU1546" s="1530"/>
      <c r="CV1546" s="1530"/>
      <c r="CW1546" s="1530"/>
      <c r="CX1546" s="1530"/>
      <c r="CY1546" s="1530"/>
      <c r="CZ1546" s="1530"/>
      <c r="DA1546" s="1530"/>
      <c r="DB1546" s="1530"/>
      <c r="DC1546" s="1530"/>
      <c r="DD1546" s="1530"/>
      <c r="DE1546" s="1530"/>
      <c r="DF1546" s="1530"/>
      <c r="DG1546" s="1530"/>
      <c r="DH1546" s="1530"/>
      <c r="DI1546" s="1530"/>
      <c r="DJ1546" s="1530"/>
      <c r="DK1546" s="1530"/>
      <c r="DL1546" s="1530"/>
      <c r="DM1546" s="1530"/>
      <c r="DN1546" s="1571"/>
      <c r="DO1546" s="1530"/>
      <c r="DP1546" s="1530"/>
    </row>
    <row r="1547" spans="1:120">
      <c r="A1547" s="1451"/>
      <c r="C1547" s="1451"/>
      <c r="K1547" s="1451"/>
      <c r="L1547" s="1451"/>
      <c r="U1547" s="1451"/>
      <c r="AD1547" s="1451"/>
      <c r="AM1547" s="1451"/>
      <c r="AV1547" s="1451"/>
      <c r="BE1547" s="1451"/>
      <c r="BN1547" s="1451"/>
      <c r="BV1547" s="1451"/>
      <c r="BW1547" s="1451"/>
      <c r="CF1547" s="1451"/>
      <c r="CN1547" s="1451"/>
      <c r="CO1547" s="1530"/>
      <c r="CP1547" s="1530"/>
      <c r="CQ1547" s="1530"/>
      <c r="CR1547" s="1530"/>
      <c r="CS1547" s="1530"/>
      <c r="CT1547" s="1530"/>
      <c r="CU1547" s="1530"/>
      <c r="CV1547" s="1530"/>
      <c r="CW1547" s="1530"/>
      <c r="CX1547" s="1530"/>
      <c r="CY1547" s="1530"/>
      <c r="CZ1547" s="1530"/>
      <c r="DA1547" s="1530"/>
      <c r="DB1547" s="1530"/>
      <c r="DC1547" s="1530"/>
      <c r="DD1547" s="1530"/>
      <c r="DE1547" s="1530"/>
      <c r="DF1547" s="1530"/>
      <c r="DG1547" s="1530"/>
      <c r="DH1547" s="1530"/>
      <c r="DI1547" s="1530"/>
      <c r="DJ1547" s="1530"/>
      <c r="DK1547" s="1530"/>
      <c r="DL1547" s="1530"/>
      <c r="DM1547" s="1530"/>
      <c r="DN1547" s="1571"/>
      <c r="DO1547" s="1530"/>
      <c r="DP1547" s="1530"/>
    </row>
    <row r="1548" spans="1:120">
      <c r="A1548" s="1451"/>
      <c r="C1548" s="1451"/>
      <c r="K1548" s="1451"/>
      <c r="L1548" s="1451"/>
      <c r="U1548" s="1451"/>
      <c r="AD1548" s="1451"/>
      <c r="AM1548" s="1451"/>
      <c r="AV1548" s="1451"/>
      <c r="BE1548" s="1451"/>
      <c r="BN1548" s="1451"/>
      <c r="BV1548" s="1451"/>
      <c r="BW1548" s="1451"/>
      <c r="CF1548" s="1451"/>
      <c r="CN1548" s="1451"/>
      <c r="CO1548" s="1530"/>
      <c r="CP1548" s="1530"/>
      <c r="CQ1548" s="1530"/>
      <c r="CR1548" s="1530"/>
      <c r="CS1548" s="1530"/>
      <c r="CT1548" s="1530"/>
      <c r="CU1548" s="1530"/>
      <c r="CV1548" s="1530"/>
      <c r="CW1548" s="1530"/>
      <c r="CX1548" s="1530"/>
      <c r="CY1548" s="1530"/>
      <c r="CZ1548" s="1530"/>
      <c r="DA1548" s="1530"/>
      <c r="DB1548" s="1530"/>
      <c r="DC1548" s="1530"/>
      <c r="DD1548" s="1530"/>
      <c r="DE1548" s="1530"/>
      <c r="DF1548" s="1530"/>
      <c r="DG1548" s="1530"/>
      <c r="DH1548" s="1530"/>
      <c r="DI1548" s="1530"/>
      <c r="DJ1548" s="1530"/>
      <c r="DK1548" s="1530"/>
      <c r="DL1548" s="1530"/>
      <c r="DM1548" s="1530"/>
      <c r="DN1548" s="1571"/>
      <c r="DO1548" s="1530"/>
      <c r="DP1548" s="1530"/>
    </row>
    <row r="1549" spans="1:120">
      <c r="A1549" s="1451"/>
      <c r="C1549" s="1451"/>
      <c r="K1549" s="1451"/>
      <c r="L1549" s="1451"/>
      <c r="U1549" s="1451"/>
      <c r="AD1549" s="1451"/>
      <c r="AM1549" s="1451"/>
      <c r="AV1549" s="1451"/>
      <c r="BE1549" s="1451"/>
      <c r="BN1549" s="1451"/>
      <c r="BV1549" s="1451"/>
      <c r="BW1549" s="1451"/>
      <c r="CF1549" s="1451"/>
      <c r="CN1549" s="1451"/>
      <c r="CO1549" s="1530"/>
      <c r="CP1549" s="1530"/>
      <c r="CQ1549" s="1530"/>
      <c r="CR1549" s="1530"/>
      <c r="CS1549" s="1530"/>
      <c r="CT1549" s="1530"/>
      <c r="CU1549" s="1530"/>
      <c r="CV1549" s="1530"/>
      <c r="CW1549" s="1530"/>
      <c r="CX1549" s="1530"/>
      <c r="CY1549" s="1530"/>
      <c r="CZ1549" s="1530"/>
      <c r="DA1549" s="1530"/>
      <c r="DB1549" s="1530"/>
      <c r="DC1549" s="1530"/>
      <c r="DD1549" s="1530"/>
      <c r="DE1549" s="1530"/>
      <c r="DF1549" s="1530"/>
      <c r="DG1549" s="1530"/>
      <c r="DH1549" s="1530"/>
      <c r="DI1549" s="1530"/>
      <c r="DJ1549" s="1530"/>
      <c r="DK1549" s="1530"/>
      <c r="DL1549" s="1530"/>
      <c r="DM1549" s="1530"/>
      <c r="DN1549" s="1571"/>
      <c r="DO1549" s="1530"/>
      <c r="DP1549" s="1530"/>
    </row>
    <row r="1550" spans="1:120">
      <c r="A1550" s="1451"/>
      <c r="C1550" s="1451"/>
      <c r="K1550" s="1451"/>
      <c r="L1550" s="1451"/>
      <c r="U1550" s="1451"/>
      <c r="AD1550" s="1451"/>
      <c r="AM1550" s="1451"/>
      <c r="AV1550" s="1451"/>
      <c r="BE1550" s="1451"/>
      <c r="BN1550" s="1451"/>
      <c r="BV1550" s="1451"/>
      <c r="BW1550" s="1451"/>
      <c r="CF1550" s="1451"/>
      <c r="CN1550" s="1451"/>
      <c r="CO1550" s="1530"/>
      <c r="CP1550" s="1530"/>
      <c r="CQ1550" s="1530"/>
      <c r="CR1550" s="1530"/>
      <c r="CS1550" s="1530"/>
      <c r="CT1550" s="1530"/>
      <c r="CU1550" s="1530"/>
      <c r="CV1550" s="1530"/>
      <c r="CW1550" s="1530"/>
      <c r="CX1550" s="1530"/>
      <c r="CY1550" s="1530"/>
      <c r="CZ1550" s="1530"/>
      <c r="DA1550" s="1530"/>
      <c r="DB1550" s="1530"/>
      <c r="DC1550" s="1530"/>
      <c r="DD1550" s="1530"/>
      <c r="DE1550" s="1530"/>
      <c r="DF1550" s="1530"/>
      <c r="DG1550" s="1530"/>
      <c r="DH1550" s="1530"/>
      <c r="DI1550" s="1530"/>
      <c r="DJ1550" s="1530"/>
      <c r="DK1550" s="1530"/>
      <c r="DL1550" s="1530"/>
      <c r="DM1550" s="1530"/>
      <c r="DN1550" s="1571"/>
      <c r="DO1550" s="1530"/>
      <c r="DP1550" s="1530"/>
    </row>
    <row r="1551" spans="1:120">
      <c r="A1551" s="1451"/>
      <c r="C1551" s="1451"/>
      <c r="K1551" s="1451"/>
      <c r="L1551" s="1451"/>
      <c r="U1551" s="1451"/>
      <c r="AD1551" s="1451"/>
      <c r="AM1551" s="1451"/>
      <c r="AV1551" s="1451"/>
      <c r="BE1551" s="1451"/>
      <c r="BN1551" s="1451"/>
      <c r="BV1551" s="1451"/>
      <c r="BW1551" s="1451"/>
      <c r="CF1551" s="1451"/>
      <c r="CN1551" s="1451"/>
      <c r="CO1551" s="1530"/>
      <c r="CP1551" s="1530"/>
      <c r="CQ1551" s="1530"/>
      <c r="CR1551" s="1530"/>
      <c r="CS1551" s="1530"/>
      <c r="CT1551" s="1530"/>
      <c r="CU1551" s="1530"/>
      <c r="CV1551" s="1530"/>
      <c r="CW1551" s="1530"/>
      <c r="CX1551" s="1530"/>
      <c r="CY1551" s="1530"/>
      <c r="CZ1551" s="1530"/>
      <c r="DA1551" s="1530"/>
      <c r="DB1551" s="1530"/>
      <c r="DC1551" s="1530"/>
      <c r="DD1551" s="1530"/>
      <c r="DE1551" s="1530"/>
      <c r="DF1551" s="1530"/>
      <c r="DG1551" s="1530"/>
      <c r="DH1551" s="1530"/>
      <c r="DI1551" s="1530"/>
      <c r="DJ1551" s="1530"/>
      <c r="DK1551" s="1530"/>
      <c r="DL1551" s="1530"/>
      <c r="DM1551" s="1530"/>
      <c r="DN1551" s="1571"/>
      <c r="DO1551" s="1530"/>
      <c r="DP1551" s="1530"/>
    </row>
    <row r="1552" spans="1:120">
      <c r="A1552" s="1451"/>
      <c r="C1552" s="1451"/>
      <c r="K1552" s="1451"/>
      <c r="L1552" s="1451"/>
      <c r="U1552" s="1451"/>
      <c r="AD1552" s="1451"/>
      <c r="AM1552" s="1451"/>
      <c r="AV1552" s="1451"/>
      <c r="BE1552" s="1451"/>
      <c r="BN1552" s="1451"/>
      <c r="BV1552" s="1451"/>
      <c r="BW1552" s="1451"/>
      <c r="CF1552" s="1451"/>
      <c r="CN1552" s="1451"/>
      <c r="CO1552" s="1530"/>
      <c r="CP1552" s="1530"/>
      <c r="CQ1552" s="1530"/>
      <c r="CR1552" s="1530"/>
      <c r="CS1552" s="1530"/>
      <c r="CT1552" s="1530"/>
      <c r="CU1552" s="1530"/>
      <c r="CV1552" s="1530"/>
      <c r="CW1552" s="1530"/>
      <c r="CX1552" s="1530"/>
      <c r="CY1552" s="1530"/>
      <c r="CZ1552" s="1530"/>
      <c r="DA1552" s="1530"/>
      <c r="DB1552" s="1530"/>
      <c r="DC1552" s="1530"/>
      <c r="DD1552" s="1530"/>
      <c r="DE1552" s="1530"/>
      <c r="DF1552" s="1530"/>
      <c r="DG1552" s="1530"/>
      <c r="DH1552" s="1530"/>
      <c r="DI1552" s="1530"/>
      <c r="DJ1552" s="1530"/>
      <c r="DK1552" s="1530"/>
      <c r="DL1552" s="1530"/>
      <c r="DM1552" s="1530"/>
      <c r="DN1552" s="1571"/>
      <c r="DO1552" s="1530"/>
      <c r="DP1552" s="1530"/>
    </row>
    <row r="1553" spans="1:120">
      <c r="A1553" s="1451"/>
      <c r="C1553" s="1451"/>
      <c r="K1553" s="1451"/>
      <c r="L1553" s="1451"/>
      <c r="U1553" s="1451"/>
      <c r="AD1553" s="1451"/>
      <c r="AM1553" s="1451"/>
      <c r="AV1553" s="1451"/>
      <c r="BE1553" s="1451"/>
      <c r="BN1553" s="1451"/>
      <c r="BV1553" s="1451"/>
      <c r="BW1553" s="1451"/>
      <c r="CF1553" s="1451"/>
      <c r="CN1553" s="1451"/>
      <c r="CO1553" s="1530"/>
      <c r="CP1553" s="1530"/>
      <c r="CQ1553" s="1530"/>
      <c r="CR1553" s="1530"/>
      <c r="CS1553" s="1530"/>
      <c r="CT1553" s="1530"/>
      <c r="CU1553" s="1530"/>
      <c r="CV1553" s="1530"/>
      <c r="CW1553" s="1530"/>
      <c r="CX1553" s="1530"/>
      <c r="CY1553" s="1530"/>
      <c r="CZ1553" s="1530"/>
      <c r="DA1553" s="1530"/>
      <c r="DB1553" s="1530"/>
      <c r="DC1553" s="1530"/>
      <c r="DD1553" s="1530"/>
      <c r="DE1553" s="1530"/>
      <c r="DF1553" s="1530"/>
      <c r="DG1553" s="1530"/>
      <c r="DH1553" s="1530"/>
      <c r="DI1553" s="1530"/>
      <c r="DJ1553" s="1530"/>
      <c r="DK1553" s="1530"/>
      <c r="DL1553" s="1530"/>
      <c r="DM1553" s="1530"/>
      <c r="DN1553" s="1571"/>
      <c r="DO1553" s="1530"/>
      <c r="DP1553" s="1530"/>
    </row>
    <row r="1554" spans="1:120">
      <c r="A1554" s="1451"/>
      <c r="C1554" s="1451"/>
      <c r="K1554" s="1451"/>
      <c r="L1554" s="1451"/>
      <c r="U1554" s="1451"/>
      <c r="AD1554" s="1451"/>
      <c r="AM1554" s="1451"/>
      <c r="AV1554" s="1451"/>
      <c r="BE1554" s="1451"/>
      <c r="BN1554" s="1451"/>
      <c r="BV1554" s="1451"/>
      <c r="BW1554" s="1451"/>
      <c r="CF1554" s="1451"/>
      <c r="CN1554" s="1451"/>
      <c r="CO1554" s="1530"/>
      <c r="CP1554" s="1530"/>
      <c r="CQ1554" s="1530"/>
      <c r="CR1554" s="1530"/>
      <c r="CS1554" s="1530"/>
      <c r="CT1554" s="1530"/>
      <c r="CU1554" s="1530"/>
      <c r="CV1554" s="1530"/>
      <c r="CW1554" s="1530"/>
      <c r="CX1554" s="1530"/>
      <c r="CY1554" s="1530"/>
      <c r="CZ1554" s="1530"/>
      <c r="DA1554" s="1530"/>
      <c r="DB1554" s="1530"/>
      <c r="DC1554" s="1530"/>
      <c r="DD1554" s="1530"/>
      <c r="DE1554" s="1530"/>
      <c r="DF1554" s="1530"/>
      <c r="DG1554" s="1530"/>
      <c r="DH1554" s="1530"/>
      <c r="DI1554" s="1530"/>
      <c r="DJ1554" s="1530"/>
      <c r="DK1554" s="1530"/>
      <c r="DL1554" s="1530"/>
      <c r="DM1554" s="1530"/>
      <c r="DN1554" s="1571"/>
      <c r="DO1554" s="1530"/>
      <c r="DP1554" s="1530"/>
    </row>
    <row r="1555" spans="1:120">
      <c r="A1555" s="1451"/>
      <c r="C1555" s="1451"/>
      <c r="K1555" s="1451"/>
      <c r="L1555" s="1451"/>
      <c r="U1555" s="1451"/>
      <c r="AD1555" s="1451"/>
      <c r="AM1555" s="1451"/>
      <c r="AV1555" s="1451"/>
      <c r="BE1555" s="1451"/>
      <c r="BN1555" s="1451"/>
      <c r="BV1555" s="1451"/>
      <c r="BW1555" s="1451"/>
      <c r="CF1555" s="1451"/>
      <c r="CN1555" s="1451"/>
      <c r="CO1555" s="1530"/>
      <c r="CP1555" s="1530"/>
      <c r="CQ1555" s="1530"/>
      <c r="CR1555" s="1530"/>
      <c r="CS1555" s="1530"/>
      <c r="CT1555" s="1530"/>
      <c r="CU1555" s="1530"/>
      <c r="CV1555" s="1530"/>
      <c r="CW1555" s="1530"/>
      <c r="CX1555" s="1530"/>
      <c r="CY1555" s="1530"/>
      <c r="CZ1555" s="1530"/>
      <c r="DA1555" s="1530"/>
      <c r="DB1555" s="1530"/>
      <c r="DC1555" s="1530"/>
      <c r="DD1555" s="1530"/>
      <c r="DE1555" s="1530"/>
      <c r="DF1555" s="1530"/>
      <c r="DG1555" s="1530"/>
      <c r="DH1555" s="1530"/>
      <c r="DI1555" s="1530"/>
      <c r="DJ1555" s="1530"/>
      <c r="DK1555" s="1530"/>
      <c r="DL1555" s="1530"/>
      <c r="DM1555" s="1530"/>
      <c r="DN1555" s="1571"/>
      <c r="DO1555" s="1530"/>
      <c r="DP1555" s="1530"/>
    </row>
    <row r="1556" spans="1:120">
      <c r="A1556" s="1451"/>
      <c r="C1556" s="1451"/>
      <c r="K1556" s="1451"/>
      <c r="L1556" s="1451"/>
      <c r="U1556" s="1451"/>
      <c r="AD1556" s="1451"/>
      <c r="AM1556" s="1451"/>
      <c r="AV1556" s="1451"/>
      <c r="BE1556" s="1451"/>
      <c r="BN1556" s="1451"/>
      <c r="BV1556" s="1451"/>
      <c r="BW1556" s="1451"/>
      <c r="CF1556" s="1451"/>
      <c r="CN1556" s="1451"/>
      <c r="CO1556" s="1530"/>
      <c r="CP1556" s="1530"/>
      <c r="CQ1556" s="1530"/>
      <c r="CR1556" s="1530"/>
      <c r="CS1556" s="1530"/>
      <c r="CT1556" s="1530"/>
      <c r="CU1556" s="1530"/>
      <c r="CV1556" s="1530"/>
      <c r="CW1556" s="1530"/>
      <c r="CX1556" s="1530"/>
      <c r="CY1556" s="1530"/>
      <c r="CZ1556" s="1530"/>
      <c r="DA1556" s="1530"/>
      <c r="DB1556" s="1530"/>
      <c r="DC1556" s="1530"/>
      <c r="DD1556" s="1530"/>
      <c r="DE1556" s="1530"/>
      <c r="DF1556" s="1530"/>
      <c r="DG1556" s="1530"/>
      <c r="DH1556" s="1530"/>
      <c r="DI1556" s="1530"/>
      <c r="DJ1556" s="1530"/>
      <c r="DK1556" s="1530"/>
      <c r="DL1556" s="1530"/>
      <c r="DM1556" s="1530"/>
      <c r="DN1556" s="1571"/>
      <c r="DO1556" s="1530"/>
      <c r="DP1556" s="1530"/>
    </row>
    <row r="1557" spans="1:120">
      <c r="A1557" s="1451"/>
      <c r="C1557" s="1451"/>
      <c r="K1557" s="1451"/>
      <c r="L1557" s="1451"/>
      <c r="U1557" s="1451"/>
      <c r="AD1557" s="1451"/>
      <c r="AM1557" s="1451"/>
      <c r="AV1557" s="1451"/>
      <c r="BE1557" s="1451"/>
      <c r="BN1557" s="1451"/>
      <c r="BV1557" s="1451"/>
      <c r="BW1557" s="1451"/>
      <c r="CF1557" s="1451"/>
      <c r="CN1557" s="1451"/>
      <c r="CO1557" s="1530"/>
      <c r="CP1557" s="1530"/>
      <c r="CQ1557" s="1530"/>
      <c r="CR1557" s="1530"/>
      <c r="CS1557" s="1530"/>
      <c r="CT1557" s="1530"/>
      <c r="CU1557" s="1530"/>
      <c r="CV1557" s="1530"/>
      <c r="CW1557" s="1530"/>
      <c r="CX1557" s="1530"/>
      <c r="CY1557" s="1530"/>
      <c r="CZ1557" s="1530"/>
      <c r="DA1557" s="1530"/>
      <c r="DB1557" s="1530"/>
      <c r="DC1557" s="1530"/>
      <c r="DD1557" s="1530"/>
      <c r="DE1557" s="1530"/>
      <c r="DF1557" s="1530"/>
      <c r="DG1557" s="1530"/>
      <c r="DH1557" s="1530"/>
      <c r="DI1557" s="1530"/>
      <c r="DJ1557" s="1530"/>
      <c r="DK1557" s="1530"/>
      <c r="DL1557" s="1530"/>
      <c r="DM1557" s="1530"/>
      <c r="DN1557" s="1571"/>
      <c r="DO1557" s="1530"/>
      <c r="DP1557" s="1530"/>
    </row>
    <row r="1558" spans="1:120">
      <c r="A1558" s="1451"/>
      <c r="C1558" s="1451"/>
      <c r="K1558" s="1451"/>
      <c r="L1558" s="1451"/>
      <c r="U1558" s="1451"/>
      <c r="AD1558" s="1451"/>
      <c r="AM1558" s="1451"/>
      <c r="AV1558" s="1451"/>
      <c r="BE1558" s="1451"/>
      <c r="BN1558" s="1451"/>
      <c r="BV1558" s="1451"/>
      <c r="BW1558" s="1451"/>
      <c r="CF1558" s="1451"/>
      <c r="CN1558" s="1451"/>
      <c r="CO1558" s="1530"/>
      <c r="CP1558" s="1530"/>
      <c r="CQ1558" s="1530"/>
      <c r="CR1558" s="1530"/>
      <c r="CS1558" s="1530"/>
      <c r="CT1558" s="1530"/>
      <c r="CU1558" s="1530"/>
      <c r="CV1558" s="1530"/>
      <c r="CW1558" s="1530"/>
      <c r="CX1558" s="1530"/>
      <c r="CY1558" s="1530"/>
      <c r="CZ1558" s="1530"/>
      <c r="DA1558" s="1530"/>
      <c r="DB1558" s="1530"/>
      <c r="DC1558" s="1530"/>
      <c r="DD1558" s="1530"/>
      <c r="DE1558" s="1530"/>
      <c r="DF1558" s="1530"/>
      <c r="DG1558" s="1530"/>
      <c r="DH1558" s="1530"/>
      <c r="DI1558" s="1530"/>
      <c r="DJ1558" s="1530"/>
      <c r="DK1558" s="1530"/>
      <c r="DL1558" s="1530"/>
      <c r="DM1558" s="1530"/>
      <c r="DN1558" s="1571"/>
      <c r="DO1558" s="1530"/>
      <c r="DP1558" s="1530"/>
    </row>
    <row r="1559" spans="1:120">
      <c r="A1559" s="1451"/>
      <c r="C1559" s="1451"/>
      <c r="K1559" s="1451"/>
      <c r="L1559" s="1451"/>
      <c r="U1559" s="1451"/>
      <c r="AD1559" s="1451"/>
      <c r="AM1559" s="1451"/>
      <c r="AV1559" s="1451"/>
      <c r="BE1559" s="1451"/>
      <c r="BN1559" s="1451"/>
      <c r="BV1559" s="1451"/>
      <c r="BW1559" s="1451"/>
      <c r="CF1559" s="1451"/>
      <c r="CN1559" s="1451"/>
      <c r="CO1559" s="1530"/>
      <c r="CP1559" s="1530"/>
      <c r="CQ1559" s="1530"/>
      <c r="CR1559" s="1530"/>
      <c r="CS1559" s="1530"/>
      <c r="CT1559" s="1530"/>
      <c r="CU1559" s="1530"/>
      <c r="CV1559" s="1530"/>
      <c r="CW1559" s="1530"/>
      <c r="CX1559" s="1530"/>
      <c r="CY1559" s="1530"/>
      <c r="CZ1559" s="1530"/>
      <c r="DA1559" s="1530"/>
      <c r="DB1559" s="1530"/>
      <c r="DC1559" s="1530"/>
      <c r="DD1559" s="1530"/>
      <c r="DE1559" s="1530"/>
      <c r="DF1559" s="1530"/>
      <c r="DG1559" s="1530"/>
      <c r="DH1559" s="1530"/>
      <c r="DI1559" s="1530"/>
      <c r="DJ1559" s="1530"/>
      <c r="DK1559" s="1530"/>
      <c r="DL1559" s="1530"/>
      <c r="DM1559" s="1530"/>
      <c r="DN1559" s="1571"/>
      <c r="DO1559" s="1530"/>
      <c r="DP1559" s="1530"/>
    </row>
    <row r="1560" spans="1:120">
      <c r="A1560" s="1451"/>
      <c r="C1560" s="1451"/>
      <c r="K1560" s="1451"/>
      <c r="L1560" s="1451"/>
      <c r="U1560" s="1451"/>
      <c r="AD1560" s="1451"/>
      <c r="AM1560" s="1451"/>
      <c r="AV1560" s="1451"/>
      <c r="BE1560" s="1451"/>
      <c r="BN1560" s="1451"/>
      <c r="BV1560" s="1451"/>
      <c r="BW1560" s="1451"/>
      <c r="CF1560" s="1451"/>
      <c r="CN1560" s="1451"/>
      <c r="CO1560" s="1530"/>
      <c r="CP1560" s="1530"/>
      <c r="CQ1560" s="1530"/>
      <c r="CR1560" s="1530"/>
      <c r="CS1560" s="1530"/>
      <c r="CT1560" s="1530"/>
      <c r="CU1560" s="1530"/>
      <c r="CV1560" s="1530"/>
      <c r="CW1560" s="1530"/>
      <c r="CX1560" s="1530"/>
      <c r="CY1560" s="1530"/>
      <c r="CZ1560" s="1530"/>
      <c r="DA1560" s="1530"/>
      <c r="DB1560" s="1530"/>
      <c r="DC1560" s="1530"/>
      <c r="DD1560" s="1530"/>
      <c r="DE1560" s="1530"/>
      <c r="DF1560" s="1530"/>
      <c r="DG1560" s="1530"/>
      <c r="DH1560" s="1530"/>
      <c r="DI1560" s="1530"/>
      <c r="DJ1560" s="1530"/>
      <c r="DK1560" s="1530"/>
      <c r="DL1560" s="1530"/>
      <c r="DM1560" s="1530"/>
      <c r="DN1560" s="1571"/>
      <c r="DO1560" s="1530"/>
      <c r="DP1560" s="1530"/>
    </row>
    <row r="1561" spans="1:120">
      <c r="A1561" s="1451"/>
      <c r="C1561" s="1451"/>
      <c r="K1561" s="1451"/>
      <c r="L1561" s="1451"/>
      <c r="U1561" s="1451"/>
      <c r="AD1561" s="1451"/>
      <c r="AM1561" s="1451"/>
      <c r="AV1561" s="1451"/>
      <c r="BE1561" s="1451"/>
      <c r="BN1561" s="1451"/>
      <c r="BV1561" s="1451"/>
      <c r="BW1561" s="1451"/>
      <c r="CF1561" s="1451"/>
      <c r="CN1561" s="1451"/>
      <c r="CO1561" s="1530"/>
      <c r="CP1561" s="1530"/>
      <c r="CQ1561" s="1530"/>
      <c r="CR1561" s="1530"/>
      <c r="CS1561" s="1530"/>
      <c r="CT1561" s="1530"/>
      <c r="CU1561" s="1530"/>
      <c r="CV1561" s="1530"/>
      <c r="CW1561" s="1530"/>
      <c r="CX1561" s="1530"/>
      <c r="CY1561" s="1530"/>
      <c r="CZ1561" s="1530"/>
      <c r="DA1561" s="1530"/>
      <c r="DB1561" s="1530"/>
      <c r="DC1561" s="1530"/>
      <c r="DD1561" s="1530"/>
      <c r="DE1561" s="1530"/>
      <c r="DF1561" s="1530"/>
      <c r="DG1561" s="1530"/>
      <c r="DH1561" s="1530"/>
      <c r="DI1561" s="1530"/>
      <c r="DJ1561" s="1530"/>
      <c r="DK1561" s="1530"/>
      <c r="DL1561" s="1530"/>
      <c r="DM1561" s="1530"/>
      <c r="DN1561" s="1571"/>
      <c r="DO1561" s="1530"/>
      <c r="DP1561" s="1530"/>
    </row>
    <row r="1562" spans="1:120">
      <c r="A1562" s="1451"/>
      <c r="C1562" s="1451"/>
      <c r="K1562" s="1451"/>
      <c r="L1562" s="1451"/>
      <c r="U1562" s="1451"/>
      <c r="AD1562" s="1451"/>
      <c r="AM1562" s="1451"/>
      <c r="AV1562" s="1451"/>
      <c r="BE1562" s="1451"/>
      <c r="BN1562" s="1451"/>
      <c r="BV1562" s="1451"/>
      <c r="BW1562" s="1451"/>
      <c r="CF1562" s="1451"/>
      <c r="CN1562" s="1451"/>
      <c r="CO1562" s="1530"/>
      <c r="CP1562" s="1530"/>
      <c r="CQ1562" s="1530"/>
      <c r="CR1562" s="1530"/>
      <c r="CS1562" s="1530"/>
      <c r="CT1562" s="1530"/>
      <c r="CU1562" s="1530"/>
      <c r="CV1562" s="1530"/>
      <c r="CW1562" s="1530"/>
      <c r="CX1562" s="1530"/>
      <c r="CY1562" s="1530"/>
      <c r="CZ1562" s="1530"/>
      <c r="DA1562" s="1530"/>
      <c r="DB1562" s="1530"/>
      <c r="DC1562" s="1530"/>
      <c r="DD1562" s="1530"/>
      <c r="DE1562" s="1530"/>
      <c r="DF1562" s="1530"/>
      <c r="DG1562" s="1530"/>
      <c r="DH1562" s="1530"/>
      <c r="DI1562" s="1530"/>
      <c r="DJ1562" s="1530"/>
      <c r="DK1562" s="1530"/>
      <c r="DL1562" s="1530"/>
      <c r="DM1562" s="1530"/>
      <c r="DN1562" s="1571"/>
      <c r="DO1562" s="1530"/>
      <c r="DP1562" s="1530"/>
    </row>
    <row r="1563" spans="1:120">
      <c r="A1563" s="1451"/>
      <c r="C1563" s="1451"/>
      <c r="K1563" s="1451"/>
      <c r="L1563" s="1451"/>
      <c r="U1563" s="1451"/>
      <c r="AD1563" s="1451"/>
      <c r="AM1563" s="1451"/>
      <c r="AV1563" s="1451"/>
      <c r="BE1563" s="1451"/>
      <c r="BN1563" s="1451"/>
      <c r="BV1563" s="1451"/>
      <c r="BW1563" s="1451"/>
      <c r="CF1563" s="1451"/>
      <c r="CN1563" s="1451"/>
      <c r="CO1563" s="1530"/>
      <c r="CP1563" s="1530"/>
      <c r="CQ1563" s="1530"/>
      <c r="CR1563" s="1530"/>
      <c r="CS1563" s="1530"/>
      <c r="CT1563" s="1530"/>
      <c r="CU1563" s="1530"/>
      <c r="CV1563" s="1530"/>
      <c r="CW1563" s="1530"/>
      <c r="CX1563" s="1530"/>
      <c r="CY1563" s="1530"/>
      <c r="CZ1563" s="1530"/>
      <c r="DA1563" s="1530"/>
      <c r="DB1563" s="1530"/>
      <c r="DC1563" s="1530"/>
      <c r="DD1563" s="1530"/>
      <c r="DE1563" s="1530"/>
      <c r="DF1563" s="1530"/>
      <c r="DG1563" s="1530"/>
      <c r="DH1563" s="1530"/>
      <c r="DI1563" s="1530"/>
      <c r="DJ1563" s="1530"/>
      <c r="DK1563" s="1530"/>
      <c r="DL1563" s="1530"/>
      <c r="DM1563" s="1530"/>
      <c r="DN1563" s="1571"/>
      <c r="DO1563" s="1530"/>
      <c r="DP1563" s="1530"/>
    </row>
    <row r="1564" spans="1:120">
      <c r="A1564" s="1451"/>
      <c r="C1564" s="1451"/>
      <c r="K1564" s="1451"/>
      <c r="L1564" s="1451"/>
      <c r="U1564" s="1451"/>
      <c r="AD1564" s="1451"/>
      <c r="AM1564" s="1451"/>
      <c r="AV1564" s="1451"/>
      <c r="BE1564" s="1451"/>
      <c r="BN1564" s="1451"/>
      <c r="BV1564" s="1451"/>
      <c r="BW1564" s="1451"/>
      <c r="CF1564" s="1451"/>
      <c r="CN1564" s="1451"/>
      <c r="CO1564" s="1530"/>
      <c r="CP1564" s="1530"/>
      <c r="CQ1564" s="1530"/>
      <c r="CR1564" s="1530"/>
      <c r="CS1564" s="1530"/>
      <c r="CT1564" s="1530"/>
      <c r="CU1564" s="1530"/>
      <c r="CV1564" s="1530"/>
      <c r="CW1564" s="1530"/>
      <c r="CX1564" s="1530"/>
      <c r="CY1564" s="1530"/>
      <c r="CZ1564" s="1530"/>
      <c r="DA1564" s="1530"/>
      <c r="DB1564" s="1530"/>
      <c r="DC1564" s="1530"/>
      <c r="DD1564" s="1530"/>
      <c r="DE1564" s="1530"/>
      <c r="DF1564" s="1530"/>
      <c r="DG1564" s="1530"/>
      <c r="DH1564" s="1530"/>
      <c r="DI1564" s="1530"/>
      <c r="DJ1564" s="1530"/>
      <c r="DK1564" s="1530"/>
      <c r="DL1564" s="1530"/>
      <c r="DM1564" s="1530"/>
      <c r="DN1564" s="1571"/>
      <c r="DO1564" s="1530"/>
      <c r="DP1564" s="1530"/>
    </row>
    <row r="1565" spans="1:120">
      <c r="A1565" s="1451"/>
      <c r="C1565" s="1451"/>
      <c r="K1565" s="1451"/>
      <c r="L1565" s="1451"/>
      <c r="U1565" s="1451"/>
      <c r="AD1565" s="1451"/>
      <c r="AM1565" s="1451"/>
      <c r="AV1565" s="1451"/>
      <c r="BE1565" s="1451"/>
      <c r="BN1565" s="1451"/>
      <c r="BV1565" s="1451"/>
      <c r="BW1565" s="1451"/>
      <c r="CF1565" s="1451"/>
      <c r="CN1565" s="1451"/>
      <c r="CO1565" s="1530"/>
      <c r="CP1565" s="1530"/>
      <c r="CQ1565" s="1530"/>
      <c r="CR1565" s="1530"/>
      <c r="CS1565" s="1530"/>
      <c r="CT1565" s="1530"/>
      <c r="CU1565" s="1530"/>
      <c r="CV1565" s="1530"/>
      <c r="CW1565" s="1530"/>
      <c r="CX1565" s="1530"/>
      <c r="CY1565" s="1530"/>
      <c r="CZ1565" s="1530"/>
      <c r="DA1565" s="1530"/>
      <c r="DB1565" s="1530"/>
      <c r="DC1565" s="1530"/>
      <c r="DD1565" s="1530"/>
      <c r="DE1565" s="1530"/>
      <c r="DF1565" s="1530"/>
      <c r="DG1565" s="1530"/>
      <c r="DH1565" s="1530"/>
      <c r="DI1565" s="1530"/>
      <c r="DJ1565" s="1530"/>
      <c r="DK1565" s="1530"/>
      <c r="DL1565" s="1530"/>
      <c r="DM1565" s="1530"/>
      <c r="DN1565" s="1571"/>
      <c r="DO1565" s="1530"/>
      <c r="DP1565" s="1530"/>
    </row>
    <row r="1566" spans="1:120">
      <c r="A1566" s="1451"/>
      <c r="C1566" s="1451"/>
      <c r="K1566" s="1451"/>
      <c r="L1566" s="1451"/>
      <c r="U1566" s="1451"/>
      <c r="AD1566" s="1451"/>
      <c r="AM1566" s="1451"/>
      <c r="AV1566" s="1451"/>
      <c r="BE1566" s="1451"/>
      <c r="BN1566" s="1451"/>
      <c r="BV1566" s="1451"/>
      <c r="BW1566" s="1451"/>
      <c r="CF1566" s="1451"/>
      <c r="CN1566" s="1451"/>
      <c r="CO1566" s="1530"/>
      <c r="CP1566" s="1530"/>
      <c r="CQ1566" s="1530"/>
      <c r="CR1566" s="1530"/>
      <c r="CS1566" s="1530"/>
      <c r="CT1566" s="1530"/>
      <c r="CU1566" s="1530"/>
      <c r="CV1566" s="1530"/>
      <c r="CW1566" s="1530"/>
      <c r="CX1566" s="1530"/>
      <c r="CY1566" s="1530"/>
      <c r="CZ1566" s="1530"/>
      <c r="DA1566" s="1530"/>
      <c r="DB1566" s="1530"/>
      <c r="DC1566" s="1530"/>
      <c r="DD1566" s="1530"/>
      <c r="DE1566" s="1530"/>
      <c r="DF1566" s="1530"/>
      <c r="DG1566" s="1530"/>
      <c r="DH1566" s="1530"/>
      <c r="DI1566" s="1530"/>
      <c r="DJ1566" s="1530"/>
      <c r="DK1566" s="1530"/>
      <c r="DL1566" s="1530"/>
      <c r="DM1566" s="1530"/>
      <c r="DN1566" s="1571"/>
      <c r="DO1566" s="1530"/>
      <c r="DP1566" s="1530"/>
    </row>
    <row r="1567" spans="1:120">
      <c r="A1567" s="1451"/>
      <c r="C1567" s="1451"/>
      <c r="K1567" s="1451"/>
      <c r="L1567" s="1451"/>
      <c r="U1567" s="1451"/>
      <c r="AD1567" s="1451"/>
      <c r="AM1567" s="1451"/>
      <c r="AV1567" s="1451"/>
      <c r="BE1567" s="1451"/>
      <c r="BN1567" s="1451"/>
      <c r="BV1567" s="1451"/>
      <c r="BW1567" s="1451"/>
      <c r="CF1567" s="1451"/>
      <c r="CN1567" s="1451"/>
      <c r="CO1567" s="1530"/>
      <c r="CP1567" s="1530"/>
      <c r="CQ1567" s="1530"/>
      <c r="CR1567" s="1530"/>
      <c r="CS1567" s="1530"/>
      <c r="CT1567" s="1530"/>
      <c r="CU1567" s="1530"/>
      <c r="CV1567" s="1530"/>
      <c r="CW1567" s="1530"/>
      <c r="CX1567" s="1530"/>
      <c r="CY1567" s="1530"/>
      <c r="CZ1567" s="1530"/>
      <c r="DA1567" s="1530"/>
      <c r="DB1567" s="1530"/>
      <c r="DC1567" s="1530"/>
      <c r="DD1567" s="1530"/>
      <c r="DE1567" s="1530"/>
      <c r="DF1567" s="1530"/>
      <c r="DG1567" s="1530"/>
      <c r="DH1567" s="1530"/>
      <c r="DI1567" s="1530"/>
      <c r="DJ1567" s="1530"/>
      <c r="DK1567" s="1530"/>
      <c r="DL1567" s="1530"/>
      <c r="DM1567" s="1530"/>
      <c r="DN1567" s="1571"/>
      <c r="DO1567" s="1530"/>
      <c r="DP1567" s="1530"/>
    </row>
    <row r="1568" spans="1:120">
      <c r="A1568" s="1451"/>
      <c r="C1568" s="1451"/>
      <c r="K1568" s="1451"/>
      <c r="L1568" s="1451"/>
      <c r="U1568" s="1451"/>
      <c r="AD1568" s="1451"/>
      <c r="AM1568" s="1451"/>
      <c r="AV1568" s="1451"/>
      <c r="BE1568" s="1451"/>
      <c r="BN1568" s="1451"/>
      <c r="BV1568" s="1451"/>
      <c r="BW1568" s="1451"/>
      <c r="CF1568" s="1451"/>
      <c r="CN1568" s="1451"/>
      <c r="CO1568" s="1530"/>
      <c r="CP1568" s="1530"/>
      <c r="CQ1568" s="1530"/>
      <c r="CR1568" s="1530"/>
      <c r="CS1568" s="1530"/>
      <c r="CT1568" s="1530"/>
      <c r="CU1568" s="1530"/>
      <c r="CV1568" s="1530"/>
      <c r="CW1568" s="1530"/>
      <c r="CX1568" s="1530"/>
      <c r="CY1568" s="1530"/>
      <c r="CZ1568" s="1530"/>
      <c r="DA1568" s="1530"/>
      <c r="DB1568" s="1530"/>
      <c r="DC1568" s="1530"/>
      <c r="DD1568" s="1530"/>
      <c r="DE1568" s="1530"/>
      <c r="DF1568" s="1530"/>
      <c r="DG1568" s="1530"/>
      <c r="DH1568" s="1530"/>
      <c r="DI1568" s="1530"/>
      <c r="DJ1568" s="1530"/>
      <c r="DK1568" s="1530"/>
      <c r="DL1568" s="1530"/>
      <c r="DM1568" s="1530"/>
      <c r="DN1568" s="1571"/>
      <c r="DO1568" s="1530"/>
      <c r="DP1568" s="1530"/>
    </row>
    <row r="1569" spans="1:120">
      <c r="A1569" s="1451"/>
      <c r="C1569" s="1451"/>
      <c r="K1569" s="1451"/>
      <c r="L1569" s="1451"/>
      <c r="U1569" s="1451"/>
      <c r="AD1569" s="1451"/>
      <c r="AM1569" s="1451"/>
      <c r="AV1569" s="1451"/>
      <c r="BE1569" s="1451"/>
      <c r="BN1569" s="1451"/>
      <c r="BV1569" s="1451"/>
      <c r="BW1569" s="1451"/>
      <c r="CF1569" s="1451"/>
      <c r="CN1569" s="1451"/>
      <c r="CO1569" s="1530"/>
      <c r="CP1569" s="1530"/>
      <c r="CQ1569" s="1530"/>
      <c r="CR1569" s="1530"/>
      <c r="CS1569" s="1530"/>
      <c r="CT1569" s="1530"/>
      <c r="CU1569" s="1530"/>
      <c r="CV1569" s="1530"/>
      <c r="CW1569" s="1530"/>
      <c r="CX1569" s="1530"/>
      <c r="CY1569" s="1530"/>
      <c r="CZ1569" s="1530"/>
      <c r="DA1569" s="1530"/>
      <c r="DB1569" s="1530"/>
      <c r="DC1569" s="1530"/>
      <c r="DD1569" s="1530"/>
      <c r="DE1569" s="1530"/>
      <c r="DF1569" s="1530"/>
      <c r="DG1569" s="1530"/>
      <c r="DH1569" s="1530"/>
      <c r="DI1569" s="1530"/>
      <c r="DJ1569" s="1530"/>
      <c r="DK1569" s="1530"/>
      <c r="DL1569" s="1530"/>
      <c r="DM1569" s="1530"/>
      <c r="DN1569" s="1571"/>
      <c r="DO1569" s="1530"/>
      <c r="DP1569" s="1530"/>
    </row>
    <row r="1570" spans="1:120">
      <c r="A1570" s="1451"/>
      <c r="C1570" s="1451"/>
      <c r="K1570" s="1451"/>
      <c r="L1570" s="1451"/>
      <c r="U1570" s="1451"/>
      <c r="AD1570" s="1451"/>
      <c r="AM1570" s="1451"/>
      <c r="AV1570" s="1451"/>
      <c r="BE1570" s="1451"/>
      <c r="BN1570" s="1451"/>
      <c r="BV1570" s="1451"/>
      <c r="BW1570" s="1451"/>
      <c r="CF1570" s="1451"/>
      <c r="CN1570" s="1451"/>
      <c r="CO1570" s="1530"/>
      <c r="CP1570" s="1530"/>
      <c r="CQ1570" s="1530"/>
      <c r="CR1570" s="1530"/>
      <c r="CS1570" s="1530"/>
      <c r="CT1570" s="1530"/>
      <c r="CU1570" s="1530"/>
      <c r="CV1570" s="1530"/>
      <c r="CW1570" s="1530"/>
      <c r="CX1570" s="1530"/>
      <c r="CY1570" s="1530"/>
      <c r="CZ1570" s="1530"/>
      <c r="DA1570" s="1530"/>
      <c r="DB1570" s="1530"/>
      <c r="DC1570" s="1530"/>
      <c r="DD1570" s="1530"/>
      <c r="DE1570" s="1530"/>
      <c r="DF1570" s="1530"/>
      <c r="DG1570" s="1530"/>
      <c r="DH1570" s="1530"/>
      <c r="DI1570" s="1530"/>
      <c r="DJ1570" s="1530"/>
      <c r="DK1570" s="1530"/>
      <c r="DL1570" s="1530"/>
      <c r="DM1570" s="1530"/>
      <c r="DN1570" s="1571"/>
      <c r="DO1570" s="1530"/>
      <c r="DP1570" s="1530"/>
    </row>
    <row r="1571" spans="1:120">
      <c r="A1571" s="1451"/>
      <c r="C1571" s="1451"/>
      <c r="K1571" s="1451"/>
      <c r="L1571" s="1451"/>
      <c r="U1571" s="1451"/>
      <c r="AD1571" s="1451"/>
      <c r="AM1571" s="1451"/>
      <c r="AV1571" s="1451"/>
      <c r="BE1571" s="1451"/>
      <c r="BN1571" s="1451"/>
      <c r="BV1571" s="1451"/>
      <c r="BW1571" s="1451"/>
      <c r="CF1571" s="1451"/>
      <c r="CN1571" s="1451"/>
      <c r="CO1571" s="1530"/>
      <c r="CP1571" s="1530"/>
      <c r="CQ1571" s="1530"/>
      <c r="CR1571" s="1530"/>
      <c r="CS1571" s="1530"/>
      <c r="CT1571" s="1530"/>
      <c r="CU1571" s="1530"/>
      <c r="CV1571" s="1530"/>
      <c r="CW1571" s="1530"/>
      <c r="CX1571" s="1530"/>
      <c r="CY1571" s="1530"/>
      <c r="CZ1571" s="1530"/>
      <c r="DA1571" s="1530"/>
      <c r="DB1571" s="1530"/>
      <c r="DC1571" s="1530"/>
      <c r="DD1571" s="1530"/>
      <c r="DE1571" s="1530"/>
      <c r="DF1571" s="1530"/>
      <c r="DG1571" s="1530"/>
      <c r="DH1571" s="1530"/>
      <c r="DI1571" s="1530"/>
      <c r="DJ1571" s="1530"/>
      <c r="DK1571" s="1530"/>
      <c r="DL1571" s="1530"/>
      <c r="DM1571" s="1530"/>
      <c r="DN1571" s="1571"/>
      <c r="DO1571" s="1530"/>
      <c r="DP1571" s="1530"/>
    </row>
    <row r="1572" spans="1:120">
      <c r="A1572" s="1451"/>
      <c r="C1572" s="1451"/>
      <c r="K1572" s="1451"/>
      <c r="L1572" s="1451"/>
      <c r="U1572" s="1451"/>
      <c r="AD1572" s="1451"/>
      <c r="AM1572" s="1451"/>
      <c r="AV1572" s="1451"/>
      <c r="BE1572" s="1451"/>
      <c r="BN1572" s="1451"/>
      <c r="BV1572" s="1451"/>
      <c r="BW1572" s="1451"/>
      <c r="CF1572" s="1451"/>
      <c r="CN1572" s="1451"/>
      <c r="CO1572" s="1530"/>
      <c r="CP1572" s="1530"/>
      <c r="CQ1572" s="1530"/>
      <c r="CR1572" s="1530"/>
      <c r="CS1572" s="1530"/>
      <c r="CT1572" s="1530"/>
      <c r="CU1572" s="1530"/>
      <c r="CV1572" s="1530"/>
      <c r="CW1572" s="1530"/>
      <c r="CX1572" s="1530"/>
      <c r="CY1572" s="1530"/>
      <c r="CZ1572" s="1530"/>
      <c r="DA1572" s="1530"/>
      <c r="DB1572" s="1530"/>
      <c r="DC1572" s="1530"/>
      <c r="DD1572" s="1530"/>
      <c r="DE1572" s="1530"/>
      <c r="DF1572" s="1530"/>
      <c r="DG1572" s="1530"/>
      <c r="DH1572" s="1530"/>
      <c r="DI1572" s="1530"/>
      <c r="DJ1572" s="1530"/>
      <c r="DK1572" s="1530"/>
      <c r="DL1572" s="1530"/>
      <c r="DM1572" s="1530"/>
      <c r="DN1572" s="1571"/>
      <c r="DO1572" s="1530"/>
      <c r="DP1572" s="1530"/>
    </row>
    <row r="1573" spans="1:120">
      <c r="A1573" s="1451"/>
      <c r="C1573" s="1451"/>
      <c r="K1573" s="1451"/>
      <c r="L1573" s="1451"/>
      <c r="U1573" s="1451"/>
      <c r="AD1573" s="1451"/>
      <c r="AM1573" s="1451"/>
      <c r="AV1573" s="1451"/>
      <c r="BE1573" s="1451"/>
      <c r="BN1573" s="1451"/>
      <c r="BV1573" s="1451"/>
      <c r="BW1573" s="1451"/>
      <c r="CF1573" s="1451"/>
      <c r="CN1573" s="1451"/>
      <c r="CO1573" s="1530"/>
      <c r="CP1573" s="1530"/>
      <c r="CQ1573" s="1530"/>
      <c r="CR1573" s="1530"/>
      <c r="CS1573" s="1530"/>
      <c r="CT1573" s="1530"/>
      <c r="CU1573" s="1530"/>
      <c r="CV1573" s="1530"/>
      <c r="CW1573" s="1530"/>
      <c r="CX1573" s="1530"/>
      <c r="CY1573" s="1530"/>
      <c r="CZ1573" s="1530"/>
      <c r="DA1573" s="1530"/>
      <c r="DB1573" s="1530"/>
      <c r="DC1573" s="1530"/>
      <c r="DD1573" s="1530"/>
      <c r="DE1573" s="1530"/>
      <c r="DF1573" s="1530"/>
      <c r="DG1573" s="1530"/>
      <c r="DH1573" s="1530"/>
      <c r="DI1573" s="1530"/>
      <c r="DJ1573" s="1530"/>
      <c r="DK1573" s="1530"/>
      <c r="DL1573" s="1530"/>
      <c r="DM1573" s="1530"/>
      <c r="DN1573" s="1571"/>
      <c r="DO1573" s="1530"/>
      <c r="DP1573" s="1530"/>
    </row>
    <row r="1574" spans="1:120">
      <c r="A1574" s="1451"/>
      <c r="C1574" s="1451"/>
      <c r="K1574" s="1451"/>
      <c r="L1574" s="1451"/>
      <c r="U1574" s="1451"/>
      <c r="AD1574" s="1451"/>
      <c r="AM1574" s="1451"/>
      <c r="AV1574" s="1451"/>
      <c r="BE1574" s="1451"/>
      <c r="BN1574" s="1451"/>
      <c r="BV1574" s="1451"/>
      <c r="BW1574" s="1451"/>
      <c r="CF1574" s="1451"/>
      <c r="CN1574" s="1451"/>
      <c r="CO1574" s="1530"/>
      <c r="CP1574" s="1530"/>
      <c r="CQ1574" s="1530"/>
      <c r="CR1574" s="1530"/>
      <c r="CS1574" s="1530"/>
      <c r="CT1574" s="1530"/>
      <c r="CU1574" s="1530"/>
      <c r="CV1574" s="1530"/>
      <c r="CW1574" s="1530"/>
      <c r="CX1574" s="1530"/>
      <c r="CY1574" s="1530"/>
      <c r="CZ1574" s="1530"/>
      <c r="DA1574" s="1530"/>
      <c r="DB1574" s="1530"/>
      <c r="DC1574" s="1530"/>
      <c r="DD1574" s="1530"/>
      <c r="DE1574" s="1530"/>
      <c r="DF1574" s="1530"/>
      <c r="DG1574" s="1530"/>
      <c r="DH1574" s="1530"/>
      <c r="DI1574" s="1530"/>
      <c r="DJ1574" s="1530"/>
      <c r="DK1574" s="1530"/>
      <c r="DL1574" s="1530"/>
      <c r="DM1574" s="1530"/>
      <c r="DN1574" s="1571"/>
      <c r="DO1574" s="1530"/>
      <c r="DP1574" s="1530"/>
    </row>
    <row r="1575" spans="1:120">
      <c r="A1575" s="1451"/>
      <c r="C1575" s="1451"/>
      <c r="K1575" s="1451"/>
      <c r="L1575" s="1451"/>
      <c r="U1575" s="1451"/>
      <c r="AD1575" s="1451"/>
      <c r="AM1575" s="1451"/>
      <c r="AV1575" s="1451"/>
      <c r="BE1575" s="1451"/>
      <c r="BN1575" s="1451"/>
      <c r="BV1575" s="1451"/>
      <c r="BW1575" s="1451"/>
      <c r="CF1575" s="1451"/>
      <c r="CN1575" s="1451"/>
      <c r="CO1575" s="1530"/>
      <c r="CP1575" s="1530"/>
      <c r="CQ1575" s="1530"/>
      <c r="CR1575" s="1530"/>
      <c r="CS1575" s="1530"/>
      <c r="CT1575" s="1530"/>
      <c r="CU1575" s="1530"/>
      <c r="CV1575" s="1530"/>
      <c r="CW1575" s="1530"/>
      <c r="CX1575" s="1530"/>
      <c r="CY1575" s="1530"/>
      <c r="CZ1575" s="1530"/>
      <c r="DA1575" s="1530"/>
      <c r="DB1575" s="1530"/>
      <c r="DC1575" s="1530"/>
      <c r="DD1575" s="1530"/>
      <c r="DE1575" s="1530"/>
      <c r="DF1575" s="1530"/>
      <c r="DG1575" s="1530"/>
      <c r="DH1575" s="1530"/>
      <c r="DI1575" s="1530"/>
      <c r="DJ1575" s="1530"/>
      <c r="DK1575" s="1530"/>
      <c r="DL1575" s="1530"/>
      <c r="DM1575" s="1530"/>
      <c r="DN1575" s="1571"/>
      <c r="DO1575" s="1530"/>
      <c r="DP1575" s="1530"/>
    </row>
    <row r="1576" spans="1:120">
      <c r="A1576" s="1451"/>
      <c r="C1576" s="1451"/>
      <c r="K1576" s="1451"/>
      <c r="L1576" s="1451"/>
      <c r="U1576" s="1451"/>
      <c r="AD1576" s="1451"/>
      <c r="AM1576" s="1451"/>
      <c r="AV1576" s="1451"/>
      <c r="BE1576" s="1451"/>
      <c r="BN1576" s="1451"/>
      <c r="BV1576" s="1451"/>
      <c r="BW1576" s="1451"/>
      <c r="CF1576" s="1451"/>
      <c r="CN1576" s="1451"/>
      <c r="CO1576" s="1530"/>
      <c r="CP1576" s="1530"/>
      <c r="CQ1576" s="1530"/>
      <c r="CR1576" s="1530"/>
      <c r="CS1576" s="1530"/>
      <c r="CT1576" s="1530"/>
      <c r="CU1576" s="1530"/>
      <c r="CV1576" s="1530"/>
      <c r="CW1576" s="1530"/>
      <c r="CX1576" s="1530"/>
      <c r="CY1576" s="1530"/>
      <c r="CZ1576" s="1530"/>
      <c r="DA1576" s="1530"/>
      <c r="DB1576" s="1530"/>
      <c r="DC1576" s="1530"/>
      <c r="DD1576" s="1530"/>
      <c r="DE1576" s="1530"/>
      <c r="DF1576" s="1530"/>
      <c r="DG1576" s="1530"/>
      <c r="DH1576" s="1530"/>
      <c r="DI1576" s="1530"/>
      <c r="DJ1576" s="1530"/>
      <c r="DK1576" s="1530"/>
      <c r="DL1576" s="1530"/>
      <c r="DM1576" s="1530"/>
      <c r="DN1576" s="1571"/>
      <c r="DO1576" s="1530"/>
      <c r="DP1576" s="1530"/>
    </row>
    <row r="1577" spans="1:120">
      <c r="A1577" s="1451"/>
      <c r="C1577" s="1451"/>
      <c r="K1577" s="1451"/>
      <c r="L1577" s="1451"/>
      <c r="U1577" s="1451"/>
      <c r="AD1577" s="1451"/>
      <c r="AM1577" s="1451"/>
      <c r="AV1577" s="1451"/>
      <c r="BE1577" s="1451"/>
      <c r="BN1577" s="1451"/>
      <c r="BV1577" s="1451"/>
      <c r="BW1577" s="1451"/>
      <c r="CF1577" s="1451"/>
      <c r="CN1577" s="1451"/>
      <c r="CO1577" s="1530"/>
      <c r="CP1577" s="1530"/>
      <c r="CQ1577" s="1530"/>
      <c r="CR1577" s="1530"/>
      <c r="CS1577" s="1530"/>
      <c r="CT1577" s="1530"/>
      <c r="CU1577" s="1530"/>
      <c r="CV1577" s="1530"/>
      <c r="CW1577" s="1530"/>
      <c r="CX1577" s="1530"/>
      <c r="CY1577" s="1530"/>
      <c r="CZ1577" s="1530"/>
      <c r="DA1577" s="1530"/>
      <c r="DB1577" s="1530"/>
      <c r="DC1577" s="1530"/>
      <c r="DD1577" s="1530"/>
      <c r="DE1577" s="1530"/>
      <c r="DF1577" s="1530"/>
      <c r="DG1577" s="1530"/>
      <c r="DH1577" s="1530"/>
      <c r="DI1577" s="1530"/>
      <c r="DJ1577" s="1530"/>
      <c r="DK1577" s="1530"/>
      <c r="DL1577" s="1530"/>
      <c r="DM1577" s="1530"/>
      <c r="DN1577" s="1571"/>
      <c r="DO1577" s="1530"/>
      <c r="DP1577" s="1530"/>
    </row>
    <row r="1578" spans="1:120">
      <c r="A1578" s="1451"/>
      <c r="C1578" s="1451"/>
      <c r="K1578" s="1451"/>
      <c r="L1578" s="1451"/>
      <c r="U1578" s="1451"/>
      <c r="AD1578" s="1451"/>
      <c r="AM1578" s="1451"/>
      <c r="AV1578" s="1451"/>
      <c r="BE1578" s="1451"/>
      <c r="BN1578" s="1451"/>
      <c r="BV1578" s="1451"/>
      <c r="BW1578" s="1451"/>
      <c r="CF1578" s="1451"/>
      <c r="CN1578" s="1451"/>
      <c r="CO1578" s="1530"/>
      <c r="CP1578" s="1530"/>
      <c r="CQ1578" s="1530"/>
      <c r="CR1578" s="1530"/>
      <c r="CS1578" s="1530"/>
      <c r="CT1578" s="1530"/>
      <c r="CU1578" s="1530"/>
      <c r="CV1578" s="1530"/>
      <c r="CW1578" s="1530"/>
      <c r="CX1578" s="1530"/>
      <c r="CY1578" s="1530"/>
      <c r="CZ1578" s="1530"/>
      <c r="DA1578" s="1530"/>
      <c r="DB1578" s="1530"/>
      <c r="DC1578" s="1530"/>
      <c r="DD1578" s="1530"/>
      <c r="DE1578" s="1530"/>
      <c r="DF1578" s="1530"/>
      <c r="DG1578" s="1530"/>
      <c r="DH1578" s="1530"/>
      <c r="DI1578" s="1530"/>
      <c r="DJ1578" s="1530"/>
      <c r="DK1578" s="1530"/>
      <c r="DL1578" s="1530"/>
      <c r="DM1578" s="1530"/>
      <c r="DN1578" s="1571"/>
      <c r="DO1578" s="1530"/>
      <c r="DP1578" s="1530"/>
    </row>
    <row r="1579" spans="1:120">
      <c r="A1579" s="1451"/>
      <c r="C1579" s="1451"/>
      <c r="K1579" s="1451"/>
      <c r="L1579" s="1451"/>
      <c r="U1579" s="1451"/>
      <c r="AD1579" s="1451"/>
      <c r="AM1579" s="1451"/>
      <c r="AV1579" s="1451"/>
      <c r="BE1579" s="1451"/>
      <c r="BN1579" s="1451"/>
      <c r="BV1579" s="1451"/>
      <c r="BW1579" s="1451"/>
      <c r="CF1579" s="1451"/>
      <c r="CN1579" s="1451"/>
      <c r="CO1579" s="1530"/>
      <c r="CP1579" s="1530"/>
      <c r="CQ1579" s="1530"/>
      <c r="CR1579" s="1530"/>
      <c r="CS1579" s="1530"/>
      <c r="CT1579" s="1530"/>
      <c r="CU1579" s="1530"/>
      <c r="CV1579" s="1530"/>
      <c r="CW1579" s="1530"/>
      <c r="CX1579" s="1530"/>
      <c r="CY1579" s="1530"/>
      <c r="CZ1579" s="1530"/>
      <c r="DA1579" s="1530"/>
      <c r="DB1579" s="1530"/>
      <c r="DC1579" s="1530"/>
      <c r="DD1579" s="1530"/>
      <c r="DE1579" s="1530"/>
      <c r="DF1579" s="1530"/>
      <c r="DG1579" s="1530"/>
      <c r="DH1579" s="1530"/>
      <c r="DI1579" s="1530"/>
      <c r="DJ1579" s="1530"/>
      <c r="DK1579" s="1530"/>
      <c r="DL1579" s="1530"/>
      <c r="DM1579" s="1530"/>
      <c r="DN1579" s="1571"/>
      <c r="DO1579" s="1530"/>
      <c r="DP1579" s="1530"/>
    </row>
    <row r="1580" spans="1:120">
      <c r="A1580" s="1451"/>
      <c r="C1580" s="1451"/>
      <c r="K1580" s="1451"/>
      <c r="L1580" s="1451"/>
      <c r="U1580" s="1451"/>
      <c r="AD1580" s="1451"/>
      <c r="AM1580" s="1451"/>
      <c r="AV1580" s="1451"/>
      <c r="BE1580" s="1451"/>
      <c r="BN1580" s="1451"/>
      <c r="BV1580" s="1451"/>
      <c r="BW1580" s="1451"/>
      <c r="CF1580" s="1451"/>
      <c r="CN1580" s="1451"/>
      <c r="CO1580" s="1530"/>
      <c r="CP1580" s="1530"/>
      <c r="CQ1580" s="1530"/>
      <c r="CR1580" s="1530"/>
      <c r="CS1580" s="1530"/>
      <c r="CT1580" s="1530"/>
      <c r="CU1580" s="1530"/>
      <c r="CV1580" s="1530"/>
      <c r="CW1580" s="1530"/>
      <c r="CX1580" s="1530"/>
      <c r="CY1580" s="1530"/>
      <c r="CZ1580" s="1530"/>
      <c r="DA1580" s="1530"/>
      <c r="DB1580" s="1530"/>
      <c r="DC1580" s="1530"/>
      <c r="DD1580" s="1530"/>
      <c r="DE1580" s="1530"/>
      <c r="DF1580" s="1530"/>
      <c r="DG1580" s="1530"/>
      <c r="DH1580" s="1530"/>
      <c r="DI1580" s="1530"/>
      <c r="DJ1580" s="1530"/>
      <c r="DK1580" s="1530"/>
      <c r="DL1580" s="1530"/>
      <c r="DM1580" s="1530"/>
      <c r="DN1580" s="1571"/>
      <c r="DO1580" s="1530"/>
      <c r="DP1580" s="1530"/>
    </row>
    <row r="1581" spans="1:120">
      <c r="A1581" s="1451"/>
      <c r="C1581" s="1451"/>
      <c r="K1581" s="1451"/>
      <c r="L1581" s="1451"/>
      <c r="U1581" s="1451"/>
      <c r="AD1581" s="1451"/>
      <c r="AM1581" s="1451"/>
      <c r="AV1581" s="1451"/>
      <c r="BE1581" s="1451"/>
      <c r="BN1581" s="1451"/>
      <c r="BV1581" s="1451"/>
      <c r="BW1581" s="1451"/>
      <c r="CF1581" s="1451"/>
      <c r="CN1581" s="1451"/>
      <c r="CO1581" s="1530"/>
      <c r="CP1581" s="1530"/>
      <c r="CQ1581" s="1530"/>
      <c r="CR1581" s="1530"/>
      <c r="CS1581" s="1530"/>
      <c r="CT1581" s="1530"/>
      <c r="CU1581" s="1530"/>
      <c r="CV1581" s="1530"/>
      <c r="CW1581" s="1530"/>
      <c r="CX1581" s="1530"/>
      <c r="CY1581" s="1530"/>
      <c r="CZ1581" s="1530"/>
      <c r="DA1581" s="1530"/>
      <c r="DB1581" s="1530"/>
      <c r="DC1581" s="1530"/>
      <c r="DD1581" s="1530"/>
      <c r="DE1581" s="1530"/>
      <c r="DF1581" s="1530"/>
      <c r="DG1581" s="1530"/>
      <c r="DH1581" s="1530"/>
      <c r="DI1581" s="1530"/>
      <c r="DJ1581" s="1530"/>
      <c r="DK1581" s="1530"/>
      <c r="DL1581" s="1530"/>
      <c r="DM1581" s="1530"/>
      <c r="DN1581" s="1571"/>
      <c r="DO1581" s="1530"/>
      <c r="DP1581" s="1530"/>
    </row>
    <row r="1582" spans="1:120">
      <c r="A1582" s="1451"/>
      <c r="C1582" s="1451"/>
      <c r="K1582" s="1451"/>
      <c r="L1582" s="1451"/>
      <c r="U1582" s="1451"/>
      <c r="AD1582" s="1451"/>
      <c r="AM1582" s="1451"/>
      <c r="AV1582" s="1451"/>
      <c r="BE1582" s="1451"/>
      <c r="BN1582" s="1451"/>
      <c r="BV1582" s="1451"/>
      <c r="BW1582" s="1451"/>
      <c r="CF1582" s="1451"/>
      <c r="CN1582" s="1451"/>
      <c r="CO1582" s="1530"/>
      <c r="CP1582" s="1530"/>
      <c r="CQ1582" s="1530"/>
      <c r="CR1582" s="1530"/>
      <c r="CS1582" s="1530"/>
      <c r="CT1582" s="1530"/>
      <c r="CU1582" s="1530"/>
      <c r="CV1582" s="1530"/>
      <c r="CW1582" s="1530"/>
      <c r="CX1582" s="1530"/>
      <c r="CY1582" s="1530"/>
      <c r="CZ1582" s="1530"/>
      <c r="DA1582" s="1530"/>
      <c r="DB1582" s="1530"/>
      <c r="DC1582" s="1530"/>
      <c r="DD1582" s="1530"/>
      <c r="DE1582" s="1530"/>
      <c r="DF1582" s="1530"/>
      <c r="DG1582" s="1530"/>
      <c r="DH1582" s="1530"/>
      <c r="DI1582" s="1530"/>
      <c r="DJ1582" s="1530"/>
      <c r="DK1582" s="1530"/>
      <c r="DL1582" s="1530"/>
      <c r="DM1582" s="1530"/>
      <c r="DN1582" s="1571"/>
      <c r="DO1582" s="1530"/>
      <c r="DP1582" s="1530"/>
    </row>
    <row r="1583" spans="1:120">
      <c r="A1583" s="1451"/>
      <c r="C1583" s="1451"/>
      <c r="K1583" s="1451"/>
      <c r="L1583" s="1451"/>
      <c r="U1583" s="1451"/>
      <c r="AD1583" s="1451"/>
      <c r="AM1583" s="1451"/>
      <c r="AV1583" s="1451"/>
      <c r="BE1583" s="1451"/>
      <c r="BN1583" s="1451"/>
      <c r="BV1583" s="1451"/>
      <c r="BW1583" s="1451"/>
      <c r="CF1583" s="1451"/>
      <c r="CN1583" s="1451"/>
      <c r="CO1583" s="1530"/>
      <c r="CP1583" s="1530"/>
      <c r="CQ1583" s="1530"/>
      <c r="CR1583" s="1530"/>
      <c r="CS1583" s="1530"/>
      <c r="CT1583" s="1530"/>
      <c r="CU1583" s="1530"/>
      <c r="CV1583" s="1530"/>
      <c r="CW1583" s="1530"/>
      <c r="CX1583" s="1530"/>
      <c r="CY1583" s="1530"/>
      <c r="CZ1583" s="1530"/>
      <c r="DA1583" s="1530"/>
      <c r="DB1583" s="1530"/>
      <c r="DC1583" s="1530"/>
      <c r="DD1583" s="1530"/>
      <c r="DE1583" s="1530"/>
      <c r="DF1583" s="1530"/>
      <c r="DG1583" s="1530"/>
      <c r="DH1583" s="1530"/>
      <c r="DI1583" s="1530"/>
      <c r="DJ1583" s="1530"/>
      <c r="DK1583" s="1530"/>
      <c r="DL1583" s="1530"/>
      <c r="DM1583" s="1530"/>
      <c r="DN1583" s="1571"/>
      <c r="DO1583" s="1530"/>
      <c r="DP1583" s="1530"/>
    </row>
    <row r="1584" spans="1:120">
      <c r="A1584" s="1451"/>
      <c r="C1584" s="1451"/>
      <c r="K1584" s="1451"/>
      <c r="L1584" s="1451"/>
      <c r="U1584" s="1451"/>
      <c r="AD1584" s="1451"/>
      <c r="AM1584" s="1451"/>
      <c r="AV1584" s="1451"/>
      <c r="BE1584" s="1451"/>
      <c r="BN1584" s="1451"/>
      <c r="BV1584" s="1451"/>
      <c r="BW1584" s="1451"/>
      <c r="CF1584" s="1451"/>
      <c r="CN1584" s="1451"/>
      <c r="CO1584" s="1530"/>
      <c r="CP1584" s="1530"/>
      <c r="CQ1584" s="1530"/>
      <c r="CR1584" s="1530"/>
      <c r="CS1584" s="1530"/>
      <c r="CT1584" s="1530"/>
      <c r="CU1584" s="1530"/>
      <c r="CV1584" s="1530"/>
      <c r="CW1584" s="1530"/>
      <c r="CX1584" s="1530"/>
      <c r="CY1584" s="1530"/>
      <c r="CZ1584" s="1530"/>
      <c r="DA1584" s="1530"/>
      <c r="DB1584" s="1530"/>
      <c r="DC1584" s="1530"/>
      <c r="DD1584" s="1530"/>
      <c r="DE1584" s="1530"/>
      <c r="DF1584" s="1530"/>
      <c r="DG1584" s="1530"/>
      <c r="DH1584" s="1530"/>
      <c r="DI1584" s="1530"/>
      <c r="DJ1584" s="1530"/>
      <c r="DK1584" s="1530"/>
      <c r="DL1584" s="1530"/>
      <c r="DM1584" s="1530"/>
      <c r="DN1584" s="1571"/>
      <c r="DO1584" s="1530"/>
      <c r="DP1584" s="1530"/>
    </row>
    <row r="1585" spans="1:120">
      <c r="A1585" s="1451"/>
      <c r="C1585" s="1451"/>
      <c r="K1585" s="1451"/>
      <c r="L1585" s="1451"/>
      <c r="U1585" s="1451"/>
      <c r="AD1585" s="1451"/>
      <c r="AM1585" s="1451"/>
      <c r="AV1585" s="1451"/>
      <c r="BE1585" s="1451"/>
      <c r="BN1585" s="1451"/>
      <c r="BV1585" s="1451"/>
      <c r="BW1585" s="1451"/>
      <c r="CF1585" s="1451"/>
      <c r="CN1585" s="1451"/>
      <c r="CO1585" s="1530"/>
      <c r="CP1585" s="1530"/>
      <c r="CQ1585" s="1530"/>
      <c r="CR1585" s="1530"/>
      <c r="CS1585" s="1530"/>
      <c r="CT1585" s="1530"/>
      <c r="CU1585" s="1530"/>
      <c r="CV1585" s="1530"/>
      <c r="CW1585" s="1530"/>
      <c r="CX1585" s="1530"/>
      <c r="CY1585" s="1530"/>
      <c r="CZ1585" s="1530"/>
      <c r="DA1585" s="1530"/>
      <c r="DB1585" s="1530"/>
      <c r="DC1585" s="1530"/>
      <c r="DD1585" s="1530"/>
      <c r="DE1585" s="1530"/>
      <c r="DF1585" s="1530"/>
      <c r="DG1585" s="1530"/>
      <c r="DH1585" s="1530"/>
      <c r="DI1585" s="1530"/>
      <c r="DJ1585" s="1530"/>
      <c r="DK1585" s="1530"/>
      <c r="DL1585" s="1530"/>
      <c r="DM1585" s="1530"/>
      <c r="DN1585" s="1571"/>
      <c r="DO1585" s="1530"/>
      <c r="DP1585" s="1530"/>
    </row>
    <row r="1586" spans="1:120">
      <c r="A1586" s="1451"/>
      <c r="C1586" s="1451"/>
      <c r="K1586" s="1451"/>
      <c r="L1586" s="1451"/>
      <c r="U1586" s="1451"/>
      <c r="AD1586" s="1451"/>
      <c r="AM1586" s="1451"/>
      <c r="AV1586" s="1451"/>
      <c r="BE1586" s="1451"/>
      <c r="BN1586" s="1451"/>
      <c r="BV1586" s="1451"/>
      <c r="BW1586" s="1451"/>
      <c r="CF1586" s="1451"/>
      <c r="CN1586" s="1451"/>
      <c r="CO1586" s="1530"/>
      <c r="CP1586" s="1530"/>
      <c r="CQ1586" s="1530"/>
      <c r="CR1586" s="1530"/>
      <c r="CS1586" s="1530"/>
      <c r="CT1586" s="1530"/>
      <c r="CU1586" s="1530"/>
      <c r="CV1586" s="1530"/>
      <c r="CW1586" s="1530"/>
      <c r="CX1586" s="1530"/>
      <c r="CY1586" s="1530"/>
      <c r="CZ1586" s="1530"/>
      <c r="DA1586" s="1530"/>
      <c r="DB1586" s="1530"/>
      <c r="DC1586" s="1530"/>
      <c r="DD1586" s="1530"/>
      <c r="DE1586" s="1530"/>
      <c r="DF1586" s="1530"/>
      <c r="DG1586" s="1530"/>
      <c r="DH1586" s="1530"/>
      <c r="DI1586" s="1530"/>
      <c r="DJ1586" s="1530"/>
      <c r="DK1586" s="1530"/>
      <c r="DL1586" s="1530"/>
      <c r="DM1586" s="1530"/>
      <c r="DN1586" s="1571"/>
      <c r="DO1586" s="1530"/>
      <c r="DP1586" s="1530"/>
    </row>
    <row r="1587" spans="1:120">
      <c r="A1587" s="1451"/>
      <c r="C1587" s="1451"/>
      <c r="K1587" s="1451"/>
      <c r="L1587" s="1451"/>
      <c r="U1587" s="1451"/>
      <c r="AD1587" s="1451"/>
      <c r="AM1587" s="1451"/>
      <c r="AV1587" s="1451"/>
      <c r="BE1587" s="1451"/>
      <c r="BN1587" s="1451"/>
      <c r="BV1587" s="1451"/>
      <c r="BW1587" s="1451"/>
      <c r="CF1587" s="1451"/>
      <c r="CN1587" s="1451"/>
      <c r="CO1587" s="1530"/>
      <c r="CP1587" s="1530"/>
      <c r="CQ1587" s="1530"/>
      <c r="CR1587" s="1530"/>
      <c r="CS1587" s="1530"/>
      <c r="CT1587" s="1530"/>
      <c r="CU1587" s="1530"/>
      <c r="CV1587" s="1530"/>
      <c r="CW1587" s="1530"/>
      <c r="CX1587" s="1530"/>
      <c r="CY1587" s="1530"/>
      <c r="CZ1587" s="1530"/>
      <c r="DA1587" s="1530"/>
      <c r="DB1587" s="1530"/>
      <c r="DC1587" s="1530"/>
      <c r="DD1587" s="1530"/>
      <c r="DE1587" s="1530"/>
      <c r="DF1587" s="1530"/>
      <c r="DG1587" s="1530"/>
      <c r="DH1587" s="1530"/>
      <c r="DI1587" s="1530"/>
      <c r="DJ1587" s="1530"/>
      <c r="DK1587" s="1530"/>
      <c r="DL1587" s="1530"/>
      <c r="DM1587" s="1530"/>
      <c r="DN1587" s="1571"/>
      <c r="DO1587" s="1530"/>
      <c r="DP1587" s="1530"/>
    </row>
    <row r="1588" spans="1:120">
      <c r="A1588" s="1451"/>
      <c r="C1588" s="1451"/>
      <c r="K1588" s="1451"/>
      <c r="L1588" s="1451"/>
      <c r="U1588" s="1451"/>
      <c r="AD1588" s="1451"/>
      <c r="AM1588" s="1451"/>
      <c r="AV1588" s="1451"/>
      <c r="BE1588" s="1451"/>
      <c r="BN1588" s="1451"/>
      <c r="BV1588" s="1451"/>
      <c r="BW1588" s="1451"/>
      <c r="CF1588" s="1451"/>
      <c r="CN1588" s="1451"/>
      <c r="CO1588" s="1530"/>
      <c r="CP1588" s="1530"/>
      <c r="CQ1588" s="1530"/>
      <c r="CR1588" s="1530"/>
      <c r="CS1588" s="1530"/>
      <c r="CT1588" s="1530"/>
      <c r="CU1588" s="1530"/>
      <c r="CV1588" s="1530"/>
      <c r="CW1588" s="1530"/>
      <c r="CX1588" s="1530"/>
      <c r="CY1588" s="1530"/>
      <c r="CZ1588" s="1530"/>
      <c r="DA1588" s="1530"/>
      <c r="DB1588" s="1530"/>
      <c r="DC1588" s="1530"/>
      <c r="DD1588" s="1530"/>
      <c r="DE1588" s="1530"/>
      <c r="DF1588" s="1530"/>
      <c r="DG1588" s="1530"/>
      <c r="DH1588" s="1530"/>
      <c r="DI1588" s="1530"/>
      <c r="DJ1588" s="1530"/>
      <c r="DK1588" s="1530"/>
      <c r="DL1588" s="1530"/>
      <c r="DM1588" s="1530"/>
      <c r="DN1588" s="1571"/>
      <c r="DO1588" s="1530"/>
      <c r="DP1588" s="1530"/>
    </row>
    <row r="1589" spans="1:120">
      <c r="A1589" s="1451"/>
      <c r="C1589" s="1451"/>
      <c r="K1589" s="1451"/>
      <c r="L1589" s="1451"/>
      <c r="U1589" s="1451"/>
      <c r="AD1589" s="1451"/>
      <c r="AM1589" s="1451"/>
      <c r="AV1589" s="1451"/>
      <c r="BE1589" s="1451"/>
      <c r="BN1589" s="1451"/>
      <c r="BV1589" s="1451"/>
      <c r="BW1589" s="1451"/>
      <c r="CF1589" s="1451"/>
      <c r="CN1589" s="1451"/>
      <c r="CO1589" s="1530"/>
      <c r="CP1589" s="1530"/>
      <c r="CQ1589" s="1530"/>
      <c r="CR1589" s="1530"/>
      <c r="CS1589" s="1530"/>
      <c r="CT1589" s="1530"/>
      <c r="CU1589" s="1530"/>
      <c r="CV1589" s="1530"/>
      <c r="CW1589" s="1530"/>
      <c r="CX1589" s="1530"/>
      <c r="CY1589" s="1530"/>
      <c r="CZ1589" s="1530"/>
      <c r="DA1589" s="1530"/>
      <c r="DB1589" s="1530"/>
      <c r="DC1589" s="1530"/>
      <c r="DD1589" s="1530"/>
      <c r="DE1589" s="1530"/>
      <c r="DF1589" s="1530"/>
      <c r="DG1589" s="1530"/>
      <c r="DH1589" s="1530"/>
      <c r="DI1589" s="1530"/>
      <c r="DJ1589" s="1530"/>
      <c r="DK1589" s="1530"/>
      <c r="DL1589" s="1530"/>
      <c r="DM1589" s="1530"/>
      <c r="DN1589" s="1571"/>
      <c r="DO1589" s="1530"/>
      <c r="DP1589" s="1530"/>
    </row>
    <row r="1590" spans="1:120">
      <c r="A1590" s="1451"/>
      <c r="C1590" s="1451"/>
      <c r="K1590" s="1451"/>
      <c r="L1590" s="1451"/>
      <c r="U1590" s="1451"/>
      <c r="AD1590" s="1451"/>
      <c r="AM1590" s="1451"/>
      <c r="AV1590" s="1451"/>
      <c r="BE1590" s="1451"/>
      <c r="BN1590" s="1451"/>
      <c r="BV1590" s="1451"/>
      <c r="BW1590" s="1451"/>
      <c r="CF1590" s="1451"/>
      <c r="CN1590" s="1451"/>
      <c r="CO1590" s="1530"/>
      <c r="CP1590" s="1530"/>
      <c r="CQ1590" s="1530"/>
      <c r="CR1590" s="1530"/>
      <c r="CS1590" s="1530"/>
      <c r="CT1590" s="1530"/>
      <c r="CU1590" s="1530"/>
      <c r="CV1590" s="1530"/>
      <c r="CW1590" s="1530"/>
      <c r="CX1590" s="1530"/>
      <c r="CY1590" s="1530"/>
      <c r="CZ1590" s="1530"/>
      <c r="DA1590" s="1530"/>
      <c r="DB1590" s="1530"/>
      <c r="DC1590" s="1530"/>
      <c r="DD1590" s="1530"/>
      <c r="DE1590" s="1530"/>
      <c r="DF1590" s="1530"/>
      <c r="DG1590" s="1530"/>
      <c r="DH1590" s="1530"/>
      <c r="DI1590" s="1530"/>
      <c r="DJ1590" s="1530"/>
      <c r="DK1590" s="1530"/>
      <c r="DL1590" s="1530"/>
      <c r="DM1590" s="1530"/>
      <c r="DN1590" s="1571"/>
      <c r="DO1590" s="1530"/>
      <c r="DP1590" s="1530"/>
    </row>
    <row r="1591" spans="1:120">
      <c r="A1591" s="1451"/>
      <c r="C1591" s="1451"/>
      <c r="K1591" s="1451"/>
      <c r="L1591" s="1451"/>
      <c r="U1591" s="1451"/>
      <c r="AD1591" s="1451"/>
      <c r="AM1591" s="1451"/>
      <c r="AV1591" s="1451"/>
      <c r="BE1591" s="1451"/>
      <c r="BN1591" s="1451"/>
      <c r="BV1591" s="1451"/>
      <c r="BW1591" s="1451"/>
      <c r="CF1591" s="1451"/>
      <c r="CN1591" s="1451"/>
      <c r="CO1591" s="1530"/>
      <c r="CP1591" s="1530"/>
      <c r="CQ1591" s="1530"/>
      <c r="CR1591" s="1530"/>
      <c r="CS1591" s="1530"/>
      <c r="CT1591" s="1530"/>
      <c r="CU1591" s="1530"/>
      <c r="CV1591" s="1530"/>
      <c r="CW1591" s="1530"/>
      <c r="CX1591" s="1530"/>
      <c r="CY1591" s="1530"/>
      <c r="CZ1591" s="1530"/>
      <c r="DA1591" s="1530"/>
      <c r="DB1591" s="1530"/>
      <c r="DC1591" s="1530"/>
      <c r="DD1591" s="1530"/>
      <c r="DE1591" s="1530"/>
      <c r="DF1591" s="1530"/>
      <c r="DG1591" s="1530"/>
      <c r="DH1591" s="1530"/>
      <c r="DI1591" s="1530"/>
      <c r="DJ1591" s="1530"/>
      <c r="DK1591" s="1530"/>
      <c r="DL1591" s="1530"/>
      <c r="DM1591" s="1530"/>
      <c r="DN1591" s="1571"/>
      <c r="DO1591" s="1530"/>
      <c r="DP1591" s="1530"/>
    </row>
    <row r="1592" spans="1:120">
      <c r="A1592" s="1451"/>
      <c r="C1592" s="1451"/>
      <c r="K1592" s="1451"/>
      <c r="L1592" s="1451"/>
      <c r="U1592" s="1451"/>
      <c r="AD1592" s="1451"/>
      <c r="AM1592" s="1451"/>
      <c r="AV1592" s="1451"/>
      <c r="BE1592" s="1451"/>
      <c r="BN1592" s="1451"/>
      <c r="BV1592" s="1451"/>
      <c r="BW1592" s="1451"/>
      <c r="CF1592" s="1451"/>
      <c r="CN1592" s="1451"/>
      <c r="CO1592" s="1530"/>
      <c r="CP1592" s="1530"/>
      <c r="CQ1592" s="1530"/>
      <c r="CR1592" s="1530"/>
      <c r="CS1592" s="1530"/>
      <c r="CT1592" s="1530"/>
      <c r="CU1592" s="1530"/>
      <c r="CV1592" s="1530"/>
      <c r="CW1592" s="1530"/>
      <c r="CX1592" s="1530"/>
      <c r="CY1592" s="1530"/>
      <c r="CZ1592" s="1530"/>
      <c r="DA1592" s="1530"/>
      <c r="DB1592" s="1530"/>
      <c r="DC1592" s="1530"/>
      <c r="DD1592" s="1530"/>
      <c r="DE1592" s="1530"/>
      <c r="DF1592" s="1530"/>
      <c r="DG1592" s="1530"/>
      <c r="DH1592" s="1530"/>
      <c r="DI1592" s="1530"/>
      <c r="DJ1592" s="1530"/>
      <c r="DK1592" s="1530"/>
      <c r="DL1592" s="1530"/>
      <c r="DM1592" s="1530"/>
      <c r="DN1592" s="1571"/>
      <c r="DO1592" s="1530"/>
      <c r="DP1592" s="1530"/>
    </row>
    <row r="1593" spans="1:120">
      <c r="A1593" s="1451"/>
      <c r="C1593" s="1451"/>
      <c r="K1593" s="1451"/>
      <c r="L1593" s="1451"/>
      <c r="U1593" s="1451"/>
      <c r="AD1593" s="1451"/>
      <c r="AM1593" s="1451"/>
      <c r="AV1593" s="1451"/>
      <c r="BE1593" s="1451"/>
      <c r="BN1593" s="1451"/>
      <c r="BV1593" s="1451"/>
      <c r="BW1593" s="1451"/>
      <c r="CF1593" s="1451"/>
      <c r="CN1593" s="1451"/>
      <c r="CO1593" s="1530"/>
      <c r="CP1593" s="1530"/>
      <c r="CQ1593" s="1530"/>
      <c r="CR1593" s="1530"/>
      <c r="CS1593" s="1530"/>
      <c r="CT1593" s="1530"/>
      <c r="CU1593" s="1530"/>
      <c r="CV1593" s="1530"/>
      <c r="CW1593" s="1530"/>
      <c r="CX1593" s="1530"/>
      <c r="CY1593" s="1530"/>
      <c r="CZ1593" s="1530"/>
      <c r="DA1593" s="1530"/>
      <c r="DB1593" s="1530"/>
      <c r="DC1593" s="1530"/>
      <c r="DD1593" s="1530"/>
      <c r="DE1593" s="1530"/>
      <c r="DF1593" s="1530"/>
      <c r="DG1593" s="1530"/>
      <c r="DH1593" s="1530"/>
      <c r="DI1593" s="1530"/>
      <c r="DJ1593" s="1530"/>
      <c r="DK1593" s="1530"/>
      <c r="DL1593" s="1530"/>
      <c r="DM1593" s="1530"/>
      <c r="DN1593" s="1571"/>
      <c r="DO1593" s="1530"/>
      <c r="DP1593" s="1530"/>
    </row>
    <row r="1594" spans="1:120">
      <c r="A1594" s="1451"/>
      <c r="C1594" s="1451"/>
      <c r="K1594" s="1451"/>
      <c r="L1594" s="1451"/>
      <c r="U1594" s="1451"/>
      <c r="AD1594" s="1451"/>
      <c r="AM1594" s="1451"/>
      <c r="AV1594" s="1451"/>
      <c r="BE1594" s="1451"/>
      <c r="BN1594" s="1451"/>
      <c r="BV1594" s="1451"/>
      <c r="BW1594" s="1451"/>
      <c r="CF1594" s="1451"/>
      <c r="CN1594" s="1451"/>
      <c r="CO1594" s="1530"/>
      <c r="CP1594" s="1530"/>
      <c r="CQ1594" s="1530"/>
      <c r="CR1594" s="1530"/>
      <c r="CS1594" s="1530"/>
      <c r="CT1594" s="1530"/>
      <c r="CU1594" s="1530"/>
      <c r="CV1594" s="1530"/>
      <c r="CW1594" s="1530"/>
      <c r="CX1594" s="1530"/>
      <c r="CY1594" s="1530"/>
      <c r="CZ1594" s="1530"/>
      <c r="DA1594" s="1530"/>
      <c r="DB1594" s="1530"/>
      <c r="DC1594" s="1530"/>
      <c r="DD1594" s="1530"/>
      <c r="DE1594" s="1530"/>
      <c r="DF1594" s="1530"/>
      <c r="DG1594" s="1530"/>
      <c r="DH1594" s="1530"/>
      <c r="DI1594" s="1530"/>
      <c r="DJ1594" s="1530"/>
      <c r="DK1594" s="1530"/>
      <c r="DL1594" s="1530"/>
      <c r="DM1594" s="1530"/>
      <c r="DN1594" s="1571"/>
      <c r="DO1594" s="1530"/>
      <c r="DP1594" s="1530"/>
    </row>
    <row r="1595" spans="1:120">
      <c r="A1595" s="1451"/>
      <c r="C1595" s="1451"/>
      <c r="K1595" s="1451"/>
      <c r="L1595" s="1451"/>
      <c r="U1595" s="1451"/>
      <c r="AD1595" s="1451"/>
      <c r="AM1595" s="1451"/>
      <c r="AV1595" s="1451"/>
      <c r="BE1595" s="1451"/>
      <c r="BN1595" s="1451"/>
      <c r="BV1595" s="1451"/>
      <c r="BW1595" s="1451"/>
      <c r="CF1595" s="1451"/>
      <c r="CN1595" s="1451"/>
      <c r="CO1595" s="1530"/>
      <c r="CP1595" s="1530"/>
      <c r="CQ1595" s="1530"/>
      <c r="CR1595" s="1530"/>
      <c r="CS1595" s="1530"/>
      <c r="CT1595" s="1530"/>
      <c r="CU1595" s="1530"/>
      <c r="CV1595" s="1530"/>
      <c r="CW1595" s="1530"/>
      <c r="CX1595" s="1530"/>
      <c r="CY1595" s="1530"/>
      <c r="CZ1595" s="1530"/>
      <c r="DA1595" s="1530"/>
      <c r="DB1595" s="1530"/>
      <c r="DC1595" s="1530"/>
      <c r="DD1595" s="1530"/>
      <c r="DE1595" s="1530"/>
      <c r="DF1595" s="1530"/>
      <c r="DG1595" s="1530"/>
      <c r="DH1595" s="1530"/>
      <c r="DI1595" s="1530"/>
      <c r="DJ1595" s="1530"/>
      <c r="DK1595" s="1530"/>
      <c r="DL1595" s="1530"/>
      <c r="DM1595" s="1530"/>
      <c r="DN1595" s="1571"/>
      <c r="DO1595" s="1530"/>
      <c r="DP1595" s="1530"/>
    </row>
    <row r="1596" spans="1:120">
      <c r="A1596" s="1451"/>
      <c r="C1596" s="1451"/>
      <c r="K1596" s="1451"/>
      <c r="L1596" s="1451"/>
      <c r="U1596" s="1451"/>
      <c r="AD1596" s="1451"/>
      <c r="AM1596" s="1451"/>
      <c r="AV1596" s="1451"/>
      <c r="BE1596" s="1451"/>
      <c r="BN1596" s="1451"/>
      <c r="BV1596" s="1451"/>
      <c r="BW1596" s="1451"/>
      <c r="CF1596" s="1451"/>
      <c r="CN1596" s="1451"/>
      <c r="CO1596" s="1530"/>
      <c r="CP1596" s="1530"/>
      <c r="CQ1596" s="1530"/>
      <c r="CR1596" s="1530"/>
      <c r="CS1596" s="1530"/>
      <c r="CT1596" s="1530"/>
      <c r="CU1596" s="1530"/>
      <c r="CV1596" s="1530"/>
      <c r="CW1596" s="1530"/>
      <c r="CX1596" s="1530"/>
      <c r="CY1596" s="1530"/>
      <c r="CZ1596" s="1530"/>
      <c r="DA1596" s="1530"/>
      <c r="DB1596" s="1530"/>
      <c r="DC1596" s="1530"/>
      <c r="DD1596" s="1530"/>
      <c r="DE1596" s="1530"/>
      <c r="DF1596" s="1530"/>
      <c r="DG1596" s="1530"/>
      <c r="DH1596" s="1530"/>
      <c r="DI1596" s="1530"/>
      <c r="DJ1596" s="1530"/>
      <c r="DK1596" s="1530"/>
      <c r="DL1596" s="1530"/>
      <c r="DM1596" s="1530"/>
      <c r="DN1596" s="1571"/>
      <c r="DO1596" s="1530"/>
      <c r="DP1596" s="1530"/>
    </row>
    <row r="1597" spans="1:120">
      <c r="A1597" s="1451"/>
      <c r="C1597" s="1451"/>
      <c r="K1597" s="1451"/>
      <c r="L1597" s="1451"/>
      <c r="U1597" s="1451"/>
      <c r="AD1597" s="1451"/>
      <c r="AM1597" s="1451"/>
      <c r="AV1597" s="1451"/>
      <c r="BE1597" s="1451"/>
      <c r="BN1597" s="1451"/>
      <c r="BV1597" s="1451"/>
      <c r="BW1597" s="1451"/>
      <c r="CF1597" s="1451"/>
      <c r="CN1597" s="1451"/>
      <c r="CO1597" s="1530"/>
      <c r="CP1597" s="1530"/>
      <c r="CQ1597" s="1530"/>
      <c r="CR1597" s="1530"/>
      <c r="CS1597" s="1530"/>
      <c r="CT1597" s="1530"/>
      <c r="CU1597" s="1530"/>
      <c r="CV1597" s="1530"/>
      <c r="CW1597" s="1530"/>
      <c r="CX1597" s="1530"/>
      <c r="CY1597" s="1530"/>
      <c r="CZ1597" s="1530"/>
      <c r="DA1597" s="1530"/>
      <c r="DB1597" s="1530"/>
      <c r="DC1597" s="1530"/>
      <c r="DD1597" s="1530"/>
      <c r="DE1597" s="1530"/>
      <c r="DF1597" s="1530"/>
      <c r="DG1597" s="1530"/>
      <c r="DH1597" s="1530"/>
      <c r="DI1597" s="1530"/>
      <c r="DJ1597" s="1530"/>
      <c r="DK1597" s="1530"/>
      <c r="DL1597" s="1530"/>
      <c r="DM1597" s="1530"/>
      <c r="DN1597" s="1571"/>
      <c r="DO1597" s="1530"/>
      <c r="DP1597" s="1530"/>
    </row>
    <row r="1598" spans="1:120">
      <c r="A1598" s="1451"/>
      <c r="C1598" s="1451"/>
      <c r="K1598" s="1451"/>
      <c r="L1598" s="1451"/>
      <c r="U1598" s="1451"/>
      <c r="AD1598" s="1451"/>
      <c r="AM1598" s="1451"/>
      <c r="AV1598" s="1451"/>
      <c r="BE1598" s="1451"/>
      <c r="BN1598" s="1451"/>
      <c r="BV1598" s="1451"/>
      <c r="BW1598" s="1451"/>
      <c r="CF1598" s="1451"/>
      <c r="CN1598" s="1451"/>
      <c r="CO1598" s="1530"/>
      <c r="CP1598" s="1530"/>
      <c r="CQ1598" s="1530"/>
      <c r="CR1598" s="1530"/>
      <c r="CS1598" s="1530"/>
      <c r="CT1598" s="1530"/>
      <c r="CU1598" s="1530"/>
      <c r="CV1598" s="1530"/>
      <c r="CW1598" s="1530"/>
      <c r="CX1598" s="1530"/>
      <c r="CY1598" s="1530"/>
      <c r="CZ1598" s="1530"/>
      <c r="DA1598" s="1530"/>
      <c r="DB1598" s="1530"/>
      <c r="DC1598" s="1530"/>
      <c r="DD1598" s="1530"/>
      <c r="DE1598" s="1530"/>
      <c r="DF1598" s="1530"/>
      <c r="DG1598" s="1530"/>
      <c r="DH1598" s="1530"/>
      <c r="DI1598" s="1530"/>
      <c r="DJ1598" s="1530"/>
      <c r="DK1598" s="1530"/>
      <c r="DL1598" s="1530"/>
      <c r="DM1598" s="1530"/>
      <c r="DN1598" s="1571"/>
      <c r="DO1598" s="1530"/>
      <c r="DP1598" s="1530"/>
    </row>
    <row r="1599" spans="1:120">
      <c r="A1599" s="1451"/>
      <c r="C1599" s="1451"/>
      <c r="K1599" s="1451"/>
      <c r="L1599" s="1451"/>
      <c r="U1599" s="1451"/>
      <c r="AD1599" s="1451"/>
      <c r="AM1599" s="1451"/>
      <c r="AV1599" s="1451"/>
      <c r="BE1599" s="1451"/>
      <c r="BN1599" s="1451"/>
      <c r="BV1599" s="1451"/>
      <c r="BW1599" s="1451"/>
      <c r="CF1599" s="1451"/>
      <c r="CN1599" s="1451"/>
      <c r="CO1599" s="1530"/>
      <c r="CP1599" s="1530"/>
      <c r="CQ1599" s="1530"/>
      <c r="CR1599" s="1530"/>
      <c r="CS1599" s="1530"/>
      <c r="CT1599" s="1530"/>
      <c r="CU1599" s="1530"/>
      <c r="CV1599" s="1530"/>
      <c r="CW1599" s="1530"/>
      <c r="CX1599" s="1530"/>
      <c r="CY1599" s="1530"/>
      <c r="CZ1599" s="1530"/>
      <c r="DA1599" s="1530"/>
      <c r="DB1599" s="1530"/>
      <c r="DC1599" s="1530"/>
      <c r="DD1599" s="1530"/>
      <c r="DE1599" s="1530"/>
      <c r="DF1599" s="1530"/>
      <c r="DG1599" s="1530"/>
      <c r="DH1599" s="1530"/>
      <c r="DI1599" s="1530"/>
      <c r="DJ1599" s="1530"/>
      <c r="DK1599" s="1530"/>
      <c r="DL1599" s="1530"/>
      <c r="DM1599" s="1530"/>
      <c r="DN1599" s="1571"/>
      <c r="DO1599" s="1530"/>
      <c r="DP1599" s="1530"/>
    </row>
    <row r="1600" spans="1:120">
      <c r="A1600" s="1451"/>
      <c r="C1600" s="1451"/>
      <c r="K1600" s="1451"/>
      <c r="L1600" s="1451"/>
      <c r="U1600" s="1451"/>
      <c r="AD1600" s="1451"/>
      <c r="AM1600" s="1451"/>
      <c r="AV1600" s="1451"/>
      <c r="BE1600" s="1451"/>
      <c r="BN1600" s="1451"/>
      <c r="BV1600" s="1451"/>
      <c r="BW1600" s="1451"/>
      <c r="CF1600" s="1451"/>
      <c r="CN1600" s="1451"/>
      <c r="CO1600" s="1530"/>
      <c r="CP1600" s="1530"/>
      <c r="CQ1600" s="1530"/>
      <c r="CR1600" s="1530"/>
      <c r="CS1600" s="1530"/>
      <c r="CT1600" s="1530"/>
      <c r="CU1600" s="1530"/>
      <c r="CV1600" s="1530"/>
      <c r="CW1600" s="1530"/>
      <c r="CX1600" s="1530"/>
      <c r="CY1600" s="1530"/>
      <c r="CZ1600" s="1530"/>
      <c r="DA1600" s="1530"/>
      <c r="DB1600" s="1530"/>
      <c r="DC1600" s="1530"/>
      <c r="DD1600" s="1530"/>
      <c r="DE1600" s="1530"/>
      <c r="DF1600" s="1530"/>
      <c r="DG1600" s="1530"/>
      <c r="DH1600" s="1530"/>
      <c r="DI1600" s="1530"/>
      <c r="DJ1600" s="1530"/>
      <c r="DK1600" s="1530"/>
      <c r="DL1600" s="1530"/>
      <c r="DM1600" s="1530"/>
      <c r="DN1600" s="1571"/>
      <c r="DO1600" s="1530"/>
      <c r="DP1600" s="1530"/>
    </row>
    <row r="1601" spans="1:120">
      <c r="A1601" s="1451"/>
      <c r="C1601" s="1451"/>
      <c r="K1601" s="1451"/>
      <c r="L1601" s="1451"/>
      <c r="U1601" s="1451"/>
      <c r="AD1601" s="1451"/>
      <c r="AM1601" s="1451"/>
      <c r="AV1601" s="1451"/>
      <c r="BE1601" s="1451"/>
      <c r="BN1601" s="1451"/>
      <c r="BV1601" s="1451"/>
      <c r="BW1601" s="1451"/>
      <c r="CF1601" s="1451"/>
      <c r="CN1601" s="1451"/>
      <c r="CO1601" s="1530"/>
      <c r="CP1601" s="1530"/>
      <c r="CQ1601" s="1530"/>
      <c r="CR1601" s="1530"/>
      <c r="CS1601" s="1530"/>
      <c r="CT1601" s="1530"/>
      <c r="CU1601" s="1530"/>
      <c r="CV1601" s="1530"/>
      <c r="CW1601" s="1530"/>
      <c r="CX1601" s="1530"/>
      <c r="CY1601" s="1530"/>
      <c r="CZ1601" s="1530"/>
      <c r="DA1601" s="1530"/>
      <c r="DB1601" s="1530"/>
      <c r="DC1601" s="1530"/>
      <c r="DD1601" s="1530"/>
      <c r="DE1601" s="1530"/>
      <c r="DF1601" s="1530"/>
      <c r="DG1601" s="1530"/>
      <c r="DH1601" s="1530"/>
      <c r="DI1601" s="1530"/>
      <c r="DJ1601" s="1530"/>
      <c r="DK1601" s="1530"/>
      <c r="DL1601" s="1530"/>
      <c r="DM1601" s="1530"/>
      <c r="DN1601" s="1571"/>
      <c r="DO1601" s="1530"/>
      <c r="DP1601" s="1530"/>
    </row>
    <row r="1602" spans="1:120">
      <c r="A1602" s="1451"/>
      <c r="C1602" s="1451"/>
      <c r="K1602" s="1451"/>
      <c r="L1602" s="1451"/>
      <c r="U1602" s="1451"/>
      <c r="AD1602" s="1451"/>
      <c r="AM1602" s="1451"/>
      <c r="AV1602" s="1451"/>
      <c r="BE1602" s="1451"/>
      <c r="BN1602" s="1451"/>
      <c r="BV1602" s="1451"/>
      <c r="BW1602" s="1451"/>
      <c r="CF1602" s="1451"/>
      <c r="CN1602" s="1451"/>
      <c r="CO1602" s="1530"/>
      <c r="CP1602" s="1530"/>
      <c r="CQ1602" s="1530"/>
      <c r="CR1602" s="1530"/>
      <c r="CS1602" s="1530"/>
      <c r="CT1602" s="1530"/>
      <c r="CU1602" s="1530"/>
      <c r="CV1602" s="1530"/>
      <c r="CW1602" s="1530"/>
      <c r="CX1602" s="1530"/>
      <c r="CY1602" s="1530"/>
      <c r="CZ1602" s="1530"/>
      <c r="DA1602" s="1530"/>
      <c r="DB1602" s="1530"/>
      <c r="DC1602" s="1530"/>
      <c r="DD1602" s="1530"/>
      <c r="DE1602" s="1530"/>
      <c r="DF1602" s="1530"/>
      <c r="DG1602" s="1530"/>
      <c r="DH1602" s="1530"/>
      <c r="DI1602" s="1530"/>
      <c r="DJ1602" s="1530"/>
      <c r="DK1602" s="1530"/>
      <c r="DL1602" s="1530"/>
      <c r="DM1602" s="1530"/>
      <c r="DN1602" s="1571"/>
      <c r="DO1602" s="1530"/>
      <c r="DP1602" s="1530"/>
    </row>
    <row r="1603" spans="1:120">
      <c r="A1603" s="1451"/>
      <c r="C1603" s="1451"/>
      <c r="K1603" s="1451"/>
      <c r="L1603" s="1451"/>
      <c r="U1603" s="1451"/>
      <c r="AD1603" s="1451"/>
      <c r="AM1603" s="1451"/>
      <c r="AV1603" s="1451"/>
      <c r="BE1603" s="1451"/>
      <c r="BN1603" s="1451"/>
      <c r="BV1603" s="1451"/>
      <c r="BW1603" s="1451"/>
      <c r="CF1603" s="1451"/>
      <c r="CN1603" s="1451"/>
      <c r="CO1603" s="1530"/>
      <c r="CP1603" s="1530"/>
      <c r="CQ1603" s="1530"/>
      <c r="CR1603" s="1530"/>
      <c r="CS1603" s="1530"/>
      <c r="CT1603" s="1530"/>
      <c r="CU1603" s="1530"/>
      <c r="CV1603" s="1530"/>
      <c r="CW1603" s="1530"/>
      <c r="CX1603" s="1530"/>
      <c r="CY1603" s="1530"/>
      <c r="CZ1603" s="1530"/>
      <c r="DA1603" s="1530"/>
      <c r="DB1603" s="1530"/>
      <c r="DC1603" s="1530"/>
      <c r="DD1603" s="1530"/>
      <c r="DE1603" s="1530"/>
      <c r="DF1603" s="1530"/>
      <c r="DG1603" s="1530"/>
      <c r="DH1603" s="1530"/>
      <c r="DI1603" s="1530"/>
      <c r="DJ1603" s="1530"/>
      <c r="DK1603" s="1530"/>
      <c r="DL1603" s="1530"/>
      <c r="DM1603" s="1530"/>
      <c r="DN1603" s="1571"/>
      <c r="DO1603" s="1530"/>
      <c r="DP1603" s="1530"/>
    </row>
    <row r="1604" spans="1:120">
      <c r="A1604" s="1451"/>
      <c r="C1604" s="1451"/>
      <c r="K1604" s="1451"/>
      <c r="L1604" s="1451"/>
      <c r="U1604" s="1451"/>
      <c r="AD1604" s="1451"/>
      <c r="AM1604" s="1451"/>
      <c r="AV1604" s="1451"/>
      <c r="BE1604" s="1451"/>
      <c r="BN1604" s="1451"/>
      <c r="BV1604" s="1451"/>
      <c r="BW1604" s="1451"/>
      <c r="CF1604" s="1451"/>
      <c r="CN1604" s="1451"/>
      <c r="CO1604" s="1530"/>
      <c r="CP1604" s="1530"/>
      <c r="CQ1604" s="1530"/>
      <c r="CR1604" s="1530"/>
      <c r="CS1604" s="1530"/>
      <c r="CT1604" s="1530"/>
      <c r="CU1604" s="1530"/>
      <c r="CV1604" s="1530"/>
      <c r="CW1604" s="1530"/>
      <c r="CX1604" s="1530"/>
      <c r="CY1604" s="1530"/>
      <c r="CZ1604" s="1530"/>
      <c r="DA1604" s="1530"/>
      <c r="DB1604" s="1530"/>
      <c r="DC1604" s="1530"/>
      <c r="DD1604" s="1530"/>
      <c r="DE1604" s="1530"/>
      <c r="DF1604" s="1530"/>
      <c r="DG1604" s="1530"/>
      <c r="DH1604" s="1530"/>
      <c r="DI1604" s="1530"/>
      <c r="DJ1604" s="1530"/>
      <c r="DK1604" s="1530"/>
      <c r="DL1604" s="1530"/>
      <c r="DM1604" s="1530"/>
      <c r="DN1604" s="1571"/>
      <c r="DO1604" s="1530"/>
      <c r="DP1604" s="1530"/>
    </row>
    <row r="1605" spans="1:120">
      <c r="A1605" s="1451"/>
      <c r="C1605" s="1451"/>
      <c r="K1605" s="1451"/>
      <c r="L1605" s="1451"/>
      <c r="U1605" s="1451"/>
      <c r="AD1605" s="1451"/>
      <c r="AM1605" s="1451"/>
      <c r="AV1605" s="1451"/>
      <c r="BE1605" s="1451"/>
      <c r="BN1605" s="1451"/>
      <c r="BV1605" s="1451"/>
      <c r="BW1605" s="1451"/>
      <c r="CF1605" s="1451"/>
      <c r="CN1605" s="1451"/>
      <c r="CO1605" s="1530"/>
      <c r="CP1605" s="1530"/>
      <c r="CQ1605" s="1530"/>
      <c r="CR1605" s="1530"/>
      <c r="CS1605" s="1530"/>
      <c r="CT1605" s="1530"/>
      <c r="CU1605" s="1530"/>
      <c r="CV1605" s="1530"/>
      <c r="CW1605" s="1530"/>
      <c r="CX1605" s="1530"/>
      <c r="CY1605" s="1530"/>
      <c r="CZ1605" s="1530"/>
      <c r="DA1605" s="1530"/>
      <c r="DB1605" s="1530"/>
      <c r="DC1605" s="1530"/>
      <c r="DD1605" s="1530"/>
      <c r="DE1605" s="1530"/>
      <c r="DF1605" s="1530"/>
      <c r="DG1605" s="1530"/>
      <c r="DH1605" s="1530"/>
      <c r="DI1605" s="1530"/>
      <c r="DJ1605" s="1530"/>
      <c r="DK1605" s="1530"/>
      <c r="DL1605" s="1530"/>
      <c r="DM1605" s="1530"/>
      <c r="DN1605" s="1571"/>
      <c r="DO1605" s="1530"/>
      <c r="DP1605" s="1530"/>
    </row>
    <row r="1606" spans="1:120">
      <c r="A1606" s="1451"/>
      <c r="C1606" s="1451"/>
      <c r="K1606" s="1451"/>
      <c r="L1606" s="1451"/>
      <c r="U1606" s="1451"/>
      <c r="AD1606" s="1451"/>
      <c r="AM1606" s="1451"/>
      <c r="AV1606" s="1451"/>
      <c r="BE1606" s="1451"/>
      <c r="BN1606" s="1451"/>
      <c r="BV1606" s="1451"/>
      <c r="BW1606" s="1451"/>
      <c r="CF1606" s="1451"/>
      <c r="CN1606" s="1451"/>
      <c r="CO1606" s="1530"/>
      <c r="CP1606" s="1530"/>
      <c r="CQ1606" s="1530"/>
      <c r="CR1606" s="1530"/>
      <c r="CS1606" s="1530"/>
      <c r="CT1606" s="1530"/>
      <c r="CU1606" s="1530"/>
      <c r="CV1606" s="1530"/>
      <c r="CW1606" s="1530"/>
      <c r="CX1606" s="1530"/>
      <c r="CY1606" s="1530"/>
      <c r="CZ1606" s="1530"/>
      <c r="DA1606" s="1530"/>
      <c r="DB1606" s="1530"/>
      <c r="DC1606" s="1530"/>
      <c r="DD1606" s="1530"/>
      <c r="DE1606" s="1530"/>
      <c r="DF1606" s="1530"/>
      <c r="DG1606" s="1530"/>
      <c r="DH1606" s="1530"/>
      <c r="DI1606" s="1530"/>
      <c r="DJ1606" s="1530"/>
      <c r="DK1606" s="1530"/>
      <c r="DL1606" s="1530"/>
      <c r="DM1606" s="1530"/>
      <c r="DN1606" s="1571"/>
      <c r="DO1606" s="1530"/>
      <c r="DP1606" s="1530"/>
    </row>
    <row r="1607" spans="1:120">
      <c r="A1607" s="1451"/>
      <c r="C1607" s="1451"/>
      <c r="K1607" s="1451"/>
      <c r="L1607" s="1451"/>
      <c r="U1607" s="1451"/>
      <c r="AD1607" s="1451"/>
      <c r="AM1607" s="1451"/>
      <c r="AV1607" s="1451"/>
      <c r="BE1607" s="1451"/>
      <c r="BN1607" s="1451"/>
      <c r="BV1607" s="1451"/>
      <c r="BW1607" s="1451"/>
      <c r="CF1607" s="1451"/>
      <c r="CN1607" s="1451"/>
      <c r="CO1607" s="1530"/>
      <c r="CP1607" s="1530"/>
      <c r="CQ1607" s="1530"/>
      <c r="CR1607" s="1530"/>
      <c r="CS1607" s="1530"/>
      <c r="CT1607" s="1530"/>
      <c r="CU1607" s="1530"/>
      <c r="CV1607" s="1530"/>
      <c r="CW1607" s="1530"/>
      <c r="CX1607" s="1530"/>
      <c r="CY1607" s="1530"/>
      <c r="CZ1607" s="1530"/>
      <c r="DA1607" s="1530"/>
      <c r="DB1607" s="1530"/>
      <c r="DC1607" s="1530"/>
      <c r="DD1607" s="1530"/>
      <c r="DE1607" s="1530"/>
      <c r="DF1607" s="1530"/>
      <c r="DG1607" s="1530"/>
      <c r="DH1607" s="1530"/>
      <c r="DI1607" s="1530"/>
      <c r="DJ1607" s="1530"/>
      <c r="DK1607" s="1530"/>
      <c r="DL1607" s="1530"/>
      <c r="DM1607" s="1530"/>
      <c r="DN1607" s="1571"/>
      <c r="DO1607" s="1530"/>
      <c r="DP1607" s="1530"/>
    </row>
    <row r="1608" spans="1:120">
      <c r="A1608" s="1451"/>
      <c r="C1608" s="1451"/>
      <c r="K1608" s="1451"/>
      <c r="L1608" s="1451"/>
      <c r="U1608" s="1451"/>
      <c r="AD1608" s="1451"/>
      <c r="AM1608" s="1451"/>
      <c r="AV1608" s="1451"/>
      <c r="BE1608" s="1451"/>
      <c r="BN1608" s="1451"/>
      <c r="BV1608" s="1451"/>
      <c r="BW1608" s="1451"/>
      <c r="CF1608" s="1451"/>
      <c r="CN1608" s="1451"/>
      <c r="CO1608" s="1530"/>
      <c r="CP1608" s="1530"/>
      <c r="CQ1608" s="1530"/>
      <c r="CR1608" s="1530"/>
      <c r="CS1608" s="1530"/>
      <c r="CT1608" s="1530"/>
      <c r="CU1608" s="1530"/>
      <c r="CV1608" s="1530"/>
      <c r="CW1608" s="1530"/>
      <c r="CX1608" s="1530"/>
      <c r="CY1608" s="1530"/>
      <c r="CZ1608" s="1530"/>
      <c r="DA1608" s="1530"/>
      <c r="DB1608" s="1530"/>
      <c r="DC1608" s="1530"/>
      <c r="DD1608" s="1530"/>
      <c r="DE1608" s="1530"/>
      <c r="DF1608" s="1530"/>
      <c r="DG1608" s="1530"/>
      <c r="DH1608" s="1530"/>
      <c r="DI1608" s="1530"/>
      <c r="DJ1608" s="1530"/>
      <c r="DK1608" s="1530"/>
      <c r="DL1608" s="1530"/>
      <c r="DM1608" s="1530"/>
      <c r="DN1608" s="1571"/>
      <c r="DO1608" s="1530"/>
      <c r="DP1608" s="1530"/>
    </row>
    <row r="1609" spans="1:120">
      <c r="A1609" s="1451"/>
      <c r="C1609" s="1451"/>
      <c r="K1609" s="1451"/>
      <c r="L1609" s="1451"/>
      <c r="U1609" s="1451"/>
      <c r="AD1609" s="1451"/>
      <c r="AM1609" s="1451"/>
      <c r="AV1609" s="1451"/>
      <c r="BE1609" s="1451"/>
      <c r="BN1609" s="1451"/>
      <c r="BV1609" s="1451"/>
      <c r="BW1609" s="1451"/>
      <c r="CF1609" s="1451"/>
      <c r="CN1609" s="1451"/>
      <c r="CO1609" s="1530"/>
      <c r="CP1609" s="1530"/>
      <c r="CQ1609" s="1530"/>
      <c r="CR1609" s="1530"/>
      <c r="CS1609" s="1530"/>
      <c r="CT1609" s="1530"/>
      <c r="CU1609" s="1530"/>
      <c r="CV1609" s="1530"/>
      <c r="CW1609" s="1530"/>
      <c r="CX1609" s="1530"/>
      <c r="CY1609" s="1530"/>
      <c r="CZ1609" s="1530"/>
      <c r="DA1609" s="1530"/>
      <c r="DB1609" s="1530"/>
      <c r="DC1609" s="1530"/>
      <c r="DD1609" s="1530"/>
      <c r="DE1609" s="1530"/>
      <c r="DF1609" s="1530"/>
      <c r="DG1609" s="1530"/>
      <c r="DH1609" s="1530"/>
      <c r="DI1609" s="1530"/>
      <c r="DJ1609" s="1530"/>
      <c r="DK1609" s="1530"/>
      <c r="DL1609" s="1530"/>
      <c r="DM1609" s="1530"/>
      <c r="DN1609" s="1571"/>
      <c r="DO1609" s="1530"/>
      <c r="DP1609" s="1530"/>
    </row>
    <row r="1610" spans="1:120">
      <c r="A1610" s="1451"/>
      <c r="C1610" s="1451"/>
      <c r="K1610" s="1451"/>
      <c r="L1610" s="1451"/>
      <c r="U1610" s="1451"/>
      <c r="AD1610" s="1451"/>
      <c r="AM1610" s="1451"/>
      <c r="AV1610" s="1451"/>
      <c r="BE1610" s="1451"/>
      <c r="BN1610" s="1451"/>
      <c r="BV1610" s="1451"/>
      <c r="BW1610" s="1451"/>
      <c r="CF1610" s="1451"/>
      <c r="CN1610" s="1451"/>
      <c r="CO1610" s="1530"/>
      <c r="CP1610" s="1530"/>
      <c r="CQ1610" s="1530"/>
      <c r="CR1610" s="1530"/>
      <c r="CS1610" s="1530"/>
      <c r="CT1610" s="1530"/>
      <c r="CU1610" s="1530"/>
      <c r="CV1610" s="1530"/>
      <c r="CW1610" s="1530"/>
      <c r="CX1610" s="1530"/>
      <c r="CY1610" s="1530"/>
      <c r="CZ1610" s="1530"/>
      <c r="DA1610" s="1530"/>
      <c r="DB1610" s="1530"/>
      <c r="DC1610" s="1530"/>
      <c r="DD1610" s="1530"/>
      <c r="DE1610" s="1530"/>
      <c r="DF1610" s="1530"/>
      <c r="DG1610" s="1530"/>
      <c r="DH1610" s="1530"/>
      <c r="DI1610" s="1530"/>
      <c r="DJ1610" s="1530"/>
      <c r="DK1610" s="1530"/>
      <c r="DL1610" s="1530"/>
      <c r="DM1610" s="1530"/>
      <c r="DN1610" s="1571"/>
      <c r="DO1610" s="1530"/>
      <c r="DP1610" s="1530"/>
    </row>
    <row r="1611" spans="1:120">
      <c r="A1611" s="1451"/>
      <c r="C1611" s="1451"/>
      <c r="K1611" s="1451"/>
      <c r="L1611" s="1451"/>
      <c r="U1611" s="1451"/>
      <c r="AD1611" s="1451"/>
      <c r="AM1611" s="1451"/>
      <c r="AV1611" s="1451"/>
      <c r="BE1611" s="1451"/>
      <c r="BN1611" s="1451"/>
      <c r="BV1611" s="1451"/>
      <c r="BW1611" s="1451"/>
      <c r="CF1611" s="1451"/>
      <c r="CN1611" s="1451"/>
      <c r="CO1611" s="1530"/>
      <c r="CP1611" s="1530"/>
      <c r="CQ1611" s="1530"/>
      <c r="CR1611" s="1530"/>
      <c r="CS1611" s="1530"/>
      <c r="CT1611" s="1530"/>
      <c r="CU1611" s="1530"/>
      <c r="CV1611" s="1530"/>
      <c r="CW1611" s="1530"/>
      <c r="CX1611" s="1530"/>
      <c r="CY1611" s="1530"/>
      <c r="CZ1611" s="1530"/>
      <c r="DA1611" s="1530"/>
      <c r="DB1611" s="1530"/>
      <c r="DC1611" s="1530"/>
      <c r="DD1611" s="1530"/>
      <c r="DE1611" s="1530"/>
      <c r="DF1611" s="1530"/>
      <c r="DG1611" s="1530"/>
      <c r="DH1611" s="1530"/>
      <c r="DI1611" s="1530"/>
      <c r="DJ1611" s="1530"/>
      <c r="DK1611" s="1530"/>
      <c r="DL1611" s="1530"/>
      <c r="DM1611" s="1530"/>
      <c r="DN1611" s="1571"/>
      <c r="DO1611" s="1530"/>
      <c r="DP1611" s="1530"/>
    </row>
    <row r="1612" spans="1:120">
      <c r="A1612" s="1451"/>
      <c r="C1612" s="1451"/>
      <c r="K1612" s="1451"/>
      <c r="L1612" s="1451"/>
      <c r="U1612" s="1451"/>
      <c r="AD1612" s="1451"/>
      <c r="AM1612" s="1451"/>
      <c r="AV1612" s="1451"/>
      <c r="BE1612" s="1451"/>
      <c r="BN1612" s="1451"/>
      <c r="BV1612" s="1451"/>
      <c r="BW1612" s="1451"/>
      <c r="CF1612" s="1451"/>
      <c r="CN1612" s="1451"/>
      <c r="CO1612" s="1530"/>
      <c r="CP1612" s="1530"/>
      <c r="CQ1612" s="1530"/>
      <c r="CR1612" s="1530"/>
      <c r="CS1612" s="1530"/>
      <c r="CT1612" s="1530"/>
      <c r="CU1612" s="1530"/>
      <c r="CV1612" s="1530"/>
      <c r="CW1612" s="1530"/>
      <c r="CX1612" s="1530"/>
      <c r="CY1612" s="1530"/>
      <c r="CZ1612" s="1530"/>
      <c r="DA1612" s="1530"/>
      <c r="DB1612" s="1530"/>
      <c r="DC1612" s="1530"/>
      <c r="DD1612" s="1530"/>
      <c r="DE1612" s="1530"/>
      <c r="DF1612" s="1530"/>
      <c r="DG1612" s="1530"/>
      <c r="DH1612" s="1530"/>
      <c r="DI1612" s="1530"/>
      <c r="DJ1612" s="1530"/>
      <c r="DK1612" s="1530"/>
      <c r="DL1612" s="1530"/>
      <c r="DM1612" s="1530"/>
      <c r="DN1612" s="1571"/>
      <c r="DO1612" s="1530"/>
      <c r="DP1612" s="1530"/>
    </row>
    <row r="1613" spans="1:120">
      <c r="A1613" s="1451"/>
      <c r="C1613" s="1451"/>
      <c r="K1613" s="1451"/>
      <c r="L1613" s="1451"/>
      <c r="U1613" s="1451"/>
      <c r="AD1613" s="1451"/>
      <c r="AM1613" s="1451"/>
      <c r="AV1613" s="1451"/>
      <c r="BE1613" s="1451"/>
      <c r="BN1613" s="1451"/>
      <c r="BV1613" s="1451"/>
      <c r="BW1613" s="1451"/>
      <c r="CF1613" s="1451"/>
      <c r="CN1613" s="1451"/>
      <c r="CO1613" s="1530"/>
      <c r="CP1613" s="1530"/>
      <c r="CQ1613" s="1530"/>
      <c r="CR1613" s="1530"/>
      <c r="CS1613" s="1530"/>
      <c r="CT1613" s="1530"/>
      <c r="CU1613" s="1530"/>
      <c r="CV1613" s="1530"/>
      <c r="CW1613" s="1530"/>
      <c r="CX1613" s="1530"/>
      <c r="CY1613" s="1530"/>
      <c r="CZ1613" s="1530"/>
      <c r="DA1613" s="1530"/>
      <c r="DB1613" s="1530"/>
      <c r="DC1613" s="1530"/>
      <c r="DD1613" s="1530"/>
      <c r="DE1613" s="1530"/>
      <c r="DF1613" s="1530"/>
      <c r="DG1613" s="1530"/>
      <c r="DH1613" s="1530"/>
      <c r="DI1613" s="1530"/>
      <c r="DJ1613" s="1530"/>
      <c r="DK1613" s="1530"/>
      <c r="DL1613" s="1530"/>
      <c r="DM1613" s="1530"/>
      <c r="DN1613" s="1571"/>
      <c r="DO1613" s="1530"/>
      <c r="DP1613" s="1530"/>
    </row>
    <row r="1614" spans="1:120">
      <c r="A1614" s="1451"/>
      <c r="C1614" s="1451"/>
      <c r="K1614" s="1451"/>
      <c r="L1614" s="1451"/>
      <c r="U1614" s="1451"/>
      <c r="AD1614" s="1451"/>
      <c r="AM1614" s="1451"/>
      <c r="AV1614" s="1451"/>
      <c r="BE1614" s="1451"/>
      <c r="BN1614" s="1451"/>
      <c r="BV1614" s="1451"/>
      <c r="BW1614" s="1451"/>
      <c r="CF1614" s="1451"/>
      <c r="CN1614" s="1451"/>
      <c r="CO1614" s="1530"/>
      <c r="CP1614" s="1530"/>
      <c r="CQ1614" s="1530"/>
      <c r="CR1614" s="1530"/>
      <c r="CS1614" s="1530"/>
      <c r="CT1614" s="1530"/>
      <c r="CU1614" s="1530"/>
      <c r="CV1614" s="1530"/>
      <c r="CW1614" s="1530"/>
      <c r="CX1614" s="1530"/>
      <c r="CY1614" s="1530"/>
      <c r="CZ1614" s="1530"/>
      <c r="DA1614" s="1530"/>
      <c r="DB1614" s="1530"/>
      <c r="DC1614" s="1530"/>
      <c r="DD1614" s="1530"/>
      <c r="DE1614" s="1530"/>
      <c r="DF1614" s="1530"/>
      <c r="DG1614" s="1530"/>
      <c r="DH1614" s="1530"/>
      <c r="DI1614" s="1530"/>
      <c r="DJ1614" s="1530"/>
      <c r="DK1614" s="1530"/>
      <c r="DL1614" s="1530"/>
      <c r="DM1614" s="1530"/>
      <c r="DN1614" s="1571"/>
      <c r="DO1614" s="1530"/>
      <c r="DP1614" s="1530"/>
    </row>
    <row r="1615" spans="1:120">
      <c r="A1615" s="1451"/>
      <c r="C1615" s="1451"/>
      <c r="K1615" s="1451"/>
      <c r="L1615" s="1451"/>
      <c r="U1615" s="1451"/>
      <c r="AD1615" s="1451"/>
      <c r="AM1615" s="1451"/>
      <c r="AV1615" s="1451"/>
      <c r="BE1615" s="1451"/>
      <c r="BN1615" s="1451"/>
      <c r="BV1615" s="1451"/>
      <c r="BW1615" s="1451"/>
      <c r="CF1615" s="1451"/>
      <c r="CN1615" s="1451"/>
      <c r="CO1615" s="1530"/>
      <c r="CP1615" s="1530"/>
      <c r="CQ1615" s="1530"/>
      <c r="CR1615" s="1530"/>
      <c r="CS1615" s="1530"/>
      <c r="CT1615" s="1530"/>
      <c r="CU1615" s="1530"/>
      <c r="CV1615" s="1530"/>
      <c r="CW1615" s="1530"/>
      <c r="CX1615" s="1530"/>
      <c r="CY1615" s="1530"/>
      <c r="CZ1615" s="1530"/>
      <c r="DA1615" s="1530"/>
      <c r="DB1615" s="1530"/>
      <c r="DC1615" s="1530"/>
      <c r="DD1615" s="1530"/>
      <c r="DE1615" s="1530"/>
      <c r="DF1615" s="1530"/>
      <c r="DG1615" s="1530"/>
      <c r="DH1615" s="1530"/>
      <c r="DI1615" s="1530"/>
      <c r="DJ1615" s="1530"/>
      <c r="DK1615" s="1530"/>
      <c r="DL1615" s="1530"/>
      <c r="DM1615" s="1530"/>
      <c r="DN1615" s="1571"/>
      <c r="DO1615" s="1530"/>
      <c r="DP1615" s="1530"/>
    </row>
    <row r="1616" spans="1:120">
      <c r="A1616" s="1451"/>
      <c r="C1616" s="1451"/>
      <c r="K1616" s="1451"/>
      <c r="L1616" s="1451"/>
      <c r="U1616" s="1451"/>
      <c r="AD1616" s="1451"/>
      <c r="AM1616" s="1451"/>
      <c r="AV1616" s="1451"/>
      <c r="BE1616" s="1451"/>
      <c r="BN1616" s="1451"/>
      <c r="BV1616" s="1451"/>
      <c r="BW1616" s="1451"/>
      <c r="CF1616" s="1451"/>
      <c r="CN1616" s="1451"/>
      <c r="CO1616" s="1530"/>
      <c r="CP1616" s="1530"/>
      <c r="CQ1616" s="1530"/>
      <c r="CR1616" s="1530"/>
      <c r="CS1616" s="1530"/>
      <c r="CT1616" s="1530"/>
      <c r="CU1616" s="1530"/>
      <c r="CV1616" s="1530"/>
      <c r="CW1616" s="1530"/>
      <c r="CX1616" s="1530"/>
      <c r="CY1616" s="1530"/>
      <c r="CZ1616" s="1530"/>
      <c r="DA1616" s="1530"/>
      <c r="DB1616" s="1530"/>
      <c r="DC1616" s="1530"/>
      <c r="DD1616" s="1530"/>
      <c r="DE1616" s="1530"/>
      <c r="DF1616" s="1530"/>
      <c r="DG1616" s="1530"/>
      <c r="DH1616" s="1530"/>
      <c r="DI1616" s="1530"/>
      <c r="DJ1616" s="1530"/>
      <c r="DK1616" s="1530"/>
      <c r="DL1616" s="1530"/>
      <c r="DM1616" s="1530"/>
      <c r="DN1616" s="1571"/>
      <c r="DO1616" s="1530"/>
      <c r="DP1616" s="1530"/>
    </row>
    <row r="1617" spans="1:120">
      <c r="A1617" s="1451"/>
      <c r="C1617" s="1451"/>
      <c r="K1617" s="1451"/>
      <c r="L1617" s="1451"/>
      <c r="U1617" s="1451"/>
      <c r="AD1617" s="1451"/>
      <c r="AM1617" s="1451"/>
      <c r="AV1617" s="1451"/>
      <c r="BE1617" s="1451"/>
      <c r="BN1617" s="1451"/>
      <c r="BV1617" s="1451"/>
      <c r="BW1617" s="1451"/>
      <c r="CF1617" s="1451"/>
      <c r="CN1617" s="1451"/>
      <c r="CO1617" s="1530"/>
      <c r="CP1617" s="1530"/>
      <c r="CQ1617" s="1530"/>
      <c r="CR1617" s="1530"/>
      <c r="CS1617" s="1530"/>
      <c r="CT1617" s="1530"/>
      <c r="CU1617" s="1530"/>
      <c r="CV1617" s="1530"/>
      <c r="CW1617" s="1530"/>
      <c r="CX1617" s="1530"/>
      <c r="CY1617" s="1530"/>
      <c r="CZ1617" s="1530"/>
      <c r="DA1617" s="1530"/>
      <c r="DB1617" s="1530"/>
      <c r="DC1617" s="1530"/>
      <c r="DD1617" s="1530"/>
      <c r="DE1617" s="1530"/>
      <c r="DF1617" s="1530"/>
      <c r="DG1617" s="1530"/>
      <c r="DH1617" s="1530"/>
      <c r="DI1617" s="1530"/>
      <c r="DJ1617" s="1530"/>
      <c r="DK1617" s="1530"/>
      <c r="DL1617" s="1530"/>
      <c r="DM1617" s="1530"/>
      <c r="DN1617" s="1571"/>
      <c r="DO1617" s="1530"/>
      <c r="DP1617" s="1530"/>
    </row>
    <row r="1618" spans="1:120">
      <c r="A1618" s="1451"/>
      <c r="C1618" s="1451"/>
      <c r="K1618" s="1451"/>
      <c r="L1618" s="1451"/>
      <c r="U1618" s="1451"/>
      <c r="AD1618" s="1451"/>
      <c r="AM1618" s="1451"/>
      <c r="AV1618" s="1451"/>
      <c r="BE1618" s="1451"/>
      <c r="BN1618" s="1451"/>
      <c r="BV1618" s="1451"/>
      <c r="BW1618" s="1451"/>
      <c r="CF1618" s="1451"/>
      <c r="CN1618" s="1451"/>
      <c r="CO1618" s="1530"/>
      <c r="CP1618" s="1530"/>
      <c r="CQ1618" s="1530"/>
      <c r="CR1618" s="1530"/>
      <c r="CS1618" s="1530"/>
      <c r="CT1618" s="1530"/>
      <c r="CU1618" s="1530"/>
      <c r="CV1618" s="1530"/>
      <c r="CW1618" s="1530"/>
      <c r="CX1618" s="1530"/>
      <c r="CY1618" s="1530"/>
      <c r="CZ1618" s="1530"/>
      <c r="DA1618" s="1530"/>
      <c r="DB1618" s="1530"/>
      <c r="DC1618" s="1530"/>
      <c r="DD1618" s="1530"/>
      <c r="DE1618" s="1530"/>
      <c r="DF1618" s="1530"/>
      <c r="DG1618" s="1530"/>
      <c r="DH1618" s="1530"/>
      <c r="DI1618" s="1530"/>
      <c r="DJ1618" s="1530"/>
      <c r="DK1618" s="1530"/>
      <c r="DL1618" s="1530"/>
      <c r="DM1618" s="1530"/>
      <c r="DN1618" s="1571"/>
      <c r="DO1618" s="1530"/>
      <c r="DP1618" s="1530"/>
    </row>
    <row r="1619" spans="1:120">
      <c r="A1619" s="1451"/>
      <c r="C1619" s="1451"/>
      <c r="K1619" s="1451"/>
      <c r="L1619" s="1451"/>
      <c r="U1619" s="1451"/>
      <c r="AD1619" s="1451"/>
      <c r="AM1619" s="1451"/>
      <c r="AV1619" s="1451"/>
      <c r="BE1619" s="1451"/>
      <c r="BN1619" s="1451"/>
      <c r="BV1619" s="1451"/>
      <c r="BW1619" s="1451"/>
      <c r="CF1619" s="1451"/>
      <c r="CN1619" s="1451"/>
      <c r="CO1619" s="1530"/>
      <c r="CP1619" s="1530"/>
      <c r="CQ1619" s="1530"/>
      <c r="CR1619" s="1530"/>
      <c r="CS1619" s="1530"/>
      <c r="CT1619" s="1530"/>
      <c r="CU1619" s="1530"/>
      <c r="CV1619" s="1530"/>
      <c r="CW1619" s="1530"/>
      <c r="CX1619" s="1530"/>
      <c r="CY1619" s="1530"/>
      <c r="CZ1619" s="1530"/>
      <c r="DA1619" s="1530"/>
      <c r="DB1619" s="1530"/>
      <c r="DC1619" s="1530"/>
      <c r="DD1619" s="1530"/>
      <c r="DE1619" s="1530"/>
      <c r="DF1619" s="1530"/>
      <c r="DG1619" s="1530"/>
      <c r="DH1619" s="1530"/>
      <c r="DI1619" s="1530"/>
      <c r="DJ1619" s="1530"/>
      <c r="DK1619" s="1530"/>
      <c r="DL1619" s="1530"/>
      <c r="DM1619" s="1530"/>
      <c r="DN1619" s="1571"/>
      <c r="DO1619" s="1530"/>
      <c r="DP1619" s="1530"/>
    </row>
    <row r="1620" spans="1:120">
      <c r="A1620" s="1451"/>
      <c r="C1620" s="1451"/>
      <c r="K1620" s="1451"/>
      <c r="L1620" s="1451"/>
      <c r="U1620" s="1451"/>
      <c r="AD1620" s="1451"/>
      <c r="AM1620" s="1451"/>
      <c r="AV1620" s="1451"/>
      <c r="BE1620" s="1451"/>
      <c r="BN1620" s="1451"/>
      <c r="BV1620" s="1451"/>
      <c r="BW1620" s="1451"/>
      <c r="CF1620" s="1451"/>
      <c r="CN1620" s="1451"/>
      <c r="CO1620" s="1530"/>
      <c r="CP1620" s="1530"/>
      <c r="CQ1620" s="1530"/>
      <c r="CR1620" s="1530"/>
      <c r="CS1620" s="1530"/>
      <c r="CT1620" s="1530"/>
      <c r="CU1620" s="1530"/>
      <c r="CV1620" s="1530"/>
      <c r="CW1620" s="1530"/>
      <c r="CX1620" s="1530"/>
      <c r="CY1620" s="1530"/>
      <c r="CZ1620" s="1530"/>
      <c r="DA1620" s="1530"/>
      <c r="DB1620" s="1530"/>
      <c r="DC1620" s="1530"/>
      <c r="DD1620" s="1530"/>
      <c r="DE1620" s="1530"/>
      <c r="DF1620" s="1530"/>
      <c r="DG1620" s="1530"/>
      <c r="DH1620" s="1530"/>
      <c r="DI1620" s="1530"/>
      <c r="DJ1620" s="1530"/>
      <c r="DK1620" s="1530"/>
      <c r="DL1620" s="1530"/>
      <c r="DM1620" s="1530"/>
      <c r="DN1620" s="1571"/>
      <c r="DO1620" s="1530"/>
      <c r="DP1620" s="1530"/>
    </row>
    <row r="1621" spans="1:120">
      <c r="A1621" s="1451"/>
      <c r="C1621" s="1451"/>
      <c r="K1621" s="1451"/>
      <c r="L1621" s="1451"/>
      <c r="U1621" s="1451"/>
      <c r="AD1621" s="1451"/>
      <c r="AM1621" s="1451"/>
      <c r="AV1621" s="1451"/>
      <c r="BE1621" s="1451"/>
      <c r="BN1621" s="1451"/>
      <c r="BV1621" s="1451"/>
      <c r="BW1621" s="1451"/>
      <c r="CF1621" s="1451"/>
      <c r="CN1621" s="1451"/>
      <c r="CO1621" s="1530"/>
      <c r="CP1621" s="1530"/>
      <c r="CQ1621" s="1530"/>
      <c r="CR1621" s="1530"/>
      <c r="CS1621" s="1530"/>
      <c r="CT1621" s="1530"/>
      <c r="CU1621" s="1530"/>
      <c r="CV1621" s="1530"/>
      <c r="CW1621" s="1530"/>
      <c r="CX1621" s="1530"/>
      <c r="CY1621" s="1530"/>
      <c r="CZ1621" s="1530"/>
      <c r="DA1621" s="1530"/>
      <c r="DB1621" s="1530"/>
      <c r="DC1621" s="1530"/>
      <c r="DD1621" s="1530"/>
      <c r="DE1621" s="1530"/>
      <c r="DF1621" s="1530"/>
      <c r="DG1621" s="1530"/>
      <c r="DH1621" s="1530"/>
      <c r="DI1621" s="1530"/>
      <c r="DJ1621" s="1530"/>
      <c r="DK1621" s="1530"/>
      <c r="DL1621" s="1530"/>
      <c r="DM1621" s="1530"/>
      <c r="DN1621" s="1571"/>
      <c r="DO1621" s="1530"/>
      <c r="DP1621" s="1530"/>
    </row>
    <row r="1622" spans="1:120">
      <c r="A1622" s="1451"/>
      <c r="C1622" s="1451"/>
      <c r="K1622" s="1451"/>
      <c r="L1622" s="1451"/>
      <c r="U1622" s="1451"/>
      <c r="AD1622" s="1451"/>
      <c r="AM1622" s="1451"/>
      <c r="AV1622" s="1451"/>
      <c r="BE1622" s="1451"/>
      <c r="BN1622" s="1451"/>
      <c r="BV1622" s="1451"/>
      <c r="BW1622" s="1451"/>
      <c r="CF1622" s="1451"/>
      <c r="CN1622" s="1451"/>
      <c r="CO1622" s="1530"/>
      <c r="CP1622" s="1530"/>
      <c r="CQ1622" s="1530"/>
      <c r="CR1622" s="1530"/>
      <c r="CS1622" s="1530"/>
      <c r="CT1622" s="1530"/>
      <c r="CU1622" s="1530"/>
      <c r="CV1622" s="1530"/>
      <c r="CW1622" s="1530"/>
      <c r="CX1622" s="1530"/>
      <c r="CY1622" s="1530"/>
      <c r="CZ1622" s="1530"/>
      <c r="DA1622" s="1530"/>
      <c r="DB1622" s="1530"/>
      <c r="DC1622" s="1530"/>
      <c r="DD1622" s="1530"/>
      <c r="DE1622" s="1530"/>
      <c r="DF1622" s="1530"/>
      <c r="DG1622" s="1530"/>
      <c r="DH1622" s="1530"/>
      <c r="DI1622" s="1530"/>
      <c r="DJ1622" s="1530"/>
      <c r="DK1622" s="1530"/>
      <c r="DL1622" s="1530"/>
      <c r="DM1622" s="1530"/>
      <c r="DN1622" s="1571"/>
      <c r="DO1622" s="1530"/>
      <c r="DP1622" s="1530"/>
    </row>
    <row r="1623" spans="1:120">
      <c r="A1623" s="1451"/>
      <c r="C1623" s="1451"/>
      <c r="K1623" s="1451"/>
      <c r="L1623" s="1451"/>
      <c r="U1623" s="1451"/>
      <c r="AD1623" s="1451"/>
      <c r="AM1623" s="1451"/>
      <c r="AV1623" s="1451"/>
      <c r="BE1623" s="1451"/>
      <c r="BN1623" s="1451"/>
      <c r="BV1623" s="1451"/>
      <c r="BW1623" s="1451"/>
      <c r="CF1623" s="1451"/>
      <c r="CN1623" s="1451"/>
      <c r="CO1623" s="1530"/>
      <c r="CP1623" s="1530"/>
      <c r="CQ1623" s="1530"/>
      <c r="CR1623" s="1530"/>
      <c r="CS1623" s="1530"/>
      <c r="CT1623" s="1530"/>
      <c r="CU1623" s="1530"/>
      <c r="CV1623" s="1530"/>
      <c r="CW1623" s="1530"/>
      <c r="CX1623" s="1530"/>
      <c r="CY1623" s="1530"/>
      <c r="CZ1623" s="1530"/>
      <c r="DA1623" s="1530"/>
      <c r="DB1623" s="1530"/>
      <c r="DC1623" s="1530"/>
      <c r="DD1623" s="1530"/>
      <c r="DE1623" s="1530"/>
      <c r="DF1623" s="1530"/>
      <c r="DG1623" s="1530"/>
      <c r="DH1623" s="1530"/>
      <c r="DI1623" s="1530"/>
      <c r="DJ1623" s="1530"/>
      <c r="DK1623" s="1530"/>
      <c r="DL1623" s="1530"/>
      <c r="DM1623" s="1530"/>
      <c r="DN1623" s="1571"/>
      <c r="DO1623" s="1530"/>
      <c r="DP1623" s="1530"/>
    </row>
    <row r="1624" spans="1:120">
      <c r="A1624" s="1451"/>
      <c r="C1624" s="1451"/>
      <c r="K1624" s="1451"/>
      <c r="L1624" s="1451"/>
      <c r="U1624" s="1451"/>
      <c r="AD1624" s="1451"/>
      <c r="AM1624" s="1451"/>
      <c r="AV1624" s="1451"/>
      <c r="BE1624" s="1451"/>
      <c r="BN1624" s="1451"/>
      <c r="BV1624" s="1451"/>
      <c r="BW1624" s="1451"/>
      <c r="CF1624" s="1451"/>
      <c r="CN1624" s="1451"/>
      <c r="CO1624" s="1530"/>
      <c r="CP1624" s="1530"/>
      <c r="CQ1624" s="1530"/>
      <c r="CR1624" s="1530"/>
      <c r="CS1624" s="1530"/>
      <c r="CT1624" s="1530"/>
      <c r="CU1624" s="1530"/>
      <c r="CV1624" s="1530"/>
      <c r="CW1624" s="1530"/>
      <c r="CX1624" s="1530"/>
      <c r="CY1624" s="1530"/>
      <c r="CZ1624" s="1530"/>
      <c r="DA1624" s="1530"/>
      <c r="DB1624" s="1530"/>
      <c r="DC1624" s="1530"/>
      <c r="DD1624" s="1530"/>
      <c r="DE1624" s="1530"/>
      <c r="DF1624" s="1530"/>
      <c r="DG1624" s="1530"/>
      <c r="DH1624" s="1530"/>
      <c r="DI1624" s="1530"/>
      <c r="DJ1624" s="1530"/>
      <c r="DK1624" s="1530"/>
      <c r="DL1624" s="1530"/>
      <c r="DM1624" s="1530"/>
      <c r="DN1624" s="1571"/>
      <c r="DO1624" s="1530"/>
      <c r="DP1624" s="1530"/>
    </row>
    <row r="1625" spans="1:120">
      <c r="A1625" s="1451"/>
      <c r="C1625" s="1451"/>
      <c r="K1625" s="1451"/>
      <c r="L1625" s="1451"/>
      <c r="U1625" s="1451"/>
      <c r="AD1625" s="1451"/>
      <c r="AM1625" s="1451"/>
      <c r="AV1625" s="1451"/>
      <c r="BE1625" s="1451"/>
      <c r="BN1625" s="1451"/>
      <c r="BV1625" s="1451"/>
      <c r="BW1625" s="1451"/>
      <c r="CF1625" s="1451"/>
      <c r="CN1625" s="1451"/>
      <c r="CO1625" s="1530"/>
      <c r="CP1625" s="1530"/>
      <c r="CQ1625" s="1530"/>
      <c r="CR1625" s="1530"/>
      <c r="CS1625" s="1530"/>
      <c r="CT1625" s="1530"/>
      <c r="CU1625" s="1530"/>
      <c r="CV1625" s="1530"/>
      <c r="CW1625" s="1530"/>
      <c r="CX1625" s="1530"/>
      <c r="CY1625" s="1530"/>
      <c r="CZ1625" s="1530"/>
      <c r="DA1625" s="1530"/>
      <c r="DB1625" s="1530"/>
      <c r="DC1625" s="1530"/>
      <c r="DD1625" s="1530"/>
      <c r="DE1625" s="1530"/>
      <c r="DF1625" s="1530"/>
      <c r="DG1625" s="1530"/>
      <c r="DH1625" s="1530"/>
      <c r="DI1625" s="1530"/>
      <c r="DJ1625" s="1530"/>
      <c r="DK1625" s="1530"/>
      <c r="DL1625" s="1530"/>
      <c r="DM1625" s="1530"/>
      <c r="DN1625" s="1571"/>
      <c r="DO1625" s="1530"/>
      <c r="DP1625" s="1530"/>
    </row>
    <row r="1626" spans="1:120">
      <c r="A1626" s="1451"/>
      <c r="C1626" s="1451"/>
      <c r="K1626" s="1451"/>
      <c r="L1626" s="1451"/>
      <c r="U1626" s="1451"/>
      <c r="AD1626" s="1451"/>
      <c r="AM1626" s="1451"/>
      <c r="AV1626" s="1451"/>
      <c r="BE1626" s="1451"/>
      <c r="BN1626" s="1451"/>
      <c r="BV1626" s="1451"/>
      <c r="BW1626" s="1451"/>
      <c r="CF1626" s="1451"/>
      <c r="CN1626" s="1451"/>
      <c r="CO1626" s="1530"/>
      <c r="CP1626" s="1530"/>
      <c r="CQ1626" s="1530"/>
      <c r="CR1626" s="1530"/>
      <c r="CS1626" s="1530"/>
      <c r="CT1626" s="1530"/>
      <c r="CU1626" s="1530"/>
      <c r="CV1626" s="1530"/>
      <c r="CW1626" s="1530"/>
      <c r="CX1626" s="1530"/>
      <c r="CY1626" s="1530"/>
      <c r="CZ1626" s="1530"/>
      <c r="DA1626" s="1530"/>
      <c r="DB1626" s="1530"/>
      <c r="DC1626" s="1530"/>
      <c r="DD1626" s="1530"/>
      <c r="DE1626" s="1530"/>
      <c r="DF1626" s="1530"/>
      <c r="DG1626" s="1530"/>
      <c r="DH1626" s="1530"/>
      <c r="DI1626" s="1530"/>
      <c r="DJ1626" s="1530"/>
      <c r="DK1626" s="1530"/>
      <c r="DL1626" s="1530"/>
      <c r="DM1626" s="1530"/>
      <c r="DN1626" s="1571"/>
      <c r="DO1626" s="1530"/>
      <c r="DP1626" s="1530"/>
    </row>
    <row r="1627" spans="1:120">
      <c r="A1627" s="1451"/>
      <c r="C1627" s="1451"/>
      <c r="K1627" s="1451"/>
      <c r="L1627" s="1451"/>
      <c r="U1627" s="1451"/>
      <c r="AD1627" s="1451"/>
      <c r="AM1627" s="1451"/>
      <c r="AV1627" s="1451"/>
      <c r="BE1627" s="1451"/>
      <c r="BN1627" s="1451"/>
      <c r="BV1627" s="1451"/>
      <c r="BW1627" s="1451"/>
      <c r="CF1627" s="1451"/>
      <c r="CN1627" s="1451"/>
      <c r="CO1627" s="1530"/>
      <c r="CP1627" s="1530"/>
      <c r="CQ1627" s="1530"/>
      <c r="CR1627" s="1530"/>
      <c r="CS1627" s="1530"/>
      <c r="CT1627" s="1530"/>
      <c r="CU1627" s="1530"/>
      <c r="CV1627" s="1530"/>
      <c r="CW1627" s="1530"/>
      <c r="CX1627" s="1530"/>
      <c r="CY1627" s="1530"/>
      <c r="CZ1627" s="1530"/>
      <c r="DA1627" s="1530"/>
      <c r="DB1627" s="1530"/>
      <c r="DC1627" s="1530"/>
      <c r="DD1627" s="1530"/>
      <c r="DE1627" s="1530"/>
      <c r="DF1627" s="1530"/>
      <c r="DG1627" s="1530"/>
      <c r="DH1627" s="1530"/>
      <c r="DI1627" s="1530"/>
      <c r="DJ1627" s="1530"/>
      <c r="DK1627" s="1530"/>
      <c r="DL1627" s="1530"/>
      <c r="DM1627" s="1530"/>
      <c r="DN1627" s="1571"/>
      <c r="DO1627" s="1530"/>
      <c r="DP1627" s="1530"/>
    </row>
    <row r="1628" spans="1:120">
      <c r="A1628" s="1451"/>
      <c r="C1628" s="1451"/>
      <c r="K1628" s="1451"/>
      <c r="L1628" s="1451"/>
      <c r="U1628" s="1451"/>
      <c r="AD1628" s="1451"/>
      <c r="AM1628" s="1451"/>
      <c r="AV1628" s="1451"/>
      <c r="BE1628" s="1451"/>
      <c r="BN1628" s="1451"/>
      <c r="BV1628" s="1451"/>
      <c r="BW1628" s="1451"/>
      <c r="CF1628" s="1451"/>
      <c r="CN1628" s="1451"/>
      <c r="CO1628" s="1530"/>
      <c r="CP1628" s="1530"/>
      <c r="CQ1628" s="1530"/>
      <c r="CR1628" s="1530"/>
      <c r="CS1628" s="1530"/>
      <c r="CT1628" s="1530"/>
      <c r="CU1628" s="1530"/>
      <c r="CV1628" s="1530"/>
      <c r="CW1628" s="1530"/>
      <c r="CX1628" s="1530"/>
      <c r="CY1628" s="1530"/>
      <c r="CZ1628" s="1530"/>
      <c r="DA1628" s="1530"/>
      <c r="DB1628" s="1530"/>
      <c r="DC1628" s="1530"/>
      <c r="DD1628" s="1530"/>
      <c r="DE1628" s="1530"/>
      <c r="DF1628" s="1530"/>
      <c r="DG1628" s="1530"/>
      <c r="DH1628" s="1530"/>
      <c r="DI1628" s="1530"/>
      <c r="DJ1628" s="1530"/>
      <c r="DK1628" s="1530"/>
      <c r="DL1628" s="1530"/>
      <c r="DM1628" s="1530"/>
      <c r="DN1628" s="1571"/>
      <c r="DO1628" s="1530"/>
      <c r="DP1628" s="1530"/>
    </row>
    <row r="1629" spans="1:120">
      <c r="A1629" s="1451"/>
      <c r="C1629" s="1451"/>
      <c r="K1629" s="1451"/>
      <c r="L1629" s="1451"/>
      <c r="U1629" s="1451"/>
      <c r="AD1629" s="1451"/>
      <c r="AM1629" s="1451"/>
      <c r="AV1629" s="1451"/>
      <c r="BE1629" s="1451"/>
      <c r="BN1629" s="1451"/>
      <c r="BV1629" s="1451"/>
      <c r="BW1629" s="1451"/>
      <c r="CF1629" s="1451"/>
      <c r="CN1629" s="1451"/>
      <c r="CO1629" s="1530"/>
      <c r="CP1629" s="1530"/>
      <c r="CQ1629" s="1530"/>
      <c r="CR1629" s="1530"/>
      <c r="CS1629" s="1530"/>
      <c r="CT1629" s="1530"/>
      <c r="CU1629" s="1530"/>
      <c r="CV1629" s="1530"/>
      <c r="CW1629" s="1530"/>
      <c r="CX1629" s="1530"/>
      <c r="CY1629" s="1530"/>
      <c r="CZ1629" s="1530"/>
      <c r="DA1629" s="1530"/>
      <c r="DB1629" s="1530"/>
      <c r="DC1629" s="1530"/>
      <c r="DD1629" s="1530"/>
      <c r="DE1629" s="1530"/>
      <c r="DF1629" s="1530"/>
      <c r="DG1629" s="1530"/>
      <c r="DH1629" s="1530"/>
      <c r="DI1629" s="1530"/>
      <c r="DJ1629" s="1530"/>
      <c r="DK1629" s="1530"/>
      <c r="DL1629" s="1530"/>
      <c r="DM1629" s="1530"/>
      <c r="DN1629" s="1571"/>
      <c r="DO1629" s="1530"/>
      <c r="DP1629" s="1530"/>
    </row>
    <row r="1630" spans="1:120">
      <c r="A1630" s="1451"/>
      <c r="C1630" s="1451"/>
      <c r="K1630" s="1451"/>
      <c r="L1630" s="1451"/>
      <c r="U1630" s="1451"/>
      <c r="AD1630" s="1451"/>
      <c r="AM1630" s="1451"/>
      <c r="AV1630" s="1451"/>
      <c r="BE1630" s="1451"/>
      <c r="BN1630" s="1451"/>
      <c r="BV1630" s="1451"/>
      <c r="BW1630" s="1451"/>
      <c r="CF1630" s="1451"/>
      <c r="CN1630" s="1451"/>
      <c r="CO1630" s="1530"/>
      <c r="CP1630" s="1530"/>
      <c r="CQ1630" s="1530"/>
      <c r="CR1630" s="1530"/>
      <c r="CS1630" s="1530"/>
      <c r="CT1630" s="1530"/>
      <c r="CU1630" s="1530"/>
      <c r="CV1630" s="1530"/>
      <c r="CW1630" s="1530"/>
      <c r="CX1630" s="1530"/>
      <c r="CY1630" s="1530"/>
      <c r="CZ1630" s="1530"/>
      <c r="DA1630" s="1530"/>
      <c r="DB1630" s="1530"/>
      <c r="DC1630" s="1530"/>
      <c r="DD1630" s="1530"/>
      <c r="DE1630" s="1530"/>
      <c r="DF1630" s="1530"/>
      <c r="DG1630" s="1530"/>
      <c r="DH1630" s="1530"/>
      <c r="DI1630" s="1530"/>
      <c r="DJ1630" s="1530"/>
      <c r="DK1630" s="1530"/>
      <c r="DL1630" s="1530"/>
      <c r="DM1630" s="1530"/>
      <c r="DN1630" s="1571"/>
      <c r="DO1630" s="1530"/>
      <c r="DP1630" s="1530"/>
    </row>
    <row r="1631" spans="1:120">
      <c r="A1631" s="1451"/>
      <c r="C1631" s="1451"/>
      <c r="K1631" s="1451"/>
      <c r="L1631" s="1451"/>
      <c r="U1631" s="1451"/>
      <c r="AD1631" s="1451"/>
      <c r="AM1631" s="1451"/>
      <c r="AV1631" s="1451"/>
      <c r="BE1631" s="1451"/>
      <c r="BN1631" s="1451"/>
      <c r="BV1631" s="1451"/>
      <c r="BW1631" s="1451"/>
      <c r="CF1631" s="1451"/>
      <c r="CN1631" s="1451"/>
      <c r="CO1631" s="1530"/>
      <c r="CP1631" s="1530"/>
      <c r="CQ1631" s="1530"/>
      <c r="CR1631" s="1530"/>
      <c r="CS1631" s="1530"/>
      <c r="CT1631" s="1530"/>
      <c r="CU1631" s="1530"/>
      <c r="CV1631" s="1530"/>
      <c r="CW1631" s="1530"/>
      <c r="CX1631" s="1530"/>
      <c r="CY1631" s="1530"/>
      <c r="CZ1631" s="1530"/>
      <c r="DA1631" s="1530"/>
      <c r="DB1631" s="1530"/>
      <c r="DC1631" s="1530"/>
      <c r="DD1631" s="1530"/>
      <c r="DE1631" s="1530"/>
      <c r="DF1631" s="1530"/>
      <c r="DG1631" s="1530"/>
      <c r="DH1631" s="1530"/>
      <c r="DI1631" s="1530"/>
      <c r="DJ1631" s="1530"/>
      <c r="DK1631" s="1530"/>
      <c r="DL1631" s="1530"/>
      <c r="DM1631" s="1530"/>
      <c r="DN1631" s="1571"/>
      <c r="DO1631" s="1530"/>
      <c r="DP1631" s="1530"/>
    </row>
    <row r="1632" spans="1:120">
      <c r="A1632" s="1451"/>
      <c r="C1632" s="1451"/>
      <c r="K1632" s="1451"/>
      <c r="L1632" s="1451"/>
      <c r="U1632" s="1451"/>
      <c r="AD1632" s="1451"/>
      <c r="AM1632" s="1451"/>
      <c r="AV1632" s="1451"/>
      <c r="BE1632" s="1451"/>
      <c r="BN1632" s="1451"/>
      <c r="BV1632" s="1451"/>
      <c r="BW1632" s="1451"/>
      <c r="CF1632" s="1451"/>
      <c r="CN1632" s="1451"/>
      <c r="CO1632" s="1530"/>
      <c r="CP1632" s="1530"/>
      <c r="CQ1632" s="1530"/>
      <c r="CR1632" s="1530"/>
      <c r="CS1632" s="1530"/>
      <c r="CT1632" s="1530"/>
      <c r="CU1632" s="1530"/>
      <c r="CV1632" s="1530"/>
      <c r="CW1632" s="1530"/>
      <c r="CX1632" s="1530"/>
      <c r="CY1632" s="1530"/>
      <c r="CZ1632" s="1530"/>
      <c r="DA1632" s="1530"/>
      <c r="DB1632" s="1530"/>
      <c r="DC1632" s="1530"/>
      <c r="DD1632" s="1530"/>
      <c r="DE1632" s="1530"/>
      <c r="DF1632" s="1530"/>
      <c r="DG1632" s="1530"/>
      <c r="DH1632" s="1530"/>
      <c r="DI1632" s="1530"/>
      <c r="DJ1632" s="1530"/>
      <c r="DK1632" s="1530"/>
      <c r="DL1632" s="1530"/>
      <c r="DM1632" s="1530"/>
      <c r="DN1632" s="1571"/>
      <c r="DO1632" s="1530"/>
      <c r="DP1632" s="1530"/>
    </row>
    <row r="1633" spans="1:120">
      <c r="A1633" s="1451"/>
      <c r="C1633" s="1451"/>
      <c r="K1633" s="1451"/>
      <c r="L1633" s="1451"/>
      <c r="U1633" s="1451"/>
      <c r="AD1633" s="1451"/>
      <c r="AM1633" s="1451"/>
      <c r="AV1633" s="1451"/>
      <c r="BE1633" s="1451"/>
      <c r="BN1633" s="1451"/>
      <c r="BV1633" s="1451"/>
      <c r="BW1633" s="1451"/>
      <c r="CF1633" s="1451"/>
      <c r="CN1633" s="1451"/>
      <c r="CO1633" s="1530"/>
      <c r="CP1633" s="1530"/>
      <c r="CQ1633" s="1530"/>
      <c r="CR1633" s="1530"/>
      <c r="CS1633" s="1530"/>
      <c r="CT1633" s="1530"/>
      <c r="CU1633" s="1530"/>
      <c r="CV1633" s="1530"/>
      <c r="CW1633" s="1530"/>
      <c r="CX1633" s="1530"/>
      <c r="CY1633" s="1530"/>
      <c r="CZ1633" s="1530"/>
      <c r="DA1633" s="1530"/>
      <c r="DB1633" s="1530"/>
      <c r="DC1633" s="1530"/>
      <c r="DD1633" s="1530"/>
      <c r="DE1633" s="1530"/>
      <c r="DF1633" s="1530"/>
      <c r="DG1633" s="1530"/>
      <c r="DH1633" s="1530"/>
      <c r="DI1633" s="1530"/>
      <c r="DJ1633" s="1530"/>
      <c r="DK1633" s="1530"/>
      <c r="DL1633" s="1530"/>
      <c r="DM1633" s="1530"/>
      <c r="DN1633" s="1571"/>
      <c r="DO1633" s="1530"/>
      <c r="DP1633" s="1530"/>
    </row>
    <row r="1634" spans="1:120">
      <c r="A1634" s="1451"/>
      <c r="C1634" s="1451"/>
      <c r="K1634" s="1451"/>
      <c r="L1634" s="1451"/>
      <c r="U1634" s="1451"/>
      <c r="AD1634" s="1451"/>
      <c r="AM1634" s="1451"/>
      <c r="AV1634" s="1451"/>
      <c r="BE1634" s="1451"/>
      <c r="BN1634" s="1451"/>
      <c r="BV1634" s="1451"/>
      <c r="BW1634" s="1451"/>
      <c r="CF1634" s="1451"/>
      <c r="CN1634" s="1451"/>
      <c r="CO1634" s="1530"/>
      <c r="CP1634" s="1530"/>
      <c r="CQ1634" s="1530"/>
      <c r="CR1634" s="1530"/>
      <c r="CS1634" s="1530"/>
      <c r="CT1634" s="1530"/>
      <c r="CU1634" s="1530"/>
      <c r="CV1634" s="1530"/>
      <c r="CW1634" s="1530"/>
      <c r="CX1634" s="1530"/>
      <c r="CY1634" s="1530"/>
      <c r="CZ1634" s="1530"/>
      <c r="DA1634" s="1530"/>
      <c r="DB1634" s="1530"/>
      <c r="DC1634" s="1530"/>
      <c r="DD1634" s="1530"/>
      <c r="DE1634" s="1530"/>
      <c r="DF1634" s="1530"/>
      <c r="DG1634" s="1530"/>
      <c r="DH1634" s="1530"/>
      <c r="DI1634" s="1530"/>
      <c r="DJ1634" s="1530"/>
      <c r="DK1634" s="1530"/>
      <c r="DL1634" s="1530"/>
      <c r="DM1634" s="1530"/>
      <c r="DN1634" s="1571"/>
      <c r="DO1634" s="1530"/>
      <c r="DP1634" s="1530"/>
    </row>
    <row r="1635" spans="1:120">
      <c r="A1635" s="1451"/>
      <c r="C1635" s="1451"/>
      <c r="K1635" s="1451"/>
      <c r="L1635" s="1451"/>
      <c r="U1635" s="1451"/>
      <c r="AD1635" s="1451"/>
      <c r="AM1635" s="1451"/>
      <c r="AV1635" s="1451"/>
      <c r="BE1635" s="1451"/>
      <c r="BN1635" s="1451"/>
      <c r="BV1635" s="1451"/>
      <c r="BW1635" s="1451"/>
      <c r="CF1635" s="1451"/>
      <c r="CN1635" s="1451"/>
      <c r="CO1635" s="1530"/>
      <c r="CP1635" s="1530"/>
      <c r="CQ1635" s="1530"/>
      <c r="CR1635" s="1530"/>
      <c r="CS1635" s="1530"/>
      <c r="CT1635" s="1530"/>
      <c r="CU1635" s="1530"/>
      <c r="CV1635" s="1530"/>
      <c r="CW1635" s="1530"/>
      <c r="CX1635" s="1530"/>
      <c r="CY1635" s="1530"/>
      <c r="CZ1635" s="1530"/>
      <c r="DA1635" s="1530"/>
      <c r="DB1635" s="1530"/>
      <c r="DC1635" s="1530"/>
      <c r="DD1635" s="1530"/>
      <c r="DE1635" s="1530"/>
      <c r="DF1635" s="1530"/>
      <c r="DG1635" s="1530"/>
      <c r="DH1635" s="1530"/>
      <c r="DI1635" s="1530"/>
      <c r="DJ1635" s="1530"/>
      <c r="DK1635" s="1530"/>
      <c r="DL1635" s="1530"/>
      <c r="DM1635" s="1530"/>
      <c r="DN1635" s="1571"/>
      <c r="DO1635" s="1530"/>
      <c r="DP1635" s="1530"/>
    </row>
    <row r="1636" spans="1:120">
      <c r="A1636" s="1451"/>
      <c r="C1636" s="1451"/>
      <c r="K1636" s="1451"/>
      <c r="L1636" s="1451"/>
      <c r="U1636" s="1451"/>
      <c r="AD1636" s="1451"/>
      <c r="AM1636" s="1451"/>
      <c r="AV1636" s="1451"/>
      <c r="BE1636" s="1451"/>
      <c r="BN1636" s="1451"/>
      <c r="BV1636" s="1451"/>
      <c r="BW1636" s="1451"/>
      <c r="CF1636" s="1451"/>
      <c r="CN1636" s="1451"/>
      <c r="CO1636" s="1530"/>
      <c r="CP1636" s="1530"/>
      <c r="CQ1636" s="1530"/>
      <c r="CR1636" s="1530"/>
      <c r="CS1636" s="1530"/>
      <c r="CT1636" s="1530"/>
      <c r="CU1636" s="1530"/>
      <c r="CV1636" s="1530"/>
      <c r="CW1636" s="1530"/>
      <c r="CX1636" s="1530"/>
      <c r="CY1636" s="1530"/>
      <c r="CZ1636" s="1530"/>
      <c r="DA1636" s="1530"/>
      <c r="DB1636" s="1530"/>
      <c r="DC1636" s="1530"/>
      <c r="DD1636" s="1530"/>
      <c r="DE1636" s="1530"/>
      <c r="DF1636" s="1530"/>
      <c r="DG1636" s="1530"/>
      <c r="DH1636" s="1530"/>
      <c r="DI1636" s="1530"/>
      <c r="DJ1636" s="1530"/>
      <c r="DK1636" s="1530"/>
      <c r="DL1636" s="1530"/>
      <c r="DM1636" s="1530"/>
      <c r="DN1636" s="1571"/>
      <c r="DO1636" s="1530"/>
      <c r="DP1636" s="1530"/>
    </row>
    <row r="1637" spans="1:120">
      <c r="A1637" s="1451"/>
      <c r="C1637" s="1451"/>
      <c r="K1637" s="1451"/>
      <c r="L1637" s="1451"/>
      <c r="U1637" s="1451"/>
      <c r="AD1637" s="1451"/>
      <c r="AM1637" s="1451"/>
      <c r="AV1637" s="1451"/>
      <c r="BE1637" s="1451"/>
      <c r="BN1637" s="1451"/>
      <c r="BV1637" s="1451"/>
      <c r="BW1637" s="1451"/>
      <c r="CF1637" s="1451"/>
      <c r="CN1637" s="1451"/>
      <c r="CO1637" s="1530"/>
      <c r="CP1637" s="1530"/>
      <c r="CQ1637" s="1530"/>
      <c r="CR1637" s="1530"/>
      <c r="CS1637" s="1530"/>
      <c r="CT1637" s="1530"/>
      <c r="CU1637" s="1530"/>
      <c r="CV1637" s="1530"/>
      <c r="CW1637" s="1530"/>
      <c r="CX1637" s="1530"/>
      <c r="CY1637" s="1530"/>
      <c r="CZ1637" s="1530"/>
      <c r="DA1637" s="1530"/>
      <c r="DB1637" s="1530"/>
      <c r="DC1637" s="1530"/>
      <c r="DD1637" s="1530"/>
      <c r="DE1637" s="1530"/>
      <c r="DF1637" s="1530"/>
      <c r="DG1637" s="1530"/>
      <c r="DH1637" s="1530"/>
      <c r="DI1637" s="1530"/>
      <c r="DJ1637" s="1530"/>
      <c r="DK1637" s="1530"/>
      <c r="DL1637" s="1530"/>
      <c r="DM1637" s="1530"/>
      <c r="DN1637" s="1571"/>
      <c r="DO1637" s="1530"/>
      <c r="DP1637" s="1530"/>
    </row>
    <row r="1638" spans="1:120">
      <c r="A1638" s="1451"/>
      <c r="C1638" s="1451"/>
      <c r="K1638" s="1451"/>
      <c r="L1638" s="1451"/>
      <c r="U1638" s="1451"/>
      <c r="AD1638" s="1451"/>
      <c r="AM1638" s="1451"/>
      <c r="AV1638" s="1451"/>
      <c r="BE1638" s="1451"/>
      <c r="BN1638" s="1451"/>
      <c r="BV1638" s="1451"/>
      <c r="BW1638" s="1451"/>
      <c r="CF1638" s="1451"/>
      <c r="CN1638" s="1451"/>
      <c r="CO1638" s="1530"/>
      <c r="CP1638" s="1530"/>
      <c r="CQ1638" s="1530"/>
      <c r="CR1638" s="1530"/>
      <c r="CS1638" s="1530"/>
      <c r="CT1638" s="1530"/>
      <c r="CU1638" s="1530"/>
      <c r="CV1638" s="1530"/>
      <c r="CW1638" s="1530"/>
      <c r="CX1638" s="1530"/>
      <c r="CY1638" s="1530"/>
      <c r="CZ1638" s="1530"/>
      <c r="DA1638" s="1530"/>
      <c r="DB1638" s="1530"/>
      <c r="DC1638" s="1530"/>
      <c r="DD1638" s="1530"/>
      <c r="DE1638" s="1530"/>
      <c r="DF1638" s="1530"/>
      <c r="DG1638" s="1530"/>
      <c r="DH1638" s="1530"/>
      <c r="DI1638" s="1530"/>
      <c r="DJ1638" s="1530"/>
      <c r="DK1638" s="1530"/>
      <c r="DL1638" s="1530"/>
      <c r="DM1638" s="1530"/>
      <c r="DN1638" s="1571"/>
      <c r="DO1638" s="1530"/>
      <c r="DP1638" s="1530"/>
    </row>
    <row r="1639" spans="1:120">
      <c r="A1639" s="1451"/>
      <c r="C1639" s="1451"/>
      <c r="K1639" s="1451"/>
      <c r="L1639" s="1451"/>
      <c r="U1639" s="1451"/>
      <c r="AD1639" s="1451"/>
      <c r="AM1639" s="1451"/>
      <c r="AV1639" s="1451"/>
      <c r="BE1639" s="1451"/>
      <c r="BN1639" s="1451"/>
      <c r="BV1639" s="1451"/>
      <c r="BW1639" s="1451"/>
      <c r="CF1639" s="1451"/>
      <c r="CN1639" s="1451"/>
      <c r="CO1639" s="1530"/>
      <c r="CP1639" s="1530"/>
      <c r="CQ1639" s="1530"/>
      <c r="CR1639" s="1530"/>
      <c r="CS1639" s="1530"/>
      <c r="CT1639" s="1530"/>
      <c r="CU1639" s="1530"/>
      <c r="CV1639" s="1530"/>
      <c r="CW1639" s="1530"/>
      <c r="CX1639" s="1530"/>
      <c r="CY1639" s="1530"/>
      <c r="CZ1639" s="1530"/>
      <c r="DA1639" s="1530"/>
      <c r="DB1639" s="1530"/>
      <c r="DC1639" s="1530"/>
      <c r="DD1639" s="1530"/>
      <c r="DE1639" s="1530"/>
      <c r="DF1639" s="1530"/>
      <c r="DG1639" s="1530"/>
      <c r="DH1639" s="1530"/>
      <c r="DI1639" s="1530"/>
      <c r="DJ1639" s="1530"/>
      <c r="DK1639" s="1530"/>
      <c r="DL1639" s="1530"/>
      <c r="DM1639" s="1530"/>
      <c r="DN1639" s="1571"/>
      <c r="DO1639" s="1530"/>
      <c r="DP1639" s="1530"/>
    </row>
    <row r="1640" spans="1:120">
      <c r="A1640" s="1451"/>
      <c r="C1640" s="1451"/>
      <c r="K1640" s="1451"/>
      <c r="L1640" s="1451"/>
      <c r="U1640" s="1451"/>
      <c r="AD1640" s="1451"/>
      <c r="AM1640" s="1451"/>
      <c r="AV1640" s="1451"/>
      <c r="BE1640" s="1451"/>
      <c r="BN1640" s="1451"/>
      <c r="BV1640" s="1451"/>
      <c r="BW1640" s="1451"/>
      <c r="CF1640" s="1451"/>
      <c r="CN1640" s="1451"/>
      <c r="CO1640" s="1530"/>
      <c r="CP1640" s="1530"/>
      <c r="CQ1640" s="1530"/>
      <c r="CR1640" s="1530"/>
      <c r="CS1640" s="1530"/>
      <c r="CT1640" s="1530"/>
      <c r="CU1640" s="1530"/>
      <c r="CV1640" s="1530"/>
      <c r="CW1640" s="1530"/>
      <c r="CX1640" s="1530"/>
      <c r="CY1640" s="1530"/>
      <c r="CZ1640" s="1530"/>
      <c r="DA1640" s="1530"/>
      <c r="DB1640" s="1530"/>
      <c r="DC1640" s="1530"/>
      <c r="DD1640" s="1530"/>
      <c r="DE1640" s="1530"/>
      <c r="DF1640" s="1530"/>
      <c r="DG1640" s="1530"/>
      <c r="DH1640" s="1530"/>
      <c r="DI1640" s="1530"/>
      <c r="DJ1640" s="1530"/>
      <c r="DK1640" s="1530"/>
      <c r="DL1640" s="1530"/>
      <c r="DM1640" s="1530"/>
      <c r="DN1640" s="1571"/>
      <c r="DO1640" s="1530"/>
      <c r="DP1640" s="1530"/>
    </row>
    <row r="1641" spans="1:120">
      <c r="A1641" s="1451"/>
      <c r="C1641" s="1451"/>
      <c r="K1641" s="1451"/>
      <c r="L1641" s="1451"/>
      <c r="U1641" s="1451"/>
      <c r="AD1641" s="1451"/>
      <c r="AM1641" s="1451"/>
      <c r="AV1641" s="1451"/>
      <c r="BE1641" s="1451"/>
      <c r="BN1641" s="1451"/>
      <c r="BV1641" s="1451"/>
      <c r="BW1641" s="1451"/>
      <c r="CF1641" s="1451"/>
      <c r="CN1641" s="1451"/>
      <c r="CO1641" s="1530"/>
      <c r="CP1641" s="1530"/>
      <c r="CQ1641" s="1530"/>
      <c r="CR1641" s="1530"/>
      <c r="CS1641" s="1530"/>
      <c r="CT1641" s="1530"/>
      <c r="CU1641" s="1530"/>
      <c r="CV1641" s="1530"/>
      <c r="CW1641" s="1530"/>
      <c r="CX1641" s="1530"/>
      <c r="CY1641" s="1530"/>
      <c r="CZ1641" s="1530"/>
      <c r="DA1641" s="1530"/>
      <c r="DB1641" s="1530"/>
      <c r="DC1641" s="1530"/>
      <c r="DD1641" s="1530"/>
      <c r="DE1641" s="1530"/>
      <c r="DF1641" s="1530"/>
      <c r="DG1641" s="1530"/>
      <c r="DH1641" s="1530"/>
      <c r="DI1641" s="1530"/>
      <c r="DJ1641" s="1530"/>
      <c r="DK1641" s="1530"/>
      <c r="DL1641" s="1530"/>
      <c r="DM1641" s="1530"/>
      <c r="DN1641" s="1571"/>
      <c r="DO1641" s="1530"/>
      <c r="DP1641" s="1530"/>
    </row>
    <row r="1642" spans="1:120">
      <c r="A1642" s="1451"/>
      <c r="C1642" s="1451"/>
      <c r="K1642" s="1451"/>
      <c r="L1642" s="1451"/>
      <c r="U1642" s="1451"/>
      <c r="AD1642" s="1451"/>
      <c r="AM1642" s="1451"/>
      <c r="AV1642" s="1451"/>
      <c r="BE1642" s="1451"/>
      <c r="BN1642" s="1451"/>
      <c r="BV1642" s="1451"/>
      <c r="BW1642" s="1451"/>
      <c r="CF1642" s="1451"/>
      <c r="CN1642" s="1451"/>
      <c r="CO1642" s="1530"/>
      <c r="CP1642" s="1530"/>
      <c r="CQ1642" s="1530"/>
      <c r="CR1642" s="1530"/>
      <c r="CS1642" s="1530"/>
      <c r="CT1642" s="1530"/>
      <c r="CU1642" s="1530"/>
      <c r="CV1642" s="1530"/>
      <c r="CW1642" s="1530"/>
      <c r="CX1642" s="1530"/>
      <c r="CY1642" s="1530"/>
      <c r="CZ1642" s="1530"/>
      <c r="DA1642" s="1530"/>
      <c r="DB1642" s="1530"/>
      <c r="DC1642" s="1530"/>
      <c r="DD1642" s="1530"/>
      <c r="DE1642" s="1530"/>
      <c r="DF1642" s="1530"/>
      <c r="DG1642" s="1530"/>
      <c r="DH1642" s="1530"/>
      <c r="DI1642" s="1530"/>
      <c r="DJ1642" s="1530"/>
      <c r="DK1642" s="1530"/>
      <c r="DL1642" s="1530"/>
      <c r="DM1642" s="1530"/>
      <c r="DN1642" s="1571"/>
      <c r="DO1642" s="1530"/>
      <c r="DP1642" s="1530"/>
    </row>
    <row r="1643" spans="1:120">
      <c r="A1643" s="1451"/>
      <c r="C1643" s="1451"/>
      <c r="K1643" s="1451"/>
      <c r="L1643" s="1451"/>
      <c r="U1643" s="1451"/>
      <c r="AD1643" s="1451"/>
      <c r="AM1643" s="1451"/>
      <c r="AV1643" s="1451"/>
      <c r="BE1643" s="1451"/>
      <c r="BN1643" s="1451"/>
      <c r="BV1643" s="1451"/>
      <c r="BW1643" s="1451"/>
      <c r="CF1643" s="1451"/>
      <c r="CN1643" s="1451"/>
      <c r="CO1643" s="1530"/>
      <c r="CP1643" s="1530"/>
      <c r="CQ1643" s="1530"/>
      <c r="CR1643" s="1530"/>
      <c r="CS1643" s="1530"/>
      <c r="CT1643" s="1530"/>
      <c r="CU1643" s="1530"/>
      <c r="CV1643" s="1530"/>
      <c r="CW1643" s="1530"/>
      <c r="CX1643" s="1530"/>
      <c r="CY1643" s="1530"/>
      <c r="CZ1643" s="1530"/>
      <c r="DA1643" s="1530"/>
      <c r="DB1643" s="1530"/>
      <c r="DC1643" s="1530"/>
      <c r="DD1643" s="1530"/>
      <c r="DE1643" s="1530"/>
      <c r="DF1643" s="1530"/>
      <c r="DG1643" s="1530"/>
      <c r="DH1643" s="1530"/>
      <c r="DI1643" s="1530"/>
      <c r="DJ1643" s="1530"/>
      <c r="DK1643" s="1530"/>
      <c r="DL1643" s="1530"/>
      <c r="DM1643" s="1530"/>
      <c r="DN1643" s="1571"/>
      <c r="DO1643" s="1530"/>
      <c r="DP1643" s="1530"/>
    </row>
    <row r="1644" spans="1:120">
      <c r="A1644" s="1451"/>
      <c r="C1644" s="1451"/>
      <c r="K1644" s="1451"/>
      <c r="L1644" s="1451"/>
      <c r="U1644" s="1451"/>
      <c r="AD1644" s="1451"/>
      <c r="AM1644" s="1451"/>
      <c r="AV1644" s="1451"/>
      <c r="BE1644" s="1451"/>
      <c r="BN1644" s="1451"/>
      <c r="BV1644" s="1451"/>
      <c r="BW1644" s="1451"/>
      <c r="CF1644" s="1451"/>
      <c r="CN1644" s="1451"/>
      <c r="CO1644" s="1530"/>
      <c r="CP1644" s="1530"/>
      <c r="CQ1644" s="1530"/>
      <c r="CR1644" s="1530"/>
      <c r="CS1644" s="1530"/>
      <c r="CT1644" s="1530"/>
      <c r="CU1644" s="1530"/>
      <c r="CV1644" s="1530"/>
      <c r="CW1644" s="1530"/>
      <c r="CX1644" s="1530"/>
      <c r="CY1644" s="1530"/>
      <c r="CZ1644" s="1530"/>
      <c r="DA1644" s="1530"/>
      <c r="DB1644" s="1530"/>
      <c r="DC1644" s="1530"/>
      <c r="DD1644" s="1530"/>
      <c r="DE1644" s="1530"/>
      <c r="DF1644" s="1530"/>
      <c r="DG1644" s="1530"/>
      <c r="DH1644" s="1530"/>
      <c r="DI1644" s="1530"/>
      <c r="DJ1644" s="1530"/>
      <c r="DK1644" s="1530"/>
      <c r="DL1644" s="1530"/>
      <c r="DM1644" s="1530"/>
      <c r="DN1644" s="1571"/>
      <c r="DO1644" s="1530"/>
      <c r="DP1644" s="1530"/>
    </row>
    <row r="1645" spans="1:120">
      <c r="A1645" s="1451"/>
      <c r="C1645" s="1451"/>
      <c r="K1645" s="1451"/>
      <c r="L1645" s="1451"/>
      <c r="U1645" s="1451"/>
      <c r="AD1645" s="1451"/>
      <c r="AM1645" s="1451"/>
      <c r="AV1645" s="1451"/>
      <c r="BE1645" s="1451"/>
      <c r="BN1645" s="1451"/>
      <c r="BV1645" s="1451"/>
      <c r="BW1645" s="1451"/>
      <c r="CF1645" s="1451"/>
      <c r="CN1645" s="1451"/>
      <c r="CO1645" s="1530"/>
      <c r="CP1645" s="1530"/>
      <c r="CQ1645" s="1530"/>
      <c r="CR1645" s="1530"/>
      <c r="CS1645" s="1530"/>
      <c r="CT1645" s="1530"/>
      <c r="CU1645" s="1530"/>
      <c r="CV1645" s="1530"/>
      <c r="CW1645" s="1530"/>
      <c r="CX1645" s="1530"/>
      <c r="CY1645" s="1530"/>
      <c r="CZ1645" s="1530"/>
      <c r="DA1645" s="1530"/>
      <c r="DB1645" s="1530"/>
      <c r="DC1645" s="1530"/>
      <c r="DD1645" s="1530"/>
      <c r="DE1645" s="1530"/>
      <c r="DF1645" s="1530"/>
      <c r="DG1645" s="1530"/>
      <c r="DH1645" s="1530"/>
      <c r="DI1645" s="1530"/>
      <c r="DJ1645" s="1530"/>
      <c r="DK1645" s="1530"/>
      <c r="DL1645" s="1530"/>
      <c r="DM1645" s="1530"/>
      <c r="DN1645" s="1571"/>
      <c r="DO1645" s="1530"/>
      <c r="DP1645" s="1530"/>
    </row>
    <row r="1646" spans="1:120">
      <c r="A1646" s="1451"/>
      <c r="C1646" s="1451"/>
      <c r="K1646" s="1451"/>
      <c r="L1646" s="1451"/>
      <c r="U1646" s="1451"/>
      <c r="AD1646" s="1451"/>
      <c r="AM1646" s="1451"/>
      <c r="AV1646" s="1451"/>
      <c r="BE1646" s="1451"/>
      <c r="BN1646" s="1451"/>
      <c r="BV1646" s="1451"/>
      <c r="BW1646" s="1451"/>
      <c r="CF1646" s="1451"/>
      <c r="CN1646" s="1451"/>
      <c r="CO1646" s="1530"/>
      <c r="CP1646" s="1530"/>
      <c r="CQ1646" s="1530"/>
      <c r="CR1646" s="1530"/>
      <c r="CS1646" s="1530"/>
      <c r="CT1646" s="1530"/>
      <c r="CU1646" s="1530"/>
      <c r="CV1646" s="1530"/>
      <c r="CW1646" s="1530"/>
      <c r="CX1646" s="1530"/>
      <c r="CY1646" s="1530"/>
      <c r="CZ1646" s="1530"/>
      <c r="DA1646" s="1530"/>
      <c r="DB1646" s="1530"/>
      <c r="DC1646" s="1530"/>
      <c r="DD1646" s="1530"/>
      <c r="DE1646" s="1530"/>
      <c r="DF1646" s="1530"/>
      <c r="DG1646" s="1530"/>
      <c r="DH1646" s="1530"/>
      <c r="DI1646" s="1530"/>
      <c r="DJ1646" s="1530"/>
      <c r="DK1646" s="1530"/>
      <c r="DL1646" s="1530"/>
      <c r="DM1646" s="1530"/>
      <c r="DN1646" s="1571"/>
      <c r="DO1646" s="1530"/>
      <c r="DP1646" s="1530"/>
    </row>
    <row r="1647" spans="1:120">
      <c r="A1647" s="1451"/>
      <c r="C1647" s="1451"/>
      <c r="K1647" s="1451"/>
      <c r="L1647" s="1451"/>
      <c r="U1647" s="1451"/>
      <c r="AD1647" s="1451"/>
      <c r="AM1647" s="1451"/>
      <c r="AV1647" s="1451"/>
      <c r="BE1647" s="1451"/>
      <c r="BN1647" s="1451"/>
      <c r="BV1647" s="1451"/>
      <c r="BW1647" s="1451"/>
      <c r="CF1647" s="1451"/>
      <c r="CN1647" s="1451"/>
      <c r="CO1647" s="1530"/>
      <c r="CP1647" s="1530"/>
      <c r="CQ1647" s="1530"/>
      <c r="CR1647" s="1530"/>
      <c r="CS1647" s="1530"/>
      <c r="CT1647" s="1530"/>
      <c r="CU1647" s="1530"/>
      <c r="CV1647" s="1530"/>
      <c r="CW1647" s="1530"/>
      <c r="CX1647" s="1530"/>
      <c r="CY1647" s="1530"/>
      <c r="CZ1647" s="1530"/>
      <c r="DA1647" s="1530"/>
      <c r="DB1647" s="1530"/>
      <c r="DC1647" s="1530"/>
      <c r="DD1647" s="1530"/>
      <c r="DE1647" s="1530"/>
      <c r="DF1647" s="1530"/>
      <c r="DG1647" s="1530"/>
      <c r="DH1647" s="1530"/>
      <c r="DI1647" s="1530"/>
      <c r="DJ1647" s="1530"/>
      <c r="DK1647" s="1530"/>
      <c r="DL1647" s="1530"/>
      <c r="DM1647" s="1530"/>
      <c r="DN1647" s="1571"/>
      <c r="DO1647" s="1530"/>
      <c r="DP1647" s="1530"/>
    </row>
    <row r="1648" spans="1:120">
      <c r="A1648" s="1451"/>
      <c r="C1648" s="1451"/>
      <c r="K1648" s="1451"/>
      <c r="L1648" s="1451"/>
      <c r="U1648" s="1451"/>
      <c r="AD1648" s="1451"/>
      <c r="AM1648" s="1451"/>
      <c r="AV1648" s="1451"/>
      <c r="BE1648" s="1451"/>
      <c r="BN1648" s="1451"/>
      <c r="BV1648" s="1451"/>
      <c r="BW1648" s="1451"/>
      <c r="CF1648" s="1451"/>
      <c r="CN1648" s="1451"/>
      <c r="CO1648" s="1530"/>
      <c r="CP1648" s="1530"/>
      <c r="CQ1648" s="1530"/>
      <c r="CR1648" s="1530"/>
      <c r="CS1648" s="1530"/>
      <c r="CT1648" s="1530"/>
      <c r="CU1648" s="1530"/>
      <c r="CV1648" s="1530"/>
      <c r="CW1648" s="1530"/>
      <c r="CX1648" s="1530"/>
      <c r="CY1648" s="1530"/>
      <c r="CZ1648" s="1530"/>
      <c r="DA1648" s="1530"/>
      <c r="DB1648" s="1530"/>
      <c r="DC1648" s="1530"/>
      <c r="DD1648" s="1530"/>
      <c r="DE1648" s="1530"/>
      <c r="DF1648" s="1530"/>
      <c r="DG1648" s="1530"/>
      <c r="DH1648" s="1530"/>
      <c r="DI1648" s="1530"/>
      <c r="DJ1648" s="1530"/>
      <c r="DK1648" s="1530"/>
      <c r="DL1648" s="1530"/>
      <c r="DM1648" s="1530"/>
      <c r="DN1648" s="1571"/>
      <c r="DO1648" s="1530"/>
      <c r="DP1648" s="1530"/>
    </row>
    <row r="1649" spans="1:120">
      <c r="A1649" s="1451"/>
      <c r="C1649" s="1451"/>
      <c r="K1649" s="1451"/>
      <c r="L1649" s="1451"/>
      <c r="U1649" s="1451"/>
      <c r="AD1649" s="1451"/>
      <c r="AM1649" s="1451"/>
      <c r="AV1649" s="1451"/>
      <c r="BE1649" s="1451"/>
      <c r="BN1649" s="1451"/>
      <c r="BV1649" s="1451"/>
      <c r="BW1649" s="1451"/>
      <c r="CF1649" s="1451"/>
      <c r="CN1649" s="1451"/>
      <c r="CO1649" s="1530"/>
      <c r="CP1649" s="1530"/>
      <c r="CQ1649" s="1530"/>
      <c r="CR1649" s="1530"/>
      <c r="CS1649" s="1530"/>
      <c r="CT1649" s="1530"/>
      <c r="CU1649" s="1530"/>
      <c r="CV1649" s="1530"/>
      <c r="CW1649" s="1530"/>
      <c r="CX1649" s="1530"/>
      <c r="CY1649" s="1530"/>
      <c r="CZ1649" s="1530"/>
      <c r="DA1649" s="1530"/>
      <c r="DB1649" s="1530"/>
      <c r="DC1649" s="1530"/>
      <c r="DD1649" s="1530"/>
      <c r="DE1649" s="1530"/>
      <c r="DF1649" s="1530"/>
      <c r="DG1649" s="1530"/>
      <c r="DH1649" s="1530"/>
      <c r="DI1649" s="1530"/>
      <c r="DJ1649" s="1530"/>
      <c r="DK1649" s="1530"/>
      <c r="DL1649" s="1530"/>
      <c r="DM1649" s="1530"/>
      <c r="DN1649" s="1571"/>
      <c r="DO1649" s="1530"/>
      <c r="DP1649" s="1530"/>
    </row>
    <row r="1650" spans="1:120">
      <c r="A1650" s="1451"/>
      <c r="C1650" s="1451"/>
      <c r="K1650" s="1451"/>
      <c r="L1650" s="1451"/>
      <c r="U1650" s="1451"/>
      <c r="AD1650" s="1451"/>
      <c r="AM1650" s="1451"/>
      <c r="AV1650" s="1451"/>
      <c r="BE1650" s="1451"/>
      <c r="BN1650" s="1451"/>
      <c r="BV1650" s="1451"/>
      <c r="BW1650" s="1451"/>
      <c r="CF1650" s="1451"/>
      <c r="CN1650" s="1451"/>
      <c r="CO1650" s="1530"/>
      <c r="CP1650" s="1530"/>
      <c r="CQ1650" s="1530"/>
      <c r="CR1650" s="1530"/>
      <c r="CS1650" s="1530"/>
      <c r="CT1650" s="1530"/>
      <c r="CU1650" s="1530"/>
      <c r="CV1650" s="1530"/>
      <c r="CW1650" s="1530"/>
      <c r="CX1650" s="1530"/>
      <c r="CY1650" s="1530"/>
      <c r="CZ1650" s="1530"/>
      <c r="DA1650" s="1530"/>
      <c r="DB1650" s="1530"/>
      <c r="DC1650" s="1530"/>
      <c r="DD1650" s="1530"/>
      <c r="DE1650" s="1530"/>
      <c r="DF1650" s="1530"/>
      <c r="DG1650" s="1530"/>
      <c r="DH1650" s="1530"/>
      <c r="DI1650" s="1530"/>
      <c r="DJ1650" s="1530"/>
      <c r="DK1650" s="1530"/>
      <c r="DL1650" s="1530"/>
      <c r="DM1650" s="1530"/>
      <c r="DN1650" s="1571"/>
      <c r="DO1650" s="1530"/>
      <c r="DP1650" s="1530"/>
    </row>
    <row r="1651" spans="1:120">
      <c r="A1651" s="1451"/>
      <c r="C1651" s="1451"/>
      <c r="K1651" s="1451"/>
      <c r="L1651" s="1451"/>
      <c r="U1651" s="1451"/>
      <c r="AD1651" s="1451"/>
      <c r="AM1651" s="1451"/>
      <c r="AV1651" s="1451"/>
      <c r="BE1651" s="1451"/>
      <c r="BN1651" s="1451"/>
      <c r="BV1651" s="1451"/>
      <c r="BW1651" s="1451"/>
      <c r="CF1651" s="1451"/>
      <c r="CN1651" s="1451"/>
      <c r="CO1651" s="1530"/>
      <c r="CP1651" s="1530"/>
      <c r="CQ1651" s="1530"/>
      <c r="CR1651" s="1530"/>
      <c r="CS1651" s="1530"/>
      <c r="CT1651" s="1530"/>
      <c r="CU1651" s="1530"/>
      <c r="CV1651" s="1530"/>
      <c r="CW1651" s="1530"/>
      <c r="CX1651" s="1530"/>
      <c r="CY1651" s="1530"/>
      <c r="CZ1651" s="1530"/>
      <c r="DA1651" s="1530"/>
      <c r="DB1651" s="1530"/>
      <c r="DC1651" s="1530"/>
      <c r="DD1651" s="1530"/>
      <c r="DE1651" s="1530"/>
      <c r="DF1651" s="1530"/>
      <c r="DG1651" s="1530"/>
      <c r="DH1651" s="1530"/>
      <c r="DI1651" s="1530"/>
      <c r="DJ1651" s="1530"/>
      <c r="DK1651" s="1530"/>
      <c r="DL1651" s="1530"/>
      <c r="DM1651" s="1530"/>
      <c r="DN1651" s="1571"/>
      <c r="DO1651" s="1530"/>
      <c r="DP1651" s="1530"/>
    </row>
    <row r="1652" spans="1:120">
      <c r="A1652" s="1451"/>
      <c r="C1652" s="1451"/>
      <c r="K1652" s="1451"/>
      <c r="L1652" s="1451"/>
      <c r="U1652" s="1451"/>
      <c r="AD1652" s="1451"/>
      <c r="AM1652" s="1451"/>
      <c r="AV1652" s="1451"/>
      <c r="BE1652" s="1451"/>
      <c r="BN1652" s="1451"/>
      <c r="BV1652" s="1451"/>
      <c r="BW1652" s="1451"/>
      <c r="CF1652" s="1451"/>
      <c r="CN1652" s="1451"/>
      <c r="CO1652" s="1530"/>
      <c r="CP1652" s="1530"/>
      <c r="CQ1652" s="1530"/>
      <c r="CR1652" s="1530"/>
      <c r="CS1652" s="1530"/>
      <c r="CT1652" s="1530"/>
      <c r="CU1652" s="1530"/>
      <c r="CV1652" s="1530"/>
      <c r="CW1652" s="1530"/>
      <c r="CX1652" s="1530"/>
      <c r="CY1652" s="1530"/>
      <c r="CZ1652" s="1530"/>
      <c r="DA1652" s="1530"/>
      <c r="DB1652" s="1530"/>
      <c r="DC1652" s="1530"/>
      <c r="DD1652" s="1530"/>
      <c r="DE1652" s="1530"/>
      <c r="DF1652" s="1530"/>
      <c r="DG1652" s="1530"/>
      <c r="DH1652" s="1530"/>
      <c r="DI1652" s="1530"/>
      <c r="DJ1652" s="1530"/>
      <c r="DK1652" s="1530"/>
      <c r="DL1652" s="1530"/>
      <c r="DM1652" s="1530"/>
      <c r="DN1652" s="1571"/>
      <c r="DO1652" s="1530"/>
      <c r="DP1652" s="1530"/>
    </row>
    <row r="1653" spans="1:120">
      <c r="A1653" s="1451"/>
      <c r="C1653" s="1451"/>
      <c r="K1653" s="1451"/>
      <c r="L1653" s="1451"/>
      <c r="U1653" s="1451"/>
      <c r="AD1653" s="1451"/>
      <c r="AM1653" s="1451"/>
      <c r="AV1653" s="1451"/>
      <c r="BE1653" s="1451"/>
      <c r="BN1653" s="1451"/>
      <c r="BV1653" s="1451"/>
      <c r="BW1653" s="1451"/>
      <c r="CF1653" s="1451"/>
      <c r="CN1653" s="1451"/>
      <c r="CO1653" s="1530"/>
      <c r="CP1653" s="1530"/>
      <c r="CQ1653" s="1530"/>
      <c r="CR1653" s="1530"/>
      <c r="CS1653" s="1530"/>
      <c r="CT1653" s="1530"/>
      <c r="CU1653" s="1530"/>
      <c r="CV1653" s="1530"/>
      <c r="CW1653" s="1530"/>
      <c r="CX1653" s="1530"/>
      <c r="CY1653" s="1530"/>
      <c r="CZ1653" s="1530"/>
      <c r="DA1653" s="1530"/>
      <c r="DB1653" s="1530"/>
      <c r="DC1653" s="1530"/>
      <c r="DD1653" s="1530"/>
      <c r="DE1653" s="1530"/>
      <c r="DF1653" s="1530"/>
      <c r="DG1653" s="1530"/>
      <c r="DH1653" s="1530"/>
      <c r="DI1653" s="1530"/>
      <c r="DJ1653" s="1530"/>
      <c r="DK1653" s="1530"/>
      <c r="DL1653" s="1530"/>
      <c r="DM1653" s="1530"/>
      <c r="DN1653" s="1571"/>
      <c r="DO1653" s="1530"/>
      <c r="DP1653" s="1530"/>
    </row>
    <row r="1654" spans="1:120">
      <c r="A1654" s="1451"/>
      <c r="C1654" s="1451"/>
      <c r="K1654" s="1451"/>
      <c r="L1654" s="1451"/>
      <c r="U1654" s="1451"/>
      <c r="AD1654" s="1451"/>
      <c r="AM1654" s="1451"/>
      <c r="AV1654" s="1451"/>
      <c r="BE1654" s="1451"/>
      <c r="BN1654" s="1451"/>
      <c r="BV1654" s="1451"/>
      <c r="BW1654" s="1451"/>
      <c r="CF1654" s="1451"/>
      <c r="CN1654" s="1451"/>
      <c r="CO1654" s="1530"/>
      <c r="CP1654" s="1530"/>
      <c r="CQ1654" s="1530"/>
      <c r="CR1654" s="1530"/>
      <c r="CS1654" s="1530"/>
      <c r="CT1654" s="1530"/>
      <c r="CU1654" s="1530"/>
      <c r="CV1654" s="1530"/>
      <c r="CW1654" s="1530"/>
      <c r="CX1654" s="1530"/>
      <c r="CY1654" s="1530"/>
      <c r="CZ1654" s="1530"/>
      <c r="DA1654" s="1530"/>
      <c r="DB1654" s="1530"/>
      <c r="DC1654" s="1530"/>
      <c r="DD1654" s="1530"/>
      <c r="DE1654" s="1530"/>
      <c r="DF1654" s="1530"/>
      <c r="DG1654" s="1530"/>
      <c r="DH1654" s="1530"/>
      <c r="DI1654" s="1530"/>
      <c r="DJ1654" s="1530"/>
      <c r="DK1654" s="1530"/>
      <c r="DL1654" s="1530"/>
      <c r="DM1654" s="1530"/>
      <c r="DN1654" s="1571"/>
      <c r="DO1654" s="1530"/>
      <c r="DP1654" s="1530"/>
    </row>
    <row r="1655" spans="1:120">
      <c r="A1655" s="1451"/>
      <c r="C1655" s="1451"/>
      <c r="K1655" s="1451"/>
      <c r="L1655" s="1451"/>
      <c r="U1655" s="1451"/>
      <c r="AD1655" s="1451"/>
      <c r="AM1655" s="1451"/>
      <c r="AV1655" s="1451"/>
      <c r="BE1655" s="1451"/>
      <c r="BN1655" s="1451"/>
      <c r="BV1655" s="1451"/>
      <c r="BW1655" s="1451"/>
      <c r="CF1655" s="1451"/>
      <c r="CN1655" s="1451"/>
      <c r="CO1655" s="1530"/>
      <c r="CP1655" s="1530"/>
      <c r="CQ1655" s="1530"/>
      <c r="CR1655" s="1530"/>
      <c r="CS1655" s="1530"/>
      <c r="CT1655" s="1530"/>
      <c r="CU1655" s="1530"/>
      <c r="CV1655" s="1530"/>
      <c r="CW1655" s="1530"/>
      <c r="CX1655" s="1530"/>
      <c r="CY1655" s="1530"/>
      <c r="CZ1655" s="1530"/>
      <c r="DA1655" s="1530"/>
      <c r="DB1655" s="1530"/>
      <c r="DC1655" s="1530"/>
      <c r="DD1655" s="1530"/>
      <c r="DE1655" s="1530"/>
      <c r="DF1655" s="1530"/>
      <c r="DG1655" s="1530"/>
      <c r="DH1655" s="1530"/>
      <c r="DI1655" s="1530"/>
      <c r="DJ1655" s="1530"/>
      <c r="DK1655" s="1530"/>
      <c r="DL1655" s="1530"/>
      <c r="DM1655" s="1530"/>
      <c r="DN1655" s="1571"/>
      <c r="DO1655" s="1530"/>
      <c r="DP1655" s="1530"/>
    </row>
    <row r="1656" spans="1:120">
      <c r="A1656" s="1451"/>
      <c r="C1656" s="1451"/>
      <c r="K1656" s="1451"/>
      <c r="L1656" s="1451"/>
      <c r="U1656" s="1451"/>
      <c r="AD1656" s="1451"/>
      <c r="AM1656" s="1451"/>
      <c r="AV1656" s="1451"/>
      <c r="BE1656" s="1451"/>
      <c r="BN1656" s="1451"/>
      <c r="BV1656" s="1451"/>
      <c r="BW1656" s="1451"/>
      <c r="CF1656" s="1451"/>
      <c r="CN1656" s="1451"/>
      <c r="CO1656" s="1530"/>
      <c r="CP1656" s="1530"/>
      <c r="CQ1656" s="1530"/>
      <c r="CR1656" s="1530"/>
      <c r="CS1656" s="1530"/>
      <c r="CT1656" s="1530"/>
      <c r="CU1656" s="1530"/>
      <c r="CV1656" s="1530"/>
      <c r="CW1656" s="1530"/>
      <c r="CX1656" s="1530"/>
      <c r="CY1656" s="1530"/>
      <c r="CZ1656" s="1530"/>
      <c r="DA1656" s="1530"/>
      <c r="DB1656" s="1530"/>
      <c r="DC1656" s="1530"/>
      <c r="DD1656" s="1530"/>
      <c r="DE1656" s="1530"/>
      <c r="DF1656" s="1530"/>
      <c r="DG1656" s="1530"/>
      <c r="DH1656" s="1530"/>
      <c r="DI1656" s="1530"/>
      <c r="DJ1656" s="1530"/>
      <c r="DK1656" s="1530"/>
      <c r="DL1656" s="1530"/>
      <c r="DM1656" s="1530"/>
      <c r="DN1656" s="1571"/>
      <c r="DO1656" s="1530"/>
      <c r="DP1656" s="1530"/>
    </row>
    <row r="1657" spans="1:120">
      <c r="A1657" s="1451"/>
      <c r="C1657" s="1451"/>
      <c r="K1657" s="1451"/>
      <c r="L1657" s="1451"/>
      <c r="U1657" s="1451"/>
      <c r="AD1657" s="1451"/>
      <c r="AM1657" s="1451"/>
      <c r="AV1657" s="1451"/>
      <c r="BE1657" s="1451"/>
      <c r="BN1657" s="1451"/>
      <c r="BV1657" s="1451"/>
      <c r="BW1657" s="1451"/>
      <c r="CF1657" s="1451"/>
      <c r="CN1657" s="1451"/>
      <c r="CO1657" s="1530"/>
      <c r="CP1657" s="1530"/>
      <c r="CQ1657" s="1530"/>
      <c r="CR1657" s="1530"/>
      <c r="CS1657" s="1530"/>
      <c r="CT1657" s="1530"/>
      <c r="CU1657" s="1530"/>
      <c r="CV1657" s="1530"/>
      <c r="CW1657" s="1530"/>
      <c r="CX1657" s="1530"/>
      <c r="CY1657" s="1530"/>
      <c r="CZ1657" s="1530"/>
      <c r="DA1657" s="1530"/>
      <c r="DB1657" s="1530"/>
      <c r="DC1657" s="1530"/>
      <c r="DD1657" s="1530"/>
      <c r="DE1657" s="1530"/>
      <c r="DF1657" s="1530"/>
      <c r="DG1657" s="1530"/>
      <c r="DH1657" s="1530"/>
      <c r="DI1657" s="1530"/>
      <c r="DJ1657" s="1530"/>
      <c r="DK1657" s="1530"/>
      <c r="DL1657" s="1530"/>
      <c r="DM1657" s="1530"/>
      <c r="DN1657" s="1571"/>
      <c r="DO1657" s="1530"/>
      <c r="DP1657" s="1530"/>
    </row>
    <row r="1658" spans="1:120">
      <c r="A1658" s="1451"/>
      <c r="C1658" s="1451"/>
      <c r="K1658" s="1451"/>
      <c r="L1658" s="1451"/>
      <c r="U1658" s="1451"/>
      <c r="AD1658" s="1451"/>
      <c r="AM1658" s="1451"/>
      <c r="AV1658" s="1451"/>
      <c r="BE1658" s="1451"/>
      <c r="BN1658" s="1451"/>
      <c r="BV1658" s="1451"/>
      <c r="BW1658" s="1451"/>
      <c r="CF1658" s="1451"/>
      <c r="CN1658" s="1451"/>
      <c r="CO1658" s="1530"/>
      <c r="CP1658" s="1530"/>
      <c r="CQ1658" s="1530"/>
      <c r="CR1658" s="1530"/>
      <c r="CS1658" s="1530"/>
      <c r="CT1658" s="1530"/>
      <c r="CU1658" s="1530"/>
      <c r="CV1658" s="1530"/>
      <c r="CW1658" s="1530"/>
      <c r="CX1658" s="1530"/>
      <c r="CY1658" s="1530"/>
      <c r="CZ1658" s="1530"/>
      <c r="DA1658" s="1530"/>
      <c r="DB1658" s="1530"/>
      <c r="DC1658" s="1530"/>
      <c r="DD1658" s="1530"/>
      <c r="DE1658" s="1530"/>
      <c r="DF1658" s="1530"/>
      <c r="DG1658" s="1530"/>
      <c r="DH1658" s="1530"/>
      <c r="DI1658" s="1530"/>
      <c r="DJ1658" s="1530"/>
      <c r="DK1658" s="1530"/>
      <c r="DL1658" s="1530"/>
      <c r="DM1658" s="1530"/>
      <c r="DN1658" s="1571"/>
      <c r="DO1658" s="1530"/>
      <c r="DP1658" s="1530"/>
    </row>
    <row r="1659" spans="1:120">
      <c r="A1659" s="1451"/>
      <c r="C1659" s="1451"/>
      <c r="K1659" s="1451"/>
      <c r="L1659" s="1451"/>
      <c r="U1659" s="1451"/>
      <c r="AD1659" s="1451"/>
      <c r="AM1659" s="1451"/>
      <c r="AV1659" s="1451"/>
      <c r="BE1659" s="1451"/>
      <c r="BN1659" s="1451"/>
      <c r="BV1659" s="1451"/>
      <c r="BW1659" s="1451"/>
      <c r="CF1659" s="1451"/>
      <c r="CN1659" s="1451"/>
      <c r="CO1659" s="1530"/>
      <c r="CP1659" s="1530"/>
      <c r="CQ1659" s="1530"/>
      <c r="CR1659" s="1530"/>
      <c r="CS1659" s="1530"/>
      <c r="CT1659" s="1530"/>
      <c r="CU1659" s="1530"/>
      <c r="CV1659" s="1530"/>
      <c r="CW1659" s="1530"/>
      <c r="CX1659" s="1530"/>
      <c r="CY1659" s="1530"/>
      <c r="CZ1659" s="1530"/>
      <c r="DA1659" s="1530"/>
      <c r="DB1659" s="1530"/>
      <c r="DC1659" s="1530"/>
      <c r="DD1659" s="1530"/>
      <c r="DE1659" s="1530"/>
      <c r="DF1659" s="1530"/>
      <c r="DG1659" s="1530"/>
      <c r="DH1659" s="1530"/>
      <c r="DI1659" s="1530"/>
      <c r="DJ1659" s="1530"/>
      <c r="DK1659" s="1530"/>
      <c r="DL1659" s="1530"/>
      <c r="DM1659" s="1530"/>
      <c r="DN1659" s="1571"/>
      <c r="DO1659" s="1530"/>
      <c r="DP1659" s="1530"/>
    </row>
    <row r="1660" spans="1:120">
      <c r="A1660" s="1451"/>
      <c r="C1660" s="1451"/>
      <c r="K1660" s="1451"/>
      <c r="L1660" s="1451"/>
      <c r="U1660" s="1451"/>
      <c r="AD1660" s="1451"/>
      <c r="AM1660" s="1451"/>
      <c r="AV1660" s="1451"/>
      <c r="BE1660" s="1451"/>
      <c r="BN1660" s="1451"/>
      <c r="BV1660" s="1451"/>
      <c r="BW1660" s="1451"/>
      <c r="CF1660" s="1451"/>
      <c r="CN1660" s="1451"/>
      <c r="CO1660" s="1530"/>
      <c r="CP1660" s="1530"/>
      <c r="CQ1660" s="1530"/>
      <c r="CR1660" s="1530"/>
      <c r="CS1660" s="1530"/>
      <c r="CT1660" s="1530"/>
      <c r="CU1660" s="1530"/>
      <c r="CV1660" s="1530"/>
      <c r="CW1660" s="1530"/>
      <c r="CX1660" s="1530"/>
      <c r="CY1660" s="1530"/>
      <c r="CZ1660" s="1530"/>
      <c r="DA1660" s="1530"/>
      <c r="DB1660" s="1530"/>
      <c r="DC1660" s="1530"/>
      <c r="DD1660" s="1530"/>
      <c r="DE1660" s="1530"/>
      <c r="DF1660" s="1530"/>
      <c r="DG1660" s="1530"/>
      <c r="DH1660" s="1530"/>
      <c r="DI1660" s="1530"/>
      <c r="DJ1660" s="1530"/>
      <c r="DK1660" s="1530"/>
      <c r="DL1660" s="1530"/>
      <c r="DM1660" s="1530"/>
      <c r="DN1660" s="1571"/>
      <c r="DO1660" s="1530"/>
      <c r="DP1660" s="1530"/>
    </row>
    <row r="1661" spans="1:120">
      <c r="A1661" s="1451"/>
      <c r="C1661" s="1451"/>
      <c r="K1661" s="1451"/>
      <c r="L1661" s="1451"/>
      <c r="U1661" s="1451"/>
      <c r="AD1661" s="1451"/>
      <c r="AM1661" s="1451"/>
      <c r="AV1661" s="1451"/>
      <c r="BE1661" s="1451"/>
      <c r="BN1661" s="1451"/>
      <c r="BV1661" s="1451"/>
      <c r="BW1661" s="1451"/>
      <c r="CF1661" s="1451"/>
      <c r="CN1661" s="1451"/>
      <c r="CO1661" s="1530"/>
      <c r="CP1661" s="1530"/>
      <c r="CQ1661" s="1530"/>
      <c r="CR1661" s="1530"/>
      <c r="CS1661" s="1530"/>
      <c r="CT1661" s="1530"/>
      <c r="CU1661" s="1530"/>
      <c r="CV1661" s="1530"/>
      <c r="CW1661" s="1530"/>
      <c r="CX1661" s="1530"/>
      <c r="CY1661" s="1530"/>
      <c r="CZ1661" s="1530"/>
      <c r="DA1661" s="1530"/>
      <c r="DB1661" s="1530"/>
      <c r="DC1661" s="1530"/>
      <c r="DD1661" s="1530"/>
      <c r="DE1661" s="1530"/>
      <c r="DF1661" s="1530"/>
      <c r="DG1661" s="1530"/>
      <c r="DH1661" s="1530"/>
      <c r="DI1661" s="1530"/>
      <c r="DJ1661" s="1530"/>
      <c r="DK1661" s="1530"/>
      <c r="DL1661" s="1530"/>
      <c r="DM1661" s="1530"/>
      <c r="DN1661" s="1571"/>
      <c r="DO1661" s="1530"/>
      <c r="DP1661" s="1530"/>
    </row>
    <row r="1662" spans="1:120">
      <c r="A1662" s="1451"/>
      <c r="C1662" s="1451"/>
      <c r="K1662" s="1451"/>
      <c r="L1662" s="1451"/>
      <c r="U1662" s="1451"/>
      <c r="AD1662" s="1451"/>
      <c r="AM1662" s="1451"/>
      <c r="AV1662" s="1451"/>
      <c r="BE1662" s="1451"/>
      <c r="BN1662" s="1451"/>
      <c r="BV1662" s="1451"/>
      <c r="BW1662" s="1451"/>
      <c r="CF1662" s="1451"/>
      <c r="CN1662" s="1451"/>
      <c r="CO1662" s="1530"/>
      <c r="CP1662" s="1530"/>
      <c r="CQ1662" s="1530"/>
      <c r="CR1662" s="1530"/>
      <c r="CS1662" s="1530"/>
      <c r="CT1662" s="1530"/>
      <c r="CU1662" s="1530"/>
      <c r="CV1662" s="1530"/>
      <c r="CW1662" s="1530"/>
      <c r="CX1662" s="1530"/>
      <c r="CY1662" s="1530"/>
      <c r="CZ1662" s="1530"/>
      <c r="DA1662" s="1530"/>
      <c r="DB1662" s="1530"/>
      <c r="DC1662" s="1530"/>
      <c r="DD1662" s="1530"/>
      <c r="DE1662" s="1530"/>
      <c r="DF1662" s="1530"/>
      <c r="DG1662" s="1530"/>
      <c r="DH1662" s="1530"/>
      <c r="DI1662" s="1530"/>
      <c r="DJ1662" s="1530"/>
      <c r="DK1662" s="1530"/>
      <c r="DL1662" s="1530"/>
      <c r="DM1662" s="1530"/>
      <c r="DN1662" s="1571"/>
      <c r="DO1662" s="1530"/>
      <c r="DP1662" s="1530"/>
    </row>
    <row r="1663" spans="1:120">
      <c r="A1663" s="1451"/>
      <c r="C1663" s="1451"/>
      <c r="K1663" s="1451"/>
      <c r="L1663" s="1451"/>
      <c r="U1663" s="1451"/>
      <c r="AD1663" s="1451"/>
      <c r="AM1663" s="1451"/>
      <c r="AV1663" s="1451"/>
      <c r="BE1663" s="1451"/>
      <c r="BN1663" s="1451"/>
      <c r="BV1663" s="1451"/>
      <c r="BW1663" s="1451"/>
      <c r="CF1663" s="1451"/>
      <c r="CN1663" s="1451"/>
      <c r="CO1663" s="1530"/>
      <c r="CP1663" s="1530"/>
      <c r="CQ1663" s="1530"/>
      <c r="CR1663" s="1530"/>
      <c r="CS1663" s="1530"/>
      <c r="CT1663" s="1530"/>
      <c r="CU1663" s="1530"/>
      <c r="CV1663" s="1530"/>
      <c r="CW1663" s="1530"/>
      <c r="CX1663" s="1530"/>
      <c r="CY1663" s="1530"/>
      <c r="CZ1663" s="1530"/>
      <c r="DA1663" s="1530"/>
      <c r="DB1663" s="1530"/>
      <c r="DC1663" s="1530"/>
      <c r="DD1663" s="1530"/>
      <c r="DE1663" s="1530"/>
      <c r="DF1663" s="1530"/>
      <c r="DG1663" s="1530"/>
      <c r="DH1663" s="1530"/>
      <c r="DI1663" s="1530"/>
      <c r="DJ1663" s="1530"/>
      <c r="DK1663" s="1530"/>
      <c r="DL1663" s="1530"/>
      <c r="DM1663" s="1530"/>
      <c r="DN1663" s="1571"/>
      <c r="DO1663" s="1530"/>
      <c r="DP1663" s="1530"/>
    </row>
    <row r="1664" spans="1:120">
      <c r="A1664" s="1451"/>
      <c r="C1664" s="1451"/>
      <c r="K1664" s="1451"/>
      <c r="L1664" s="1451"/>
      <c r="U1664" s="1451"/>
      <c r="AD1664" s="1451"/>
      <c r="AM1664" s="1451"/>
      <c r="AV1664" s="1451"/>
      <c r="BE1664" s="1451"/>
      <c r="BN1664" s="1451"/>
      <c r="BV1664" s="1451"/>
      <c r="BW1664" s="1451"/>
      <c r="CF1664" s="1451"/>
      <c r="CN1664" s="1451"/>
      <c r="CO1664" s="1530"/>
      <c r="CP1664" s="1530"/>
      <c r="CQ1664" s="1530"/>
      <c r="CR1664" s="1530"/>
      <c r="CS1664" s="1530"/>
      <c r="CT1664" s="1530"/>
      <c r="CU1664" s="1530"/>
      <c r="CV1664" s="1530"/>
      <c r="CW1664" s="1530"/>
      <c r="CX1664" s="1530"/>
      <c r="CY1664" s="1530"/>
      <c r="CZ1664" s="1530"/>
      <c r="DA1664" s="1530"/>
      <c r="DB1664" s="1530"/>
      <c r="DC1664" s="1530"/>
      <c r="DD1664" s="1530"/>
      <c r="DE1664" s="1530"/>
      <c r="DF1664" s="1530"/>
      <c r="DG1664" s="1530"/>
      <c r="DH1664" s="1530"/>
      <c r="DI1664" s="1530"/>
      <c r="DJ1664" s="1530"/>
      <c r="DK1664" s="1530"/>
      <c r="DL1664" s="1530"/>
      <c r="DM1664" s="1530"/>
      <c r="DN1664" s="1571"/>
      <c r="DO1664" s="1530"/>
      <c r="DP1664" s="1530"/>
    </row>
    <row r="1665" spans="1:120">
      <c r="A1665" s="1451"/>
      <c r="C1665" s="1451"/>
      <c r="K1665" s="1451"/>
      <c r="L1665" s="1451"/>
      <c r="U1665" s="1451"/>
      <c r="AD1665" s="1451"/>
      <c r="AM1665" s="1451"/>
      <c r="AV1665" s="1451"/>
      <c r="BE1665" s="1451"/>
      <c r="BN1665" s="1451"/>
      <c r="BV1665" s="1451"/>
      <c r="BW1665" s="1451"/>
      <c r="CF1665" s="1451"/>
      <c r="CN1665" s="1451"/>
      <c r="CO1665" s="1530"/>
      <c r="CP1665" s="1530"/>
      <c r="CQ1665" s="1530"/>
      <c r="CR1665" s="1530"/>
      <c r="CS1665" s="1530"/>
      <c r="CT1665" s="1530"/>
      <c r="CU1665" s="1530"/>
      <c r="CV1665" s="1530"/>
      <c r="CW1665" s="1530"/>
      <c r="CX1665" s="1530"/>
      <c r="CY1665" s="1530"/>
      <c r="CZ1665" s="1530"/>
      <c r="DA1665" s="1530"/>
      <c r="DB1665" s="1530"/>
      <c r="DC1665" s="1530"/>
      <c r="DD1665" s="1530"/>
      <c r="DE1665" s="1530"/>
      <c r="DF1665" s="1530"/>
      <c r="DG1665" s="1530"/>
      <c r="DH1665" s="1530"/>
      <c r="DI1665" s="1530"/>
      <c r="DJ1665" s="1530"/>
      <c r="DK1665" s="1530"/>
      <c r="DL1665" s="1530"/>
      <c r="DM1665" s="1530"/>
      <c r="DN1665" s="1571"/>
      <c r="DO1665" s="1530"/>
      <c r="DP1665" s="1530"/>
    </row>
    <row r="1666" spans="1:120">
      <c r="A1666" s="1451"/>
      <c r="C1666" s="1451"/>
      <c r="K1666" s="1451"/>
      <c r="L1666" s="1451"/>
      <c r="U1666" s="1451"/>
      <c r="AD1666" s="1451"/>
      <c r="AM1666" s="1451"/>
      <c r="AV1666" s="1451"/>
      <c r="BE1666" s="1451"/>
      <c r="BN1666" s="1451"/>
      <c r="BV1666" s="1451"/>
      <c r="BW1666" s="1451"/>
      <c r="CF1666" s="1451"/>
      <c r="CN1666" s="1451"/>
      <c r="CO1666" s="1530"/>
      <c r="CP1666" s="1530"/>
      <c r="CQ1666" s="1530"/>
      <c r="CR1666" s="1530"/>
      <c r="CS1666" s="1530"/>
      <c r="CT1666" s="1530"/>
      <c r="CU1666" s="1530"/>
      <c r="CV1666" s="1530"/>
      <c r="CW1666" s="1530"/>
      <c r="CX1666" s="1530"/>
      <c r="CY1666" s="1530"/>
      <c r="CZ1666" s="1530"/>
      <c r="DA1666" s="1530"/>
      <c r="DB1666" s="1530"/>
      <c r="DC1666" s="1530"/>
      <c r="DD1666" s="1530"/>
      <c r="DE1666" s="1530"/>
      <c r="DF1666" s="1530"/>
      <c r="DG1666" s="1530"/>
      <c r="DH1666" s="1530"/>
      <c r="DI1666" s="1530"/>
      <c r="DJ1666" s="1530"/>
      <c r="DK1666" s="1530"/>
      <c r="DL1666" s="1530"/>
      <c r="DM1666" s="1530"/>
      <c r="DN1666" s="1571"/>
      <c r="DO1666" s="1530"/>
      <c r="DP1666" s="1530"/>
    </row>
    <row r="1667" spans="1:120">
      <c r="A1667" s="1451"/>
      <c r="C1667" s="1451"/>
      <c r="K1667" s="1451"/>
      <c r="L1667" s="1451"/>
      <c r="U1667" s="1451"/>
      <c r="AD1667" s="1451"/>
      <c r="AM1667" s="1451"/>
      <c r="AV1667" s="1451"/>
      <c r="BE1667" s="1451"/>
      <c r="BN1667" s="1451"/>
      <c r="BV1667" s="1451"/>
      <c r="BW1667" s="1451"/>
      <c r="CF1667" s="1451"/>
      <c r="CN1667" s="1451"/>
      <c r="CO1667" s="1530"/>
      <c r="CP1667" s="1530"/>
      <c r="CQ1667" s="1530"/>
      <c r="CR1667" s="1530"/>
      <c r="CS1667" s="1530"/>
      <c r="CT1667" s="1530"/>
      <c r="CU1667" s="1530"/>
      <c r="CV1667" s="1530"/>
      <c r="CW1667" s="1530"/>
      <c r="CX1667" s="1530"/>
      <c r="CY1667" s="1530"/>
      <c r="CZ1667" s="1530"/>
      <c r="DA1667" s="1530"/>
      <c r="DB1667" s="1530"/>
      <c r="DC1667" s="1530"/>
      <c r="DD1667" s="1530"/>
      <c r="DE1667" s="1530"/>
      <c r="DF1667" s="1530"/>
      <c r="DG1667" s="1530"/>
      <c r="DH1667" s="1530"/>
      <c r="DI1667" s="1530"/>
      <c r="DJ1667" s="1530"/>
      <c r="DK1667" s="1530"/>
      <c r="DL1667" s="1530"/>
      <c r="DM1667" s="1530"/>
      <c r="DN1667" s="1571"/>
      <c r="DO1667" s="1530"/>
      <c r="DP1667" s="1530"/>
    </row>
    <row r="1668" spans="1:120">
      <c r="A1668" s="1451"/>
      <c r="C1668" s="1451"/>
      <c r="K1668" s="1451"/>
      <c r="L1668" s="1451"/>
      <c r="U1668" s="1451"/>
      <c r="AD1668" s="1451"/>
      <c r="AM1668" s="1451"/>
      <c r="AV1668" s="1451"/>
      <c r="BE1668" s="1451"/>
      <c r="BN1668" s="1451"/>
      <c r="BV1668" s="1451"/>
      <c r="BW1668" s="1451"/>
      <c r="CF1668" s="1451"/>
      <c r="CN1668" s="1451"/>
      <c r="CO1668" s="1530"/>
      <c r="CP1668" s="1530"/>
      <c r="CQ1668" s="1530"/>
      <c r="CR1668" s="1530"/>
      <c r="CS1668" s="1530"/>
      <c r="CT1668" s="1530"/>
      <c r="CU1668" s="1530"/>
      <c r="CV1668" s="1530"/>
      <c r="CW1668" s="1530"/>
      <c r="CX1668" s="1530"/>
      <c r="CY1668" s="1530"/>
      <c r="CZ1668" s="1530"/>
      <c r="DA1668" s="1530"/>
      <c r="DB1668" s="1530"/>
      <c r="DC1668" s="1530"/>
      <c r="DD1668" s="1530"/>
      <c r="DE1668" s="1530"/>
      <c r="DF1668" s="1530"/>
      <c r="DG1668" s="1530"/>
      <c r="DH1668" s="1530"/>
      <c r="DI1668" s="1530"/>
      <c r="DJ1668" s="1530"/>
      <c r="DK1668" s="1530"/>
      <c r="DL1668" s="1530"/>
      <c r="DM1668" s="1530"/>
      <c r="DN1668" s="1571"/>
      <c r="DO1668" s="1530"/>
      <c r="DP1668" s="1530"/>
    </row>
    <row r="1669" spans="1:120">
      <c r="A1669" s="1451"/>
      <c r="C1669" s="1451"/>
      <c r="K1669" s="1451"/>
      <c r="L1669" s="1451"/>
      <c r="U1669" s="1451"/>
      <c r="AD1669" s="1451"/>
      <c r="AM1669" s="1451"/>
      <c r="AV1669" s="1451"/>
      <c r="BE1669" s="1451"/>
      <c r="BN1669" s="1451"/>
      <c r="BV1669" s="1451"/>
      <c r="BW1669" s="1451"/>
      <c r="CF1669" s="1451"/>
      <c r="CN1669" s="1451"/>
      <c r="CO1669" s="1530"/>
      <c r="CP1669" s="1530"/>
      <c r="CQ1669" s="1530"/>
      <c r="CR1669" s="1530"/>
      <c r="CS1669" s="1530"/>
      <c r="CT1669" s="1530"/>
      <c r="CU1669" s="1530"/>
      <c r="CV1669" s="1530"/>
      <c r="CW1669" s="1530"/>
      <c r="CX1669" s="1530"/>
      <c r="CY1669" s="1530"/>
      <c r="CZ1669" s="1530"/>
      <c r="DA1669" s="1530"/>
      <c r="DB1669" s="1530"/>
      <c r="DC1669" s="1530"/>
      <c r="DD1669" s="1530"/>
      <c r="DE1669" s="1530"/>
      <c r="DF1669" s="1530"/>
      <c r="DG1669" s="1530"/>
      <c r="DH1669" s="1530"/>
      <c r="DI1669" s="1530"/>
      <c r="DJ1669" s="1530"/>
      <c r="DK1669" s="1530"/>
      <c r="DL1669" s="1530"/>
      <c r="DM1669" s="1530"/>
      <c r="DN1669" s="1571"/>
      <c r="DO1669" s="1530"/>
      <c r="DP1669" s="1530"/>
    </row>
    <row r="1670" spans="1:120">
      <c r="A1670" s="1451"/>
      <c r="C1670" s="1451"/>
      <c r="K1670" s="1451"/>
      <c r="L1670" s="1451"/>
      <c r="U1670" s="1451"/>
      <c r="AD1670" s="1451"/>
      <c r="AM1670" s="1451"/>
      <c r="AV1670" s="1451"/>
      <c r="BE1670" s="1451"/>
      <c r="BN1670" s="1451"/>
      <c r="BV1670" s="1451"/>
      <c r="BW1670" s="1451"/>
      <c r="CF1670" s="1451"/>
      <c r="CN1670" s="1451"/>
      <c r="CO1670" s="1530"/>
      <c r="CP1670" s="1530"/>
      <c r="CQ1670" s="1530"/>
      <c r="CR1670" s="1530"/>
      <c r="CS1670" s="1530"/>
      <c r="CT1670" s="1530"/>
      <c r="CU1670" s="1530"/>
      <c r="CV1670" s="1530"/>
      <c r="CW1670" s="1530"/>
      <c r="CX1670" s="1530"/>
      <c r="CY1670" s="1530"/>
      <c r="CZ1670" s="1530"/>
      <c r="DA1670" s="1530"/>
      <c r="DB1670" s="1530"/>
      <c r="DC1670" s="1530"/>
      <c r="DD1670" s="1530"/>
      <c r="DE1670" s="1530"/>
      <c r="DF1670" s="1530"/>
      <c r="DG1670" s="1530"/>
      <c r="DH1670" s="1530"/>
      <c r="DI1670" s="1530"/>
      <c r="DJ1670" s="1530"/>
      <c r="DK1670" s="1530"/>
      <c r="DL1670" s="1530"/>
      <c r="DM1670" s="1530"/>
      <c r="DN1670" s="1571"/>
      <c r="DO1670" s="1530"/>
      <c r="DP1670" s="1530"/>
    </row>
    <row r="1671" spans="1:120">
      <c r="A1671" s="1451"/>
      <c r="C1671" s="1451"/>
      <c r="K1671" s="1451"/>
      <c r="L1671" s="1451"/>
      <c r="U1671" s="1451"/>
      <c r="AD1671" s="1451"/>
      <c r="AM1671" s="1451"/>
      <c r="AV1671" s="1451"/>
      <c r="BE1671" s="1451"/>
      <c r="BN1671" s="1451"/>
      <c r="BV1671" s="1451"/>
      <c r="BW1671" s="1451"/>
      <c r="CF1671" s="1451"/>
      <c r="CN1671" s="1451"/>
      <c r="CO1671" s="1530"/>
      <c r="CP1671" s="1530"/>
      <c r="CQ1671" s="1530"/>
      <c r="CR1671" s="1530"/>
      <c r="CS1671" s="1530"/>
      <c r="CT1671" s="1530"/>
      <c r="CU1671" s="1530"/>
      <c r="CV1671" s="1530"/>
      <c r="CW1671" s="1530"/>
      <c r="CX1671" s="1530"/>
      <c r="CY1671" s="1530"/>
      <c r="CZ1671" s="1530"/>
      <c r="DA1671" s="1530"/>
      <c r="DB1671" s="1530"/>
      <c r="DC1671" s="1530"/>
      <c r="DD1671" s="1530"/>
      <c r="DE1671" s="1530"/>
      <c r="DF1671" s="1530"/>
      <c r="DG1671" s="1530"/>
      <c r="DH1671" s="1530"/>
      <c r="DI1671" s="1530"/>
      <c r="DJ1671" s="1530"/>
      <c r="DK1671" s="1530"/>
      <c r="DL1671" s="1530"/>
      <c r="DM1671" s="1530"/>
      <c r="DN1671" s="1571"/>
      <c r="DO1671" s="1530"/>
      <c r="DP1671" s="1530"/>
    </row>
    <row r="1672" spans="1:120">
      <c r="A1672" s="1451"/>
      <c r="C1672" s="1451"/>
      <c r="K1672" s="1451"/>
      <c r="L1672" s="1451"/>
      <c r="U1672" s="1451"/>
      <c r="AD1672" s="1451"/>
      <c r="AM1672" s="1451"/>
      <c r="AV1672" s="1451"/>
      <c r="BE1672" s="1451"/>
      <c r="BN1672" s="1451"/>
      <c r="BV1672" s="1451"/>
      <c r="BW1672" s="1451"/>
      <c r="CF1672" s="1451"/>
      <c r="CN1672" s="1451"/>
      <c r="CO1672" s="1530"/>
      <c r="CP1672" s="1530"/>
      <c r="CQ1672" s="1530"/>
      <c r="CR1672" s="1530"/>
      <c r="CS1672" s="1530"/>
      <c r="CT1672" s="1530"/>
      <c r="CU1672" s="1530"/>
      <c r="CV1672" s="1530"/>
      <c r="CW1672" s="1530"/>
      <c r="CX1672" s="1530"/>
      <c r="CY1672" s="1530"/>
      <c r="CZ1672" s="1530"/>
      <c r="DA1672" s="1530"/>
      <c r="DB1672" s="1530"/>
      <c r="DC1672" s="1530"/>
      <c r="DD1672" s="1530"/>
      <c r="DE1672" s="1530"/>
      <c r="DF1672" s="1530"/>
      <c r="DG1672" s="1530"/>
      <c r="DH1672" s="1530"/>
      <c r="DI1672" s="1530"/>
      <c r="DJ1672" s="1530"/>
      <c r="DK1672" s="1530"/>
      <c r="DL1672" s="1530"/>
      <c r="DM1672" s="1530"/>
      <c r="DN1672" s="1571"/>
      <c r="DO1672" s="1530"/>
      <c r="DP1672" s="1530"/>
    </row>
    <row r="1673" spans="1:120">
      <c r="A1673" s="1451"/>
      <c r="C1673" s="1451"/>
      <c r="K1673" s="1451"/>
      <c r="L1673" s="1451"/>
      <c r="U1673" s="1451"/>
      <c r="AD1673" s="1451"/>
      <c r="AM1673" s="1451"/>
      <c r="AV1673" s="1451"/>
      <c r="BE1673" s="1451"/>
      <c r="BN1673" s="1451"/>
      <c r="BV1673" s="1451"/>
      <c r="BW1673" s="1451"/>
      <c r="CF1673" s="1451"/>
      <c r="CN1673" s="1451"/>
      <c r="CO1673" s="1530"/>
      <c r="CP1673" s="1530"/>
      <c r="CQ1673" s="1530"/>
      <c r="CR1673" s="1530"/>
      <c r="CS1673" s="1530"/>
      <c r="CT1673" s="1530"/>
      <c r="CU1673" s="1530"/>
      <c r="CV1673" s="1530"/>
      <c r="CW1673" s="1530"/>
      <c r="CX1673" s="1530"/>
      <c r="CY1673" s="1530"/>
      <c r="CZ1673" s="1530"/>
      <c r="DA1673" s="1530"/>
      <c r="DB1673" s="1530"/>
      <c r="DC1673" s="1530"/>
      <c r="DD1673" s="1530"/>
      <c r="DE1673" s="1530"/>
      <c r="DF1673" s="1530"/>
      <c r="DG1673" s="1530"/>
      <c r="DH1673" s="1530"/>
      <c r="DI1673" s="1530"/>
      <c r="DJ1673" s="1530"/>
      <c r="DK1673" s="1530"/>
      <c r="DL1673" s="1530"/>
      <c r="DM1673" s="1530"/>
      <c r="DN1673" s="1571"/>
      <c r="DO1673" s="1530"/>
      <c r="DP1673" s="1530"/>
    </row>
    <row r="1674" spans="1:120">
      <c r="A1674" s="1451"/>
      <c r="C1674" s="1451"/>
      <c r="K1674" s="1451"/>
      <c r="L1674" s="1451"/>
      <c r="U1674" s="1451"/>
      <c r="AD1674" s="1451"/>
      <c r="AM1674" s="1451"/>
      <c r="AV1674" s="1451"/>
      <c r="BE1674" s="1451"/>
      <c r="BN1674" s="1451"/>
      <c r="BV1674" s="1451"/>
      <c r="BW1674" s="1451"/>
      <c r="CF1674" s="1451"/>
      <c r="CN1674" s="1451"/>
      <c r="CO1674" s="1530"/>
      <c r="CP1674" s="1530"/>
      <c r="CQ1674" s="1530"/>
      <c r="CR1674" s="1530"/>
      <c r="CS1674" s="1530"/>
      <c r="CT1674" s="1530"/>
      <c r="CU1674" s="1530"/>
      <c r="CV1674" s="1530"/>
      <c r="CW1674" s="1530"/>
      <c r="CX1674" s="1530"/>
      <c r="CY1674" s="1530"/>
      <c r="CZ1674" s="1530"/>
      <c r="DA1674" s="1530"/>
      <c r="DB1674" s="1530"/>
      <c r="DC1674" s="1530"/>
      <c r="DD1674" s="1530"/>
      <c r="DE1674" s="1530"/>
      <c r="DF1674" s="1530"/>
      <c r="DG1674" s="1530"/>
      <c r="DH1674" s="1530"/>
      <c r="DI1674" s="1530"/>
      <c r="DJ1674" s="1530"/>
      <c r="DK1674" s="1530"/>
      <c r="DL1674" s="1530"/>
      <c r="DM1674" s="1530"/>
      <c r="DN1674" s="1571"/>
      <c r="DO1674" s="1530"/>
      <c r="DP1674" s="1530"/>
    </row>
    <row r="1675" spans="1:120">
      <c r="A1675" s="1451"/>
      <c r="C1675" s="1451"/>
      <c r="K1675" s="1451"/>
      <c r="L1675" s="1451"/>
      <c r="U1675" s="1451"/>
      <c r="AD1675" s="1451"/>
      <c r="AM1675" s="1451"/>
      <c r="AV1675" s="1451"/>
      <c r="BE1675" s="1451"/>
      <c r="BN1675" s="1451"/>
      <c r="BV1675" s="1451"/>
      <c r="BW1675" s="1451"/>
      <c r="CF1675" s="1451"/>
      <c r="CN1675" s="1451"/>
      <c r="CO1675" s="1530"/>
      <c r="CP1675" s="1530"/>
      <c r="CQ1675" s="1530"/>
      <c r="CR1675" s="1530"/>
      <c r="CS1675" s="1530"/>
      <c r="CT1675" s="1530"/>
      <c r="CU1675" s="1530"/>
      <c r="CV1675" s="1530"/>
      <c r="CW1675" s="1530"/>
      <c r="CX1675" s="1530"/>
      <c r="CY1675" s="1530"/>
      <c r="CZ1675" s="1530"/>
      <c r="DA1675" s="1530"/>
      <c r="DB1675" s="1530"/>
      <c r="DC1675" s="1530"/>
      <c r="DD1675" s="1530"/>
      <c r="DE1675" s="1530"/>
      <c r="DF1675" s="1530"/>
      <c r="DG1675" s="1530"/>
      <c r="DH1675" s="1530"/>
      <c r="DI1675" s="1530"/>
      <c r="DJ1675" s="1530"/>
      <c r="DK1675" s="1530"/>
      <c r="DL1675" s="1530"/>
      <c r="DM1675" s="1530"/>
      <c r="DN1675" s="1571"/>
      <c r="DO1675" s="1530"/>
      <c r="DP1675" s="1530"/>
    </row>
    <row r="1676" spans="1:120">
      <c r="A1676" s="1451"/>
      <c r="C1676" s="1451"/>
      <c r="K1676" s="1451"/>
      <c r="L1676" s="1451"/>
      <c r="U1676" s="1451"/>
      <c r="AD1676" s="1451"/>
      <c r="AM1676" s="1451"/>
      <c r="AV1676" s="1451"/>
      <c r="BE1676" s="1451"/>
      <c r="BN1676" s="1451"/>
      <c r="BV1676" s="1451"/>
      <c r="BW1676" s="1451"/>
      <c r="CF1676" s="1451"/>
      <c r="CN1676" s="1451"/>
      <c r="CO1676" s="1530"/>
      <c r="CP1676" s="1530"/>
      <c r="CQ1676" s="1530"/>
      <c r="CR1676" s="1530"/>
      <c r="CS1676" s="1530"/>
      <c r="CT1676" s="1530"/>
      <c r="CU1676" s="1530"/>
      <c r="CV1676" s="1530"/>
      <c r="CW1676" s="1530"/>
      <c r="CX1676" s="1530"/>
      <c r="CY1676" s="1530"/>
      <c r="CZ1676" s="1530"/>
      <c r="DA1676" s="1530"/>
      <c r="DB1676" s="1530"/>
      <c r="DC1676" s="1530"/>
      <c r="DD1676" s="1530"/>
      <c r="DE1676" s="1530"/>
      <c r="DF1676" s="1530"/>
      <c r="DG1676" s="1530"/>
      <c r="DH1676" s="1530"/>
      <c r="DI1676" s="1530"/>
      <c r="DJ1676" s="1530"/>
      <c r="DK1676" s="1530"/>
      <c r="DL1676" s="1530"/>
      <c r="DM1676" s="1530"/>
      <c r="DN1676" s="1571"/>
      <c r="DO1676" s="1530"/>
      <c r="DP1676" s="1530"/>
    </row>
    <row r="1677" spans="1:120">
      <c r="A1677" s="1451"/>
      <c r="C1677" s="1451"/>
      <c r="K1677" s="1451"/>
      <c r="L1677" s="1451"/>
      <c r="U1677" s="1451"/>
      <c r="AD1677" s="1451"/>
      <c r="AM1677" s="1451"/>
      <c r="AV1677" s="1451"/>
      <c r="BE1677" s="1451"/>
      <c r="BN1677" s="1451"/>
      <c r="BV1677" s="1451"/>
      <c r="BW1677" s="1451"/>
      <c r="CF1677" s="1451"/>
      <c r="CN1677" s="1451"/>
      <c r="CO1677" s="1530"/>
      <c r="CP1677" s="1530"/>
      <c r="CQ1677" s="1530"/>
      <c r="CR1677" s="1530"/>
      <c r="CS1677" s="1530"/>
      <c r="CT1677" s="1530"/>
      <c r="CU1677" s="1530"/>
      <c r="CV1677" s="1530"/>
      <c r="CW1677" s="1530"/>
      <c r="CX1677" s="1530"/>
      <c r="CY1677" s="1530"/>
      <c r="CZ1677" s="1530"/>
      <c r="DA1677" s="1530"/>
      <c r="DB1677" s="1530"/>
      <c r="DC1677" s="1530"/>
      <c r="DD1677" s="1530"/>
      <c r="DE1677" s="1530"/>
      <c r="DF1677" s="1530"/>
      <c r="DG1677" s="1530"/>
      <c r="DH1677" s="1530"/>
      <c r="DI1677" s="1530"/>
      <c r="DJ1677" s="1530"/>
      <c r="DK1677" s="1530"/>
      <c r="DL1677" s="1530"/>
      <c r="DM1677" s="1530"/>
      <c r="DN1677" s="1571"/>
      <c r="DO1677" s="1530"/>
      <c r="DP1677" s="1530"/>
    </row>
    <row r="1678" spans="1:120">
      <c r="A1678" s="1451"/>
      <c r="C1678" s="1451"/>
      <c r="K1678" s="1451"/>
      <c r="L1678" s="1451"/>
      <c r="U1678" s="1451"/>
      <c r="AD1678" s="1451"/>
      <c r="AM1678" s="1451"/>
      <c r="AV1678" s="1451"/>
      <c r="BE1678" s="1451"/>
      <c r="BN1678" s="1451"/>
      <c r="BV1678" s="1451"/>
      <c r="BW1678" s="1451"/>
      <c r="CF1678" s="1451"/>
      <c r="CN1678" s="1451"/>
      <c r="CO1678" s="1530"/>
      <c r="CP1678" s="1530"/>
      <c r="CQ1678" s="1530"/>
      <c r="CR1678" s="1530"/>
      <c r="CS1678" s="1530"/>
      <c r="CT1678" s="1530"/>
      <c r="CU1678" s="1530"/>
      <c r="CV1678" s="1530"/>
      <c r="CW1678" s="1530"/>
      <c r="CX1678" s="1530"/>
      <c r="CY1678" s="1530"/>
      <c r="CZ1678" s="1530"/>
      <c r="DA1678" s="1530"/>
      <c r="DB1678" s="1530"/>
      <c r="DC1678" s="1530"/>
      <c r="DD1678" s="1530"/>
      <c r="DE1678" s="1530"/>
      <c r="DF1678" s="1530"/>
      <c r="DG1678" s="1530"/>
      <c r="DH1678" s="1530"/>
      <c r="DI1678" s="1530"/>
      <c r="DJ1678" s="1530"/>
      <c r="DK1678" s="1530"/>
      <c r="DL1678" s="1530"/>
      <c r="DM1678" s="1530"/>
      <c r="DN1678" s="1571"/>
      <c r="DO1678" s="1530"/>
      <c r="DP1678" s="1530"/>
    </row>
    <row r="1679" spans="1:120">
      <c r="A1679" s="1451"/>
      <c r="C1679" s="1451"/>
      <c r="K1679" s="1451"/>
      <c r="L1679" s="1451"/>
      <c r="U1679" s="1451"/>
      <c r="AD1679" s="1451"/>
      <c r="AM1679" s="1451"/>
      <c r="AV1679" s="1451"/>
      <c r="BE1679" s="1451"/>
      <c r="BN1679" s="1451"/>
      <c r="BV1679" s="1451"/>
      <c r="BW1679" s="1451"/>
      <c r="CF1679" s="1451"/>
      <c r="CN1679" s="1451"/>
      <c r="CO1679" s="1530"/>
      <c r="CP1679" s="1530"/>
      <c r="CQ1679" s="1530"/>
      <c r="CR1679" s="1530"/>
      <c r="CS1679" s="1530"/>
      <c r="CT1679" s="1530"/>
      <c r="CU1679" s="1530"/>
      <c r="CV1679" s="1530"/>
      <c r="CW1679" s="1530"/>
      <c r="CX1679" s="1530"/>
      <c r="CY1679" s="1530"/>
      <c r="CZ1679" s="1530"/>
      <c r="DA1679" s="1530"/>
      <c r="DB1679" s="1530"/>
      <c r="DC1679" s="1530"/>
      <c r="DD1679" s="1530"/>
      <c r="DE1679" s="1530"/>
      <c r="DF1679" s="1530"/>
      <c r="DG1679" s="1530"/>
      <c r="DH1679" s="1530"/>
      <c r="DI1679" s="1530"/>
      <c r="DJ1679" s="1530"/>
      <c r="DK1679" s="1530"/>
      <c r="DL1679" s="1530"/>
      <c r="DM1679" s="1530"/>
      <c r="DN1679" s="1571"/>
      <c r="DO1679" s="1530"/>
      <c r="DP1679" s="1530"/>
    </row>
    <row r="1680" spans="1:120">
      <c r="A1680" s="1451"/>
      <c r="C1680" s="1451"/>
      <c r="K1680" s="1451"/>
      <c r="L1680" s="1451"/>
      <c r="U1680" s="1451"/>
      <c r="AD1680" s="1451"/>
      <c r="AM1680" s="1451"/>
      <c r="AV1680" s="1451"/>
      <c r="BE1680" s="1451"/>
      <c r="BN1680" s="1451"/>
      <c r="BV1680" s="1451"/>
      <c r="BW1680" s="1451"/>
      <c r="CF1680" s="1451"/>
      <c r="CN1680" s="1451"/>
      <c r="CO1680" s="1530"/>
      <c r="CP1680" s="1530"/>
      <c r="CQ1680" s="1530"/>
      <c r="CR1680" s="1530"/>
      <c r="CS1680" s="1530"/>
      <c r="CT1680" s="1530"/>
      <c r="CU1680" s="1530"/>
      <c r="CV1680" s="1530"/>
      <c r="CW1680" s="1530"/>
      <c r="CX1680" s="1530"/>
      <c r="CY1680" s="1530"/>
      <c r="CZ1680" s="1530"/>
      <c r="DA1680" s="1530"/>
      <c r="DB1680" s="1530"/>
      <c r="DC1680" s="1530"/>
      <c r="DD1680" s="1530"/>
      <c r="DE1680" s="1530"/>
      <c r="DF1680" s="1530"/>
      <c r="DG1680" s="1530"/>
      <c r="DH1680" s="1530"/>
      <c r="DI1680" s="1530"/>
      <c r="DJ1680" s="1530"/>
      <c r="DK1680" s="1530"/>
      <c r="DL1680" s="1530"/>
      <c r="DM1680" s="1530"/>
      <c r="DN1680" s="1571"/>
      <c r="DO1680" s="1530"/>
      <c r="DP1680" s="1530"/>
    </row>
    <row r="1681" spans="1:120">
      <c r="A1681" s="1451"/>
      <c r="C1681" s="1451"/>
      <c r="K1681" s="1451"/>
      <c r="L1681" s="1451"/>
      <c r="U1681" s="1451"/>
      <c r="AD1681" s="1451"/>
      <c r="AM1681" s="1451"/>
      <c r="AV1681" s="1451"/>
      <c r="BE1681" s="1451"/>
      <c r="BN1681" s="1451"/>
      <c r="BV1681" s="1451"/>
      <c r="BW1681" s="1451"/>
      <c r="CF1681" s="1451"/>
      <c r="CN1681" s="1451"/>
      <c r="CO1681" s="1530"/>
      <c r="CP1681" s="1530"/>
      <c r="CQ1681" s="1530"/>
      <c r="CR1681" s="1530"/>
      <c r="CS1681" s="1530"/>
      <c r="CT1681" s="1530"/>
      <c r="CU1681" s="1530"/>
      <c r="CV1681" s="1530"/>
      <c r="CW1681" s="1530"/>
      <c r="CX1681" s="1530"/>
      <c r="CY1681" s="1530"/>
      <c r="CZ1681" s="1530"/>
      <c r="DA1681" s="1530"/>
      <c r="DB1681" s="1530"/>
      <c r="DC1681" s="1530"/>
      <c r="DD1681" s="1530"/>
      <c r="DE1681" s="1530"/>
      <c r="DF1681" s="1530"/>
      <c r="DG1681" s="1530"/>
      <c r="DH1681" s="1530"/>
      <c r="DI1681" s="1530"/>
      <c r="DJ1681" s="1530"/>
      <c r="DK1681" s="1530"/>
      <c r="DL1681" s="1530"/>
      <c r="DM1681" s="1530"/>
      <c r="DN1681" s="1571"/>
      <c r="DO1681" s="1530"/>
      <c r="DP1681" s="1530"/>
    </row>
    <row r="1682" spans="1:120">
      <c r="A1682" s="1451"/>
      <c r="C1682" s="1451"/>
      <c r="K1682" s="1451"/>
      <c r="L1682" s="1451"/>
      <c r="U1682" s="1451"/>
      <c r="AD1682" s="1451"/>
      <c r="AM1682" s="1451"/>
      <c r="AV1682" s="1451"/>
      <c r="BE1682" s="1451"/>
      <c r="BN1682" s="1451"/>
      <c r="BV1682" s="1451"/>
      <c r="BW1682" s="1451"/>
      <c r="CF1682" s="1451"/>
      <c r="CN1682" s="1451"/>
      <c r="CO1682" s="1530"/>
      <c r="CP1682" s="1530"/>
      <c r="CQ1682" s="1530"/>
      <c r="CR1682" s="1530"/>
      <c r="CS1682" s="1530"/>
      <c r="CT1682" s="1530"/>
      <c r="CU1682" s="1530"/>
      <c r="CV1682" s="1530"/>
      <c r="CW1682" s="1530"/>
      <c r="CX1682" s="1530"/>
      <c r="CY1682" s="1530"/>
      <c r="CZ1682" s="1530"/>
      <c r="DA1682" s="1530"/>
      <c r="DB1682" s="1530"/>
      <c r="DC1682" s="1530"/>
      <c r="DD1682" s="1530"/>
      <c r="DE1682" s="1530"/>
      <c r="DF1682" s="1530"/>
      <c r="DG1682" s="1530"/>
      <c r="DH1682" s="1530"/>
      <c r="DI1682" s="1530"/>
      <c r="DJ1682" s="1530"/>
      <c r="DK1682" s="1530"/>
      <c r="DL1682" s="1530"/>
      <c r="DM1682" s="1530"/>
      <c r="DN1682" s="1571"/>
      <c r="DO1682" s="1530"/>
      <c r="DP1682" s="1530"/>
    </row>
    <row r="1683" spans="1:120">
      <c r="A1683" s="1451"/>
      <c r="C1683" s="1451"/>
      <c r="K1683" s="1451"/>
      <c r="L1683" s="1451"/>
      <c r="U1683" s="1451"/>
      <c r="AD1683" s="1451"/>
      <c r="AM1683" s="1451"/>
      <c r="AV1683" s="1451"/>
      <c r="BE1683" s="1451"/>
      <c r="BN1683" s="1451"/>
      <c r="BV1683" s="1451"/>
      <c r="BW1683" s="1451"/>
      <c r="CF1683" s="1451"/>
      <c r="CN1683" s="1451"/>
      <c r="CO1683" s="1530"/>
      <c r="CP1683" s="1530"/>
      <c r="CQ1683" s="1530"/>
      <c r="CR1683" s="1530"/>
      <c r="CS1683" s="1530"/>
      <c r="CT1683" s="1530"/>
      <c r="CU1683" s="1530"/>
      <c r="CV1683" s="1530"/>
      <c r="CW1683" s="1530"/>
      <c r="CX1683" s="1530"/>
      <c r="CY1683" s="1530"/>
      <c r="CZ1683" s="1530"/>
      <c r="DA1683" s="1530"/>
      <c r="DB1683" s="1530"/>
      <c r="DC1683" s="1530"/>
      <c r="DD1683" s="1530"/>
      <c r="DE1683" s="1530"/>
      <c r="DF1683" s="1530"/>
      <c r="DG1683" s="1530"/>
      <c r="DH1683" s="1530"/>
      <c r="DI1683" s="1530"/>
      <c r="DJ1683" s="1530"/>
      <c r="DK1683" s="1530"/>
      <c r="DL1683" s="1530"/>
      <c r="DM1683" s="1530"/>
      <c r="DN1683" s="1571"/>
      <c r="DO1683" s="1530"/>
      <c r="DP1683" s="1530"/>
    </row>
    <row r="1684" spans="1:120">
      <c r="A1684" s="1451"/>
      <c r="C1684" s="1451"/>
      <c r="K1684" s="1451"/>
      <c r="L1684" s="1451"/>
      <c r="U1684" s="1451"/>
      <c r="AD1684" s="1451"/>
      <c r="AM1684" s="1451"/>
      <c r="AV1684" s="1451"/>
      <c r="BE1684" s="1451"/>
      <c r="BN1684" s="1451"/>
      <c r="BV1684" s="1451"/>
      <c r="BW1684" s="1451"/>
      <c r="CF1684" s="1451"/>
      <c r="CN1684" s="1451"/>
      <c r="CO1684" s="1530"/>
      <c r="CP1684" s="1530"/>
      <c r="CQ1684" s="1530"/>
      <c r="CR1684" s="1530"/>
      <c r="CS1684" s="1530"/>
      <c r="CT1684" s="1530"/>
      <c r="CU1684" s="1530"/>
      <c r="CV1684" s="1530"/>
      <c r="CW1684" s="1530"/>
      <c r="CX1684" s="1530"/>
      <c r="CY1684" s="1530"/>
      <c r="CZ1684" s="1530"/>
      <c r="DA1684" s="1530"/>
      <c r="DB1684" s="1530"/>
      <c r="DC1684" s="1530"/>
      <c r="DD1684" s="1530"/>
      <c r="DE1684" s="1530"/>
      <c r="DF1684" s="1530"/>
      <c r="DG1684" s="1530"/>
      <c r="DH1684" s="1530"/>
      <c r="DI1684" s="1530"/>
      <c r="DJ1684" s="1530"/>
      <c r="DK1684" s="1530"/>
      <c r="DL1684" s="1530"/>
      <c r="DM1684" s="1530"/>
      <c r="DN1684" s="1571"/>
      <c r="DO1684" s="1530"/>
      <c r="DP1684" s="1530"/>
    </row>
    <row r="1685" spans="1:120">
      <c r="A1685" s="1451"/>
      <c r="C1685" s="1451"/>
      <c r="K1685" s="1451"/>
      <c r="L1685" s="1451"/>
      <c r="U1685" s="1451"/>
      <c r="AD1685" s="1451"/>
      <c r="AM1685" s="1451"/>
      <c r="AV1685" s="1451"/>
      <c r="BE1685" s="1451"/>
      <c r="BN1685" s="1451"/>
      <c r="BV1685" s="1451"/>
      <c r="BW1685" s="1451"/>
      <c r="CF1685" s="1451"/>
      <c r="CN1685" s="1451"/>
      <c r="CO1685" s="1530"/>
      <c r="CP1685" s="1530"/>
      <c r="CQ1685" s="1530"/>
      <c r="CR1685" s="1530"/>
      <c r="CS1685" s="1530"/>
      <c r="CT1685" s="1530"/>
      <c r="CU1685" s="1530"/>
      <c r="CV1685" s="1530"/>
      <c r="CW1685" s="1530"/>
      <c r="CX1685" s="1530"/>
      <c r="CY1685" s="1530"/>
      <c r="CZ1685" s="1530"/>
      <c r="DA1685" s="1530"/>
      <c r="DB1685" s="1530"/>
      <c r="DC1685" s="1530"/>
      <c r="DD1685" s="1530"/>
      <c r="DE1685" s="1530"/>
      <c r="DF1685" s="1530"/>
      <c r="DG1685" s="1530"/>
      <c r="DH1685" s="1530"/>
      <c r="DI1685" s="1530"/>
      <c r="DJ1685" s="1530"/>
      <c r="DK1685" s="1530"/>
      <c r="DL1685" s="1530"/>
      <c r="DM1685" s="1530"/>
      <c r="DN1685" s="1571"/>
      <c r="DO1685" s="1530"/>
      <c r="DP1685" s="1530"/>
    </row>
    <row r="1686" spans="1:120">
      <c r="A1686" s="1451"/>
      <c r="C1686" s="1451"/>
      <c r="K1686" s="1451"/>
      <c r="L1686" s="1451"/>
      <c r="U1686" s="1451"/>
      <c r="AD1686" s="1451"/>
      <c r="AM1686" s="1451"/>
      <c r="AV1686" s="1451"/>
      <c r="BE1686" s="1451"/>
      <c r="BN1686" s="1451"/>
      <c r="BV1686" s="1451"/>
      <c r="BW1686" s="1451"/>
      <c r="CF1686" s="1451"/>
      <c r="CN1686" s="1451"/>
      <c r="CO1686" s="1530"/>
      <c r="CP1686" s="1530"/>
      <c r="CQ1686" s="1530"/>
      <c r="CR1686" s="1530"/>
      <c r="CS1686" s="1530"/>
      <c r="CT1686" s="1530"/>
      <c r="CU1686" s="1530"/>
      <c r="CV1686" s="1530"/>
      <c r="CW1686" s="1530"/>
      <c r="CX1686" s="1530"/>
      <c r="CY1686" s="1530"/>
      <c r="CZ1686" s="1530"/>
      <c r="DA1686" s="1530"/>
      <c r="DB1686" s="1530"/>
      <c r="DC1686" s="1530"/>
      <c r="DD1686" s="1530"/>
      <c r="DE1686" s="1530"/>
      <c r="DF1686" s="1530"/>
      <c r="DG1686" s="1530"/>
      <c r="DH1686" s="1530"/>
      <c r="DI1686" s="1530"/>
      <c r="DJ1686" s="1530"/>
      <c r="DK1686" s="1530"/>
      <c r="DL1686" s="1530"/>
      <c r="DM1686" s="1530"/>
      <c r="DN1686" s="1571"/>
      <c r="DO1686" s="1530"/>
      <c r="DP1686" s="1530"/>
    </row>
    <row r="1687" spans="1:120">
      <c r="A1687" s="1451"/>
      <c r="C1687" s="1451"/>
      <c r="K1687" s="1451"/>
      <c r="L1687" s="1451"/>
      <c r="U1687" s="1451"/>
      <c r="AD1687" s="1451"/>
      <c r="AM1687" s="1451"/>
      <c r="AV1687" s="1451"/>
      <c r="BE1687" s="1451"/>
      <c r="BN1687" s="1451"/>
      <c r="BV1687" s="1451"/>
      <c r="BW1687" s="1451"/>
      <c r="CF1687" s="1451"/>
      <c r="CN1687" s="1451"/>
      <c r="CO1687" s="1530"/>
      <c r="CP1687" s="1530"/>
      <c r="CQ1687" s="1530"/>
      <c r="CR1687" s="1530"/>
      <c r="CS1687" s="1530"/>
      <c r="CT1687" s="1530"/>
      <c r="CU1687" s="1530"/>
      <c r="CV1687" s="1530"/>
      <c r="CW1687" s="1530"/>
      <c r="CX1687" s="1530"/>
      <c r="CY1687" s="1530"/>
      <c r="CZ1687" s="1530"/>
      <c r="DA1687" s="1530"/>
      <c r="DB1687" s="1530"/>
      <c r="DC1687" s="1530"/>
      <c r="DD1687" s="1530"/>
      <c r="DE1687" s="1530"/>
      <c r="DF1687" s="1530"/>
      <c r="DG1687" s="1530"/>
      <c r="DH1687" s="1530"/>
      <c r="DI1687" s="1530"/>
      <c r="DJ1687" s="1530"/>
      <c r="DK1687" s="1530"/>
      <c r="DL1687" s="1530"/>
      <c r="DM1687" s="1530"/>
      <c r="DN1687" s="1571"/>
      <c r="DO1687" s="1530"/>
      <c r="DP1687" s="1530"/>
    </row>
    <row r="1688" spans="1:120">
      <c r="A1688" s="1451"/>
      <c r="C1688" s="1451"/>
      <c r="K1688" s="1451"/>
      <c r="L1688" s="1451"/>
      <c r="U1688" s="1451"/>
      <c r="AD1688" s="1451"/>
      <c r="AM1688" s="1451"/>
      <c r="AV1688" s="1451"/>
      <c r="BE1688" s="1451"/>
      <c r="BN1688" s="1451"/>
      <c r="BV1688" s="1451"/>
      <c r="BW1688" s="1451"/>
      <c r="CF1688" s="1451"/>
      <c r="CN1688" s="1451"/>
      <c r="CO1688" s="1530"/>
      <c r="CP1688" s="1530"/>
      <c r="CQ1688" s="1530"/>
      <c r="CR1688" s="1530"/>
      <c r="CS1688" s="1530"/>
      <c r="CT1688" s="1530"/>
      <c r="CU1688" s="1530"/>
      <c r="CV1688" s="1530"/>
      <c r="CW1688" s="1530"/>
      <c r="CX1688" s="1530"/>
      <c r="CY1688" s="1530"/>
      <c r="CZ1688" s="1530"/>
      <c r="DA1688" s="1530"/>
      <c r="DB1688" s="1530"/>
      <c r="DC1688" s="1530"/>
      <c r="DD1688" s="1530"/>
      <c r="DE1688" s="1530"/>
      <c r="DF1688" s="1530"/>
      <c r="DG1688" s="1530"/>
      <c r="DH1688" s="1530"/>
      <c r="DI1688" s="1530"/>
      <c r="DJ1688" s="1530"/>
      <c r="DK1688" s="1530"/>
      <c r="DL1688" s="1530"/>
      <c r="DM1688" s="1530"/>
      <c r="DN1688" s="1571"/>
      <c r="DO1688" s="1530"/>
      <c r="DP1688" s="1530"/>
    </row>
    <row r="1689" spans="1:120">
      <c r="A1689" s="1451"/>
      <c r="C1689" s="1451"/>
      <c r="K1689" s="1451"/>
      <c r="L1689" s="1451"/>
      <c r="U1689" s="1451"/>
      <c r="AD1689" s="1451"/>
      <c r="AM1689" s="1451"/>
      <c r="AV1689" s="1451"/>
      <c r="BE1689" s="1451"/>
      <c r="BN1689" s="1451"/>
      <c r="BV1689" s="1451"/>
      <c r="BW1689" s="1451"/>
      <c r="CF1689" s="1451"/>
      <c r="CN1689" s="1451"/>
      <c r="CO1689" s="1530"/>
      <c r="CP1689" s="1530"/>
      <c r="CQ1689" s="1530"/>
      <c r="CR1689" s="1530"/>
      <c r="CS1689" s="1530"/>
      <c r="CT1689" s="1530"/>
      <c r="CU1689" s="1530"/>
      <c r="CV1689" s="1530"/>
      <c r="CW1689" s="1530"/>
      <c r="CX1689" s="1530"/>
      <c r="CY1689" s="1530"/>
      <c r="CZ1689" s="1530"/>
      <c r="DA1689" s="1530"/>
      <c r="DB1689" s="1530"/>
      <c r="DC1689" s="1530"/>
      <c r="DD1689" s="1530"/>
      <c r="DE1689" s="1530"/>
      <c r="DF1689" s="1530"/>
      <c r="DG1689" s="1530"/>
      <c r="DH1689" s="1530"/>
      <c r="DI1689" s="1530"/>
      <c r="DJ1689" s="1530"/>
      <c r="DK1689" s="1530"/>
      <c r="DL1689" s="1530"/>
      <c r="DM1689" s="1530"/>
      <c r="DN1689" s="1571"/>
      <c r="DO1689" s="1530"/>
      <c r="DP1689" s="1530"/>
    </row>
    <row r="1690" spans="1:120">
      <c r="A1690" s="1451"/>
      <c r="C1690" s="1451"/>
      <c r="K1690" s="1451"/>
      <c r="L1690" s="1451"/>
      <c r="U1690" s="1451"/>
      <c r="AD1690" s="1451"/>
      <c r="AM1690" s="1451"/>
      <c r="AV1690" s="1451"/>
      <c r="BE1690" s="1451"/>
      <c r="BN1690" s="1451"/>
      <c r="BV1690" s="1451"/>
      <c r="BW1690" s="1451"/>
      <c r="CF1690" s="1451"/>
      <c r="CN1690" s="1451"/>
      <c r="CO1690" s="1530"/>
      <c r="CP1690" s="1530"/>
      <c r="CQ1690" s="1530"/>
      <c r="CR1690" s="1530"/>
      <c r="CS1690" s="1530"/>
      <c r="CT1690" s="1530"/>
      <c r="CU1690" s="1530"/>
      <c r="CV1690" s="1530"/>
      <c r="CW1690" s="1530"/>
      <c r="CX1690" s="1530"/>
      <c r="CY1690" s="1530"/>
      <c r="CZ1690" s="1530"/>
      <c r="DA1690" s="1530"/>
      <c r="DB1690" s="1530"/>
      <c r="DC1690" s="1530"/>
      <c r="DD1690" s="1530"/>
      <c r="DE1690" s="1530"/>
      <c r="DF1690" s="1530"/>
      <c r="DG1690" s="1530"/>
      <c r="DH1690" s="1530"/>
      <c r="DI1690" s="1530"/>
      <c r="DJ1690" s="1530"/>
      <c r="DK1690" s="1530"/>
      <c r="DL1690" s="1530"/>
      <c r="DM1690" s="1530"/>
      <c r="DN1690" s="1571"/>
      <c r="DO1690" s="1530"/>
      <c r="DP1690" s="1530"/>
    </row>
    <row r="1691" spans="1:120">
      <c r="A1691" s="1451"/>
      <c r="C1691" s="1451"/>
      <c r="K1691" s="1451"/>
      <c r="L1691" s="1451"/>
      <c r="U1691" s="1451"/>
      <c r="AD1691" s="1451"/>
      <c r="AM1691" s="1451"/>
      <c r="AV1691" s="1451"/>
      <c r="BE1691" s="1451"/>
      <c r="BN1691" s="1451"/>
      <c r="BV1691" s="1451"/>
      <c r="BW1691" s="1451"/>
      <c r="CF1691" s="1451"/>
      <c r="CN1691" s="1451"/>
      <c r="CO1691" s="1530"/>
      <c r="CP1691" s="1530"/>
      <c r="CQ1691" s="1530"/>
      <c r="CR1691" s="1530"/>
      <c r="CS1691" s="1530"/>
      <c r="CT1691" s="1530"/>
      <c r="CU1691" s="1530"/>
      <c r="CV1691" s="1530"/>
      <c r="CW1691" s="1530"/>
      <c r="CX1691" s="1530"/>
      <c r="CY1691" s="1530"/>
      <c r="CZ1691" s="1530"/>
      <c r="DA1691" s="1530"/>
      <c r="DB1691" s="1530"/>
      <c r="DC1691" s="1530"/>
      <c r="DD1691" s="1530"/>
      <c r="DE1691" s="1530"/>
      <c r="DF1691" s="1530"/>
      <c r="DG1691" s="1530"/>
      <c r="DH1691" s="1530"/>
      <c r="DI1691" s="1530"/>
      <c r="DJ1691" s="1530"/>
      <c r="DK1691" s="1530"/>
      <c r="DL1691" s="1530"/>
      <c r="DM1691" s="1530"/>
      <c r="DN1691" s="1571"/>
      <c r="DO1691" s="1530"/>
      <c r="DP1691" s="1530"/>
    </row>
    <row r="1692" spans="1:120">
      <c r="A1692" s="1451"/>
      <c r="C1692" s="1451"/>
      <c r="K1692" s="1451"/>
      <c r="L1692" s="1451"/>
      <c r="U1692" s="1451"/>
      <c r="AD1692" s="1451"/>
      <c r="AM1692" s="1451"/>
      <c r="AV1692" s="1451"/>
      <c r="BE1692" s="1451"/>
      <c r="BN1692" s="1451"/>
      <c r="BV1692" s="1451"/>
      <c r="BW1692" s="1451"/>
      <c r="CF1692" s="1451"/>
      <c r="CN1692" s="1451"/>
      <c r="CO1692" s="1530"/>
      <c r="CP1692" s="1530"/>
      <c r="CQ1692" s="1530"/>
      <c r="CR1692" s="1530"/>
      <c r="CS1692" s="1530"/>
      <c r="CT1692" s="1530"/>
      <c r="CU1692" s="1530"/>
      <c r="CV1692" s="1530"/>
      <c r="CW1692" s="1530"/>
      <c r="CX1692" s="1530"/>
      <c r="CY1692" s="1530"/>
      <c r="CZ1692" s="1530"/>
      <c r="DA1692" s="1530"/>
      <c r="DB1692" s="1530"/>
      <c r="DC1692" s="1530"/>
      <c r="DD1692" s="1530"/>
      <c r="DE1692" s="1530"/>
      <c r="DF1692" s="1530"/>
      <c r="DG1692" s="1530"/>
      <c r="DH1692" s="1530"/>
      <c r="DI1692" s="1530"/>
      <c r="DJ1692" s="1530"/>
      <c r="DK1692" s="1530"/>
      <c r="DL1692" s="1530"/>
      <c r="DM1692" s="1530"/>
      <c r="DN1692" s="1571"/>
      <c r="DO1692" s="1530"/>
      <c r="DP1692" s="1530"/>
    </row>
    <row r="1693" spans="1:120">
      <c r="A1693" s="1451"/>
      <c r="C1693" s="1451"/>
      <c r="K1693" s="1451"/>
      <c r="L1693" s="1451"/>
      <c r="U1693" s="1451"/>
      <c r="AD1693" s="1451"/>
      <c r="AM1693" s="1451"/>
      <c r="AV1693" s="1451"/>
      <c r="BE1693" s="1451"/>
      <c r="BN1693" s="1451"/>
      <c r="BV1693" s="1451"/>
      <c r="BW1693" s="1451"/>
      <c r="CF1693" s="1451"/>
      <c r="CN1693" s="1451"/>
      <c r="CO1693" s="1530"/>
      <c r="CP1693" s="1530"/>
      <c r="CQ1693" s="1530"/>
      <c r="CR1693" s="1530"/>
      <c r="CS1693" s="1530"/>
      <c r="CT1693" s="1530"/>
      <c r="CU1693" s="1530"/>
      <c r="CV1693" s="1530"/>
      <c r="CW1693" s="1530"/>
      <c r="CX1693" s="1530"/>
      <c r="CY1693" s="1530"/>
      <c r="CZ1693" s="1530"/>
      <c r="DA1693" s="1530"/>
      <c r="DB1693" s="1530"/>
      <c r="DC1693" s="1530"/>
      <c r="DD1693" s="1530"/>
      <c r="DE1693" s="1530"/>
      <c r="DF1693" s="1530"/>
      <c r="DG1693" s="1530"/>
      <c r="DH1693" s="1530"/>
      <c r="DI1693" s="1530"/>
      <c r="DJ1693" s="1530"/>
      <c r="DK1693" s="1530"/>
      <c r="DL1693" s="1530"/>
      <c r="DM1693" s="1530"/>
      <c r="DN1693" s="1571"/>
      <c r="DO1693" s="1530"/>
      <c r="DP1693" s="1530"/>
    </row>
    <row r="1694" spans="1:120">
      <c r="A1694" s="1451"/>
      <c r="C1694" s="1451"/>
      <c r="K1694" s="1451"/>
      <c r="L1694" s="1451"/>
      <c r="U1694" s="1451"/>
      <c r="AD1694" s="1451"/>
      <c r="AM1694" s="1451"/>
      <c r="AV1694" s="1451"/>
      <c r="BE1694" s="1451"/>
      <c r="BN1694" s="1451"/>
      <c r="BV1694" s="1451"/>
      <c r="BW1694" s="1451"/>
      <c r="CF1694" s="1451"/>
      <c r="CN1694" s="1451"/>
      <c r="CO1694" s="1530"/>
      <c r="CP1694" s="1530"/>
      <c r="CQ1694" s="1530"/>
      <c r="CR1694" s="1530"/>
      <c r="CS1694" s="1530"/>
      <c r="CT1694" s="1530"/>
      <c r="CU1694" s="1530"/>
      <c r="CV1694" s="1530"/>
      <c r="CW1694" s="1530"/>
      <c r="CX1694" s="1530"/>
      <c r="CY1694" s="1530"/>
      <c r="CZ1694" s="1530"/>
      <c r="DA1694" s="1530"/>
      <c r="DB1694" s="1530"/>
      <c r="DC1694" s="1530"/>
      <c r="DD1694" s="1530"/>
      <c r="DE1694" s="1530"/>
      <c r="DF1694" s="1530"/>
      <c r="DG1694" s="1530"/>
      <c r="DH1694" s="1530"/>
      <c r="DI1694" s="1530"/>
      <c r="DJ1694" s="1530"/>
      <c r="DK1694" s="1530"/>
      <c r="DL1694" s="1530"/>
      <c r="DM1694" s="1530"/>
      <c r="DN1694" s="1571"/>
      <c r="DO1694" s="1530"/>
      <c r="DP1694" s="1530"/>
    </row>
    <row r="1695" spans="1:120">
      <c r="A1695" s="1451"/>
      <c r="C1695" s="1451"/>
      <c r="K1695" s="1451"/>
      <c r="L1695" s="1451"/>
      <c r="U1695" s="1451"/>
      <c r="AD1695" s="1451"/>
      <c r="AM1695" s="1451"/>
      <c r="AV1695" s="1451"/>
      <c r="BE1695" s="1451"/>
      <c r="BN1695" s="1451"/>
      <c r="BV1695" s="1451"/>
      <c r="BW1695" s="1451"/>
      <c r="CF1695" s="1451"/>
      <c r="CN1695" s="1451"/>
      <c r="CO1695" s="1530"/>
      <c r="CP1695" s="1530"/>
      <c r="CQ1695" s="1530"/>
      <c r="CR1695" s="1530"/>
      <c r="CS1695" s="1530"/>
      <c r="CT1695" s="1530"/>
      <c r="CU1695" s="1530"/>
      <c r="CV1695" s="1530"/>
      <c r="CW1695" s="1530"/>
      <c r="CX1695" s="1530"/>
      <c r="CY1695" s="1530"/>
      <c r="CZ1695" s="1530"/>
      <c r="DA1695" s="1530"/>
      <c r="DB1695" s="1530"/>
      <c r="DC1695" s="1530"/>
      <c r="DD1695" s="1530"/>
      <c r="DE1695" s="1530"/>
      <c r="DF1695" s="1530"/>
      <c r="DG1695" s="1530"/>
      <c r="DH1695" s="1530"/>
      <c r="DI1695" s="1530"/>
      <c r="DJ1695" s="1530"/>
      <c r="DK1695" s="1530"/>
      <c r="DL1695" s="1530"/>
      <c r="DM1695" s="1530"/>
      <c r="DN1695" s="1571"/>
      <c r="DO1695" s="1530"/>
      <c r="DP1695" s="1530"/>
    </row>
    <row r="1696" spans="1:120">
      <c r="A1696" s="1451"/>
      <c r="C1696" s="1451"/>
      <c r="K1696" s="1451"/>
      <c r="L1696" s="1451"/>
      <c r="U1696" s="1451"/>
      <c r="AD1696" s="1451"/>
      <c r="AM1696" s="1451"/>
      <c r="AV1696" s="1451"/>
      <c r="BE1696" s="1451"/>
      <c r="BN1696" s="1451"/>
      <c r="BV1696" s="1451"/>
      <c r="BW1696" s="1451"/>
      <c r="CF1696" s="1451"/>
      <c r="CN1696" s="1451"/>
      <c r="CO1696" s="1530"/>
      <c r="CP1696" s="1530"/>
      <c r="CQ1696" s="1530"/>
      <c r="CR1696" s="1530"/>
      <c r="CS1696" s="1530"/>
      <c r="CT1696" s="1530"/>
      <c r="CU1696" s="1530"/>
      <c r="CV1696" s="1530"/>
      <c r="CW1696" s="1530"/>
      <c r="CX1696" s="1530"/>
      <c r="CY1696" s="1530"/>
      <c r="CZ1696" s="1530"/>
      <c r="DA1696" s="1530"/>
      <c r="DB1696" s="1530"/>
      <c r="DC1696" s="1530"/>
      <c r="DD1696" s="1530"/>
      <c r="DE1696" s="1530"/>
      <c r="DF1696" s="1530"/>
      <c r="DG1696" s="1530"/>
      <c r="DH1696" s="1530"/>
      <c r="DI1696" s="1530"/>
      <c r="DJ1696" s="1530"/>
      <c r="DK1696" s="1530"/>
      <c r="DL1696" s="1530"/>
      <c r="DM1696" s="1530"/>
      <c r="DN1696" s="1571"/>
      <c r="DO1696" s="1530"/>
      <c r="DP1696" s="1530"/>
    </row>
    <row r="1697" spans="1:120">
      <c r="A1697" s="1451"/>
      <c r="C1697" s="1451"/>
      <c r="K1697" s="1451"/>
      <c r="L1697" s="1451"/>
      <c r="U1697" s="1451"/>
      <c r="AD1697" s="1451"/>
      <c r="AM1697" s="1451"/>
      <c r="AV1697" s="1451"/>
      <c r="BE1697" s="1451"/>
      <c r="BN1697" s="1451"/>
      <c r="BV1697" s="1451"/>
      <c r="BW1697" s="1451"/>
      <c r="CF1697" s="1451"/>
      <c r="CN1697" s="1451"/>
      <c r="CO1697" s="1530"/>
      <c r="CP1697" s="1530"/>
      <c r="CQ1697" s="1530"/>
      <c r="CR1697" s="1530"/>
      <c r="CS1697" s="1530"/>
      <c r="CT1697" s="1530"/>
      <c r="CU1697" s="1530"/>
      <c r="CV1697" s="1530"/>
      <c r="CW1697" s="1530"/>
      <c r="CX1697" s="1530"/>
      <c r="CY1697" s="1530"/>
      <c r="CZ1697" s="1530"/>
      <c r="DA1697" s="1530"/>
      <c r="DB1697" s="1530"/>
      <c r="DC1697" s="1530"/>
      <c r="DD1697" s="1530"/>
      <c r="DE1697" s="1530"/>
      <c r="DF1697" s="1530"/>
      <c r="DG1697" s="1530"/>
      <c r="DH1697" s="1530"/>
      <c r="DI1697" s="1530"/>
      <c r="DJ1697" s="1530"/>
      <c r="DK1697" s="1530"/>
      <c r="DL1697" s="1530"/>
      <c r="DM1697" s="1530"/>
      <c r="DN1697" s="1571"/>
      <c r="DO1697" s="1530"/>
      <c r="DP1697" s="1530"/>
    </row>
    <row r="1698" spans="1:120">
      <c r="A1698" s="1451"/>
      <c r="C1698" s="1451"/>
      <c r="K1698" s="1451"/>
      <c r="L1698" s="1451"/>
      <c r="U1698" s="1451"/>
      <c r="AD1698" s="1451"/>
      <c r="AM1698" s="1451"/>
      <c r="AV1698" s="1451"/>
      <c r="BE1698" s="1451"/>
      <c r="BN1698" s="1451"/>
      <c r="BV1698" s="1451"/>
      <c r="BW1698" s="1451"/>
      <c r="CF1698" s="1451"/>
      <c r="CN1698" s="1451"/>
      <c r="CO1698" s="1530"/>
      <c r="CP1698" s="1530"/>
      <c r="CQ1698" s="1530"/>
      <c r="CR1698" s="1530"/>
      <c r="CS1698" s="1530"/>
      <c r="CT1698" s="1530"/>
      <c r="CU1698" s="1530"/>
      <c r="CV1698" s="1530"/>
      <c r="CW1698" s="1530"/>
      <c r="CX1698" s="1530"/>
      <c r="CY1698" s="1530"/>
      <c r="CZ1698" s="1530"/>
      <c r="DA1698" s="1530"/>
      <c r="DB1698" s="1530"/>
      <c r="DC1698" s="1530"/>
      <c r="DD1698" s="1530"/>
      <c r="DE1698" s="1530"/>
      <c r="DF1698" s="1530"/>
      <c r="DG1698" s="1530"/>
      <c r="DH1698" s="1530"/>
      <c r="DI1698" s="1530"/>
      <c r="DJ1698" s="1530"/>
      <c r="DK1698" s="1530"/>
      <c r="DL1698" s="1530"/>
      <c r="DM1698" s="1530"/>
      <c r="DN1698" s="1571"/>
      <c r="DO1698" s="1530"/>
      <c r="DP1698" s="1530"/>
    </row>
    <row r="1699" spans="1:120">
      <c r="A1699" s="1451"/>
      <c r="C1699" s="1451"/>
      <c r="K1699" s="1451"/>
      <c r="L1699" s="1451"/>
      <c r="U1699" s="1451"/>
      <c r="AD1699" s="1451"/>
      <c r="AM1699" s="1451"/>
      <c r="AV1699" s="1451"/>
      <c r="BE1699" s="1451"/>
      <c r="BN1699" s="1451"/>
      <c r="BV1699" s="1451"/>
      <c r="BW1699" s="1451"/>
      <c r="CF1699" s="1451"/>
      <c r="CN1699" s="1451"/>
      <c r="CO1699" s="1530"/>
      <c r="CP1699" s="1530"/>
      <c r="CQ1699" s="1530"/>
      <c r="CR1699" s="1530"/>
      <c r="CS1699" s="1530"/>
      <c r="CT1699" s="1530"/>
      <c r="CU1699" s="1530"/>
      <c r="CV1699" s="1530"/>
      <c r="CW1699" s="1530"/>
      <c r="CX1699" s="1530"/>
      <c r="CY1699" s="1530"/>
      <c r="CZ1699" s="1530"/>
      <c r="DA1699" s="1530"/>
      <c r="DB1699" s="1530"/>
      <c r="DC1699" s="1530"/>
      <c r="DD1699" s="1530"/>
      <c r="DE1699" s="1530"/>
      <c r="DF1699" s="1530"/>
      <c r="DG1699" s="1530"/>
      <c r="DH1699" s="1530"/>
      <c r="DI1699" s="1530"/>
      <c r="DJ1699" s="1530"/>
      <c r="DK1699" s="1530"/>
      <c r="DL1699" s="1530"/>
      <c r="DM1699" s="1530"/>
      <c r="DN1699" s="1571"/>
      <c r="DO1699" s="1530"/>
      <c r="DP1699" s="1530"/>
    </row>
    <row r="1700" spans="1:120">
      <c r="A1700" s="1451"/>
      <c r="C1700" s="1451"/>
      <c r="K1700" s="1451"/>
      <c r="L1700" s="1451"/>
      <c r="U1700" s="1451"/>
      <c r="AD1700" s="1451"/>
      <c r="AM1700" s="1451"/>
      <c r="AV1700" s="1451"/>
      <c r="BE1700" s="1451"/>
      <c r="BN1700" s="1451"/>
      <c r="BV1700" s="1451"/>
      <c r="BW1700" s="1451"/>
      <c r="CF1700" s="1451"/>
      <c r="CN1700" s="1451"/>
      <c r="CO1700" s="1530"/>
      <c r="CP1700" s="1530"/>
      <c r="CQ1700" s="1530"/>
      <c r="CR1700" s="1530"/>
      <c r="CS1700" s="1530"/>
      <c r="CT1700" s="1530"/>
      <c r="CU1700" s="1530"/>
      <c r="CV1700" s="1530"/>
      <c r="CW1700" s="1530"/>
      <c r="CX1700" s="1530"/>
      <c r="CY1700" s="1530"/>
      <c r="CZ1700" s="1530"/>
      <c r="DA1700" s="1530"/>
      <c r="DB1700" s="1530"/>
      <c r="DC1700" s="1530"/>
      <c r="DD1700" s="1530"/>
      <c r="DE1700" s="1530"/>
      <c r="DF1700" s="1530"/>
      <c r="DG1700" s="1530"/>
      <c r="DH1700" s="1530"/>
      <c r="DI1700" s="1530"/>
      <c r="DJ1700" s="1530"/>
      <c r="DK1700" s="1530"/>
      <c r="DL1700" s="1530"/>
      <c r="DM1700" s="1530"/>
      <c r="DN1700" s="1571"/>
      <c r="DO1700" s="1530"/>
      <c r="DP1700" s="1530"/>
    </row>
    <row r="1701" spans="1:120">
      <c r="A1701" s="1451"/>
      <c r="C1701" s="1451"/>
      <c r="K1701" s="1451"/>
      <c r="L1701" s="1451"/>
      <c r="U1701" s="1451"/>
      <c r="AD1701" s="1451"/>
      <c r="AM1701" s="1451"/>
      <c r="AV1701" s="1451"/>
      <c r="BE1701" s="1451"/>
      <c r="BN1701" s="1451"/>
      <c r="BV1701" s="1451"/>
      <c r="BW1701" s="1451"/>
      <c r="CF1701" s="1451"/>
      <c r="CN1701" s="1451"/>
      <c r="CO1701" s="1530"/>
      <c r="CP1701" s="1530"/>
      <c r="CQ1701" s="1530"/>
      <c r="CR1701" s="1530"/>
      <c r="CS1701" s="1530"/>
      <c r="CT1701" s="1530"/>
      <c r="CU1701" s="1530"/>
      <c r="CV1701" s="1530"/>
      <c r="CW1701" s="1530"/>
      <c r="CX1701" s="1530"/>
      <c r="CY1701" s="1530"/>
      <c r="CZ1701" s="1530"/>
      <c r="DA1701" s="1530"/>
      <c r="DB1701" s="1530"/>
      <c r="DC1701" s="1530"/>
      <c r="DD1701" s="1530"/>
      <c r="DE1701" s="1530"/>
      <c r="DF1701" s="1530"/>
      <c r="DG1701" s="1530"/>
      <c r="DH1701" s="1530"/>
      <c r="DI1701" s="1530"/>
      <c r="DJ1701" s="1530"/>
      <c r="DK1701" s="1530"/>
      <c r="DL1701" s="1530"/>
      <c r="DM1701" s="1530"/>
      <c r="DN1701" s="1571"/>
      <c r="DO1701" s="1530"/>
      <c r="DP1701" s="1530"/>
    </row>
    <row r="1702" spans="1:120">
      <c r="A1702" s="1451"/>
      <c r="C1702" s="1451"/>
      <c r="K1702" s="1451"/>
      <c r="L1702" s="1451"/>
      <c r="U1702" s="1451"/>
      <c r="AD1702" s="1451"/>
      <c r="AM1702" s="1451"/>
      <c r="AV1702" s="1451"/>
      <c r="BE1702" s="1451"/>
      <c r="BN1702" s="1451"/>
      <c r="BV1702" s="1451"/>
      <c r="BW1702" s="1451"/>
      <c r="CF1702" s="1451"/>
      <c r="CN1702" s="1451"/>
      <c r="CO1702" s="1530"/>
      <c r="CP1702" s="1530"/>
      <c r="CQ1702" s="1530"/>
      <c r="CR1702" s="1530"/>
      <c r="CS1702" s="1530"/>
      <c r="CT1702" s="1530"/>
      <c r="CU1702" s="1530"/>
      <c r="CV1702" s="1530"/>
      <c r="CW1702" s="1530"/>
      <c r="CX1702" s="1530"/>
      <c r="CY1702" s="1530"/>
      <c r="CZ1702" s="1530"/>
      <c r="DA1702" s="1530"/>
      <c r="DB1702" s="1530"/>
      <c r="DC1702" s="1530"/>
      <c r="DD1702" s="1530"/>
      <c r="DE1702" s="1530"/>
      <c r="DF1702" s="1530"/>
      <c r="DG1702" s="1530"/>
      <c r="DH1702" s="1530"/>
      <c r="DI1702" s="1530"/>
      <c r="DJ1702" s="1530"/>
      <c r="DK1702" s="1530"/>
      <c r="DL1702" s="1530"/>
      <c r="DM1702" s="1530"/>
      <c r="DN1702" s="1571"/>
      <c r="DO1702" s="1530"/>
      <c r="DP1702" s="1530"/>
    </row>
    <row r="1703" spans="1:120">
      <c r="A1703" s="1451"/>
      <c r="C1703" s="1451"/>
      <c r="K1703" s="1451"/>
      <c r="L1703" s="1451"/>
      <c r="U1703" s="1451"/>
      <c r="AD1703" s="1451"/>
      <c r="AM1703" s="1451"/>
      <c r="AV1703" s="1451"/>
      <c r="BE1703" s="1451"/>
      <c r="BN1703" s="1451"/>
      <c r="BV1703" s="1451"/>
      <c r="BW1703" s="1451"/>
      <c r="CF1703" s="1451"/>
      <c r="CN1703" s="1451"/>
      <c r="CO1703" s="1530"/>
      <c r="CP1703" s="1530"/>
      <c r="CQ1703" s="1530"/>
      <c r="CR1703" s="1530"/>
      <c r="CS1703" s="1530"/>
      <c r="CT1703" s="1530"/>
      <c r="CU1703" s="1530"/>
      <c r="CV1703" s="1530"/>
      <c r="CW1703" s="1530"/>
      <c r="CX1703" s="1530"/>
      <c r="CY1703" s="1530"/>
      <c r="CZ1703" s="1530"/>
      <c r="DA1703" s="1530"/>
      <c r="DB1703" s="1530"/>
      <c r="DC1703" s="1530"/>
      <c r="DD1703" s="1530"/>
      <c r="DE1703" s="1530"/>
      <c r="DF1703" s="1530"/>
      <c r="DG1703" s="1530"/>
      <c r="DH1703" s="1530"/>
      <c r="DI1703" s="1530"/>
      <c r="DJ1703" s="1530"/>
      <c r="DK1703" s="1530"/>
      <c r="DL1703" s="1530"/>
      <c r="DM1703" s="1530"/>
      <c r="DN1703" s="1571"/>
      <c r="DO1703" s="1530"/>
      <c r="DP1703" s="1530"/>
    </row>
    <row r="1704" spans="1:120">
      <c r="A1704" s="1451"/>
      <c r="C1704" s="1451"/>
      <c r="K1704" s="1451"/>
      <c r="L1704" s="1451"/>
      <c r="U1704" s="1451"/>
      <c r="AD1704" s="1451"/>
      <c r="AM1704" s="1451"/>
      <c r="AV1704" s="1451"/>
      <c r="BE1704" s="1451"/>
      <c r="BN1704" s="1451"/>
      <c r="BV1704" s="1451"/>
      <c r="BW1704" s="1451"/>
      <c r="CF1704" s="1451"/>
      <c r="CN1704" s="1451"/>
      <c r="CO1704" s="1530"/>
      <c r="CP1704" s="1530"/>
      <c r="CQ1704" s="1530"/>
      <c r="CR1704" s="1530"/>
      <c r="CS1704" s="1530"/>
      <c r="CT1704" s="1530"/>
      <c r="CU1704" s="1530"/>
      <c r="CV1704" s="1530"/>
      <c r="CW1704" s="1530"/>
      <c r="CX1704" s="1530"/>
      <c r="CY1704" s="1530"/>
      <c r="CZ1704" s="1530"/>
      <c r="DA1704" s="1530"/>
      <c r="DB1704" s="1530"/>
      <c r="DC1704" s="1530"/>
      <c r="DD1704" s="1530"/>
      <c r="DE1704" s="1530"/>
      <c r="DF1704" s="1530"/>
      <c r="DG1704" s="1530"/>
      <c r="DH1704" s="1530"/>
      <c r="DI1704" s="1530"/>
      <c r="DJ1704" s="1530"/>
      <c r="DK1704" s="1530"/>
      <c r="DL1704" s="1530"/>
      <c r="DM1704" s="1530"/>
      <c r="DN1704" s="1571"/>
      <c r="DO1704" s="1530"/>
      <c r="DP1704" s="1530"/>
    </row>
    <row r="1705" spans="1:120">
      <c r="A1705" s="1451"/>
      <c r="C1705" s="1451"/>
      <c r="K1705" s="1451"/>
      <c r="L1705" s="1451"/>
      <c r="U1705" s="1451"/>
      <c r="AD1705" s="1451"/>
      <c r="AM1705" s="1451"/>
      <c r="AV1705" s="1451"/>
      <c r="BE1705" s="1451"/>
      <c r="BN1705" s="1451"/>
      <c r="BV1705" s="1451"/>
      <c r="BW1705" s="1451"/>
      <c r="CF1705" s="1451"/>
      <c r="CN1705" s="1451"/>
      <c r="CO1705" s="1530"/>
      <c r="CP1705" s="1530"/>
      <c r="CQ1705" s="1530"/>
      <c r="CR1705" s="1530"/>
      <c r="CS1705" s="1530"/>
      <c r="CT1705" s="1530"/>
      <c r="CU1705" s="1530"/>
      <c r="CV1705" s="1530"/>
      <c r="CW1705" s="1530"/>
      <c r="CX1705" s="1530"/>
      <c r="CY1705" s="1530"/>
      <c r="CZ1705" s="1530"/>
      <c r="DA1705" s="1530"/>
      <c r="DB1705" s="1530"/>
      <c r="DC1705" s="1530"/>
      <c r="DD1705" s="1530"/>
      <c r="DE1705" s="1530"/>
      <c r="DF1705" s="1530"/>
      <c r="DG1705" s="1530"/>
      <c r="DH1705" s="1530"/>
      <c r="DI1705" s="1530"/>
      <c r="DJ1705" s="1530"/>
      <c r="DK1705" s="1530"/>
      <c r="DL1705" s="1530"/>
      <c r="DM1705" s="1530"/>
      <c r="DN1705" s="1571"/>
      <c r="DO1705" s="1530"/>
      <c r="DP1705" s="1530"/>
    </row>
    <row r="1706" spans="1:120">
      <c r="A1706" s="1451"/>
      <c r="C1706" s="1451"/>
      <c r="K1706" s="1451"/>
      <c r="L1706" s="1451"/>
      <c r="U1706" s="1451"/>
      <c r="AD1706" s="1451"/>
      <c r="AM1706" s="1451"/>
      <c r="AV1706" s="1451"/>
      <c r="BE1706" s="1451"/>
      <c r="BN1706" s="1451"/>
      <c r="BV1706" s="1451"/>
      <c r="BW1706" s="1451"/>
      <c r="CF1706" s="1451"/>
      <c r="CN1706" s="1451"/>
      <c r="CO1706" s="1530"/>
      <c r="CP1706" s="1530"/>
      <c r="CQ1706" s="1530"/>
      <c r="CR1706" s="1530"/>
      <c r="CS1706" s="1530"/>
      <c r="CT1706" s="1530"/>
      <c r="CU1706" s="1530"/>
      <c r="CV1706" s="1530"/>
      <c r="CW1706" s="1530"/>
      <c r="CX1706" s="1530"/>
      <c r="CY1706" s="1530"/>
      <c r="CZ1706" s="1530"/>
      <c r="DA1706" s="1530"/>
      <c r="DB1706" s="1530"/>
      <c r="DC1706" s="1530"/>
      <c r="DD1706" s="1530"/>
      <c r="DE1706" s="1530"/>
      <c r="DF1706" s="1530"/>
      <c r="DG1706" s="1530"/>
      <c r="DH1706" s="1530"/>
      <c r="DI1706" s="1530"/>
      <c r="DJ1706" s="1530"/>
      <c r="DK1706" s="1530"/>
      <c r="DL1706" s="1530"/>
      <c r="DM1706" s="1530"/>
      <c r="DN1706" s="1571"/>
      <c r="DO1706" s="1530"/>
      <c r="DP1706" s="1530"/>
    </row>
    <row r="1707" spans="1:120">
      <c r="A1707" s="1451"/>
      <c r="C1707" s="1451"/>
      <c r="K1707" s="1451"/>
      <c r="L1707" s="1451"/>
      <c r="U1707" s="1451"/>
      <c r="AD1707" s="1451"/>
      <c r="AM1707" s="1451"/>
      <c r="AV1707" s="1451"/>
      <c r="BE1707" s="1451"/>
      <c r="BN1707" s="1451"/>
      <c r="BV1707" s="1451"/>
      <c r="BW1707" s="1451"/>
      <c r="CF1707" s="1451"/>
      <c r="CN1707" s="1451"/>
      <c r="CO1707" s="1530"/>
      <c r="CP1707" s="1530"/>
      <c r="CQ1707" s="1530"/>
      <c r="CR1707" s="1530"/>
      <c r="CS1707" s="1530"/>
      <c r="CT1707" s="1530"/>
      <c r="CU1707" s="1530"/>
      <c r="CV1707" s="1530"/>
      <c r="CW1707" s="1530"/>
      <c r="CX1707" s="1530"/>
      <c r="CY1707" s="1530"/>
      <c r="CZ1707" s="1530"/>
      <c r="DA1707" s="1530"/>
      <c r="DB1707" s="1530"/>
      <c r="DC1707" s="1530"/>
      <c r="DD1707" s="1530"/>
      <c r="DE1707" s="1530"/>
      <c r="DF1707" s="1530"/>
      <c r="DG1707" s="1530"/>
      <c r="DH1707" s="1530"/>
      <c r="DI1707" s="1530"/>
      <c r="DJ1707" s="1530"/>
      <c r="DK1707" s="1530"/>
      <c r="DL1707" s="1530"/>
      <c r="DM1707" s="1530"/>
      <c r="DN1707" s="1571"/>
      <c r="DO1707" s="1530"/>
      <c r="DP1707" s="1530"/>
    </row>
    <row r="1708" spans="1:120">
      <c r="A1708" s="1451"/>
      <c r="C1708" s="1451"/>
      <c r="K1708" s="1451"/>
      <c r="L1708" s="1451"/>
      <c r="U1708" s="1451"/>
      <c r="AD1708" s="1451"/>
      <c r="AM1708" s="1451"/>
      <c r="AV1708" s="1451"/>
      <c r="BE1708" s="1451"/>
      <c r="BN1708" s="1451"/>
      <c r="BV1708" s="1451"/>
      <c r="BW1708" s="1451"/>
      <c r="CF1708" s="1451"/>
      <c r="CN1708" s="1451"/>
      <c r="CO1708" s="1530"/>
      <c r="CP1708" s="1530"/>
      <c r="CQ1708" s="1530"/>
      <c r="CR1708" s="1530"/>
      <c r="CS1708" s="1530"/>
      <c r="CT1708" s="1530"/>
      <c r="CU1708" s="1530"/>
      <c r="CV1708" s="1530"/>
      <c r="CW1708" s="1530"/>
      <c r="CX1708" s="1530"/>
      <c r="CY1708" s="1530"/>
      <c r="CZ1708" s="1530"/>
      <c r="DA1708" s="1530"/>
      <c r="DB1708" s="1530"/>
      <c r="DC1708" s="1530"/>
      <c r="DD1708" s="1530"/>
      <c r="DE1708" s="1530"/>
      <c r="DF1708" s="1530"/>
      <c r="DG1708" s="1530"/>
      <c r="DH1708" s="1530"/>
      <c r="DI1708" s="1530"/>
      <c r="DJ1708" s="1530"/>
      <c r="DK1708" s="1530"/>
      <c r="DL1708" s="1530"/>
      <c r="DM1708" s="1530"/>
      <c r="DN1708" s="1571"/>
      <c r="DO1708" s="1530"/>
      <c r="DP1708" s="1530"/>
    </row>
    <row r="1709" spans="1:120">
      <c r="A1709" s="1451"/>
      <c r="C1709" s="1451"/>
      <c r="K1709" s="1451"/>
      <c r="L1709" s="1451"/>
      <c r="U1709" s="1451"/>
      <c r="AD1709" s="1451"/>
      <c r="AM1709" s="1451"/>
      <c r="AV1709" s="1451"/>
      <c r="BE1709" s="1451"/>
      <c r="BN1709" s="1451"/>
      <c r="BV1709" s="1451"/>
      <c r="BW1709" s="1451"/>
      <c r="CF1709" s="1451"/>
      <c r="CN1709" s="1451"/>
      <c r="CO1709" s="1530"/>
      <c r="CP1709" s="1530"/>
      <c r="CQ1709" s="1530"/>
      <c r="CR1709" s="1530"/>
      <c r="CS1709" s="1530"/>
      <c r="CT1709" s="1530"/>
      <c r="CU1709" s="1530"/>
      <c r="CV1709" s="1530"/>
      <c r="CW1709" s="1530"/>
      <c r="CX1709" s="1530"/>
      <c r="CY1709" s="1530"/>
      <c r="CZ1709" s="1530"/>
      <c r="DA1709" s="1530"/>
      <c r="DB1709" s="1530"/>
      <c r="DC1709" s="1530"/>
      <c r="DD1709" s="1530"/>
      <c r="DE1709" s="1530"/>
      <c r="DF1709" s="1530"/>
      <c r="DG1709" s="1530"/>
      <c r="DH1709" s="1530"/>
      <c r="DI1709" s="1530"/>
      <c r="DJ1709" s="1530"/>
      <c r="DK1709" s="1530"/>
      <c r="DL1709" s="1530"/>
      <c r="DM1709" s="1530"/>
      <c r="DN1709" s="1571"/>
      <c r="DO1709" s="1530"/>
      <c r="DP1709" s="1530"/>
    </row>
    <row r="1710" spans="1:120">
      <c r="A1710" s="1451"/>
      <c r="C1710" s="1451"/>
      <c r="K1710" s="1451"/>
      <c r="L1710" s="1451"/>
      <c r="U1710" s="1451"/>
      <c r="AD1710" s="1451"/>
      <c r="AM1710" s="1451"/>
      <c r="AV1710" s="1451"/>
      <c r="BE1710" s="1451"/>
      <c r="BN1710" s="1451"/>
      <c r="BV1710" s="1451"/>
      <c r="BW1710" s="1451"/>
      <c r="CF1710" s="1451"/>
      <c r="CN1710" s="1451"/>
      <c r="CO1710" s="1530"/>
      <c r="CP1710" s="1530"/>
      <c r="CQ1710" s="1530"/>
      <c r="CR1710" s="1530"/>
      <c r="CS1710" s="1530"/>
      <c r="CT1710" s="1530"/>
      <c r="CU1710" s="1530"/>
      <c r="CV1710" s="1530"/>
      <c r="CW1710" s="1530"/>
      <c r="CX1710" s="1530"/>
      <c r="CY1710" s="1530"/>
      <c r="CZ1710" s="1530"/>
      <c r="DA1710" s="1530"/>
      <c r="DB1710" s="1530"/>
      <c r="DC1710" s="1530"/>
      <c r="DD1710" s="1530"/>
      <c r="DE1710" s="1530"/>
      <c r="DF1710" s="1530"/>
      <c r="DG1710" s="1530"/>
      <c r="DH1710" s="1530"/>
      <c r="DI1710" s="1530"/>
      <c r="DJ1710" s="1530"/>
      <c r="DK1710" s="1530"/>
      <c r="DL1710" s="1530"/>
      <c r="DM1710" s="1530"/>
      <c r="DN1710" s="1571"/>
      <c r="DO1710" s="1530"/>
      <c r="DP1710" s="1530"/>
    </row>
    <row r="1711" spans="1:120">
      <c r="A1711" s="1451"/>
      <c r="C1711" s="1451"/>
      <c r="K1711" s="1451"/>
      <c r="L1711" s="1451"/>
      <c r="U1711" s="1451"/>
      <c r="AD1711" s="1451"/>
      <c r="AM1711" s="1451"/>
      <c r="AV1711" s="1451"/>
      <c r="BE1711" s="1451"/>
      <c r="BN1711" s="1451"/>
      <c r="BV1711" s="1451"/>
      <c r="BW1711" s="1451"/>
      <c r="CF1711" s="1451"/>
      <c r="CN1711" s="1451"/>
      <c r="CO1711" s="1530"/>
      <c r="CP1711" s="1530"/>
      <c r="CQ1711" s="1530"/>
      <c r="CR1711" s="1530"/>
      <c r="CS1711" s="1530"/>
      <c r="CT1711" s="1530"/>
      <c r="CU1711" s="1530"/>
      <c r="CV1711" s="1530"/>
      <c r="CW1711" s="1530"/>
      <c r="CX1711" s="1530"/>
      <c r="CY1711" s="1530"/>
      <c r="CZ1711" s="1530"/>
      <c r="DA1711" s="1530"/>
      <c r="DB1711" s="1530"/>
      <c r="DC1711" s="1530"/>
      <c r="DD1711" s="1530"/>
      <c r="DE1711" s="1530"/>
      <c r="DF1711" s="1530"/>
      <c r="DG1711" s="1530"/>
      <c r="DH1711" s="1530"/>
      <c r="DI1711" s="1530"/>
      <c r="DJ1711" s="1530"/>
      <c r="DK1711" s="1530"/>
      <c r="DL1711" s="1530"/>
      <c r="DM1711" s="1530"/>
      <c r="DN1711" s="1571"/>
      <c r="DO1711" s="1530"/>
      <c r="DP1711" s="1530"/>
    </row>
    <row r="1712" spans="1:120">
      <c r="A1712" s="1451"/>
      <c r="C1712" s="1451"/>
      <c r="K1712" s="1451"/>
      <c r="L1712" s="1451"/>
      <c r="U1712" s="1451"/>
      <c r="AD1712" s="1451"/>
      <c r="AM1712" s="1451"/>
      <c r="AV1712" s="1451"/>
      <c r="BE1712" s="1451"/>
      <c r="BN1712" s="1451"/>
      <c r="BV1712" s="1451"/>
      <c r="BW1712" s="1451"/>
      <c r="CF1712" s="1451"/>
      <c r="CN1712" s="1451"/>
      <c r="CO1712" s="1530"/>
      <c r="CP1712" s="1530"/>
      <c r="CQ1712" s="1530"/>
      <c r="CR1712" s="1530"/>
      <c r="CS1712" s="1530"/>
      <c r="CT1712" s="1530"/>
      <c r="CU1712" s="1530"/>
      <c r="CV1712" s="1530"/>
      <c r="CW1712" s="1530"/>
      <c r="CX1712" s="1530"/>
      <c r="CY1712" s="1530"/>
      <c r="CZ1712" s="1530"/>
      <c r="DA1712" s="1530"/>
      <c r="DB1712" s="1530"/>
      <c r="DC1712" s="1530"/>
      <c r="DD1712" s="1530"/>
      <c r="DE1712" s="1530"/>
      <c r="DF1712" s="1530"/>
      <c r="DG1712" s="1530"/>
      <c r="DH1712" s="1530"/>
      <c r="DI1712" s="1530"/>
      <c r="DJ1712" s="1530"/>
      <c r="DK1712" s="1530"/>
      <c r="DL1712" s="1530"/>
      <c r="DM1712" s="1530"/>
      <c r="DN1712" s="1571"/>
      <c r="DO1712" s="1530"/>
      <c r="DP1712" s="1530"/>
    </row>
    <row r="1713" spans="1:120">
      <c r="A1713" s="1451"/>
      <c r="C1713" s="1451"/>
      <c r="K1713" s="1451"/>
      <c r="L1713" s="1451"/>
      <c r="U1713" s="1451"/>
      <c r="AD1713" s="1451"/>
      <c r="AM1713" s="1451"/>
      <c r="AV1713" s="1451"/>
      <c r="BE1713" s="1451"/>
      <c r="BN1713" s="1451"/>
      <c r="BV1713" s="1451"/>
      <c r="BW1713" s="1451"/>
      <c r="CF1713" s="1451"/>
      <c r="CN1713" s="1451"/>
      <c r="CO1713" s="1530"/>
      <c r="CP1713" s="1530"/>
      <c r="CQ1713" s="1530"/>
      <c r="CR1713" s="1530"/>
      <c r="CS1713" s="1530"/>
      <c r="CT1713" s="1530"/>
      <c r="CU1713" s="1530"/>
      <c r="CV1713" s="1530"/>
      <c r="CW1713" s="1530"/>
      <c r="CX1713" s="1530"/>
      <c r="CY1713" s="1530"/>
      <c r="CZ1713" s="1530"/>
      <c r="DA1713" s="1530"/>
      <c r="DB1713" s="1530"/>
      <c r="DC1713" s="1530"/>
      <c r="DD1713" s="1530"/>
      <c r="DE1713" s="1530"/>
      <c r="DF1713" s="1530"/>
      <c r="DG1713" s="1530"/>
      <c r="DH1713" s="1530"/>
      <c r="DI1713" s="1530"/>
      <c r="DJ1713" s="1530"/>
      <c r="DK1713" s="1530"/>
      <c r="DL1713" s="1530"/>
      <c r="DM1713" s="1530"/>
      <c r="DN1713" s="1571"/>
      <c r="DO1713" s="1530"/>
      <c r="DP1713" s="1530"/>
    </row>
    <row r="1714" spans="1:120">
      <c r="A1714" s="1451"/>
      <c r="C1714" s="1451"/>
      <c r="K1714" s="1451"/>
      <c r="L1714" s="1451"/>
      <c r="U1714" s="1451"/>
      <c r="AD1714" s="1451"/>
      <c r="AM1714" s="1451"/>
      <c r="AV1714" s="1451"/>
      <c r="BE1714" s="1451"/>
      <c r="BN1714" s="1451"/>
      <c r="BV1714" s="1451"/>
      <c r="BW1714" s="1451"/>
      <c r="CF1714" s="1451"/>
      <c r="CN1714" s="1451"/>
      <c r="CO1714" s="1530"/>
      <c r="CP1714" s="1530"/>
      <c r="CQ1714" s="1530"/>
      <c r="CR1714" s="1530"/>
      <c r="CS1714" s="1530"/>
      <c r="CT1714" s="1530"/>
      <c r="CU1714" s="1530"/>
      <c r="CV1714" s="1530"/>
      <c r="CW1714" s="1530"/>
      <c r="CX1714" s="1530"/>
      <c r="CY1714" s="1530"/>
      <c r="CZ1714" s="1530"/>
      <c r="DA1714" s="1530"/>
      <c r="DB1714" s="1530"/>
      <c r="DC1714" s="1530"/>
      <c r="DD1714" s="1530"/>
      <c r="DE1714" s="1530"/>
      <c r="DF1714" s="1530"/>
      <c r="DG1714" s="1530"/>
      <c r="DH1714" s="1530"/>
      <c r="DI1714" s="1530"/>
      <c r="DJ1714" s="1530"/>
      <c r="DK1714" s="1530"/>
      <c r="DL1714" s="1530"/>
      <c r="DM1714" s="1530"/>
      <c r="DN1714" s="1571"/>
      <c r="DO1714" s="1530"/>
      <c r="DP1714" s="1530"/>
    </row>
    <row r="1715" spans="1:120">
      <c r="A1715" s="1451"/>
      <c r="C1715" s="1451"/>
      <c r="K1715" s="1451"/>
      <c r="L1715" s="1451"/>
      <c r="U1715" s="1451"/>
      <c r="AD1715" s="1451"/>
      <c r="AM1715" s="1451"/>
      <c r="AV1715" s="1451"/>
      <c r="BE1715" s="1451"/>
      <c r="BN1715" s="1451"/>
      <c r="BV1715" s="1451"/>
      <c r="BW1715" s="1451"/>
      <c r="CF1715" s="1451"/>
      <c r="CN1715" s="1451"/>
      <c r="CO1715" s="1530"/>
      <c r="CP1715" s="1530"/>
      <c r="CQ1715" s="1530"/>
      <c r="CR1715" s="1530"/>
      <c r="CS1715" s="1530"/>
      <c r="CT1715" s="1530"/>
      <c r="CU1715" s="1530"/>
      <c r="CV1715" s="1530"/>
      <c r="CW1715" s="1530"/>
      <c r="CX1715" s="1530"/>
      <c r="CY1715" s="1530"/>
      <c r="CZ1715" s="1530"/>
      <c r="DA1715" s="1530"/>
      <c r="DB1715" s="1530"/>
      <c r="DC1715" s="1530"/>
      <c r="DD1715" s="1530"/>
      <c r="DE1715" s="1530"/>
      <c r="DF1715" s="1530"/>
      <c r="DG1715" s="1530"/>
      <c r="DH1715" s="1530"/>
      <c r="DI1715" s="1530"/>
      <c r="DJ1715" s="1530"/>
      <c r="DK1715" s="1530"/>
      <c r="DL1715" s="1530"/>
      <c r="DM1715" s="1530"/>
      <c r="DN1715" s="1571"/>
      <c r="DO1715" s="1530"/>
      <c r="DP1715" s="1530"/>
    </row>
    <row r="1716" spans="1:120">
      <c r="A1716" s="1451"/>
      <c r="C1716" s="1451"/>
      <c r="K1716" s="1451"/>
      <c r="L1716" s="1451"/>
      <c r="U1716" s="1451"/>
      <c r="AD1716" s="1451"/>
      <c r="AM1716" s="1451"/>
      <c r="AV1716" s="1451"/>
      <c r="BE1716" s="1451"/>
      <c r="BN1716" s="1451"/>
      <c r="BV1716" s="1451"/>
      <c r="BW1716" s="1451"/>
      <c r="CF1716" s="1451"/>
      <c r="CN1716" s="1451"/>
      <c r="CO1716" s="1530"/>
      <c r="CP1716" s="1530"/>
      <c r="CQ1716" s="1530"/>
      <c r="CR1716" s="1530"/>
      <c r="CS1716" s="1530"/>
      <c r="CT1716" s="1530"/>
      <c r="CU1716" s="1530"/>
      <c r="CV1716" s="1530"/>
      <c r="CW1716" s="1530"/>
      <c r="CX1716" s="1530"/>
      <c r="CY1716" s="1530"/>
      <c r="CZ1716" s="1530"/>
      <c r="DA1716" s="1530"/>
      <c r="DB1716" s="1530"/>
      <c r="DC1716" s="1530"/>
      <c r="DD1716" s="1530"/>
      <c r="DE1716" s="1530"/>
      <c r="DF1716" s="1530"/>
      <c r="DG1716" s="1530"/>
      <c r="DH1716" s="1530"/>
      <c r="DI1716" s="1530"/>
      <c r="DJ1716" s="1530"/>
      <c r="DK1716" s="1530"/>
      <c r="DL1716" s="1530"/>
      <c r="DM1716" s="1530"/>
      <c r="DN1716" s="1571"/>
      <c r="DO1716" s="1530"/>
      <c r="DP1716" s="1530"/>
    </row>
    <row r="1717" spans="1:120">
      <c r="A1717" s="1451"/>
      <c r="C1717" s="1451"/>
      <c r="K1717" s="1451"/>
      <c r="L1717" s="1451"/>
      <c r="U1717" s="1451"/>
      <c r="AD1717" s="1451"/>
      <c r="AM1717" s="1451"/>
      <c r="AV1717" s="1451"/>
      <c r="BE1717" s="1451"/>
      <c r="BN1717" s="1451"/>
      <c r="BV1717" s="1451"/>
      <c r="BW1717" s="1451"/>
      <c r="CF1717" s="1451"/>
      <c r="CN1717" s="1451"/>
      <c r="CO1717" s="1530"/>
      <c r="CP1717" s="1530"/>
      <c r="CQ1717" s="1530"/>
      <c r="CR1717" s="1530"/>
      <c r="CS1717" s="1530"/>
      <c r="CT1717" s="1530"/>
      <c r="CU1717" s="1530"/>
      <c r="CV1717" s="1530"/>
      <c r="CW1717" s="1530"/>
      <c r="CX1717" s="1530"/>
      <c r="CY1717" s="1530"/>
      <c r="CZ1717" s="1530"/>
      <c r="DA1717" s="1530"/>
      <c r="DB1717" s="1530"/>
      <c r="DC1717" s="1530"/>
      <c r="DD1717" s="1530"/>
      <c r="DE1717" s="1530"/>
      <c r="DF1717" s="1530"/>
      <c r="DG1717" s="1530"/>
      <c r="DH1717" s="1530"/>
      <c r="DI1717" s="1530"/>
      <c r="DJ1717" s="1530"/>
      <c r="DK1717" s="1530"/>
      <c r="DL1717" s="1530"/>
      <c r="DM1717" s="1530"/>
      <c r="DN1717" s="1571"/>
      <c r="DO1717" s="1530"/>
      <c r="DP1717" s="1530"/>
    </row>
    <row r="1718" spans="1:120">
      <c r="A1718" s="1451"/>
      <c r="C1718" s="1451"/>
      <c r="K1718" s="1451"/>
      <c r="L1718" s="1451"/>
      <c r="U1718" s="1451"/>
      <c r="AD1718" s="1451"/>
      <c r="AM1718" s="1451"/>
      <c r="AV1718" s="1451"/>
      <c r="BE1718" s="1451"/>
      <c r="BN1718" s="1451"/>
      <c r="BV1718" s="1451"/>
      <c r="BW1718" s="1451"/>
      <c r="CF1718" s="1451"/>
      <c r="CN1718" s="1451"/>
      <c r="CO1718" s="1530"/>
      <c r="CP1718" s="1530"/>
      <c r="CQ1718" s="1530"/>
      <c r="CR1718" s="1530"/>
      <c r="CS1718" s="1530"/>
      <c r="CT1718" s="1530"/>
      <c r="CU1718" s="1530"/>
      <c r="CV1718" s="1530"/>
      <c r="CW1718" s="1530"/>
      <c r="CX1718" s="1530"/>
      <c r="CY1718" s="1530"/>
      <c r="CZ1718" s="1530"/>
      <c r="DA1718" s="1530"/>
      <c r="DB1718" s="1530"/>
      <c r="DC1718" s="1530"/>
      <c r="DD1718" s="1530"/>
      <c r="DE1718" s="1530"/>
      <c r="DF1718" s="1530"/>
      <c r="DG1718" s="1530"/>
      <c r="DH1718" s="1530"/>
      <c r="DI1718" s="1530"/>
      <c r="DJ1718" s="1530"/>
      <c r="DK1718" s="1530"/>
      <c r="DL1718" s="1530"/>
      <c r="DM1718" s="1530"/>
      <c r="DN1718" s="1571"/>
      <c r="DO1718" s="1530"/>
      <c r="DP1718" s="1530"/>
    </row>
    <row r="1719" spans="1:120">
      <c r="A1719" s="1451"/>
      <c r="C1719" s="1451"/>
      <c r="K1719" s="1451"/>
      <c r="L1719" s="1451"/>
      <c r="U1719" s="1451"/>
      <c r="AD1719" s="1451"/>
      <c r="AM1719" s="1451"/>
      <c r="AV1719" s="1451"/>
      <c r="BE1719" s="1451"/>
      <c r="BN1719" s="1451"/>
      <c r="BV1719" s="1451"/>
      <c r="BW1719" s="1451"/>
      <c r="CF1719" s="1451"/>
      <c r="CN1719" s="1451"/>
      <c r="CO1719" s="1530"/>
      <c r="CP1719" s="1530"/>
      <c r="CQ1719" s="1530"/>
      <c r="CR1719" s="1530"/>
      <c r="CS1719" s="1530"/>
      <c r="CT1719" s="1530"/>
      <c r="CU1719" s="1530"/>
      <c r="CV1719" s="1530"/>
      <c r="CW1719" s="1530"/>
      <c r="CX1719" s="1530"/>
      <c r="CY1719" s="1530"/>
      <c r="CZ1719" s="1530"/>
      <c r="DA1719" s="1530"/>
      <c r="DB1719" s="1530"/>
      <c r="DC1719" s="1530"/>
      <c r="DD1719" s="1530"/>
      <c r="DE1719" s="1530"/>
      <c r="DF1719" s="1530"/>
      <c r="DG1719" s="1530"/>
      <c r="DH1719" s="1530"/>
      <c r="DI1719" s="1530"/>
      <c r="DJ1719" s="1530"/>
      <c r="DK1719" s="1530"/>
      <c r="DL1719" s="1530"/>
      <c r="DM1719" s="1530"/>
      <c r="DN1719" s="1571"/>
      <c r="DO1719" s="1530"/>
      <c r="DP1719" s="1530"/>
    </row>
    <row r="1720" spans="1:120">
      <c r="A1720" s="1451"/>
      <c r="C1720" s="1451"/>
      <c r="K1720" s="1451"/>
      <c r="L1720" s="1451"/>
      <c r="U1720" s="1451"/>
      <c r="AD1720" s="1451"/>
      <c r="AM1720" s="1451"/>
      <c r="AV1720" s="1451"/>
      <c r="BE1720" s="1451"/>
      <c r="BN1720" s="1451"/>
      <c r="BV1720" s="1451"/>
      <c r="BW1720" s="1451"/>
      <c r="CF1720" s="1451"/>
      <c r="CN1720" s="1451"/>
      <c r="CO1720" s="1530"/>
      <c r="CP1720" s="1530"/>
      <c r="CQ1720" s="1530"/>
      <c r="CR1720" s="1530"/>
      <c r="CS1720" s="1530"/>
      <c r="CT1720" s="1530"/>
      <c r="CU1720" s="1530"/>
      <c r="CV1720" s="1530"/>
      <c r="CW1720" s="1530"/>
      <c r="CX1720" s="1530"/>
      <c r="CY1720" s="1530"/>
      <c r="CZ1720" s="1530"/>
      <c r="DA1720" s="1530"/>
      <c r="DB1720" s="1530"/>
      <c r="DC1720" s="1530"/>
      <c r="DD1720" s="1530"/>
      <c r="DE1720" s="1530"/>
      <c r="DF1720" s="1530"/>
      <c r="DG1720" s="1530"/>
      <c r="DH1720" s="1530"/>
      <c r="DI1720" s="1530"/>
      <c r="DJ1720" s="1530"/>
      <c r="DK1720" s="1530"/>
      <c r="DL1720" s="1530"/>
      <c r="DM1720" s="1530"/>
      <c r="DN1720" s="1571"/>
      <c r="DO1720" s="1530"/>
      <c r="DP1720" s="1530"/>
    </row>
    <row r="1721" spans="1:120">
      <c r="A1721" s="1451"/>
      <c r="C1721" s="1451"/>
      <c r="K1721" s="1451"/>
      <c r="L1721" s="1451"/>
      <c r="U1721" s="1451"/>
      <c r="AD1721" s="1451"/>
      <c r="AM1721" s="1451"/>
      <c r="AV1721" s="1451"/>
      <c r="BE1721" s="1451"/>
      <c r="BN1721" s="1451"/>
      <c r="BV1721" s="1451"/>
      <c r="BW1721" s="1451"/>
      <c r="CF1721" s="1451"/>
      <c r="CN1721" s="1451"/>
      <c r="CO1721" s="1530"/>
      <c r="CP1721" s="1530"/>
      <c r="CQ1721" s="1530"/>
      <c r="CR1721" s="1530"/>
      <c r="CS1721" s="1530"/>
      <c r="CT1721" s="1530"/>
      <c r="CU1721" s="1530"/>
      <c r="CV1721" s="1530"/>
      <c r="CW1721" s="1530"/>
      <c r="CX1721" s="1530"/>
      <c r="CY1721" s="1530"/>
      <c r="CZ1721" s="1530"/>
      <c r="DA1721" s="1530"/>
      <c r="DB1721" s="1530"/>
      <c r="DC1721" s="1530"/>
      <c r="DD1721" s="1530"/>
      <c r="DE1721" s="1530"/>
      <c r="DF1721" s="1530"/>
      <c r="DG1721" s="1530"/>
      <c r="DH1721" s="1530"/>
      <c r="DI1721" s="1530"/>
      <c r="DJ1721" s="1530"/>
      <c r="DK1721" s="1530"/>
      <c r="DL1721" s="1530"/>
      <c r="DM1721" s="1530"/>
      <c r="DN1721" s="1571"/>
      <c r="DO1721" s="1530"/>
      <c r="DP1721" s="1530"/>
    </row>
    <row r="1722" spans="1:120">
      <c r="A1722" s="1451"/>
      <c r="C1722" s="1451"/>
      <c r="K1722" s="1451"/>
      <c r="L1722" s="1451"/>
      <c r="U1722" s="1451"/>
      <c r="AD1722" s="1451"/>
      <c r="AM1722" s="1451"/>
      <c r="AV1722" s="1451"/>
      <c r="BE1722" s="1451"/>
      <c r="BN1722" s="1451"/>
      <c r="BV1722" s="1451"/>
      <c r="BW1722" s="1451"/>
      <c r="CF1722" s="1451"/>
      <c r="CN1722" s="1451"/>
      <c r="CO1722" s="1530"/>
      <c r="CP1722" s="1530"/>
      <c r="CQ1722" s="1530"/>
      <c r="CR1722" s="1530"/>
      <c r="CS1722" s="1530"/>
      <c r="CT1722" s="1530"/>
      <c r="CU1722" s="1530"/>
      <c r="CV1722" s="1530"/>
      <c r="CW1722" s="1530"/>
      <c r="CX1722" s="1530"/>
      <c r="CY1722" s="1530"/>
      <c r="CZ1722" s="1530"/>
      <c r="DA1722" s="1530"/>
      <c r="DB1722" s="1530"/>
      <c r="DC1722" s="1530"/>
      <c r="DD1722" s="1530"/>
      <c r="DE1722" s="1530"/>
      <c r="DF1722" s="1530"/>
      <c r="DG1722" s="1530"/>
      <c r="DH1722" s="1530"/>
      <c r="DI1722" s="1530"/>
      <c r="DJ1722" s="1530"/>
      <c r="DK1722" s="1530"/>
      <c r="DL1722" s="1530"/>
      <c r="DM1722" s="1530"/>
      <c r="DN1722" s="1571"/>
      <c r="DO1722" s="1530"/>
      <c r="DP1722" s="1530"/>
    </row>
    <row r="1723" spans="1:120">
      <c r="A1723" s="1451"/>
      <c r="C1723" s="1451"/>
      <c r="K1723" s="1451"/>
      <c r="L1723" s="1451"/>
      <c r="U1723" s="1451"/>
      <c r="AD1723" s="1451"/>
      <c r="AM1723" s="1451"/>
      <c r="AV1723" s="1451"/>
      <c r="BE1723" s="1451"/>
      <c r="BN1723" s="1451"/>
      <c r="BV1723" s="1451"/>
      <c r="BW1723" s="1451"/>
      <c r="CF1723" s="1451"/>
      <c r="CN1723" s="1451"/>
      <c r="CO1723" s="1530"/>
      <c r="CP1723" s="1530"/>
      <c r="CQ1723" s="1530"/>
      <c r="CR1723" s="1530"/>
      <c r="CS1723" s="1530"/>
      <c r="CT1723" s="1530"/>
      <c r="CU1723" s="1530"/>
      <c r="CV1723" s="1530"/>
      <c r="CW1723" s="1530"/>
      <c r="CX1723" s="1530"/>
      <c r="CY1723" s="1530"/>
      <c r="CZ1723" s="1530"/>
      <c r="DA1723" s="1530"/>
      <c r="DB1723" s="1530"/>
      <c r="DC1723" s="1530"/>
      <c r="DD1723" s="1530"/>
      <c r="DE1723" s="1530"/>
      <c r="DF1723" s="1530"/>
      <c r="DG1723" s="1530"/>
      <c r="DH1723" s="1530"/>
      <c r="DI1723" s="1530"/>
      <c r="DJ1723" s="1530"/>
      <c r="DK1723" s="1530"/>
      <c r="DL1723" s="1530"/>
      <c r="DM1723" s="1530"/>
      <c r="DN1723" s="1571"/>
      <c r="DO1723" s="1530"/>
      <c r="DP1723" s="1530"/>
    </row>
    <row r="1724" spans="1:120">
      <c r="A1724" s="1451"/>
      <c r="C1724" s="1451"/>
      <c r="K1724" s="1451"/>
      <c r="L1724" s="1451"/>
      <c r="U1724" s="1451"/>
      <c r="AD1724" s="1451"/>
      <c r="AM1724" s="1451"/>
      <c r="AV1724" s="1451"/>
      <c r="BE1724" s="1451"/>
      <c r="BN1724" s="1451"/>
      <c r="BV1724" s="1451"/>
      <c r="BW1724" s="1451"/>
      <c r="CF1724" s="1451"/>
      <c r="CN1724" s="1451"/>
      <c r="CO1724" s="1530"/>
      <c r="CP1724" s="1530"/>
      <c r="CQ1724" s="1530"/>
      <c r="CR1724" s="1530"/>
      <c r="CS1724" s="1530"/>
      <c r="CT1724" s="1530"/>
      <c r="CU1724" s="1530"/>
      <c r="CV1724" s="1530"/>
      <c r="CW1724" s="1530"/>
      <c r="CX1724" s="1530"/>
      <c r="CY1724" s="1530"/>
      <c r="CZ1724" s="1530"/>
      <c r="DA1724" s="1530"/>
      <c r="DB1724" s="1530"/>
      <c r="DC1724" s="1530"/>
      <c r="DD1724" s="1530"/>
      <c r="DE1724" s="1530"/>
      <c r="DF1724" s="1530"/>
      <c r="DG1724" s="1530"/>
      <c r="DH1724" s="1530"/>
      <c r="DI1724" s="1530"/>
      <c r="DJ1724" s="1530"/>
      <c r="DK1724" s="1530"/>
      <c r="DL1724" s="1530"/>
      <c r="DM1724" s="1530"/>
      <c r="DN1724" s="1571"/>
      <c r="DO1724" s="1530"/>
      <c r="DP1724" s="1530"/>
    </row>
    <row r="1725" spans="1:120">
      <c r="A1725" s="1451"/>
      <c r="C1725" s="1451"/>
      <c r="K1725" s="1451"/>
      <c r="L1725" s="1451"/>
      <c r="U1725" s="1451"/>
      <c r="AD1725" s="1451"/>
      <c r="AM1725" s="1451"/>
      <c r="AV1725" s="1451"/>
      <c r="BE1725" s="1451"/>
      <c r="BN1725" s="1451"/>
      <c r="BV1725" s="1451"/>
      <c r="BW1725" s="1451"/>
      <c r="CF1725" s="1451"/>
      <c r="CN1725" s="1451"/>
      <c r="CO1725" s="1530"/>
      <c r="CP1725" s="1530"/>
      <c r="CQ1725" s="1530"/>
      <c r="CR1725" s="1530"/>
      <c r="CS1725" s="1530"/>
      <c r="CT1725" s="1530"/>
      <c r="CU1725" s="1530"/>
      <c r="CV1725" s="1530"/>
      <c r="CW1725" s="1530"/>
      <c r="CX1725" s="1530"/>
      <c r="CY1725" s="1530"/>
      <c r="CZ1725" s="1530"/>
      <c r="DA1725" s="1530"/>
      <c r="DB1725" s="1530"/>
      <c r="DC1725" s="1530"/>
      <c r="DD1725" s="1530"/>
      <c r="DE1725" s="1530"/>
      <c r="DF1725" s="1530"/>
      <c r="DG1725" s="1530"/>
      <c r="DH1725" s="1530"/>
      <c r="DI1725" s="1530"/>
      <c r="DJ1725" s="1530"/>
      <c r="DK1725" s="1530"/>
      <c r="DL1725" s="1530"/>
      <c r="DM1725" s="1530"/>
      <c r="DN1725" s="1571"/>
      <c r="DO1725" s="1530"/>
      <c r="DP1725" s="1530"/>
    </row>
    <row r="1726" spans="1:120">
      <c r="A1726" s="1451"/>
      <c r="C1726" s="1451"/>
      <c r="K1726" s="1451"/>
      <c r="L1726" s="1451"/>
      <c r="U1726" s="1451"/>
      <c r="AD1726" s="1451"/>
      <c r="AM1726" s="1451"/>
      <c r="AV1726" s="1451"/>
      <c r="BE1726" s="1451"/>
      <c r="BN1726" s="1451"/>
      <c r="BV1726" s="1451"/>
      <c r="BW1726" s="1451"/>
      <c r="CF1726" s="1451"/>
      <c r="CN1726" s="1451"/>
      <c r="CO1726" s="1530"/>
      <c r="CP1726" s="1530"/>
      <c r="CQ1726" s="1530"/>
      <c r="CR1726" s="1530"/>
      <c r="CS1726" s="1530"/>
      <c r="CT1726" s="1530"/>
      <c r="CU1726" s="1530"/>
      <c r="CV1726" s="1530"/>
      <c r="CW1726" s="1530"/>
      <c r="CX1726" s="1530"/>
      <c r="CY1726" s="1530"/>
      <c r="CZ1726" s="1530"/>
      <c r="DA1726" s="1530"/>
      <c r="DB1726" s="1530"/>
      <c r="DC1726" s="1530"/>
      <c r="DD1726" s="1530"/>
      <c r="DE1726" s="1530"/>
      <c r="DF1726" s="1530"/>
      <c r="DG1726" s="1530"/>
      <c r="DH1726" s="1530"/>
      <c r="DI1726" s="1530"/>
      <c r="DJ1726" s="1530"/>
      <c r="DK1726" s="1530"/>
      <c r="DL1726" s="1530"/>
      <c r="DM1726" s="1530"/>
      <c r="DN1726" s="1571"/>
      <c r="DO1726" s="1530"/>
      <c r="DP1726" s="1530"/>
    </row>
    <row r="1727" spans="1:120">
      <c r="A1727" s="1451"/>
      <c r="C1727" s="1451"/>
      <c r="K1727" s="1451"/>
      <c r="L1727" s="1451"/>
      <c r="U1727" s="1451"/>
      <c r="AD1727" s="1451"/>
      <c r="AM1727" s="1451"/>
      <c r="AV1727" s="1451"/>
      <c r="BE1727" s="1451"/>
      <c r="BN1727" s="1451"/>
      <c r="BV1727" s="1451"/>
      <c r="BW1727" s="1451"/>
      <c r="CF1727" s="1451"/>
      <c r="CN1727" s="1451"/>
      <c r="CO1727" s="1530"/>
      <c r="CP1727" s="1530"/>
      <c r="CQ1727" s="1530"/>
      <c r="CR1727" s="1530"/>
      <c r="CS1727" s="1530"/>
      <c r="CT1727" s="1530"/>
      <c r="CU1727" s="1530"/>
      <c r="CV1727" s="1530"/>
      <c r="CW1727" s="1530"/>
      <c r="CX1727" s="1530"/>
      <c r="CY1727" s="1530"/>
      <c r="CZ1727" s="1530"/>
      <c r="DA1727" s="1530"/>
      <c r="DB1727" s="1530"/>
      <c r="DC1727" s="1530"/>
      <c r="DD1727" s="1530"/>
      <c r="DE1727" s="1530"/>
      <c r="DF1727" s="1530"/>
      <c r="DG1727" s="1530"/>
      <c r="DH1727" s="1530"/>
      <c r="DI1727" s="1530"/>
      <c r="DJ1727" s="1530"/>
      <c r="DK1727" s="1530"/>
      <c r="DL1727" s="1530"/>
      <c r="DM1727" s="1530"/>
      <c r="DN1727" s="1571"/>
      <c r="DO1727" s="1530"/>
      <c r="DP1727" s="1530"/>
    </row>
    <row r="1728" spans="1:120">
      <c r="A1728" s="1451"/>
      <c r="C1728" s="1451"/>
      <c r="K1728" s="1451"/>
      <c r="L1728" s="1451"/>
      <c r="U1728" s="1451"/>
      <c r="AD1728" s="1451"/>
      <c r="AM1728" s="1451"/>
      <c r="AV1728" s="1451"/>
      <c r="BE1728" s="1451"/>
      <c r="BN1728" s="1451"/>
      <c r="BV1728" s="1451"/>
      <c r="BW1728" s="1451"/>
      <c r="CF1728" s="1451"/>
      <c r="CN1728" s="1451"/>
      <c r="CO1728" s="1530"/>
      <c r="CP1728" s="1530"/>
      <c r="CQ1728" s="1530"/>
      <c r="CR1728" s="1530"/>
      <c r="CS1728" s="1530"/>
      <c r="CT1728" s="1530"/>
      <c r="CU1728" s="1530"/>
      <c r="CV1728" s="1530"/>
      <c r="CW1728" s="1530"/>
      <c r="CX1728" s="1530"/>
      <c r="CY1728" s="1530"/>
      <c r="CZ1728" s="1530"/>
      <c r="DA1728" s="1530"/>
      <c r="DB1728" s="1530"/>
      <c r="DC1728" s="1530"/>
      <c r="DD1728" s="1530"/>
      <c r="DE1728" s="1530"/>
      <c r="DF1728" s="1530"/>
      <c r="DG1728" s="1530"/>
      <c r="DH1728" s="1530"/>
      <c r="DI1728" s="1530"/>
      <c r="DJ1728" s="1530"/>
      <c r="DK1728" s="1530"/>
      <c r="DL1728" s="1530"/>
      <c r="DM1728" s="1530"/>
      <c r="DN1728" s="1571"/>
      <c r="DO1728" s="1530"/>
      <c r="DP1728" s="1530"/>
    </row>
    <row r="1729" spans="1:120">
      <c r="A1729" s="1451"/>
      <c r="C1729" s="1451"/>
      <c r="K1729" s="1451"/>
      <c r="L1729" s="1451"/>
      <c r="U1729" s="1451"/>
      <c r="AD1729" s="1451"/>
      <c r="AM1729" s="1451"/>
      <c r="AV1729" s="1451"/>
      <c r="BE1729" s="1451"/>
      <c r="BN1729" s="1451"/>
      <c r="BV1729" s="1451"/>
      <c r="BW1729" s="1451"/>
      <c r="CF1729" s="1451"/>
      <c r="CN1729" s="1451"/>
      <c r="CO1729" s="1530"/>
      <c r="CP1729" s="1530"/>
      <c r="CQ1729" s="1530"/>
      <c r="CR1729" s="1530"/>
      <c r="CS1729" s="1530"/>
      <c r="CT1729" s="1530"/>
      <c r="CU1729" s="1530"/>
      <c r="CV1729" s="1530"/>
      <c r="CW1729" s="1530"/>
      <c r="CX1729" s="1530"/>
      <c r="CY1729" s="1530"/>
      <c r="CZ1729" s="1530"/>
      <c r="DA1729" s="1530"/>
      <c r="DB1729" s="1530"/>
      <c r="DC1729" s="1530"/>
      <c r="DD1729" s="1530"/>
      <c r="DE1729" s="1530"/>
      <c r="DF1729" s="1530"/>
      <c r="DG1729" s="1530"/>
      <c r="DH1729" s="1530"/>
      <c r="DI1729" s="1530"/>
      <c r="DJ1729" s="1530"/>
      <c r="DK1729" s="1530"/>
      <c r="DL1729" s="1530"/>
      <c r="DM1729" s="1530"/>
      <c r="DN1729" s="1571"/>
      <c r="DO1729" s="1530"/>
      <c r="DP1729" s="1530"/>
    </row>
    <row r="1730" spans="1:120">
      <c r="A1730" s="1451"/>
      <c r="C1730" s="1451"/>
      <c r="K1730" s="1451"/>
      <c r="L1730" s="1451"/>
      <c r="U1730" s="1451"/>
      <c r="AD1730" s="1451"/>
      <c r="AM1730" s="1451"/>
      <c r="AV1730" s="1451"/>
      <c r="BE1730" s="1451"/>
      <c r="BN1730" s="1451"/>
      <c r="BV1730" s="1451"/>
      <c r="BW1730" s="1451"/>
      <c r="CF1730" s="1451"/>
      <c r="CN1730" s="1451"/>
      <c r="CO1730" s="1530"/>
      <c r="CP1730" s="1530"/>
      <c r="CQ1730" s="1530"/>
      <c r="CR1730" s="1530"/>
      <c r="CS1730" s="1530"/>
      <c r="CT1730" s="1530"/>
      <c r="CU1730" s="1530"/>
      <c r="CV1730" s="1530"/>
      <c r="CW1730" s="1530"/>
      <c r="CX1730" s="1530"/>
      <c r="CY1730" s="1530"/>
      <c r="CZ1730" s="1530"/>
      <c r="DA1730" s="1530"/>
      <c r="DB1730" s="1530"/>
      <c r="DC1730" s="1530"/>
      <c r="DD1730" s="1530"/>
      <c r="DE1730" s="1530"/>
      <c r="DF1730" s="1530"/>
      <c r="DG1730" s="1530"/>
      <c r="DH1730" s="1530"/>
      <c r="DI1730" s="1530"/>
      <c r="DJ1730" s="1530"/>
      <c r="DK1730" s="1530"/>
      <c r="DL1730" s="1530"/>
      <c r="DM1730" s="1530"/>
      <c r="DN1730" s="1571"/>
      <c r="DO1730" s="1530"/>
      <c r="DP1730" s="1530"/>
    </row>
    <row r="1731" spans="1:120">
      <c r="A1731" s="1451"/>
      <c r="C1731" s="1451"/>
      <c r="K1731" s="1451"/>
      <c r="L1731" s="1451"/>
      <c r="U1731" s="1451"/>
      <c r="AD1731" s="1451"/>
      <c r="AM1731" s="1451"/>
      <c r="AV1731" s="1451"/>
      <c r="BE1731" s="1451"/>
      <c r="BN1731" s="1451"/>
      <c r="BV1731" s="1451"/>
      <c r="BW1731" s="1451"/>
      <c r="CF1731" s="1451"/>
      <c r="CN1731" s="1451"/>
      <c r="CO1731" s="1530"/>
      <c r="CP1731" s="1530"/>
      <c r="CQ1731" s="1530"/>
      <c r="CR1731" s="1530"/>
      <c r="CS1731" s="1530"/>
      <c r="CT1731" s="1530"/>
      <c r="CU1731" s="1530"/>
      <c r="CV1731" s="1530"/>
      <c r="CW1731" s="1530"/>
      <c r="CX1731" s="1530"/>
      <c r="CY1731" s="1530"/>
      <c r="CZ1731" s="1530"/>
      <c r="DA1731" s="1530"/>
      <c r="DB1731" s="1530"/>
      <c r="DC1731" s="1530"/>
      <c r="DD1731" s="1530"/>
      <c r="DE1731" s="1530"/>
      <c r="DF1731" s="1530"/>
      <c r="DG1731" s="1530"/>
      <c r="DH1731" s="1530"/>
      <c r="DI1731" s="1530"/>
      <c r="DJ1731" s="1530"/>
      <c r="DK1731" s="1530"/>
      <c r="DL1731" s="1530"/>
      <c r="DM1731" s="1530"/>
      <c r="DN1731" s="1571"/>
      <c r="DO1731" s="1530"/>
      <c r="DP1731" s="1530"/>
    </row>
    <row r="1732" spans="1:120">
      <c r="A1732" s="1451"/>
      <c r="C1732" s="1451"/>
      <c r="K1732" s="1451"/>
      <c r="L1732" s="1451"/>
      <c r="U1732" s="1451"/>
      <c r="AD1732" s="1451"/>
      <c r="AM1732" s="1451"/>
      <c r="AV1732" s="1451"/>
      <c r="BE1732" s="1451"/>
      <c r="BN1732" s="1451"/>
      <c r="BV1732" s="1451"/>
      <c r="BW1732" s="1451"/>
      <c r="CF1732" s="1451"/>
      <c r="CN1732" s="1451"/>
      <c r="CO1732" s="1530"/>
      <c r="CP1732" s="1530"/>
      <c r="CQ1732" s="1530"/>
      <c r="CR1732" s="1530"/>
      <c r="CS1732" s="1530"/>
      <c r="CT1732" s="1530"/>
      <c r="CU1732" s="1530"/>
      <c r="CV1732" s="1530"/>
      <c r="CW1732" s="1530"/>
      <c r="CX1732" s="1530"/>
      <c r="CY1732" s="1530"/>
      <c r="CZ1732" s="1530"/>
      <c r="DA1732" s="1530"/>
      <c r="DB1732" s="1530"/>
      <c r="DC1732" s="1530"/>
      <c r="DD1732" s="1530"/>
      <c r="DE1732" s="1530"/>
      <c r="DF1732" s="1530"/>
      <c r="DG1732" s="1530"/>
      <c r="DH1732" s="1530"/>
      <c r="DI1732" s="1530"/>
      <c r="DJ1732" s="1530"/>
      <c r="DK1732" s="1530"/>
      <c r="DL1732" s="1530"/>
      <c r="DM1732" s="1530"/>
      <c r="DN1732" s="1571"/>
      <c r="DO1732" s="1530"/>
      <c r="DP1732" s="1530"/>
    </row>
    <row r="1733" spans="1:120">
      <c r="A1733" s="1451"/>
      <c r="C1733" s="1451"/>
      <c r="K1733" s="1451"/>
      <c r="L1733" s="1451"/>
      <c r="U1733" s="1451"/>
      <c r="AD1733" s="1451"/>
      <c r="AM1733" s="1451"/>
      <c r="AV1733" s="1451"/>
      <c r="BE1733" s="1451"/>
      <c r="BN1733" s="1451"/>
      <c r="BV1733" s="1451"/>
      <c r="BW1733" s="1451"/>
      <c r="CF1733" s="1451"/>
      <c r="CN1733" s="1451"/>
      <c r="CO1733" s="1530"/>
      <c r="CP1733" s="1530"/>
      <c r="CQ1733" s="1530"/>
      <c r="CR1733" s="1530"/>
      <c r="CS1733" s="1530"/>
      <c r="CT1733" s="1530"/>
      <c r="CU1733" s="1530"/>
      <c r="CV1733" s="1530"/>
      <c r="CW1733" s="1530"/>
      <c r="CX1733" s="1530"/>
      <c r="CY1733" s="1530"/>
      <c r="CZ1733" s="1530"/>
      <c r="DA1733" s="1530"/>
      <c r="DB1733" s="1530"/>
      <c r="DC1733" s="1530"/>
      <c r="DD1733" s="1530"/>
      <c r="DE1733" s="1530"/>
      <c r="DF1733" s="1530"/>
      <c r="DG1733" s="1530"/>
      <c r="DH1733" s="1530"/>
      <c r="DI1733" s="1530"/>
      <c r="DJ1733" s="1530"/>
      <c r="DK1733" s="1530"/>
      <c r="DL1733" s="1530"/>
      <c r="DM1733" s="1530"/>
      <c r="DN1733" s="1571"/>
      <c r="DO1733" s="1530"/>
      <c r="DP1733" s="1530"/>
    </row>
    <row r="1734" spans="1:120">
      <c r="A1734" s="1451"/>
      <c r="C1734" s="1451"/>
      <c r="K1734" s="1451"/>
      <c r="L1734" s="1451"/>
      <c r="U1734" s="1451"/>
      <c r="AD1734" s="1451"/>
      <c r="AM1734" s="1451"/>
      <c r="AV1734" s="1451"/>
      <c r="BE1734" s="1451"/>
      <c r="BN1734" s="1451"/>
      <c r="BV1734" s="1451"/>
      <c r="BW1734" s="1451"/>
      <c r="CF1734" s="1451"/>
      <c r="CN1734" s="1451"/>
      <c r="CO1734" s="1530"/>
      <c r="CP1734" s="1530"/>
      <c r="CQ1734" s="1530"/>
      <c r="CR1734" s="1530"/>
      <c r="CS1734" s="1530"/>
      <c r="CT1734" s="1530"/>
      <c r="CU1734" s="1530"/>
      <c r="CV1734" s="1530"/>
      <c r="CW1734" s="1530"/>
      <c r="CX1734" s="1530"/>
      <c r="CY1734" s="1530"/>
      <c r="CZ1734" s="1530"/>
      <c r="DA1734" s="1530"/>
      <c r="DB1734" s="1530"/>
      <c r="DC1734" s="1530"/>
      <c r="DD1734" s="1530"/>
      <c r="DE1734" s="1530"/>
      <c r="DF1734" s="1530"/>
      <c r="DG1734" s="1530"/>
      <c r="DH1734" s="1530"/>
      <c r="DI1734" s="1530"/>
      <c r="DJ1734" s="1530"/>
      <c r="DK1734" s="1530"/>
      <c r="DL1734" s="1530"/>
      <c r="DM1734" s="1530"/>
      <c r="DN1734" s="1571"/>
      <c r="DO1734" s="1530"/>
      <c r="DP1734" s="1530"/>
    </row>
    <row r="1735" spans="1:120">
      <c r="A1735" s="1451"/>
      <c r="C1735" s="1451"/>
      <c r="K1735" s="1451"/>
      <c r="L1735" s="1451"/>
      <c r="U1735" s="1451"/>
      <c r="AD1735" s="1451"/>
      <c r="AM1735" s="1451"/>
      <c r="AV1735" s="1451"/>
      <c r="BE1735" s="1451"/>
      <c r="BN1735" s="1451"/>
      <c r="BV1735" s="1451"/>
      <c r="BW1735" s="1451"/>
      <c r="CF1735" s="1451"/>
      <c r="CN1735" s="1451"/>
      <c r="CO1735" s="1530"/>
      <c r="CP1735" s="1530"/>
      <c r="CQ1735" s="1530"/>
      <c r="CR1735" s="1530"/>
      <c r="CS1735" s="1530"/>
      <c r="CT1735" s="1530"/>
      <c r="CU1735" s="1530"/>
      <c r="CV1735" s="1530"/>
      <c r="CW1735" s="1530"/>
      <c r="CX1735" s="1530"/>
      <c r="CY1735" s="1530"/>
      <c r="CZ1735" s="1530"/>
      <c r="DA1735" s="1530"/>
      <c r="DB1735" s="1530"/>
      <c r="DC1735" s="1530"/>
      <c r="DD1735" s="1530"/>
      <c r="DE1735" s="1530"/>
      <c r="DF1735" s="1530"/>
      <c r="DG1735" s="1530"/>
      <c r="DH1735" s="1530"/>
      <c r="DI1735" s="1530"/>
      <c r="DJ1735" s="1530"/>
      <c r="DK1735" s="1530"/>
      <c r="DL1735" s="1530"/>
      <c r="DM1735" s="1530"/>
      <c r="DN1735" s="1571"/>
      <c r="DO1735" s="1530"/>
      <c r="DP1735" s="1530"/>
    </row>
    <row r="1736" spans="1:120">
      <c r="A1736" s="1451"/>
      <c r="C1736" s="1451"/>
      <c r="K1736" s="1451"/>
      <c r="L1736" s="1451"/>
      <c r="U1736" s="1451"/>
      <c r="AD1736" s="1451"/>
      <c r="AM1736" s="1451"/>
      <c r="AV1736" s="1451"/>
      <c r="BE1736" s="1451"/>
      <c r="BN1736" s="1451"/>
      <c r="BV1736" s="1451"/>
      <c r="BW1736" s="1451"/>
      <c r="CF1736" s="1451"/>
      <c r="CN1736" s="1451"/>
      <c r="CO1736" s="1530"/>
      <c r="CP1736" s="1530"/>
      <c r="CQ1736" s="1530"/>
      <c r="CR1736" s="1530"/>
      <c r="CS1736" s="1530"/>
      <c r="CT1736" s="1530"/>
      <c r="CU1736" s="1530"/>
      <c r="CV1736" s="1530"/>
      <c r="CW1736" s="1530"/>
      <c r="CX1736" s="1530"/>
      <c r="CY1736" s="1530"/>
      <c r="CZ1736" s="1530"/>
      <c r="DA1736" s="1530"/>
      <c r="DB1736" s="1530"/>
      <c r="DC1736" s="1530"/>
      <c r="DD1736" s="1530"/>
      <c r="DE1736" s="1530"/>
      <c r="DF1736" s="1530"/>
      <c r="DG1736" s="1530"/>
      <c r="DH1736" s="1530"/>
      <c r="DI1736" s="1530"/>
      <c r="DJ1736" s="1530"/>
      <c r="DK1736" s="1530"/>
      <c r="DL1736" s="1530"/>
      <c r="DM1736" s="1530"/>
      <c r="DN1736" s="1571"/>
      <c r="DO1736" s="1530"/>
      <c r="DP1736" s="1530"/>
    </row>
    <row r="1737" spans="1:120">
      <c r="A1737" s="1451"/>
      <c r="C1737" s="1451"/>
      <c r="K1737" s="1451"/>
      <c r="L1737" s="1451"/>
      <c r="U1737" s="1451"/>
      <c r="AD1737" s="1451"/>
      <c r="AM1737" s="1451"/>
      <c r="AV1737" s="1451"/>
      <c r="BE1737" s="1451"/>
      <c r="BN1737" s="1451"/>
      <c r="BV1737" s="1451"/>
      <c r="BW1737" s="1451"/>
      <c r="CF1737" s="1451"/>
      <c r="CN1737" s="1451"/>
      <c r="CO1737" s="1530"/>
      <c r="CP1737" s="1530"/>
      <c r="CQ1737" s="1530"/>
      <c r="CR1737" s="1530"/>
      <c r="CS1737" s="1530"/>
      <c r="CT1737" s="1530"/>
      <c r="CU1737" s="1530"/>
      <c r="CV1737" s="1530"/>
      <c r="CW1737" s="1530"/>
      <c r="CX1737" s="1530"/>
      <c r="CY1737" s="1530"/>
      <c r="CZ1737" s="1530"/>
      <c r="DA1737" s="1530"/>
      <c r="DB1737" s="1530"/>
      <c r="DC1737" s="1530"/>
      <c r="DD1737" s="1530"/>
      <c r="DE1737" s="1530"/>
      <c r="DF1737" s="1530"/>
      <c r="DG1737" s="1530"/>
      <c r="DH1737" s="1530"/>
      <c r="DI1737" s="1530"/>
      <c r="DJ1737" s="1530"/>
      <c r="DK1737" s="1530"/>
      <c r="DL1737" s="1530"/>
      <c r="DM1737" s="1530"/>
      <c r="DN1737" s="1571"/>
      <c r="DO1737" s="1530"/>
      <c r="DP1737" s="1530"/>
    </row>
    <row r="1738" spans="1:120">
      <c r="A1738" s="1451"/>
      <c r="C1738" s="1451"/>
      <c r="K1738" s="1451"/>
      <c r="L1738" s="1451"/>
      <c r="U1738" s="1451"/>
      <c r="AD1738" s="1451"/>
      <c r="AM1738" s="1451"/>
      <c r="AV1738" s="1451"/>
      <c r="BE1738" s="1451"/>
      <c r="BN1738" s="1451"/>
      <c r="BV1738" s="1451"/>
      <c r="BW1738" s="1451"/>
      <c r="CF1738" s="1451"/>
      <c r="CN1738" s="1451"/>
      <c r="CO1738" s="1530"/>
      <c r="CP1738" s="1530"/>
      <c r="CQ1738" s="1530"/>
      <c r="CR1738" s="1530"/>
      <c r="CS1738" s="1530"/>
      <c r="CT1738" s="1530"/>
      <c r="CU1738" s="1530"/>
      <c r="CV1738" s="1530"/>
      <c r="CW1738" s="1530"/>
      <c r="CX1738" s="1530"/>
      <c r="CY1738" s="1530"/>
      <c r="CZ1738" s="1530"/>
      <c r="DA1738" s="1530"/>
      <c r="DB1738" s="1530"/>
      <c r="DC1738" s="1530"/>
      <c r="DD1738" s="1530"/>
      <c r="DE1738" s="1530"/>
      <c r="DF1738" s="1530"/>
      <c r="DG1738" s="1530"/>
      <c r="DH1738" s="1530"/>
      <c r="DI1738" s="1530"/>
      <c r="DJ1738" s="1530"/>
      <c r="DK1738" s="1530"/>
      <c r="DL1738" s="1530"/>
      <c r="DM1738" s="1530"/>
      <c r="DN1738" s="1571"/>
      <c r="DO1738" s="1530"/>
      <c r="DP1738" s="1530"/>
    </row>
    <row r="1739" spans="1:120">
      <c r="A1739" s="1451"/>
      <c r="C1739" s="1451"/>
      <c r="K1739" s="1451"/>
      <c r="L1739" s="1451"/>
      <c r="U1739" s="1451"/>
      <c r="AD1739" s="1451"/>
      <c r="AM1739" s="1451"/>
      <c r="AV1739" s="1451"/>
      <c r="BE1739" s="1451"/>
      <c r="BN1739" s="1451"/>
      <c r="BV1739" s="1451"/>
      <c r="BW1739" s="1451"/>
      <c r="CF1739" s="1451"/>
      <c r="CN1739" s="1451"/>
      <c r="CO1739" s="1530"/>
      <c r="CP1739" s="1530"/>
      <c r="CQ1739" s="1530"/>
      <c r="CR1739" s="1530"/>
      <c r="CS1739" s="1530"/>
      <c r="CT1739" s="1530"/>
      <c r="CU1739" s="1530"/>
      <c r="CV1739" s="1530"/>
      <c r="CW1739" s="1530"/>
      <c r="CX1739" s="1530"/>
      <c r="CY1739" s="1530"/>
      <c r="CZ1739" s="1530"/>
      <c r="DA1739" s="1530"/>
      <c r="DB1739" s="1530"/>
      <c r="DC1739" s="1530"/>
      <c r="DD1739" s="1530"/>
      <c r="DE1739" s="1530"/>
      <c r="DF1739" s="1530"/>
      <c r="DG1739" s="1530"/>
      <c r="DH1739" s="1530"/>
      <c r="DI1739" s="1530"/>
      <c r="DJ1739" s="1530"/>
      <c r="DK1739" s="1530"/>
      <c r="DL1739" s="1530"/>
      <c r="DM1739" s="1530"/>
      <c r="DN1739" s="1571"/>
      <c r="DO1739" s="1530"/>
      <c r="DP1739" s="1530"/>
    </row>
    <row r="1740" spans="1:120">
      <c r="A1740" s="1451"/>
      <c r="C1740" s="1451"/>
      <c r="K1740" s="1451"/>
      <c r="L1740" s="1451"/>
      <c r="U1740" s="1451"/>
      <c r="AD1740" s="1451"/>
      <c r="AM1740" s="1451"/>
      <c r="AV1740" s="1451"/>
      <c r="BE1740" s="1451"/>
      <c r="BN1740" s="1451"/>
      <c r="BV1740" s="1451"/>
      <c r="BW1740" s="1451"/>
      <c r="CF1740" s="1451"/>
      <c r="CN1740" s="1451"/>
      <c r="CO1740" s="1530"/>
      <c r="CP1740" s="1530"/>
      <c r="CQ1740" s="1530"/>
      <c r="CR1740" s="1530"/>
      <c r="CS1740" s="1530"/>
      <c r="CT1740" s="1530"/>
      <c r="CU1740" s="1530"/>
      <c r="CV1740" s="1530"/>
      <c r="CW1740" s="1530"/>
      <c r="CX1740" s="1530"/>
      <c r="CY1740" s="1530"/>
      <c r="CZ1740" s="1530"/>
      <c r="DA1740" s="1530"/>
      <c r="DB1740" s="1530"/>
      <c r="DC1740" s="1530"/>
      <c r="DD1740" s="1530"/>
      <c r="DE1740" s="1530"/>
      <c r="DF1740" s="1530"/>
      <c r="DG1740" s="1530"/>
      <c r="DH1740" s="1530"/>
      <c r="DI1740" s="1530"/>
      <c r="DJ1740" s="1530"/>
      <c r="DK1740" s="1530"/>
      <c r="DL1740" s="1530"/>
      <c r="DM1740" s="1530"/>
      <c r="DN1740" s="1571"/>
      <c r="DO1740" s="1530"/>
      <c r="DP1740" s="1530"/>
    </row>
    <row r="1741" spans="1:120">
      <c r="A1741" s="1451"/>
      <c r="C1741" s="1451"/>
      <c r="K1741" s="1451"/>
      <c r="L1741" s="1451"/>
      <c r="U1741" s="1451"/>
      <c r="AD1741" s="1451"/>
      <c r="AM1741" s="1451"/>
      <c r="AV1741" s="1451"/>
      <c r="BE1741" s="1451"/>
      <c r="BN1741" s="1451"/>
      <c r="BV1741" s="1451"/>
      <c r="BW1741" s="1451"/>
      <c r="CF1741" s="1451"/>
      <c r="CN1741" s="1451"/>
      <c r="CO1741" s="1530"/>
      <c r="CP1741" s="1530"/>
      <c r="CQ1741" s="1530"/>
      <c r="CR1741" s="1530"/>
      <c r="CS1741" s="1530"/>
      <c r="CT1741" s="1530"/>
      <c r="CU1741" s="1530"/>
      <c r="CV1741" s="1530"/>
      <c r="CW1741" s="1530"/>
      <c r="CX1741" s="1530"/>
      <c r="CY1741" s="1530"/>
      <c r="CZ1741" s="1530"/>
      <c r="DA1741" s="1530"/>
      <c r="DB1741" s="1530"/>
      <c r="DC1741" s="1530"/>
      <c r="DD1741" s="1530"/>
      <c r="DE1741" s="1530"/>
      <c r="DF1741" s="1530"/>
      <c r="DG1741" s="1530"/>
      <c r="DH1741" s="1530"/>
      <c r="DI1741" s="1530"/>
      <c r="DJ1741" s="1530"/>
      <c r="DK1741" s="1530"/>
      <c r="DL1741" s="1530"/>
      <c r="DM1741" s="1530"/>
      <c r="DN1741" s="1571"/>
      <c r="DO1741" s="1530"/>
      <c r="DP1741" s="1530"/>
    </row>
    <row r="1742" spans="1:120">
      <c r="A1742" s="1451"/>
      <c r="C1742" s="1451"/>
      <c r="K1742" s="1451"/>
      <c r="L1742" s="1451"/>
      <c r="U1742" s="1451"/>
      <c r="AD1742" s="1451"/>
      <c r="AM1742" s="1451"/>
      <c r="AV1742" s="1451"/>
      <c r="BE1742" s="1451"/>
      <c r="BN1742" s="1451"/>
      <c r="BV1742" s="1451"/>
      <c r="BW1742" s="1451"/>
      <c r="CF1742" s="1451"/>
      <c r="CN1742" s="1451"/>
      <c r="CO1742" s="1530"/>
      <c r="CP1742" s="1530"/>
      <c r="CQ1742" s="1530"/>
      <c r="CR1742" s="1530"/>
      <c r="CS1742" s="1530"/>
      <c r="CT1742" s="1530"/>
      <c r="CU1742" s="1530"/>
      <c r="CV1742" s="1530"/>
      <c r="CW1742" s="1530"/>
      <c r="CX1742" s="1530"/>
      <c r="CY1742" s="1530"/>
      <c r="CZ1742" s="1530"/>
      <c r="DA1742" s="1530"/>
      <c r="DB1742" s="1530"/>
      <c r="DC1742" s="1530"/>
      <c r="DD1742" s="1530"/>
      <c r="DE1742" s="1530"/>
      <c r="DF1742" s="1530"/>
      <c r="DG1742" s="1530"/>
      <c r="DH1742" s="1530"/>
      <c r="DI1742" s="1530"/>
      <c r="DJ1742" s="1530"/>
      <c r="DK1742" s="1530"/>
      <c r="DL1742" s="1530"/>
      <c r="DM1742" s="1530"/>
      <c r="DN1742" s="1571"/>
      <c r="DO1742" s="1530"/>
      <c r="DP1742" s="1530"/>
    </row>
    <row r="1743" spans="1:120">
      <c r="A1743" s="1451"/>
      <c r="C1743" s="1451"/>
      <c r="K1743" s="1451"/>
      <c r="L1743" s="1451"/>
      <c r="U1743" s="1451"/>
      <c r="AD1743" s="1451"/>
      <c r="AM1743" s="1451"/>
      <c r="AV1743" s="1451"/>
      <c r="BE1743" s="1451"/>
      <c r="BN1743" s="1451"/>
      <c r="BV1743" s="1451"/>
      <c r="BW1743" s="1451"/>
      <c r="CF1743" s="1451"/>
      <c r="CN1743" s="1451"/>
      <c r="CO1743" s="1530"/>
      <c r="CP1743" s="1530"/>
      <c r="CQ1743" s="1530"/>
      <c r="CR1743" s="1530"/>
      <c r="CS1743" s="1530"/>
      <c r="CT1743" s="1530"/>
      <c r="CU1743" s="1530"/>
      <c r="CV1743" s="1530"/>
      <c r="CW1743" s="1530"/>
      <c r="CX1743" s="1530"/>
      <c r="CY1743" s="1530"/>
      <c r="CZ1743" s="1530"/>
      <c r="DA1743" s="1530"/>
      <c r="DB1743" s="1530"/>
      <c r="DC1743" s="1530"/>
      <c r="DD1743" s="1530"/>
      <c r="DE1743" s="1530"/>
      <c r="DF1743" s="1530"/>
      <c r="DG1743" s="1530"/>
      <c r="DH1743" s="1530"/>
      <c r="DI1743" s="1530"/>
      <c r="DJ1743" s="1530"/>
      <c r="DK1743" s="1530"/>
      <c r="DL1743" s="1530"/>
      <c r="DM1743" s="1530"/>
      <c r="DN1743" s="1571"/>
      <c r="DO1743" s="1530"/>
      <c r="DP1743" s="1530"/>
    </row>
    <row r="1744" spans="1:120">
      <c r="A1744" s="1451"/>
      <c r="C1744" s="1451"/>
      <c r="K1744" s="1451"/>
      <c r="L1744" s="1451"/>
      <c r="U1744" s="1451"/>
      <c r="AD1744" s="1451"/>
      <c r="AM1744" s="1451"/>
      <c r="AV1744" s="1451"/>
      <c r="BE1744" s="1451"/>
      <c r="BN1744" s="1451"/>
      <c r="BV1744" s="1451"/>
      <c r="BW1744" s="1451"/>
      <c r="CF1744" s="1451"/>
      <c r="CN1744" s="1451"/>
      <c r="CO1744" s="1530"/>
      <c r="CP1744" s="1530"/>
      <c r="CQ1744" s="1530"/>
      <c r="CR1744" s="1530"/>
      <c r="CS1744" s="1530"/>
      <c r="CT1744" s="1530"/>
      <c r="CU1744" s="1530"/>
      <c r="CV1744" s="1530"/>
      <c r="CW1744" s="1530"/>
      <c r="CX1744" s="1530"/>
      <c r="CY1744" s="1530"/>
      <c r="CZ1744" s="1530"/>
      <c r="DA1744" s="1530"/>
      <c r="DB1744" s="1530"/>
      <c r="DC1744" s="1530"/>
      <c r="DD1744" s="1530"/>
      <c r="DE1744" s="1530"/>
      <c r="DF1744" s="1530"/>
      <c r="DG1744" s="1530"/>
      <c r="DH1744" s="1530"/>
      <c r="DI1744" s="1530"/>
      <c r="DJ1744" s="1530"/>
      <c r="DK1744" s="1530"/>
      <c r="DL1744" s="1530"/>
      <c r="DM1744" s="1530"/>
      <c r="DN1744" s="1571"/>
      <c r="DO1744" s="1530"/>
      <c r="DP1744" s="1530"/>
    </row>
    <row r="1745" spans="1:120">
      <c r="A1745" s="1451"/>
      <c r="C1745" s="1451"/>
      <c r="K1745" s="1451"/>
      <c r="L1745" s="1451"/>
      <c r="U1745" s="1451"/>
      <c r="AD1745" s="1451"/>
      <c r="AM1745" s="1451"/>
      <c r="AV1745" s="1451"/>
      <c r="BE1745" s="1451"/>
      <c r="BN1745" s="1451"/>
      <c r="BV1745" s="1451"/>
      <c r="BW1745" s="1451"/>
      <c r="CF1745" s="1451"/>
      <c r="CN1745" s="1451"/>
      <c r="CO1745" s="1530"/>
      <c r="CP1745" s="1530"/>
      <c r="CQ1745" s="1530"/>
      <c r="CR1745" s="1530"/>
      <c r="CS1745" s="1530"/>
      <c r="CT1745" s="1530"/>
      <c r="CU1745" s="1530"/>
      <c r="CV1745" s="1530"/>
      <c r="CW1745" s="1530"/>
      <c r="CX1745" s="1530"/>
      <c r="CY1745" s="1530"/>
      <c r="CZ1745" s="1530"/>
      <c r="DA1745" s="1530"/>
      <c r="DB1745" s="1530"/>
      <c r="DC1745" s="1530"/>
      <c r="DD1745" s="1530"/>
      <c r="DE1745" s="1530"/>
      <c r="DF1745" s="1530"/>
      <c r="DG1745" s="1530"/>
      <c r="DH1745" s="1530"/>
      <c r="DI1745" s="1530"/>
      <c r="DJ1745" s="1530"/>
      <c r="DK1745" s="1530"/>
      <c r="DL1745" s="1530"/>
      <c r="DM1745" s="1530"/>
      <c r="DN1745" s="1571"/>
      <c r="DO1745" s="1530"/>
      <c r="DP1745" s="1530"/>
    </row>
    <row r="1746" spans="1:120">
      <c r="A1746" s="1451"/>
      <c r="C1746" s="1451"/>
      <c r="K1746" s="1451"/>
      <c r="L1746" s="1451"/>
      <c r="U1746" s="1451"/>
      <c r="AD1746" s="1451"/>
      <c r="AM1746" s="1451"/>
      <c r="AV1746" s="1451"/>
      <c r="BE1746" s="1451"/>
      <c r="BN1746" s="1451"/>
      <c r="BV1746" s="1451"/>
      <c r="BW1746" s="1451"/>
      <c r="CF1746" s="1451"/>
      <c r="CN1746" s="1451"/>
      <c r="CO1746" s="1530"/>
      <c r="CP1746" s="1530"/>
      <c r="CQ1746" s="1530"/>
      <c r="CR1746" s="1530"/>
      <c r="CS1746" s="1530"/>
      <c r="CT1746" s="1530"/>
      <c r="CU1746" s="1530"/>
      <c r="CV1746" s="1530"/>
      <c r="CW1746" s="1530"/>
      <c r="CX1746" s="1530"/>
      <c r="CY1746" s="1530"/>
      <c r="CZ1746" s="1530"/>
      <c r="DA1746" s="1530"/>
      <c r="DB1746" s="1530"/>
      <c r="DC1746" s="1530"/>
      <c r="DD1746" s="1530"/>
      <c r="DE1746" s="1530"/>
      <c r="DF1746" s="1530"/>
      <c r="DG1746" s="1530"/>
      <c r="DH1746" s="1530"/>
      <c r="DI1746" s="1530"/>
      <c r="DJ1746" s="1530"/>
      <c r="DK1746" s="1530"/>
      <c r="DL1746" s="1530"/>
      <c r="DM1746" s="1530"/>
      <c r="DN1746" s="1571"/>
      <c r="DO1746" s="1530"/>
      <c r="DP1746" s="1530"/>
    </row>
    <row r="1747" spans="1:120">
      <c r="A1747" s="1451"/>
      <c r="C1747" s="1451"/>
      <c r="K1747" s="1451"/>
      <c r="L1747" s="1451"/>
      <c r="U1747" s="1451"/>
      <c r="AD1747" s="1451"/>
      <c r="AM1747" s="1451"/>
      <c r="AV1747" s="1451"/>
      <c r="BE1747" s="1451"/>
      <c r="BN1747" s="1451"/>
      <c r="BV1747" s="1451"/>
      <c r="BW1747" s="1451"/>
      <c r="CF1747" s="1451"/>
      <c r="CN1747" s="1451"/>
      <c r="CO1747" s="1530"/>
      <c r="CP1747" s="1530"/>
      <c r="CQ1747" s="1530"/>
      <c r="CR1747" s="1530"/>
      <c r="CS1747" s="1530"/>
      <c r="CT1747" s="1530"/>
      <c r="CU1747" s="1530"/>
      <c r="CV1747" s="1530"/>
      <c r="CW1747" s="1530"/>
      <c r="CX1747" s="1530"/>
      <c r="CY1747" s="1530"/>
      <c r="CZ1747" s="1530"/>
      <c r="DA1747" s="1530"/>
      <c r="DB1747" s="1530"/>
      <c r="DC1747" s="1530"/>
      <c r="DD1747" s="1530"/>
      <c r="DE1747" s="1530"/>
      <c r="DF1747" s="1530"/>
      <c r="DG1747" s="1530"/>
      <c r="DH1747" s="1530"/>
      <c r="DI1747" s="1530"/>
      <c r="DJ1747" s="1530"/>
      <c r="DK1747" s="1530"/>
      <c r="DL1747" s="1530"/>
      <c r="DM1747" s="1530"/>
      <c r="DN1747" s="1571"/>
      <c r="DO1747" s="1530"/>
      <c r="DP1747" s="1530"/>
    </row>
    <row r="1748" spans="1:120">
      <c r="A1748" s="1451"/>
      <c r="C1748" s="1451"/>
      <c r="K1748" s="1451"/>
      <c r="L1748" s="1451"/>
      <c r="U1748" s="1451"/>
      <c r="AD1748" s="1451"/>
      <c r="AM1748" s="1451"/>
      <c r="AV1748" s="1451"/>
      <c r="BE1748" s="1451"/>
      <c r="BN1748" s="1451"/>
      <c r="BV1748" s="1451"/>
      <c r="BW1748" s="1451"/>
      <c r="CF1748" s="1451"/>
      <c r="CN1748" s="1451"/>
      <c r="CO1748" s="1530"/>
      <c r="CP1748" s="1530"/>
      <c r="CQ1748" s="1530"/>
      <c r="CR1748" s="1530"/>
      <c r="CS1748" s="1530"/>
      <c r="CT1748" s="1530"/>
      <c r="CU1748" s="1530"/>
      <c r="CV1748" s="1530"/>
      <c r="CW1748" s="1530"/>
      <c r="CX1748" s="1530"/>
      <c r="CY1748" s="1530"/>
      <c r="CZ1748" s="1530"/>
      <c r="DA1748" s="1530"/>
      <c r="DB1748" s="1530"/>
      <c r="DC1748" s="1530"/>
      <c r="DD1748" s="1530"/>
      <c r="DE1748" s="1530"/>
      <c r="DF1748" s="1530"/>
      <c r="DG1748" s="1530"/>
      <c r="DH1748" s="1530"/>
      <c r="DI1748" s="1530"/>
      <c r="DJ1748" s="1530"/>
      <c r="DK1748" s="1530"/>
      <c r="DL1748" s="1530"/>
      <c r="DM1748" s="1530"/>
      <c r="DN1748" s="1571"/>
      <c r="DO1748" s="1530"/>
      <c r="DP1748" s="1530"/>
    </row>
    <row r="1749" spans="1:120">
      <c r="A1749" s="1451"/>
      <c r="C1749" s="1451"/>
      <c r="K1749" s="1451"/>
      <c r="L1749" s="1451"/>
      <c r="U1749" s="1451"/>
      <c r="AD1749" s="1451"/>
      <c r="AM1749" s="1451"/>
      <c r="AV1749" s="1451"/>
      <c r="BE1749" s="1451"/>
      <c r="BN1749" s="1451"/>
      <c r="BV1749" s="1451"/>
      <c r="BW1749" s="1451"/>
      <c r="CF1749" s="1451"/>
      <c r="CN1749" s="1451"/>
      <c r="CO1749" s="1530"/>
      <c r="CP1749" s="1530"/>
      <c r="CQ1749" s="1530"/>
      <c r="CR1749" s="1530"/>
      <c r="CS1749" s="1530"/>
      <c r="CT1749" s="1530"/>
      <c r="CU1749" s="1530"/>
      <c r="CV1749" s="1530"/>
      <c r="CW1749" s="1530"/>
      <c r="CX1749" s="1530"/>
      <c r="CY1749" s="1530"/>
      <c r="CZ1749" s="1530"/>
      <c r="DA1749" s="1530"/>
      <c r="DB1749" s="1530"/>
      <c r="DC1749" s="1530"/>
      <c r="DD1749" s="1530"/>
      <c r="DE1749" s="1530"/>
      <c r="DF1749" s="1530"/>
      <c r="DG1749" s="1530"/>
      <c r="DH1749" s="1530"/>
      <c r="DI1749" s="1530"/>
      <c r="DJ1749" s="1530"/>
      <c r="DK1749" s="1530"/>
      <c r="DL1749" s="1530"/>
      <c r="DM1749" s="1530"/>
      <c r="DN1749" s="1571"/>
      <c r="DO1749" s="1530"/>
      <c r="DP1749" s="1530"/>
    </row>
    <row r="1750" spans="1:120">
      <c r="A1750" s="1451"/>
      <c r="C1750" s="1451"/>
      <c r="K1750" s="1451"/>
      <c r="L1750" s="1451"/>
      <c r="U1750" s="1451"/>
      <c r="AD1750" s="1451"/>
      <c r="AM1750" s="1451"/>
      <c r="AV1750" s="1451"/>
      <c r="BE1750" s="1451"/>
      <c r="BN1750" s="1451"/>
      <c r="BV1750" s="1451"/>
      <c r="BW1750" s="1451"/>
      <c r="CF1750" s="1451"/>
      <c r="CN1750" s="1451"/>
      <c r="CO1750" s="1530"/>
      <c r="CP1750" s="1530"/>
      <c r="CQ1750" s="1530"/>
      <c r="CR1750" s="1530"/>
      <c r="CS1750" s="1530"/>
      <c r="CT1750" s="1530"/>
      <c r="CU1750" s="1530"/>
      <c r="CV1750" s="1530"/>
      <c r="CW1750" s="1530"/>
      <c r="CX1750" s="1530"/>
      <c r="CY1750" s="1530"/>
      <c r="CZ1750" s="1530"/>
      <c r="DA1750" s="1530"/>
      <c r="DB1750" s="1530"/>
      <c r="DC1750" s="1530"/>
      <c r="DD1750" s="1530"/>
      <c r="DE1750" s="1530"/>
      <c r="DF1750" s="1530"/>
      <c r="DG1750" s="1530"/>
      <c r="DH1750" s="1530"/>
      <c r="DI1750" s="1530"/>
      <c r="DJ1750" s="1530"/>
      <c r="DK1750" s="1530"/>
      <c r="DL1750" s="1530"/>
      <c r="DM1750" s="1530"/>
      <c r="DN1750" s="1571"/>
      <c r="DO1750" s="1530"/>
      <c r="DP1750" s="1530"/>
    </row>
    <row r="1751" spans="1:120">
      <c r="A1751" s="1451"/>
      <c r="C1751" s="1451"/>
      <c r="K1751" s="1451"/>
      <c r="L1751" s="1451"/>
      <c r="U1751" s="1451"/>
      <c r="AD1751" s="1451"/>
      <c r="AM1751" s="1451"/>
      <c r="AV1751" s="1451"/>
      <c r="BE1751" s="1451"/>
      <c r="BN1751" s="1451"/>
      <c r="BV1751" s="1451"/>
      <c r="BW1751" s="1451"/>
      <c r="CF1751" s="1451"/>
      <c r="CN1751" s="1451"/>
      <c r="CO1751" s="1530"/>
      <c r="CP1751" s="1530"/>
      <c r="CQ1751" s="1530"/>
      <c r="CR1751" s="1530"/>
      <c r="CS1751" s="1530"/>
      <c r="CT1751" s="1530"/>
      <c r="CU1751" s="1530"/>
      <c r="CV1751" s="1530"/>
      <c r="CW1751" s="1530"/>
      <c r="CX1751" s="1530"/>
      <c r="CY1751" s="1530"/>
      <c r="CZ1751" s="1530"/>
      <c r="DA1751" s="1530"/>
      <c r="DB1751" s="1530"/>
      <c r="DC1751" s="1530"/>
      <c r="DD1751" s="1530"/>
      <c r="DE1751" s="1530"/>
      <c r="DF1751" s="1530"/>
      <c r="DG1751" s="1530"/>
      <c r="DH1751" s="1530"/>
      <c r="DI1751" s="1530"/>
      <c r="DJ1751" s="1530"/>
      <c r="DK1751" s="1530"/>
      <c r="DL1751" s="1530"/>
      <c r="DM1751" s="1530"/>
      <c r="DN1751" s="1571"/>
      <c r="DO1751" s="1530"/>
      <c r="DP1751" s="1530"/>
    </row>
    <row r="1752" spans="1:120">
      <c r="A1752" s="1451"/>
      <c r="C1752" s="1451"/>
      <c r="K1752" s="1451"/>
      <c r="L1752" s="1451"/>
      <c r="U1752" s="1451"/>
      <c r="AD1752" s="1451"/>
      <c r="AM1752" s="1451"/>
      <c r="AV1752" s="1451"/>
      <c r="BE1752" s="1451"/>
      <c r="BN1752" s="1451"/>
      <c r="BV1752" s="1451"/>
      <c r="BW1752" s="1451"/>
      <c r="CF1752" s="1451"/>
      <c r="CN1752" s="1451"/>
      <c r="CO1752" s="1530"/>
      <c r="CP1752" s="1530"/>
      <c r="CQ1752" s="1530"/>
      <c r="CR1752" s="1530"/>
      <c r="CS1752" s="1530"/>
      <c r="CT1752" s="1530"/>
      <c r="CU1752" s="1530"/>
      <c r="CV1752" s="1530"/>
      <c r="CW1752" s="1530"/>
      <c r="CX1752" s="1530"/>
      <c r="CY1752" s="1530"/>
      <c r="CZ1752" s="1530"/>
      <c r="DA1752" s="1530"/>
      <c r="DB1752" s="1530"/>
      <c r="DC1752" s="1530"/>
      <c r="DD1752" s="1530"/>
      <c r="DE1752" s="1530"/>
      <c r="DF1752" s="1530"/>
      <c r="DG1752" s="1530"/>
      <c r="DH1752" s="1530"/>
      <c r="DI1752" s="1530"/>
      <c r="DJ1752" s="1530"/>
      <c r="DK1752" s="1530"/>
      <c r="DL1752" s="1530"/>
      <c r="DM1752" s="1530"/>
      <c r="DN1752" s="1571"/>
      <c r="DO1752" s="1530"/>
      <c r="DP1752" s="1530"/>
    </row>
    <row r="1753" spans="1:120">
      <c r="A1753" s="1451"/>
      <c r="C1753" s="1451"/>
      <c r="K1753" s="1451"/>
      <c r="L1753" s="1451"/>
      <c r="U1753" s="1451"/>
      <c r="AD1753" s="1451"/>
      <c r="AM1753" s="1451"/>
      <c r="AV1753" s="1451"/>
      <c r="BE1753" s="1451"/>
      <c r="BN1753" s="1451"/>
      <c r="BV1753" s="1451"/>
      <c r="BW1753" s="1451"/>
      <c r="CF1753" s="1451"/>
      <c r="CN1753" s="1451"/>
      <c r="CO1753" s="1530"/>
      <c r="CP1753" s="1530"/>
      <c r="CQ1753" s="1530"/>
      <c r="CR1753" s="1530"/>
      <c r="CS1753" s="1530"/>
      <c r="CT1753" s="1530"/>
      <c r="CU1753" s="1530"/>
      <c r="CV1753" s="1530"/>
      <c r="CW1753" s="1530"/>
      <c r="CX1753" s="1530"/>
      <c r="CY1753" s="1530"/>
      <c r="CZ1753" s="1530"/>
      <c r="DA1753" s="1530"/>
      <c r="DB1753" s="1530"/>
      <c r="DC1753" s="1530"/>
      <c r="DD1753" s="1530"/>
      <c r="DE1753" s="1530"/>
      <c r="DF1753" s="1530"/>
      <c r="DG1753" s="1530"/>
      <c r="DH1753" s="1530"/>
      <c r="DI1753" s="1530"/>
      <c r="DJ1753" s="1530"/>
      <c r="DK1753" s="1530"/>
      <c r="DL1753" s="1530"/>
      <c r="DM1753" s="1530"/>
      <c r="DN1753" s="1571"/>
      <c r="DO1753" s="1530"/>
      <c r="DP1753" s="1530"/>
    </row>
    <row r="1754" spans="1:120">
      <c r="A1754" s="1451"/>
      <c r="C1754" s="1451"/>
      <c r="K1754" s="1451"/>
      <c r="L1754" s="1451"/>
      <c r="U1754" s="1451"/>
      <c r="AD1754" s="1451"/>
      <c r="AM1754" s="1451"/>
      <c r="AV1754" s="1451"/>
      <c r="BE1754" s="1451"/>
      <c r="BN1754" s="1451"/>
      <c r="BV1754" s="1451"/>
      <c r="BW1754" s="1451"/>
      <c r="CF1754" s="1451"/>
      <c r="CN1754" s="1451"/>
      <c r="CO1754" s="1530"/>
      <c r="CP1754" s="1530"/>
      <c r="CQ1754" s="1530"/>
      <c r="CR1754" s="1530"/>
      <c r="CS1754" s="1530"/>
      <c r="CT1754" s="1530"/>
      <c r="CU1754" s="1530"/>
      <c r="CV1754" s="1530"/>
      <c r="CW1754" s="1530"/>
      <c r="CX1754" s="1530"/>
      <c r="CY1754" s="1530"/>
      <c r="CZ1754" s="1530"/>
      <c r="DA1754" s="1530"/>
      <c r="DB1754" s="1530"/>
      <c r="DC1754" s="1530"/>
      <c r="DD1754" s="1530"/>
      <c r="DE1754" s="1530"/>
      <c r="DF1754" s="1530"/>
      <c r="DG1754" s="1530"/>
      <c r="DH1754" s="1530"/>
      <c r="DI1754" s="1530"/>
      <c r="DJ1754" s="1530"/>
      <c r="DK1754" s="1530"/>
      <c r="DL1754" s="1530"/>
      <c r="DM1754" s="1530"/>
      <c r="DN1754" s="1571"/>
      <c r="DO1754" s="1530"/>
      <c r="DP1754" s="1530"/>
    </row>
    <row r="1755" spans="1:120">
      <c r="A1755" s="1451"/>
      <c r="C1755" s="1451"/>
      <c r="K1755" s="1451"/>
      <c r="L1755" s="1451"/>
      <c r="U1755" s="1451"/>
      <c r="AD1755" s="1451"/>
      <c r="AM1755" s="1451"/>
      <c r="AV1755" s="1451"/>
      <c r="BE1755" s="1451"/>
      <c r="BN1755" s="1451"/>
      <c r="BV1755" s="1451"/>
      <c r="BW1755" s="1451"/>
      <c r="CF1755" s="1451"/>
      <c r="CN1755" s="1451"/>
      <c r="CO1755" s="1530"/>
      <c r="CP1755" s="1530"/>
      <c r="CQ1755" s="1530"/>
      <c r="CR1755" s="1530"/>
      <c r="CS1755" s="1530"/>
      <c r="CT1755" s="1530"/>
      <c r="CU1755" s="1530"/>
      <c r="CV1755" s="1530"/>
      <c r="CW1755" s="1530"/>
      <c r="CX1755" s="1530"/>
      <c r="CY1755" s="1530"/>
      <c r="CZ1755" s="1530"/>
      <c r="DA1755" s="1530"/>
      <c r="DB1755" s="1530"/>
      <c r="DC1755" s="1530"/>
      <c r="DD1755" s="1530"/>
      <c r="DE1755" s="1530"/>
      <c r="DF1755" s="1530"/>
      <c r="DG1755" s="1530"/>
      <c r="DH1755" s="1530"/>
      <c r="DI1755" s="1530"/>
      <c r="DJ1755" s="1530"/>
      <c r="DK1755" s="1530"/>
      <c r="DL1755" s="1530"/>
      <c r="DM1755" s="1530"/>
      <c r="DN1755" s="1571"/>
      <c r="DO1755" s="1530"/>
      <c r="DP1755" s="1530"/>
    </row>
    <row r="1756" spans="1:120">
      <c r="A1756" s="1451"/>
      <c r="C1756" s="1451"/>
      <c r="K1756" s="1451"/>
      <c r="L1756" s="1451"/>
      <c r="U1756" s="1451"/>
      <c r="AD1756" s="1451"/>
      <c r="AM1756" s="1451"/>
      <c r="AV1756" s="1451"/>
      <c r="BE1756" s="1451"/>
      <c r="BN1756" s="1451"/>
      <c r="BV1756" s="1451"/>
      <c r="BW1756" s="1451"/>
      <c r="CF1756" s="1451"/>
      <c r="CN1756" s="1451"/>
      <c r="CO1756" s="1530"/>
      <c r="CP1756" s="1530"/>
      <c r="CQ1756" s="1530"/>
      <c r="CR1756" s="1530"/>
      <c r="CS1756" s="1530"/>
      <c r="CT1756" s="1530"/>
      <c r="CU1756" s="1530"/>
      <c r="CV1756" s="1530"/>
      <c r="CW1756" s="1530"/>
      <c r="CX1756" s="1530"/>
      <c r="CY1756" s="1530"/>
      <c r="CZ1756" s="1530"/>
      <c r="DA1756" s="1530"/>
      <c r="DB1756" s="1530"/>
      <c r="DC1756" s="1530"/>
      <c r="DD1756" s="1530"/>
      <c r="DE1756" s="1530"/>
      <c r="DF1756" s="1530"/>
      <c r="DG1756" s="1530"/>
      <c r="DH1756" s="1530"/>
      <c r="DI1756" s="1530"/>
      <c r="DJ1756" s="1530"/>
      <c r="DK1756" s="1530"/>
      <c r="DL1756" s="1530"/>
      <c r="DM1756" s="1530"/>
      <c r="DN1756" s="1571"/>
      <c r="DO1756" s="1530"/>
      <c r="DP1756" s="1530"/>
    </row>
    <row r="1757" spans="1:120">
      <c r="A1757" s="1451"/>
      <c r="C1757" s="1451"/>
      <c r="K1757" s="1451"/>
      <c r="L1757" s="1451"/>
      <c r="U1757" s="1451"/>
      <c r="AD1757" s="1451"/>
      <c r="AM1757" s="1451"/>
      <c r="AV1757" s="1451"/>
      <c r="BE1757" s="1451"/>
      <c r="BN1757" s="1451"/>
      <c r="BV1757" s="1451"/>
      <c r="BW1757" s="1451"/>
      <c r="CF1757" s="1451"/>
      <c r="CN1757" s="1451"/>
      <c r="CO1757" s="1530"/>
      <c r="CP1757" s="1530"/>
      <c r="CQ1757" s="1530"/>
      <c r="CR1757" s="1530"/>
      <c r="CS1757" s="1530"/>
      <c r="CT1757" s="1530"/>
      <c r="CU1757" s="1530"/>
      <c r="CV1757" s="1530"/>
      <c r="CW1757" s="1530"/>
      <c r="CX1757" s="1530"/>
      <c r="CY1757" s="1530"/>
      <c r="CZ1757" s="1530"/>
      <c r="DA1757" s="1530"/>
      <c r="DB1757" s="1530"/>
      <c r="DC1757" s="1530"/>
      <c r="DD1757" s="1530"/>
      <c r="DE1757" s="1530"/>
      <c r="DF1757" s="1530"/>
      <c r="DG1757" s="1530"/>
      <c r="DH1757" s="1530"/>
      <c r="DI1757" s="1530"/>
      <c r="DJ1757" s="1530"/>
      <c r="DK1757" s="1530"/>
      <c r="DL1757" s="1530"/>
      <c r="DM1757" s="1530"/>
      <c r="DN1757" s="1571"/>
      <c r="DO1757" s="1530"/>
      <c r="DP1757" s="1530"/>
    </row>
    <row r="1758" spans="1:120">
      <c r="A1758" s="1451"/>
      <c r="C1758" s="1451"/>
      <c r="K1758" s="1451"/>
      <c r="L1758" s="1451"/>
      <c r="U1758" s="1451"/>
      <c r="AD1758" s="1451"/>
      <c r="AM1758" s="1451"/>
      <c r="AV1758" s="1451"/>
      <c r="BE1758" s="1451"/>
      <c r="BN1758" s="1451"/>
      <c r="BV1758" s="1451"/>
      <c r="BW1758" s="1451"/>
      <c r="CF1758" s="1451"/>
      <c r="CN1758" s="1451"/>
      <c r="CO1758" s="1530"/>
      <c r="CP1758" s="1530"/>
      <c r="CQ1758" s="1530"/>
      <c r="CR1758" s="1530"/>
      <c r="CS1758" s="1530"/>
      <c r="CT1758" s="1530"/>
      <c r="CU1758" s="1530"/>
      <c r="CV1758" s="1530"/>
      <c r="CW1758" s="1530"/>
      <c r="CX1758" s="1530"/>
      <c r="CY1758" s="1530"/>
      <c r="CZ1758" s="1530"/>
      <c r="DA1758" s="1530"/>
      <c r="DB1758" s="1530"/>
      <c r="DC1758" s="1530"/>
      <c r="DD1758" s="1530"/>
      <c r="DE1758" s="1530"/>
      <c r="DF1758" s="1530"/>
      <c r="DG1758" s="1530"/>
      <c r="DH1758" s="1530"/>
      <c r="DI1758" s="1530"/>
      <c r="DJ1758" s="1530"/>
      <c r="DK1758" s="1530"/>
      <c r="DL1758" s="1530"/>
      <c r="DM1758" s="1530"/>
      <c r="DN1758" s="1571"/>
      <c r="DO1758" s="1530"/>
      <c r="DP1758" s="1530"/>
    </row>
    <row r="1759" spans="1:120">
      <c r="A1759" s="1451"/>
      <c r="C1759" s="1451"/>
      <c r="K1759" s="1451"/>
      <c r="L1759" s="1451"/>
      <c r="U1759" s="1451"/>
      <c r="AD1759" s="1451"/>
      <c r="AM1759" s="1451"/>
      <c r="AV1759" s="1451"/>
      <c r="BE1759" s="1451"/>
      <c r="BN1759" s="1451"/>
      <c r="BV1759" s="1451"/>
      <c r="BW1759" s="1451"/>
      <c r="CF1759" s="1451"/>
      <c r="CN1759" s="1451"/>
      <c r="CO1759" s="1530"/>
      <c r="CP1759" s="1530"/>
      <c r="CQ1759" s="1530"/>
      <c r="CR1759" s="1530"/>
      <c r="CS1759" s="1530"/>
      <c r="CT1759" s="1530"/>
      <c r="CU1759" s="1530"/>
      <c r="CV1759" s="1530"/>
      <c r="CW1759" s="1530"/>
      <c r="CX1759" s="1530"/>
      <c r="CY1759" s="1530"/>
      <c r="CZ1759" s="1530"/>
      <c r="DA1759" s="1530"/>
      <c r="DB1759" s="1530"/>
      <c r="DC1759" s="1530"/>
      <c r="DD1759" s="1530"/>
      <c r="DE1759" s="1530"/>
      <c r="DF1759" s="1530"/>
      <c r="DG1759" s="1530"/>
      <c r="DH1759" s="1530"/>
      <c r="DI1759" s="1530"/>
      <c r="DJ1759" s="1530"/>
      <c r="DK1759" s="1530"/>
      <c r="DL1759" s="1530"/>
      <c r="DM1759" s="1530"/>
      <c r="DN1759" s="1571"/>
      <c r="DO1759" s="1530"/>
      <c r="DP1759" s="1530"/>
    </row>
    <row r="1760" spans="1:120">
      <c r="A1760" s="1451"/>
      <c r="C1760" s="1451"/>
      <c r="K1760" s="1451"/>
      <c r="L1760" s="1451"/>
      <c r="U1760" s="1451"/>
      <c r="AD1760" s="1451"/>
      <c r="AM1760" s="1451"/>
      <c r="AV1760" s="1451"/>
      <c r="BE1760" s="1451"/>
      <c r="BN1760" s="1451"/>
      <c r="BV1760" s="1451"/>
      <c r="BW1760" s="1451"/>
      <c r="CF1760" s="1451"/>
      <c r="CN1760" s="1451"/>
      <c r="CO1760" s="1530"/>
      <c r="CP1760" s="1530"/>
      <c r="CQ1760" s="1530"/>
      <c r="CR1760" s="1530"/>
      <c r="CS1760" s="1530"/>
      <c r="CT1760" s="1530"/>
      <c r="CU1760" s="1530"/>
      <c r="CV1760" s="1530"/>
      <c r="CW1760" s="1530"/>
      <c r="CX1760" s="1530"/>
      <c r="CY1760" s="1530"/>
      <c r="CZ1760" s="1530"/>
      <c r="DA1760" s="1530"/>
      <c r="DB1760" s="1530"/>
      <c r="DC1760" s="1530"/>
      <c r="DD1760" s="1530"/>
      <c r="DE1760" s="1530"/>
      <c r="DF1760" s="1530"/>
      <c r="DG1760" s="1530"/>
      <c r="DH1760" s="1530"/>
      <c r="DI1760" s="1530"/>
      <c r="DJ1760" s="1530"/>
      <c r="DK1760" s="1530"/>
      <c r="DL1760" s="1530"/>
      <c r="DM1760" s="1530"/>
      <c r="DN1760" s="1571"/>
      <c r="DO1760" s="1530"/>
      <c r="DP1760" s="1530"/>
    </row>
    <row r="1761" spans="1:120">
      <c r="A1761" s="1451"/>
      <c r="C1761" s="1451"/>
      <c r="K1761" s="1451"/>
      <c r="L1761" s="1451"/>
      <c r="U1761" s="1451"/>
      <c r="AD1761" s="1451"/>
      <c r="AM1761" s="1451"/>
      <c r="AV1761" s="1451"/>
      <c r="BE1761" s="1451"/>
      <c r="BN1761" s="1451"/>
      <c r="BV1761" s="1451"/>
      <c r="BW1761" s="1451"/>
      <c r="CF1761" s="1451"/>
      <c r="CN1761" s="1451"/>
      <c r="CO1761" s="1530"/>
      <c r="CP1761" s="1530"/>
      <c r="CQ1761" s="1530"/>
      <c r="CR1761" s="1530"/>
      <c r="CS1761" s="1530"/>
      <c r="CT1761" s="1530"/>
      <c r="CU1761" s="1530"/>
      <c r="CV1761" s="1530"/>
      <c r="CW1761" s="1530"/>
      <c r="CX1761" s="1530"/>
      <c r="CY1761" s="1530"/>
      <c r="CZ1761" s="1530"/>
      <c r="DA1761" s="1530"/>
      <c r="DB1761" s="1530"/>
      <c r="DC1761" s="1530"/>
      <c r="DD1761" s="1530"/>
      <c r="DE1761" s="1530"/>
      <c r="DF1761" s="1530"/>
      <c r="DG1761" s="1530"/>
      <c r="DH1761" s="1530"/>
      <c r="DI1761" s="1530"/>
      <c r="DJ1761" s="1530"/>
      <c r="DK1761" s="1530"/>
      <c r="DL1761" s="1530"/>
      <c r="DM1761" s="1530"/>
      <c r="DN1761" s="1571"/>
      <c r="DO1761" s="1530"/>
      <c r="DP1761" s="1530"/>
    </row>
    <row r="1762" spans="1:120">
      <c r="A1762" s="1451"/>
      <c r="C1762" s="1451"/>
      <c r="K1762" s="1451"/>
      <c r="L1762" s="1451"/>
      <c r="U1762" s="1451"/>
      <c r="AD1762" s="1451"/>
      <c r="AM1762" s="1451"/>
      <c r="AV1762" s="1451"/>
      <c r="BE1762" s="1451"/>
      <c r="BN1762" s="1451"/>
      <c r="BV1762" s="1451"/>
      <c r="BW1762" s="1451"/>
      <c r="CF1762" s="1451"/>
      <c r="CN1762" s="1451"/>
      <c r="CO1762" s="1530"/>
      <c r="CP1762" s="1530"/>
      <c r="CQ1762" s="1530"/>
      <c r="CR1762" s="1530"/>
      <c r="CS1762" s="1530"/>
      <c r="CT1762" s="1530"/>
      <c r="CU1762" s="1530"/>
      <c r="CV1762" s="1530"/>
      <c r="CW1762" s="1530"/>
      <c r="CX1762" s="1530"/>
      <c r="CY1762" s="1530"/>
      <c r="CZ1762" s="1530"/>
      <c r="DA1762" s="1530"/>
      <c r="DB1762" s="1530"/>
      <c r="DC1762" s="1530"/>
      <c r="DD1762" s="1530"/>
      <c r="DE1762" s="1530"/>
      <c r="DF1762" s="1530"/>
      <c r="DG1762" s="1530"/>
      <c r="DH1762" s="1530"/>
      <c r="DI1762" s="1530"/>
      <c r="DJ1762" s="1530"/>
      <c r="DK1762" s="1530"/>
      <c r="DL1762" s="1530"/>
      <c r="DM1762" s="1530"/>
      <c r="DN1762" s="1571"/>
      <c r="DO1762" s="1530"/>
      <c r="DP1762" s="1530"/>
    </row>
    <row r="1763" spans="1:120">
      <c r="A1763" s="1451"/>
      <c r="C1763" s="1451"/>
      <c r="K1763" s="1451"/>
      <c r="L1763" s="1451"/>
      <c r="U1763" s="1451"/>
      <c r="AD1763" s="1451"/>
      <c r="AM1763" s="1451"/>
      <c r="AV1763" s="1451"/>
      <c r="BE1763" s="1451"/>
      <c r="BN1763" s="1451"/>
      <c r="BV1763" s="1451"/>
      <c r="BW1763" s="1451"/>
      <c r="CF1763" s="1451"/>
      <c r="CN1763" s="1451"/>
      <c r="CO1763" s="1530"/>
      <c r="CP1763" s="1530"/>
      <c r="CQ1763" s="1530"/>
      <c r="CR1763" s="1530"/>
      <c r="CS1763" s="1530"/>
      <c r="CT1763" s="1530"/>
      <c r="CU1763" s="1530"/>
      <c r="CV1763" s="1530"/>
      <c r="CW1763" s="1530"/>
      <c r="CX1763" s="1530"/>
      <c r="CY1763" s="1530"/>
      <c r="CZ1763" s="1530"/>
      <c r="DA1763" s="1530"/>
      <c r="DB1763" s="1530"/>
      <c r="DC1763" s="1530"/>
      <c r="DD1763" s="1530"/>
      <c r="DE1763" s="1530"/>
      <c r="DF1763" s="1530"/>
      <c r="DG1763" s="1530"/>
      <c r="DH1763" s="1530"/>
      <c r="DI1763" s="1530"/>
      <c r="DJ1763" s="1530"/>
      <c r="DK1763" s="1530"/>
      <c r="DL1763" s="1530"/>
      <c r="DM1763" s="1530"/>
      <c r="DN1763" s="1571"/>
      <c r="DO1763" s="1530"/>
      <c r="DP1763" s="1530"/>
    </row>
    <row r="1764" spans="1:120">
      <c r="A1764" s="1451"/>
      <c r="C1764" s="1451"/>
      <c r="K1764" s="1451"/>
      <c r="L1764" s="1451"/>
      <c r="U1764" s="1451"/>
      <c r="AD1764" s="1451"/>
      <c r="AM1764" s="1451"/>
      <c r="AV1764" s="1451"/>
      <c r="BE1764" s="1451"/>
      <c r="BN1764" s="1451"/>
      <c r="BV1764" s="1451"/>
      <c r="BW1764" s="1451"/>
      <c r="CF1764" s="1451"/>
      <c r="CN1764" s="1451"/>
      <c r="CO1764" s="1530"/>
      <c r="CP1764" s="1530"/>
      <c r="CQ1764" s="1530"/>
      <c r="CR1764" s="1530"/>
      <c r="CS1764" s="1530"/>
      <c r="CT1764" s="1530"/>
      <c r="CU1764" s="1530"/>
      <c r="CV1764" s="1530"/>
      <c r="CW1764" s="1530"/>
      <c r="CX1764" s="1530"/>
      <c r="CY1764" s="1530"/>
      <c r="CZ1764" s="1530"/>
      <c r="DA1764" s="1530"/>
      <c r="DB1764" s="1530"/>
      <c r="DC1764" s="1530"/>
      <c r="DD1764" s="1530"/>
      <c r="DE1764" s="1530"/>
      <c r="DF1764" s="1530"/>
      <c r="DG1764" s="1530"/>
      <c r="DH1764" s="1530"/>
      <c r="DI1764" s="1530"/>
      <c r="DJ1764" s="1530"/>
      <c r="DK1764" s="1530"/>
      <c r="DL1764" s="1530"/>
      <c r="DM1764" s="1530"/>
      <c r="DN1764" s="1571"/>
      <c r="DO1764" s="1530"/>
      <c r="DP1764" s="1530"/>
    </row>
    <row r="1765" spans="1:120">
      <c r="A1765" s="1451"/>
      <c r="C1765" s="1451"/>
      <c r="K1765" s="1451"/>
      <c r="L1765" s="1451"/>
      <c r="U1765" s="1451"/>
      <c r="AD1765" s="1451"/>
      <c r="AM1765" s="1451"/>
      <c r="AV1765" s="1451"/>
      <c r="BE1765" s="1451"/>
      <c r="BN1765" s="1451"/>
      <c r="BV1765" s="1451"/>
      <c r="BW1765" s="1451"/>
      <c r="CF1765" s="1451"/>
      <c r="CN1765" s="1451"/>
      <c r="CO1765" s="1530"/>
      <c r="CP1765" s="1530"/>
      <c r="CQ1765" s="1530"/>
      <c r="CR1765" s="1530"/>
      <c r="CS1765" s="1530"/>
      <c r="CT1765" s="1530"/>
      <c r="CU1765" s="1530"/>
      <c r="CV1765" s="1530"/>
      <c r="CW1765" s="1530"/>
      <c r="CX1765" s="1530"/>
      <c r="CY1765" s="1530"/>
      <c r="CZ1765" s="1530"/>
      <c r="DA1765" s="1530"/>
      <c r="DB1765" s="1530"/>
      <c r="DC1765" s="1530"/>
      <c r="DD1765" s="1530"/>
      <c r="DE1765" s="1530"/>
      <c r="DF1765" s="1530"/>
      <c r="DG1765" s="1530"/>
      <c r="DH1765" s="1530"/>
      <c r="DI1765" s="1530"/>
      <c r="DJ1765" s="1530"/>
      <c r="DK1765" s="1530"/>
      <c r="DL1765" s="1530"/>
      <c r="DM1765" s="1530"/>
      <c r="DN1765" s="1571"/>
      <c r="DO1765" s="1530"/>
      <c r="DP1765" s="1530"/>
    </row>
    <row r="1766" spans="1:120">
      <c r="A1766" s="1451"/>
      <c r="C1766" s="1451"/>
      <c r="K1766" s="1451"/>
      <c r="L1766" s="1451"/>
      <c r="U1766" s="1451"/>
      <c r="AD1766" s="1451"/>
      <c r="AM1766" s="1451"/>
      <c r="AV1766" s="1451"/>
      <c r="BE1766" s="1451"/>
      <c r="BN1766" s="1451"/>
      <c r="BV1766" s="1451"/>
      <c r="BW1766" s="1451"/>
      <c r="CF1766" s="1451"/>
      <c r="CN1766" s="1451"/>
      <c r="CO1766" s="1530"/>
      <c r="CP1766" s="1530"/>
      <c r="CQ1766" s="1530"/>
      <c r="CR1766" s="1530"/>
      <c r="CS1766" s="1530"/>
      <c r="CT1766" s="1530"/>
      <c r="CU1766" s="1530"/>
      <c r="CV1766" s="1530"/>
      <c r="CW1766" s="1530"/>
      <c r="CX1766" s="1530"/>
      <c r="CY1766" s="1530"/>
      <c r="CZ1766" s="1530"/>
      <c r="DA1766" s="1530"/>
      <c r="DB1766" s="1530"/>
      <c r="DC1766" s="1530"/>
      <c r="DD1766" s="1530"/>
      <c r="DE1766" s="1530"/>
      <c r="DF1766" s="1530"/>
      <c r="DG1766" s="1530"/>
      <c r="DH1766" s="1530"/>
      <c r="DI1766" s="1530"/>
      <c r="DJ1766" s="1530"/>
      <c r="DK1766" s="1530"/>
      <c r="DL1766" s="1530"/>
      <c r="DM1766" s="1530"/>
      <c r="DN1766" s="1571"/>
      <c r="DO1766" s="1530"/>
      <c r="DP1766" s="1530"/>
    </row>
    <row r="1767" spans="1:120">
      <c r="A1767" s="1451"/>
      <c r="C1767" s="1451"/>
      <c r="K1767" s="1451"/>
      <c r="L1767" s="1451"/>
      <c r="U1767" s="1451"/>
      <c r="AD1767" s="1451"/>
      <c r="AM1767" s="1451"/>
      <c r="AV1767" s="1451"/>
      <c r="BE1767" s="1451"/>
      <c r="BN1767" s="1451"/>
      <c r="BV1767" s="1451"/>
      <c r="BW1767" s="1451"/>
      <c r="CF1767" s="1451"/>
      <c r="CN1767" s="1451"/>
      <c r="CO1767" s="1530"/>
      <c r="CP1767" s="1530"/>
      <c r="CQ1767" s="1530"/>
      <c r="CR1767" s="1530"/>
      <c r="CS1767" s="1530"/>
      <c r="CT1767" s="1530"/>
      <c r="CU1767" s="1530"/>
      <c r="CV1767" s="1530"/>
      <c r="CW1767" s="1530"/>
      <c r="CX1767" s="1530"/>
      <c r="CY1767" s="1530"/>
      <c r="CZ1767" s="1530"/>
      <c r="DA1767" s="1530"/>
      <c r="DB1767" s="1530"/>
      <c r="DC1767" s="1530"/>
      <c r="DD1767" s="1530"/>
      <c r="DE1767" s="1530"/>
      <c r="DF1767" s="1530"/>
      <c r="DG1767" s="1530"/>
      <c r="DH1767" s="1530"/>
      <c r="DI1767" s="1530"/>
      <c r="DJ1767" s="1530"/>
      <c r="DK1767" s="1530"/>
      <c r="DL1767" s="1530"/>
      <c r="DM1767" s="1530"/>
      <c r="DN1767" s="1571"/>
      <c r="DO1767" s="1530"/>
      <c r="DP1767" s="1530"/>
    </row>
    <row r="1768" spans="1:120">
      <c r="A1768" s="1451"/>
      <c r="C1768" s="1451"/>
      <c r="K1768" s="1451"/>
      <c r="L1768" s="1451"/>
      <c r="U1768" s="1451"/>
      <c r="AD1768" s="1451"/>
      <c r="AM1768" s="1451"/>
      <c r="AV1768" s="1451"/>
      <c r="BE1768" s="1451"/>
      <c r="BN1768" s="1451"/>
      <c r="BV1768" s="1451"/>
      <c r="BW1768" s="1451"/>
      <c r="CF1768" s="1451"/>
      <c r="CN1768" s="1451"/>
      <c r="CO1768" s="1530"/>
      <c r="CP1768" s="1530"/>
      <c r="CQ1768" s="1530"/>
      <c r="CR1768" s="1530"/>
      <c r="CS1768" s="1530"/>
      <c r="CT1768" s="1530"/>
      <c r="CU1768" s="1530"/>
      <c r="CV1768" s="1530"/>
      <c r="CW1768" s="1530"/>
      <c r="CX1768" s="1530"/>
      <c r="CY1768" s="1530"/>
      <c r="CZ1768" s="1530"/>
      <c r="DA1768" s="1530"/>
      <c r="DB1768" s="1530"/>
      <c r="DC1768" s="1530"/>
      <c r="DD1768" s="1530"/>
      <c r="DE1768" s="1530"/>
      <c r="DF1768" s="1530"/>
      <c r="DG1768" s="1530"/>
      <c r="DH1768" s="1530"/>
      <c r="DI1768" s="1530"/>
      <c r="DJ1768" s="1530"/>
      <c r="DK1768" s="1530"/>
      <c r="DL1768" s="1530"/>
      <c r="DM1768" s="1530"/>
      <c r="DN1768" s="1571"/>
      <c r="DO1768" s="1530"/>
      <c r="DP1768" s="1530"/>
    </row>
    <row r="1769" spans="1:120">
      <c r="A1769" s="1451"/>
      <c r="C1769" s="1451"/>
      <c r="K1769" s="1451"/>
      <c r="L1769" s="1451"/>
      <c r="U1769" s="1451"/>
      <c r="AD1769" s="1451"/>
      <c r="AM1769" s="1451"/>
      <c r="AV1769" s="1451"/>
      <c r="BE1769" s="1451"/>
      <c r="BN1769" s="1451"/>
      <c r="BV1769" s="1451"/>
      <c r="BW1769" s="1451"/>
      <c r="CF1769" s="1451"/>
      <c r="CN1769" s="1451"/>
      <c r="CO1769" s="1530"/>
      <c r="CP1769" s="1530"/>
      <c r="CQ1769" s="1530"/>
      <c r="CR1769" s="1530"/>
      <c r="CS1769" s="1530"/>
      <c r="CT1769" s="1530"/>
      <c r="CU1769" s="1530"/>
      <c r="CV1769" s="1530"/>
      <c r="CW1769" s="1530"/>
      <c r="CX1769" s="1530"/>
      <c r="CY1769" s="1530"/>
      <c r="CZ1769" s="1530"/>
      <c r="DA1769" s="1530"/>
      <c r="DB1769" s="1530"/>
      <c r="DC1769" s="1530"/>
      <c r="DD1769" s="1530"/>
      <c r="DE1769" s="1530"/>
      <c r="DF1769" s="1530"/>
      <c r="DG1769" s="1530"/>
      <c r="DH1769" s="1530"/>
      <c r="DI1769" s="1530"/>
      <c r="DJ1769" s="1530"/>
      <c r="DK1769" s="1530"/>
      <c r="DL1769" s="1530"/>
      <c r="DM1769" s="1530"/>
      <c r="DN1769" s="1571"/>
      <c r="DO1769" s="1530"/>
      <c r="DP1769" s="1530"/>
    </row>
    <row r="1770" spans="1:120">
      <c r="A1770" s="1451"/>
      <c r="C1770" s="1451"/>
      <c r="K1770" s="1451"/>
      <c r="L1770" s="1451"/>
      <c r="U1770" s="1451"/>
      <c r="AD1770" s="1451"/>
      <c r="AM1770" s="1451"/>
      <c r="AV1770" s="1451"/>
      <c r="BE1770" s="1451"/>
      <c r="BN1770" s="1451"/>
      <c r="BV1770" s="1451"/>
      <c r="BW1770" s="1451"/>
      <c r="CF1770" s="1451"/>
      <c r="CN1770" s="1451"/>
      <c r="CO1770" s="1530"/>
      <c r="CP1770" s="1530"/>
      <c r="CQ1770" s="1530"/>
      <c r="CR1770" s="1530"/>
      <c r="CS1770" s="1530"/>
      <c r="CT1770" s="1530"/>
      <c r="CU1770" s="1530"/>
      <c r="CV1770" s="1530"/>
      <c r="CW1770" s="1530"/>
      <c r="CX1770" s="1530"/>
      <c r="CY1770" s="1530"/>
      <c r="CZ1770" s="1530"/>
      <c r="DA1770" s="1530"/>
      <c r="DB1770" s="1530"/>
      <c r="DC1770" s="1530"/>
      <c r="DD1770" s="1530"/>
      <c r="DE1770" s="1530"/>
      <c r="DF1770" s="1530"/>
      <c r="DG1770" s="1530"/>
      <c r="DH1770" s="1530"/>
      <c r="DI1770" s="1530"/>
      <c r="DJ1770" s="1530"/>
      <c r="DK1770" s="1530"/>
      <c r="DL1770" s="1530"/>
      <c r="DM1770" s="1530"/>
      <c r="DN1770" s="1571"/>
      <c r="DO1770" s="1530"/>
      <c r="DP1770" s="1530"/>
    </row>
    <row r="1771" spans="1:120">
      <c r="A1771" s="1451"/>
      <c r="C1771" s="1451"/>
      <c r="K1771" s="1451"/>
      <c r="L1771" s="1451"/>
      <c r="U1771" s="1451"/>
      <c r="AD1771" s="1451"/>
      <c r="AM1771" s="1451"/>
      <c r="AV1771" s="1451"/>
      <c r="BE1771" s="1451"/>
      <c r="BN1771" s="1451"/>
      <c r="BV1771" s="1451"/>
      <c r="BW1771" s="1451"/>
      <c r="CF1771" s="1451"/>
      <c r="CN1771" s="1451"/>
      <c r="CO1771" s="1530"/>
      <c r="CP1771" s="1530"/>
      <c r="CQ1771" s="1530"/>
      <c r="CR1771" s="1530"/>
      <c r="CS1771" s="1530"/>
      <c r="CT1771" s="1530"/>
      <c r="CU1771" s="1530"/>
      <c r="CV1771" s="1530"/>
      <c r="CW1771" s="1530"/>
      <c r="CX1771" s="1530"/>
      <c r="CY1771" s="1530"/>
      <c r="CZ1771" s="1530"/>
      <c r="DA1771" s="1530"/>
      <c r="DB1771" s="1530"/>
      <c r="DC1771" s="1530"/>
      <c r="DD1771" s="1530"/>
      <c r="DE1771" s="1530"/>
      <c r="DF1771" s="1530"/>
      <c r="DG1771" s="1530"/>
      <c r="DH1771" s="1530"/>
      <c r="DI1771" s="1530"/>
      <c r="DJ1771" s="1530"/>
      <c r="DK1771" s="1530"/>
      <c r="DL1771" s="1530"/>
      <c r="DM1771" s="1530"/>
      <c r="DN1771" s="1571"/>
      <c r="DO1771" s="1530"/>
      <c r="DP1771" s="1530"/>
    </row>
    <row r="1772" spans="1:120">
      <c r="A1772" s="1451"/>
      <c r="C1772" s="1451"/>
      <c r="K1772" s="1451"/>
      <c r="L1772" s="1451"/>
      <c r="U1772" s="1451"/>
      <c r="AD1772" s="1451"/>
      <c r="AM1772" s="1451"/>
      <c r="AV1772" s="1451"/>
      <c r="BE1772" s="1451"/>
      <c r="BN1772" s="1451"/>
      <c r="BV1772" s="1451"/>
      <c r="BW1772" s="1451"/>
      <c r="CF1772" s="1451"/>
      <c r="CN1772" s="1451"/>
      <c r="CO1772" s="1530"/>
      <c r="CP1772" s="1530"/>
      <c r="CQ1772" s="1530"/>
      <c r="CR1772" s="1530"/>
      <c r="CS1772" s="1530"/>
      <c r="CT1772" s="1530"/>
      <c r="CU1772" s="1530"/>
      <c r="CV1772" s="1530"/>
      <c r="CW1772" s="1530"/>
      <c r="CX1772" s="1530"/>
      <c r="CY1772" s="1530"/>
      <c r="CZ1772" s="1530"/>
      <c r="DA1772" s="1530"/>
      <c r="DB1772" s="1530"/>
      <c r="DC1772" s="1530"/>
      <c r="DD1772" s="1530"/>
      <c r="DE1772" s="1530"/>
      <c r="DF1772" s="1530"/>
      <c r="DG1772" s="1530"/>
      <c r="DH1772" s="1530"/>
      <c r="DI1772" s="1530"/>
      <c r="DJ1772" s="1530"/>
      <c r="DK1772" s="1530"/>
      <c r="DL1772" s="1530"/>
      <c r="DM1772" s="1530"/>
      <c r="DN1772" s="1571"/>
      <c r="DO1772" s="1530"/>
      <c r="DP1772" s="1530"/>
    </row>
    <row r="1773" spans="1:120">
      <c r="A1773" s="1451"/>
      <c r="C1773" s="1451"/>
      <c r="K1773" s="1451"/>
      <c r="L1773" s="1451"/>
      <c r="U1773" s="1451"/>
      <c r="AD1773" s="1451"/>
      <c r="AM1773" s="1451"/>
      <c r="AV1773" s="1451"/>
      <c r="BE1773" s="1451"/>
      <c r="BN1773" s="1451"/>
      <c r="BV1773" s="1451"/>
      <c r="BW1773" s="1451"/>
      <c r="CF1773" s="1451"/>
      <c r="CN1773" s="1451"/>
      <c r="CO1773" s="1530"/>
      <c r="CP1773" s="1530"/>
      <c r="CQ1773" s="1530"/>
      <c r="CR1773" s="1530"/>
      <c r="CS1773" s="1530"/>
      <c r="CT1773" s="1530"/>
      <c r="CU1773" s="1530"/>
      <c r="CV1773" s="1530"/>
      <c r="CW1773" s="1530"/>
      <c r="CX1773" s="1530"/>
      <c r="CY1773" s="1530"/>
      <c r="CZ1773" s="1530"/>
      <c r="DA1773" s="1530"/>
      <c r="DB1773" s="1530"/>
      <c r="DC1773" s="1530"/>
      <c r="DD1773" s="1530"/>
      <c r="DE1773" s="1530"/>
      <c r="DF1773" s="1530"/>
      <c r="DG1773" s="1530"/>
      <c r="DH1773" s="1530"/>
      <c r="DI1773" s="1530"/>
      <c r="DJ1773" s="1530"/>
      <c r="DK1773" s="1530"/>
      <c r="DL1773" s="1530"/>
      <c r="DM1773" s="1530"/>
      <c r="DN1773" s="1571"/>
      <c r="DO1773" s="1530"/>
      <c r="DP1773" s="1530"/>
    </row>
    <row r="1774" spans="1:120">
      <c r="A1774" s="1451"/>
      <c r="C1774" s="1451"/>
      <c r="K1774" s="1451"/>
      <c r="L1774" s="1451"/>
      <c r="U1774" s="1451"/>
      <c r="AD1774" s="1451"/>
      <c r="AM1774" s="1451"/>
      <c r="AV1774" s="1451"/>
      <c r="BE1774" s="1451"/>
      <c r="BN1774" s="1451"/>
      <c r="BV1774" s="1451"/>
      <c r="BW1774" s="1451"/>
      <c r="CF1774" s="1451"/>
      <c r="CN1774" s="1451"/>
      <c r="CO1774" s="1530"/>
      <c r="CP1774" s="1530"/>
      <c r="CQ1774" s="1530"/>
      <c r="CR1774" s="1530"/>
      <c r="CS1774" s="1530"/>
      <c r="CT1774" s="1530"/>
      <c r="CU1774" s="1530"/>
      <c r="CV1774" s="1530"/>
      <c r="CW1774" s="1530"/>
      <c r="CX1774" s="1530"/>
      <c r="CY1774" s="1530"/>
      <c r="CZ1774" s="1530"/>
      <c r="DA1774" s="1530"/>
      <c r="DB1774" s="1530"/>
      <c r="DC1774" s="1530"/>
      <c r="DD1774" s="1530"/>
      <c r="DE1774" s="1530"/>
      <c r="DF1774" s="1530"/>
      <c r="DG1774" s="1530"/>
      <c r="DH1774" s="1530"/>
      <c r="DI1774" s="1530"/>
      <c r="DJ1774" s="1530"/>
      <c r="DK1774" s="1530"/>
      <c r="DL1774" s="1530"/>
      <c r="DM1774" s="1530"/>
      <c r="DN1774" s="1571"/>
      <c r="DO1774" s="1530"/>
      <c r="DP1774" s="1530"/>
    </row>
    <row r="1775" spans="1:120">
      <c r="A1775" s="1451"/>
      <c r="C1775" s="1451"/>
      <c r="K1775" s="1451"/>
      <c r="L1775" s="1451"/>
      <c r="U1775" s="1451"/>
      <c r="AD1775" s="1451"/>
      <c r="AM1775" s="1451"/>
      <c r="AV1775" s="1451"/>
      <c r="BE1775" s="1451"/>
      <c r="BN1775" s="1451"/>
      <c r="BV1775" s="1451"/>
      <c r="BW1775" s="1451"/>
      <c r="CF1775" s="1451"/>
      <c r="CN1775" s="1451"/>
      <c r="CO1775" s="1530"/>
      <c r="CP1775" s="1530"/>
      <c r="CQ1775" s="1530"/>
      <c r="CR1775" s="1530"/>
      <c r="CS1775" s="1530"/>
      <c r="CT1775" s="1530"/>
      <c r="CU1775" s="1530"/>
      <c r="CV1775" s="1530"/>
      <c r="CW1775" s="1530"/>
      <c r="CX1775" s="1530"/>
      <c r="CY1775" s="1530"/>
      <c r="CZ1775" s="1530"/>
      <c r="DA1775" s="1530"/>
      <c r="DB1775" s="1530"/>
      <c r="DC1775" s="1530"/>
      <c r="DD1775" s="1530"/>
      <c r="DE1775" s="1530"/>
      <c r="DF1775" s="1530"/>
      <c r="DG1775" s="1530"/>
      <c r="DH1775" s="1530"/>
      <c r="DI1775" s="1530"/>
      <c r="DJ1775" s="1530"/>
      <c r="DK1775" s="1530"/>
      <c r="DL1775" s="1530"/>
      <c r="DM1775" s="1530"/>
      <c r="DN1775" s="1571"/>
      <c r="DO1775" s="1530"/>
      <c r="DP1775" s="1530"/>
    </row>
    <row r="1776" spans="1:120">
      <c r="A1776" s="1451"/>
      <c r="C1776" s="1451"/>
      <c r="K1776" s="1451"/>
      <c r="L1776" s="1451"/>
      <c r="U1776" s="1451"/>
      <c r="AD1776" s="1451"/>
      <c r="AM1776" s="1451"/>
      <c r="AV1776" s="1451"/>
      <c r="BE1776" s="1451"/>
      <c r="BN1776" s="1451"/>
      <c r="BV1776" s="1451"/>
      <c r="BW1776" s="1451"/>
      <c r="CF1776" s="1451"/>
      <c r="CN1776" s="1451"/>
      <c r="CO1776" s="1530"/>
      <c r="CP1776" s="1530"/>
      <c r="CQ1776" s="1530"/>
      <c r="CR1776" s="1530"/>
      <c r="CS1776" s="1530"/>
      <c r="CT1776" s="1530"/>
      <c r="CU1776" s="1530"/>
      <c r="CV1776" s="1530"/>
      <c r="CW1776" s="1530"/>
      <c r="CX1776" s="1530"/>
      <c r="CY1776" s="1530"/>
      <c r="CZ1776" s="1530"/>
      <c r="DA1776" s="1530"/>
      <c r="DB1776" s="1530"/>
      <c r="DC1776" s="1530"/>
      <c r="DD1776" s="1530"/>
      <c r="DE1776" s="1530"/>
      <c r="DF1776" s="1530"/>
      <c r="DG1776" s="1530"/>
      <c r="DH1776" s="1530"/>
      <c r="DI1776" s="1530"/>
      <c r="DJ1776" s="1530"/>
      <c r="DK1776" s="1530"/>
      <c r="DL1776" s="1530"/>
      <c r="DM1776" s="1530"/>
      <c r="DN1776" s="1571"/>
      <c r="DO1776" s="1530"/>
      <c r="DP1776" s="1530"/>
    </row>
    <row r="1777" spans="1:120">
      <c r="A1777" s="1451"/>
      <c r="C1777" s="1451"/>
      <c r="K1777" s="1451"/>
      <c r="L1777" s="1451"/>
      <c r="U1777" s="1451"/>
      <c r="AD1777" s="1451"/>
      <c r="AM1777" s="1451"/>
      <c r="AV1777" s="1451"/>
      <c r="BE1777" s="1451"/>
      <c r="BN1777" s="1451"/>
      <c r="BV1777" s="1451"/>
      <c r="BW1777" s="1451"/>
      <c r="CF1777" s="1451"/>
      <c r="CN1777" s="1451"/>
      <c r="CO1777" s="1530"/>
      <c r="CP1777" s="1530"/>
      <c r="CQ1777" s="1530"/>
      <c r="CR1777" s="1530"/>
      <c r="CS1777" s="1530"/>
      <c r="CT1777" s="1530"/>
      <c r="CU1777" s="1530"/>
      <c r="CV1777" s="1530"/>
      <c r="CW1777" s="1530"/>
      <c r="CX1777" s="1530"/>
      <c r="CY1777" s="1530"/>
      <c r="CZ1777" s="1530"/>
      <c r="DA1777" s="1530"/>
      <c r="DB1777" s="1530"/>
      <c r="DC1777" s="1530"/>
      <c r="DD1777" s="1530"/>
      <c r="DE1777" s="1530"/>
      <c r="DF1777" s="1530"/>
      <c r="DG1777" s="1530"/>
      <c r="DH1777" s="1530"/>
      <c r="DI1777" s="1530"/>
      <c r="DJ1777" s="1530"/>
      <c r="DK1777" s="1530"/>
      <c r="DL1777" s="1530"/>
      <c r="DM1777" s="1530"/>
      <c r="DN1777" s="1571"/>
      <c r="DO1777" s="1530"/>
      <c r="DP1777" s="1530"/>
    </row>
    <row r="1778" spans="1:120">
      <c r="A1778" s="1451"/>
      <c r="C1778" s="1451"/>
      <c r="K1778" s="1451"/>
      <c r="L1778" s="1451"/>
      <c r="U1778" s="1451"/>
      <c r="AD1778" s="1451"/>
      <c r="AM1778" s="1451"/>
      <c r="AV1778" s="1451"/>
      <c r="BE1778" s="1451"/>
      <c r="BN1778" s="1451"/>
      <c r="BV1778" s="1451"/>
      <c r="BW1778" s="1451"/>
      <c r="CF1778" s="1451"/>
      <c r="CN1778" s="1451"/>
      <c r="CO1778" s="1530"/>
      <c r="CP1778" s="1530"/>
      <c r="CQ1778" s="1530"/>
      <c r="CR1778" s="1530"/>
      <c r="CS1778" s="1530"/>
      <c r="CT1778" s="1530"/>
      <c r="CU1778" s="1530"/>
      <c r="CV1778" s="1530"/>
      <c r="CW1778" s="1530"/>
      <c r="CX1778" s="1530"/>
      <c r="CY1778" s="1530"/>
      <c r="CZ1778" s="1530"/>
      <c r="DA1778" s="1530"/>
      <c r="DB1778" s="1530"/>
      <c r="DC1778" s="1530"/>
      <c r="DD1778" s="1530"/>
      <c r="DE1778" s="1530"/>
      <c r="DF1778" s="1530"/>
      <c r="DG1778" s="1530"/>
      <c r="DH1778" s="1530"/>
      <c r="DI1778" s="1530"/>
      <c r="DJ1778" s="1530"/>
      <c r="DK1778" s="1530"/>
      <c r="DL1778" s="1530"/>
      <c r="DM1778" s="1530"/>
      <c r="DN1778" s="1571"/>
      <c r="DO1778" s="1530"/>
      <c r="DP1778" s="1530"/>
    </row>
    <row r="1779" spans="1:120">
      <c r="A1779" s="1451"/>
      <c r="C1779" s="1451"/>
      <c r="K1779" s="1451"/>
      <c r="L1779" s="1451"/>
      <c r="U1779" s="1451"/>
      <c r="AD1779" s="1451"/>
      <c r="AM1779" s="1451"/>
      <c r="AV1779" s="1451"/>
      <c r="BE1779" s="1451"/>
      <c r="BN1779" s="1451"/>
      <c r="BV1779" s="1451"/>
      <c r="BW1779" s="1451"/>
      <c r="CF1779" s="1451"/>
      <c r="CN1779" s="1451"/>
      <c r="CO1779" s="1530"/>
      <c r="CP1779" s="1530"/>
      <c r="CQ1779" s="1530"/>
      <c r="CR1779" s="1530"/>
      <c r="CS1779" s="1530"/>
      <c r="CT1779" s="1530"/>
      <c r="CU1779" s="1530"/>
      <c r="CV1779" s="1530"/>
      <c r="CW1779" s="1530"/>
      <c r="CX1779" s="1530"/>
      <c r="CY1779" s="1530"/>
      <c r="CZ1779" s="1530"/>
      <c r="DA1779" s="1530"/>
      <c r="DB1779" s="1530"/>
      <c r="DC1779" s="1530"/>
      <c r="DD1779" s="1530"/>
      <c r="DE1779" s="1530"/>
      <c r="DF1779" s="1530"/>
      <c r="DG1779" s="1530"/>
      <c r="DH1779" s="1530"/>
      <c r="DI1779" s="1530"/>
      <c r="DJ1779" s="1530"/>
      <c r="DK1779" s="1530"/>
      <c r="DL1779" s="1530"/>
      <c r="DM1779" s="1530"/>
      <c r="DN1779" s="1571"/>
      <c r="DO1779" s="1530"/>
      <c r="DP1779" s="1530"/>
    </row>
    <row r="1780" spans="1:120">
      <c r="A1780" s="1451"/>
      <c r="C1780" s="1451"/>
      <c r="K1780" s="1451"/>
      <c r="L1780" s="1451"/>
      <c r="U1780" s="1451"/>
      <c r="AD1780" s="1451"/>
      <c r="AM1780" s="1451"/>
      <c r="AV1780" s="1451"/>
      <c r="BE1780" s="1451"/>
      <c r="BN1780" s="1451"/>
      <c r="BV1780" s="1451"/>
      <c r="BW1780" s="1451"/>
      <c r="CF1780" s="1451"/>
      <c r="CN1780" s="1451"/>
      <c r="CO1780" s="1530"/>
      <c r="CP1780" s="1530"/>
      <c r="CQ1780" s="1530"/>
      <c r="CR1780" s="1530"/>
      <c r="CS1780" s="1530"/>
      <c r="CT1780" s="1530"/>
      <c r="CU1780" s="1530"/>
      <c r="CV1780" s="1530"/>
      <c r="CW1780" s="1530"/>
      <c r="CX1780" s="1530"/>
      <c r="CY1780" s="1530"/>
      <c r="CZ1780" s="1530"/>
      <c r="DA1780" s="1530"/>
      <c r="DB1780" s="1530"/>
      <c r="DC1780" s="1530"/>
      <c r="DD1780" s="1530"/>
      <c r="DE1780" s="1530"/>
      <c r="DF1780" s="1530"/>
      <c r="DG1780" s="1530"/>
      <c r="DH1780" s="1530"/>
      <c r="DI1780" s="1530"/>
      <c r="DJ1780" s="1530"/>
      <c r="DK1780" s="1530"/>
      <c r="DL1780" s="1530"/>
      <c r="DM1780" s="1530"/>
      <c r="DN1780" s="1571"/>
      <c r="DO1780" s="1530"/>
      <c r="DP1780" s="1530"/>
    </row>
    <row r="1781" spans="1:120">
      <c r="A1781" s="1451"/>
      <c r="C1781" s="1451"/>
      <c r="K1781" s="1451"/>
      <c r="L1781" s="1451"/>
      <c r="U1781" s="1451"/>
      <c r="AD1781" s="1451"/>
      <c r="AM1781" s="1451"/>
      <c r="AV1781" s="1451"/>
      <c r="BE1781" s="1451"/>
      <c r="BN1781" s="1451"/>
      <c r="BV1781" s="1451"/>
      <c r="BW1781" s="1451"/>
      <c r="CF1781" s="1451"/>
      <c r="CN1781" s="1451"/>
      <c r="CO1781" s="1530"/>
      <c r="CP1781" s="1530"/>
      <c r="CQ1781" s="1530"/>
      <c r="CR1781" s="1530"/>
      <c r="CS1781" s="1530"/>
      <c r="CT1781" s="1530"/>
      <c r="CU1781" s="1530"/>
      <c r="CV1781" s="1530"/>
      <c r="CW1781" s="1530"/>
      <c r="CX1781" s="1530"/>
      <c r="CY1781" s="1530"/>
      <c r="CZ1781" s="1530"/>
      <c r="DA1781" s="1530"/>
      <c r="DB1781" s="1530"/>
      <c r="DC1781" s="1530"/>
      <c r="DD1781" s="1530"/>
      <c r="DE1781" s="1530"/>
      <c r="DF1781" s="1530"/>
      <c r="DG1781" s="1530"/>
      <c r="DH1781" s="1530"/>
      <c r="DI1781" s="1530"/>
      <c r="DJ1781" s="1530"/>
      <c r="DK1781" s="1530"/>
      <c r="DL1781" s="1530"/>
      <c r="DM1781" s="1530"/>
      <c r="DN1781" s="1571"/>
      <c r="DO1781" s="1530"/>
      <c r="DP1781" s="1530"/>
    </row>
    <row r="1782" spans="1:120">
      <c r="A1782" s="1451"/>
      <c r="C1782" s="1451"/>
      <c r="K1782" s="1451"/>
      <c r="L1782" s="1451"/>
      <c r="U1782" s="1451"/>
      <c r="AD1782" s="1451"/>
      <c r="AM1782" s="1451"/>
      <c r="AV1782" s="1451"/>
      <c r="BE1782" s="1451"/>
      <c r="BN1782" s="1451"/>
      <c r="BV1782" s="1451"/>
      <c r="BW1782" s="1451"/>
      <c r="CF1782" s="1451"/>
      <c r="CN1782" s="1451"/>
      <c r="CO1782" s="1530"/>
      <c r="CP1782" s="1530"/>
      <c r="CQ1782" s="1530"/>
      <c r="CR1782" s="1530"/>
      <c r="CS1782" s="1530"/>
      <c r="CT1782" s="1530"/>
      <c r="CU1782" s="1530"/>
      <c r="CV1782" s="1530"/>
      <c r="CW1782" s="1530"/>
      <c r="CX1782" s="1530"/>
      <c r="CY1782" s="1530"/>
      <c r="CZ1782" s="1530"/>
      <c r="DA1782" s="1530"/>
      <c r="DB1782" s="1530"/>
      <c r="DC1782" s="1530"/>
      <c r="DD1782" s="1530"/>
      <c r="DE1782" s="1530"/>
      <c r="DF1782" s="1530"/>
      <c r="DG1782" s="1530"/>
      <c r="DH1782" s="1530"/>
      <c r="DI1782" s="1530"/>
      <c r="DJ1782" s="1530"/>
      <c r="DK1782" s="1530"/>
      <c r="DL1782" s="1530"/>
      <c r="DM1782" s="1530"/>
      <c r="DN1782" s="1571"/>
      <c r="DO1782" s="1530"/>
      <c r="DP1782" s="1530"/>
    </row>
    <row r="1783" spans="1:120">
      <c r="A1783" s="1451"/>
      <c r="C1783" s="1451"/>
      <c r="K1783" s="1451"/>
      <c r="L1783" s="1451"/>
      <c r="U1783" s="1451"/>
      <c r="AD1783" s="1451"/>
      <c r="AM1783" s="1451"/>
      <c r="AV1783" s="1451"/>
      <c r="BE1783" s="1451"/>
      <c r="BN1783" s="1451"/>
      <c r="BV1783" s="1451"/>
      <c r="BW1783" s="1451"/>
      <c r="CF1783" s="1451"/>
      <c r="CN1783" s="1451"/>
      <c r="CO1783" s="1530"/>
      <c r="CP1783" s="1530"/>
      <c r="CQ1783" s="1530"/>
      <c r="CR1783" s="1530"/>
      <c r="CS1783" s="1530"/>
      <c r="CT1783" s="1530"/>
      <c r="CU1783" s="1530"/>
      <c r="CV1783" s="1530"/>
      <c r="CW1783" s="1530"/>
      <c r="CX1783" s="1530"/>
      <c r="CY1783" s="1530"/>
      <c r="CZ1783" s="1530"/>
      <c r="DA1783" s="1530"/>
      <c r="DB1783" s="1530"/>
      <c r="DC1783" s="1530"/>
      <c r="DD1783" s="1530"/>
      <c r="DE1783" s="1530"/>
      <c r="DF1783" s="1530"/>
      <c r="DG1783" s="1530"/>
      <c r="DH1783" s="1530"/>
      <c r="DI1783" s="1530"/>
      <c r="DJ1783" s="1530"/>
      <c r="DK1783" s="1530"/>
      <c r="DL1783" s="1530"/>
      <c r="DM1783" s="1530"/>
      <c r="DN1783" s="1571"/>
      <c r="DO1783" s="1530"/>
      <c r="DP1783" s="1530"/>
    </row>
    <row r="1784" spans="1:120">
      <c r="A1784" s="1451"/>
      <c r="C1784" s="1451"/>
      <c r="K1784" s="1451"/>
      <c r="L1784" s="1451"/>
      <c r="U1784" s="1451"/>
      <c r="AD1784" s="1451"/>
      <c r="AM1784" s="1451"/>
      <c r="AV1784" s="1451"/>
      <c r="BE1784" s="1451"/>
      <c r="BN1784" s="1451"/>
      <c r="BV1784" s="1451"/>
      <c r="BW1784" s="1451"/>
      <c r="CF1784" s="1451"/>
      <c r="CN1784" s="1451"/>
      <c r="CO1784" s="1530"/>
      <c r="CP1784" s="1530"/>
      <c r="CQ1784" s="1530"/>
      <c r="CR1784" s="1530"/>
      <c r="CS1784" s="1530"/>
      <c r="CT1784" s="1530"/>
      <c r="CU1784" s="1530"/>
      <c r="CV1784" s="1530"/>
      <c r="CW1784" s="1530"/>
      <c r="CX1784" s="1530"/>
      <c r="CY1784" s="1530"/>
      <c r="CZ1784" s="1530"/>
      <c r="DA1784" s="1530"/>
      <c r="DB1784" s="1530"/>
      <c r="DC1784" s="1530"/>
      <c r="DD1784" s="1530"/>
      <c r="DE1784" s="1530"/>
      <c r="DF1784" s="1530"/>
      <c r="DG1784" s="1530"/>
      <c r="DH1784" s="1530"/>
      <c r="DI1784" s="1530"/>
      <c r="DJ1784" s="1530"/>
      <c r="DK1784" s="1530"/>
      <c r="DL1784" s="1530"/>
      <c r="DM1784" s="1530"/>
      <c r="DN1784" s="1571"/>
      <c r="DO1784" s="1530"/>
      <c r="DP1784" s="1530"/>
    </row>
    <row r="1785" spans="1:120">
      <c r="A1785" s="1451"/>
      <c r="C1785" s="1451"/>
      <c r="K1785" s="1451"/>
      <c r="L1785" s="1451"/>
      <c r="U1785" s="1451"/>
      <c r="AD1785" s="1451"/>
      <c r="AM1785" s="1451"/>
      <c r="AV1785" s="1451"/>
      <c r="BE1785" s="1451"/>
      <c r="BN1785" s="1451"/>
      <c r="BV1785" s="1451"/>
      <c r="BW1785" s="1451"/>
      <c r="CF1785" s="1451"/>
      <c r="CN1785" s="1451"/>
      <c r="CO1785" s="1530"/>
      <c r="CP1785" s="1530"/>
      <c r="CQ1785" s="1530"/>
      <c r="CR1785" s="1530"/>
      <c r="CS1785" s="1530"/>
      <c r="CT1785" s="1530"/>
      <c r="CU1785" s="1530"/>
      <c r="CV1785" s="1530"/>
      <c r="CW1785" s="1530"/>
      <c r="CX1785" s="1530"/>
      <c r="CY1785" s="1530"/>
      <c r="CZ1785" s="1530"/>
      <c r="DA1785" s="1530"/>
      <c r="DB1785" s="1530"/>
      <c r="DC1785" s="1530"/>
      <c r="DD1785" s="1530"/>
      <c r="DE1785" s="1530"/>
      <c r="DF1785" s="1530"/>
      <c r="DG1785" s="1530"/>
      <c r="DH1785" s="1530"/>
      <c r="DI1785" s="1530"/>
      <c r="DJ1785" s="1530"/>
      <c r="DK1785" s="1530"/>
      <c r="DL1785" s="1530"/>
      <c r="DM1785" s="1530"/>
      <c r="DN1785" s="1571"/>
      <c r="DO1785" s="1530"/>
      <c r="DP1785" s="1530"/>
    </row>
    <row r="1786" spans="1:120">
      <c r="A1786" s="1451"/>
      <c r="C1786" s="1451"/>
      <c r="K1786" s="1451"/>
      <c r="L1786" s="1451"/>
      <c r="U1786" s="1451"/>
      <c r="AD1786" s="1451"/>
      <c r="AM1786" s="1451"/>
      <c r="AV1786" s="1451"/>
      <c r="BE1786" s="1451"/>
      <c r="BN1786" s="1451"/>
      <c r="BV1786" s="1451"/>
      <c r="BW1786" s="1451"/>
      <c r="CF1786" s="1451"/>
      <c r="CN1786" s="1451"/>
      <c r="CO1786" s="1530"/>
      <c r="CP1786" s="1530"/>
      <c r="CQ1786" s="1530"/>
      <c r="CR1786" s="1530"/>
      <c r="CS1786" s="1530"/>
      <c r="CT1786" s="1530"/>
      <c r="CU1786" s="1530"/>
      <c r="CV1786" s="1530"/>
      <c r="CW1786" s="1530"/>
      <c r="CX1786" s="1530"/>
      <c r="CY1786" s="1530"/>
      <c r="CZ1786" s="1530"/>
      <c r="DA1786" s="1530"/>
      <c r="DB1786" s="1530"/>
      <c r="DC1786" s="1530"/>
      <c r="DD1786" s="1530"/>
      <c r="DE1786" s="1530"/>
      <c r="DF1786" s="1530"/>
      <c r="DG1786" s="1530"/>
      <c r="DH1786" s="1530"/>
      <c r="DI1786" s="1530"/>
      <c r="DJ1786" s="1530"/>
      <c r="DK1786" s="1530"/>
      <c r="DL1786" s="1530"/>
      <c r="DM1786" s="1530"/>
      <c r="DN1786" s="1571"/>
      <c r="DO1786" s="1530"/>
      <c r="DP1786" s="1530"/>
    </row>
    <row r="1787" spans="1:120">
      <c r="A1787" s="1451"/>
      <c r="C1787" s="1451"/>
      <c r="K1787" s="1451"/>
      <c r="L1787" s="1451"/>
      <c r="U1787" s="1451"/>
      <c r="AD1787" s="1451"/>
      <c r="AM1787" s="1451"/>
      <c r="AV1787" s="1451"/>
      <c r="BE1787" s="1451"/>
      <c r="BN1787" s="1451"/>
      <c r="BV1787" s="1451"/>
      <c r="BW1787" s="1451"/>
      <c r="CF1787" s="1451"/>
      <c r="CN1787" s="1451"/>
      <c r="CO1787" s="1530"/>
      <c r="CP1787" s="1530"/>
      <c r="CQ1787" s="1530"/>
      <c r="CR1787" s="1530"/>
      <c r="CS1787" s="1530"/>
      <c r="CT1787" s="1530"/>
      <c r="CU1787" s="1530"/>
      <c r="CV1787" s="1530"/>
      <c r="CW1787" s="1530"/>
      <c r="CX1787" s="1530"/>
      <c r="CY1787" s="1530"/>
      <c r="CZ1787" s="1530"/>
      <c r="DA1787" s="1530"/>
      <c r="DB1787" s="1530"/>
      <c r="DC1787" s="1530"/>
      <c r="DD1787" s="1530"/>
      <c r="DE1787" s="1530"/>
      <c r="DF1787" s="1530"/>
      <c r="DG1787" s="1530"/>
      <c r="DH1787" s="1530"/>
      <c r="DI1787" s="1530"/>
      <c r="DJ1787" s="1530"/>
      <c r="DK1787" s="1530"/>
      <c r="DL1787" s="1530"/>
      <c r="DM1787" s="1530"/>
      <c r="DN1787" s="1571"/>
      <c r="DO1787" s="1530"/>
      <c r="DP1787" s="1530"/>
    </row>
    <row r="1788" spans="1:120">
      <c r="A1788" s="1451"/>
      <c r="C1788" s="1451"/>
      <c r="K1788" s="1451"/>
      <c r="L1788" s="1451"/>
      <c r="U1788" s="1451"/>
      <c r="AD1788" s="1451"/>
      <c r="AM1788" s="1451"/>
      <c r="AV1788" s="1451"/>
      <c r="BE1788" s="1451"/>
      <c r="BN1788" s="1451"/>
      <c r="BV1788" s="1451"/>
      <c r="BW1788" s="1451"/>
      <c r="CF1788" s="1451"/>
      <c r="CN1788" s="1451"/>
      <c r="CO1788" s="1530"/>
      <c r="CP1788" s="1530"/>
      <c r="CQ1788" s="1530"/>
      <c r="CR1788" s="1530"/>
      <c r="CS1788" s="1530"/>
      <c r="CT1788" s="1530"/>
      <c r="CU1788" s="1530"/>
      <c r="CV1788" s="1530"/>
      <c r="CW1788" s="1530"/>
      <c r="CX1788" s="1530"/>
      <c r="CY1788" s="1530"/>
      <c r="CZ1788" s="1530"/>
      <c r="DA1788" s="1530"/>
      <c r="DB1788" s="1530"/>
      <c r="DC1788" s="1530"/>
      <c r="DD1788" s="1530"/>
      <c r="DE1788" s="1530"/>
      <c r="DF1788" s="1530"/>
      <c r="DG1788" s="1530"/>
      <c r="DH1788" s="1530"/>
      <c r="DI1788" s="1530"/>
      <c r="DJ1788" s="1530"/>
      <c r="DK1788" s="1530"/>
      <c r="DL1788" s="1530"/>
      <c r="DM1788" s="1530"/>
      <c r="DN1788" s="1571"/>
      <c r="DO1788" s="1530"/>
      <c r="DP1788" s="1530"/>
    </row>
    <row r="1789" spans="1:120">
      <c r="A1789" s="1451"/>
      <c r="C1789" s="1451"/>
      <c r="K1789" s="1451"/>
      <c r="L1789" s="1451"/>
      <c r="U1789" s="1451"/>
      <c r="AD1789" s="1451"/>
      <c r="AM1789" s="1451"/>
      <c r="AV1789" s="1451"/>
      <c r="BE1789" s="1451"/>
      <c r="BN1789" s="1451"/>
      <c r="BV1789" s="1451"/>
      <c r="BW1789" s="1451"/>
      <c r="CF1789" s="1451"/>
      <c r="CN1789" s="1451"/>
      <c r="CO1789" s="1530"/>
      <c r="CP1789" s="1530"/>
      <c r="CQ1789" s="1530"/>
      <c r="CR1789" s="1530"/>
      <c r="CS1789" s="1530"/>
      <c r="CT1789" s="1530"/>
      <c r="CU1789" s="1530"/>
      <c r="CV1789" s="1530"/>
      <c r="CW1789" s="1530"/>
      <c r="CX1789" s="1530"/>
      <c r="CY1789" s="1530"/>
      <c r="CZ1789" s="1530"/>
      <c r="DA1789" s="1530"/>
      <c r="DB1789" s="1530"/>
      <c r="DC1789" s="1530"/>
      <c r="DD1789" s="1530"/>
      <c r="DE1789" s="1530"/>
      <c r="DF1789" s="1530"/>
      <c r="DG1789" s="1530"/>
      <c r="DH1789" s="1530"/>
      <c r="DI1789" s="1530"/>
      <c r="DJ1789" s="1530"/>
      <c r="DK1789" s="1530"/>
      <c r="DL1789" s="1530"/>
      <c r="DM1789" s="1530"/>
      <c r="DN1789" s="1571"/>
      <c r="DO1789" s="1530"/>
      <c r="DP1789" s="1530"/>
    </row>
    <row r="1790" spans="1:120">
      <c r="A1790" s="1451"/>
      <c r="C1790" s="1451"/>
      <c r="K1790" s="1451"/>
      <c r="L1790" s="1451"/>
      <c r="U1790" s="1451"/>
      <c r="AD1790" s="1451"/>
      <c r="AM1790" s="1451"/>
      <c r="AV1790" s="1451"/>
      <c r="BE1790" s="1451"/>
      <c r="BN1790" s="1451"/>
      <c r="BV1790" s="1451"/>
      <c r="BW1790" s="1451"/>
      <c r="CF1790" s="1451"/>
      <c r="CN1790" s="1451"/>
      <c r="CO1790" s="1530"/>
      <c r="CP1790" s="1530"/>
      <c r="CQ1790" s="1530"/>
      <c r="CR1790" s="1530"/>
      <c r="CS1790" s="1530"/>
      <c r="CT1790" s="1530"/>
      <c r="CU1790" s="1530"/>
      <c r="CV1790" s="1530"/>
      <c r="CW1790" s="1530"/>
      <c r="CX1790" s="1530"/>
      <c r="CY1790" s="1530"/>
      <c r="CZ1790" s="1530"/>
      <c r="DA1790" s="1530"/>
      <c r="DB1790" s="1530"/>
      <c r="DC1790" s="1530"/>
      <c r="DD1790" s="1530"/>
      <c r="DE1790" s="1530"/>
      <c r="DF1790" s="1530"/>
      <c r="DG1790" s="1530"/>
      <c r="DH1790" s="1530"/>
      <c r="DI1790" s="1530"/>
      <c r="DJ1790" s="1530"/>
      <c r="DK1790" s="1530"/>
      <c r="DL1790" s="1530"/>
      <c r="DM1790" s="1530"/>
      <c r="DN1790" s="1571"/>
      <c r="DO1790" s="1530"/>
      <c r="DP1790" s="1530"/>
    </row>
    <row r="1791" spans="1:120">
      <c r="A1791" s="1451"/>
      <c r="C1791" s="1451"/>
      <c r="K1791" s="1451"/>
      <c r="L1791" s="1451"/>
      <c r="U1791" s="1451"/>
      <c r="AD1791" s="1451"/>
      <c r="AM1791" s="1451"/>
      <c r="AV1791" s="1451"/>
      <c r="BE1791" s="1451"/>
      <c r="BN1791" s="1451"/>
      <c r="BV1791" s="1451"/>
      <c r="BW1791" s="1451"/>
      <c r="CF1791" s="1451"/>
      <c r="CN1791" s="1451"/>
      <c r="CO1791" s="1530"/>
      <c r="CP1791" s="1530"/>
      <c r="CQ1791" s="1530"/>
      <c r="CR1791" s="1530"/>
      <c r="CS1791" s="1530"/>
      <c r="CT1791" s="1530"/>
      <c r="CU1791" s="1530"/>
      <c r="CV1791" s="1530"/>
      <c r="CW1791" s="1530"/>
      <c r="CX1791" s="1530"/>
      <c r="CY1791" s="1530"/>
      <c r="CZ1791" s="1530"/>
      <c r="DA1791" s="1530"/>
      <c r="DB1791" s="1530"/>
      <c r="DC1791" s="1530"/>
      <c r="DD1791" s="1530"/>
      <c r="DE1791" s="1530"/>
      <c r="DF1791" s="1530"/>
      <c r="DG1791" s="1530"/>
      <c r="DH1791" s="1530"/>
      <c r="DI1791" s="1530"/>
      <c r="DJ1791" s="1530"/>
      <c r="DK1791" s="1530"/>
      <c r="DL1791" s="1530"/>
      <c r="DM1791" s="1530"/>
      <c r="DN1791" s="1571"/>
      <c r="DO1791" s="1530"/>
      <c r="DP1791" s="1530"/>
    </row>
    <row r="1792" spans="1:120">
      <c r="A1792" s="1451"/>
      <c r="C1792" s="1451"/>
      <c r="K1792" s="1451"/>
      <c r="L1792" s="1451"/>
      <c r="U1792" s="1451"/>
      <c r="AD1792" s="1451"/>
      <c r="AM1792" s="1451"/>
      <c r="AV1792" s="1451"/>
      <c r="BE1792" s="1451"/>
      <c r="BN1792" s="1451"/>
      <c r="BV1792" s="1451"/>
      <c r="BW1792" s="1451"/>
      <c r="CF1792" s="1451"/>
      <c r="CN1792" s="1451"/>
      <c r="CO1792" s="1530"/>
      <c r="CP1792" s="1530"/>
      <c r="CQ1792" s="1530"/>
      <c r="CR1792" s="1530"/>
      <c r="CS1792" s="1530"/>
      <c r="CT1792" s="1530"/>
      <c r="CU1792" s="1530"/>
      <c r="CV1792" s="1530"/>
      <c r="CW1792" s="1530"/>
      <c r="CX1792" s="1530"/>
      <c r="CY1792" s="1530"/>
      <c r="CZ1792" s="1530"/>
      <c r="DA1792" s="1530"/>
      <c r="DB1792" s="1530"/>
      <c r="DC1792" s="1530"/>
      <c r="DD1792" s="1530"/>
      <c r="DE1792" s="1530"/>
      <c r="DF1792" s="1530"/>
      <c r="DG1792" s="1530"/>
      <c r="DH1792" s="1530"/>
      <c r="DI1792" s="1530"/>
      <c r="DJ1792" s="1530"/>
      <c r="DK1792" s="1530"/>
      <c r="DL1792" s="1530"/>
      <c r="DM1792" s="1530"/>
      <c r="DN1792" s="1571"/>
      <c r="DO1792" s="1530"/>
      <c r="DP1792" s="1530"/>
    </row>
    <row r="1793" spans="1:120">
      <c r="A1793" s="1451"/>
      <c r="C1793" s="1451"/>
      <c r="K1793" s="1451"/>
      <c r="L1793" s="1451"/>
      <c r="U1793" s="1451"/>
      <c r="AD1793" s="1451"/>
      <c r="AM1793" s="1451"/>
      <c r="AV1793" s="1451"/>
      <c r="BE1793" s="1451"/>
      <c r="BN1793" s="1451"/>
      <c r="BV1793" s="1451"/>
      <c r="BW1793" s="1451"/>
      <c r="CF1793" s="1451"/>
      <c r="CN1793" s="1451"/>
      <c r="CO1793" s="1530"/>
      <c r="CP1793" s="1530"/>
      <c r="CQ1793" s="1530"/>
      <c r="CR1793" s="1530"/>
      <c r="CS1793" s="1530"/>
      <c r="CT1793" s="1530"/>
      <c r="CU1793" s="1530"/>
      <c r="CV1793" s="1530"/>
      <c r="CW1793" s="1530"/>
      <c r="CX1793" s="1530"/>
      <c r="CY1793" s="1530"/>
      <c r="CZ1793" s="1530"/>
      <c r="DA1793" s="1530"/>
      <c r="DB1793" s="1530"/>
      <c r="DC1793" s="1530"/>
      <c r="DD1793" s="1530"/>
      <c r="DE1793" s="1530"/>
      <c r="DF1793" s="1530"/>
      <c r="DG1793" s="1530"/>
      <c r="DH1793" s="1530"/>
      <c r="DI1793" s="1530"/>
      <c r="DJ1793" s="1530"/>
      <c r="DK1793" s="1530"/>
      <c r="DL1793" s="1530"/>
      <c r="DM1793" s="1530"/>
      <c r="DN1793" s="1571"/>
      <c r="DO1793" s="1530"/>
      <c r="DP1793" s="1530"/>
    </row>
    <row r="1794" spans="1:120">
      <c r="A1794" s="1451"/>
      <c r="C1794" s="1451"/>
      <c r="K1794" s="1451"/>
      <c r="L1794" s="1451"/>
      <c r="U1794" s="1451"/>
      <c r="AD1794" s="1451"/>
      <c r="AM1794" s="1451"/>
      <c r="AV1794" s="1451"/>
      <c r="BE1794" s="1451"/>
      <c r="BN1794" s="1451"/>
      <c r="BV1794" s="1451"/>
      <c r="BW1794" s="1451"/>
      <c r="CF1794" s="1451"/>
      <c r="CN1794" s="1451"/>
      <c r="CO1794" s="1530"/>
      <c r="CP1794" s="1530"/>
      <c r="CQ1794" s="1530"/>
      <c r="CR1794" s="1530"/>
      <c r="CS1794" s="1530"/>
      <c r="CT1794" s="1530"/>
      <c r="CU1794" s="1530"/>
      <c r="CV1794" s="1530"/>
      <c r="CW1794" s="1530"/>
      <c r="CX1794" s="1530"/>
      <c r="CY1794" s="1530"/>
      <c r="CZ1794" s="1530"/>
      <c r="DA1794" s="1530"/>
      <c r="DB1794" s="1530"/>
      <c r="DC1794" s="1530"/>
      <c r="DD1794" s="1530"/>
      <c r="DE1794" s="1530"/>
      <c r="DF1794" s="1530"/>
      <c r="DG1794" s="1530"/>
      <c r="DH1794" s="1530"/>
      <c r="DI1794" s="1530"/>
      <c r="DJ1794" s="1530"/>
      <c r="DK1794" s="1530"/>
      <c r="DL1794" s="1530"/>
      <c r="DM1794" s="1530"/>
      <c r="DN1794" s="1571"/>
      <c r="DO1794" s="1530"/>
      <c r="DP1794" s="1530"/>
    </row>
    <row r="1795" spans="1:120">
      <c r="A1795" s="1451"/>
      <c r="C1795" s="1451"/>
      <c r="K1795" s="1451"/>
      <c r="L1795" s="1451"/>
      <c r="U1795" s="1451"/>
      <c r="AD1795" s="1451"/>
      <c r="AM1795" s="1451"/>
      <c r="AV1795" s="1451"/>
      <c r="BE1795" s="1451"/>
      <c r="BN1795" s="1451"/>
      <c r="BV1795" s="1451"/>
      <c r="BW1795" s="1451"/>
      <c r="CF1795" s="1451"/>
      <c r="CN1795" s="1451"/>
      <c r="CO1795" s="1530"/>
      <c r="CP1795" s="1530"/>
      <c r="CQ1795" s="1530"/>
      <c r="CR1795" s="1530"/>
      <c r="CS1795" s="1530"/>
      <c r="CT1795" s="1530"/>
      <c r="CU1795" s="1530"/>
      <c r="CV1795" s="1530"/>
      <c r="CW1795" s="1530"/>
      <c r="CX1795" s="1530"/>
      <c r="CY1795" s="1530"/>
      <c r="CZ1795" s="1530"/>
      <c r="DA1795" s="1530"/>
      <c r="DB1795" s="1530"/>
      <c r="DC1795" s="1530"/>
      <c r="DD1795" s="1530"/>
      <c r="DE1795" s="1530"/>
      <c r="DF1795" s="1530"/>
      <c r="DG1795" s="1530"/>
      <c r="DH1795" s="1530"/>
      <c r="DI1795" s="1530"/>
      <c r="DJ1795" s="1530"/>
      <c r="DK1795" s="1530"/>
      <c r="DL1795" s="1530"/>
      <c r="DM1795" s="1530"/>
      <c r="DN1795" s="1571"/>
      <c r="DO1795" s="1530"/>
      <c r="DP1795" s="1530"/>
    </row>
    <row r="1796" spans="1:120">
      <c r="A1796" s="1451"/>
      <c r="C1796" s="1451"/>
      <c r="K1796" s="1451"/>
      <c r="L1796" s="1451"/>
      <c r="U1796" s="1451"/>
      <c r="AD1796" s="1451"/>
      <c r="AM1796" s="1451"/>
      <c r="AV1796" s="1451"/>
      <c r="BE1796" s="1451"/>
      <c r="BN1796" s="1451"/>
      <c r="BV1796" s="1451"/>
      <c r="BW1796" s="1451"/>
      <c r="CF1796" s="1451"/>
      <c r="CN1796" s="1451"/>
      <c r="CO1796" s="1530"/>
      <c r="CP1796" s="1530"/>
      <c r="CQ1796" s="1530"/>
      <c r="CR1796" s="1530"/>
      <c r="CS1796" s="1530"/>
      <c r="CT1796" s="1530"/>
      <c r="CU1796" s="1530"/>
      <c r="CV1796" s="1530"/>
      <c r="CW1796" s="1530"/>
      <c r="CX1796" s="1530"/>
      <c r="CY1796" s="1530"/>
      <c r="CZ1796" s="1530"/>
      <c r="DA1796" s="1530"/>
      <c r="DB1796" s="1530"/>
      <c r="DC1796" s="1530"/>
      <c r="DD1796" s="1530"/>
      <c r="DE1796" s="1530"/>
      <c r="DF1796" s="1530"/>
      <c r="DG1796" s="1530"/>
      <c r="DH1796" s="1530"/>
      <c r="DI1796" s="1530"/>
      <c r="DJ1796" s="1530"/>
      <c r="DK1796" s="1530"/>
      <c r="DL1796" s="1530"/>
      <c r="DM1796" s="1530"/>
      <c r="DN1796" s="1571"/>
      <c r="DO1796" s="1530"/>
      <c r="DP1796" s="1530"/>
    </row>
    <row r="1797" spans="1:120">
      <c r="A1797" s="1451"/>
      <c r="C1797" s="1451"/>
      <c r="K1797" s="1451"/>
      <c r="L1797" s="1451"/>
      <c r="U1797" s="1451"/>
      <c r="AD1797" s="1451"/>
      <c r="AM1797" s="1451"/>
      <c r="AV1797" s="1451"/>
      <c r="BE1797" s="1451"/>
      <c r="BN1797" s="1451"/>
      <c r="BV1797" s="1451"/>
      <c r="BW1797" s="1451"/>
      <c r="CF1797" s="1451"/>
      <c r="CN1797" s="1451"/>
      <c r="CO1797" s="1530"/>
      <c r="CP1797" s="1530"/>
      <c r="CQ1797" s="1530"/>
      <c r="CR1797" s="1530"/>
      <c r="CS1797" s="1530"/>
      <c r="CT1797" s="1530"/>
      <c r="CU1797" s="1530"/>
      <c r="CV1797" s="1530"/>
      <c r="CW1797" s="1530"/>
      <c r="CX1797" s="1530"/>
      <c r="CY1797" s="1530"/>
      <c r="CZ1797" s="1530"/>
      <c r="DA1797" s="1530"/>
      <c r="DB1797" s="1530"/>
      <c r="DC1797" s="1530"/>
      <c r="DD1797" s="1530"/>
      <c r="DE1797" s="1530"/>
      <c r="DF1797" s="1530"/>
      <c r="DG1797" s="1530"/>
      <c r="DH1797" s="1530"/>
      <c r="DI1797" s="1530"/>
      <c r="DJ1797" s="1530"/>
      <c r="DK1797" s="1530"/>
      <c r="DL1797" s="1530"/>
      <c r="DM1797" s="1530"/>
      <c r="DN1797" s="1571"/>
      <c r="DO1797" s="1530"/>
      <c r="DP1797" s="1530"/>
    </row>
    <row r="1798" spans="1:120">
      <c r="A1798" s="1451"/>
      <c r="C1798" s="1451"/>
      <c r="K1798" s="1451"/>
      <c r="L1798" s="1451"/>
      <c r="U1798" s="1451"/>
      <c r="AD1798" s="1451"/>
      <c r="AM1798" s="1451"/>
      <c r="AV1798" s="1451"/>
      <c r="BE1798" s="1451"/>
      <c r="BN1798" s="1451"/>
      <c r="BV1798" s="1451"/>
      <c r="BW1798" s="1451"/>
      <c r="CF1798" s="1451"/>
      <c r="CN1798" s="1451"/>
      <c r="CO1798" s="1530"/>
      <c r="CP1798" s="1530"/>
      <c r="CQ1798" s="1530"/>
      <c r="CR1798" s="1530"/>
      <c r="CS1798" s="1530"/>
      <c r="CT1798" s="1530"/>
      <c r="CU1798" s="1530"/>
      <c r="CV1798" s="1530"/>
      <c r="CW1798" s="1530"/>
      <c r="CX1798" s="1530"/>
      <c r="CY1798" s="1530"/>
      <c r="CZ1798" s="1530"/>
      <c r="DA1798" s="1530"/>
      <c r="DB1798" s="1530"/>
      <c r="DC1798" s="1530"/>
      <c r="DD1798" s="1530"/>
      <c r="DE1798" s="1530"/>
      <c r="DF1798" s="1530"/>
      <c r="DG1798" s="1530"/>
      <c r="DH1798" s="1530"/>
      <c r="DI1798" s="1530"/>
      <c r="DJ1798" s="1530"/>
      <c r="DK1798" s="1530"/>
      <c r="DL1798" s="1530"/>
      <c r="DM1798" s="1530"/>
      <c r="DN1798" s="1571"/>
      <c r="DO1798" s="1530"/>
      <c r="DP1798" s="1530"/>
    </row>
    <row r="1799" spans="1:120">
      <c r="A1799" s="1451"/>
      <c r="C1799" s="1451"/>
      <c r="K1799" s="1451"/>
      <c r="L1799" s="1451"/>
      <c r="U1799" s="1451"/>
      <c r="AD1799" s="1451"/>
      <c r="AM1799" s="1451"/>
      <c r="AV1799" s="1451"/>
      <c r="BE1799" s="1451"/>
      <c r="BN1799" s="1451"/>
      <c r="BV1799" s="1451"/>
      <c r="BW1799" s="1451"/>
      <c r="CF1799" s="1451"/>
      <c r="CN1799" s="1451"/>
      <c r="CO1799" s="1530"/>
      <c r="CP1799" s="1530"/>
      <c r="CQ1799" s="1530"/>
      <c r="CR1799" s="1530"/>
      <c r="CS1799" s="1530"/>
      <c r="CT1799" s="1530"/>
      <c r="CU1799" s="1530"/>
      <c r="CV1799" s="1530"/>
      <c r="CW1799" s="1530"/>
      <c r="CX1799" s="1530"/>
      <c r="CY1799" s="1530"/>
      <c r="CZ1799" s="1530"/>
      <c r="DA1799" s="1530"/>
      <c r="DB1799" s="1530"/>
      <c r="DC1799" s="1530"/>
      <c r="DD1799" s="1530"/>
      <c r="DE1799" s="1530"/>
      <c r="DF1799" s="1530"/>
      <c r="DG1799" s="1530"/>
      <c r="DH1799" s="1530"/>
      <c r="DI1799" s="1530"/>
      <c r="DJ1799" s="1530"/>
      <c r="DK1799" s="1530"/>
      <c r="DL1799" s="1530"/>
      <c r="DM1799" s="1530"/>
      <c r="DN1799" s="1571"/>
      <c r="DO1799" s="1530"/>
      <c r="DP1799" s="1530"/>
    </row>
    <row r="1800" spans="1:120">
      <c r="A1800" s="1451"/>
      <c r="C1800" s="1451"/>
      <c r="K1800" s="1451"/>
      <c r="L1800" s="1451"/>
      <c r="U1800" s="1451"/>
      <c r="AD1800" s="1451"/>
      <c r="AM1800" s="1451"/>
      <c r="AV1800" s="1451"/>
      <c r="BE1800" s="1451"/>
      <c r="BN1800" s="1451"/>
      <c r="BV1800" s="1451"/>
      <c r="BW1800" s="1451"/>
      <c r="CF1800" s="1451"/>
      <c r="CN1800" s="1451"/>
      <c r="CO1800" s="1530"/>
      <c r="CP1800" s="1530"/>
      <c r="CQ1800" s="1530"/>
      <c r="CR1800" s="1530"/>
      <c r="CS1800" s="1530"/>
      <c r="CT1800" s="1530"/>
      <c r="CU1800" s="1530"/>
      <c r="CV1800" s="1530"/>
      <c r="CW1800" s="1530"/>
      <c r="CX1800" s="1530"/>
      <c r="CY1800" s="1530"/>
      <c r="CZ1800" s="1530"/>
      <c r="DA1800" s="1530"/>
      <c r="DB1800" s="1530"/>
      <c r="DC1800" s="1530"/>
      <c r="DD1800" s="1530"/>
      <c r="DE1800" s="1530"/>
      <c r="DF1800" s="1530"/>
      <c r="DG1800" s="1530"/>
      <c r="DH1800" s="1530"/>
      <c r="DI1800" s="1530"/>
      <c r="DJ1800" s="1530"/>
      <c r="DK1800" s="1530"/>
      <c r="DL1800" s="1530"/>
      <c r="DM1800" s="1530"/>
      <c r="DN1800" s="1571"/>
      <c r="DO1800" s="1530"/>
      <c r="DP1800" s="1530"/>
    </row>
    <row r="1801" spans="1:120">
      <c r="A1801" s="1451"/>
      <c r="C1801" s="1451"/>
      <c r="K1801" s="1451"/>
      <c r="L1801" s="1451"/>
      <c r="U1801" s="1451"/>
      <c r="AD1801" s="1451"/>
      <c r="AM1801" s="1451"/>
      <c r="AV1801" s="1451"/>
      <c r="BE1801" s="1451"/>
      <c r="BN1801" s="1451"/>
      <c r="BV1801" s="1451"/>
      <c r="BW1801" s="1451"/>
      <c r="CF1801" s="1451"/>
      <c r="CN1801" s="1451"/>
      <c r="CO1801" s="1530"/>
      <c r="CP1801" s="1530"/>
      <c r="CQ1801" s="1530"/>
      <c r="CR1801" s="1530"/>
      <c r="CS1801" s="1530"/>
      <c r="CT1801" s="1530"/>
      <c r="CU1801" s="1530"/>
      <c r="CV1801" s="1530"/>
      <c r="CW1801" s="1530"/>
      <c r="CX1801" s="1530"/>
      <c r="CY1801" s="1530"/>
      <c r="CZ1801" s="1530"/>
      <c r="DA1801" s="1530"/>
      <c r="DB1801" s="1530"/>
      <c r="DC1801" s="1530"/>
      <c r="DD1801" s="1530"/>
      <c r="DE1801" s="1530"/>
      <c r="DF1801" s="1530"/>
      <c r="DG1801" s="1530"/>
      <c r="DH1801" s="1530"/>
      <c r="DI1801" s="1530"/>
      <c r="DJ1801" s="1530"/>
      <c r="DK1801" s="1530"/>
      <c r="DL1801" s="1530"/>
      <c r="DM1801" s="1530"/>
      <c r="DN1801" s="1571"/>
      <c r="DO1801" s="1530"/>
      <c r="DP1801" s="1530"/>
    </row>
    <row r="1802" spans="1:120">
      <c r="A1802" s="1451"/>
      <c r="C1802" s="1451"/>
      <c r="K1802" s="1451"/>
      <c r="L1802" s="1451"/>
      <c r="U1802" s="1451"/>
      <c r="AD1802" s="1451"/>
      <c r="AM1802" s="1451"/>
      <c r="AV1802" s="1451"/>
      <c r="BE1802" s="1451"/>
      <c r="BN1802" s="1451"/>
      <c r="BV1802" s="1451"/>
      <c r="BW1802" s="1451"/>
      <c r="CF1802" s="1451"/>
      <c r="CN1802" s="1451"/>
      <c r="CO1802" s="1530"/>
      <c r="CP1802" s="1530"/>
      <c r="CQ1802" s="1530"/>
      <c r="CR1802" s="1530"/>
      <c r="CS1802" s="1530"/>
      <c r="CT1802" s="1530"/>
      <c r="CU1802" s="1530"/>
      <c r="CV1802" s="1530"/>
      <c r="CW1802" s="1530"/>
      <c r="CX1802" s="1530"/>
      <c r="CY1802" s="1530"/>
      <c r="CZ1802" s="1530"/>
      <c r="DA1802" s="1530"/>
      <c r="DB1802" s="1530"/>
      <c r="DC1802" s="1530"/>
      <c r="DD1802" s="1530"/>
      <c r="DE1802" s="1530"/>
      <c r="DF1802" s="1530"/>
      <c r="DG1802" s="1530"/>
      <c r="DH1802" s="1530"/>
      <c r="DI1802" s="1530"/>
      <c r="DJ1802" s="1530"/>
      <c r="DK1802" s="1530"/>
      <c r="DL1802" s="1530"/>
      <c r="DM1802" s="1530"/>
      <c r="DN1802" s="1571"/>
      <c r="DO1802" s="1530"/>
      <c r="DP1802" s="1530"/>
    </row>
    <row r="1803" spans="1:120">
      <c r="A1803" s="1451"/>
      <c r="C1803" s="1451"/>
      <c r="K1803" s="1451"/>
      <c r="L1803" s="1451"/>
      <c r="U1803" s="1451"/>
      <c r="AD1803" s="1451"/>
      <c r="AM1803" s="1451"/>
      <c r="AV1803" s="1451"/>
      <c r="BE1803" s="1451"/>
      <c r="BN1803" s="1451"/>
      <c r="BV1803" s="1451"/>
      <c r="BW1803" s="1451"/>
      <c r="CF1803" s="1451"/>
      <c r="CN1803" s="1451"/>
      <c r="CO1803" s="1530"/>
      <c r="CP1803" s="1530"/>
      <c r="CQ1803" s="1530"/>
      <c r="CR1803" s="1530"/>
      <c r="CS1803" s="1530"/>
      <c r="CT1803" s="1530"/>
      <c r="CU1803" s="1530"/>
      <c r="CV1803" s="1530"/>
      <c r="CW1803" s="1530"/>
      <c r="CX1803" s="1530"/>
      <c r="CY1803" s="1530"/>
      <c r="CZ1803" s="1530"/>
      <c r="DA1803" s="1530"/>
      <c r="DB1803" s="1530"/>
      <c r="DC1803" s="1530"/>
      <c r="DD1803" s="1530"/>
      <c r="DE1803" s="1530"/>
      <c r="DF1803" s="1530"/>
      <c r="DG1803" s="1530"/>
      <c r="DH1803" s="1530"/>
      <c r="DI1803" s="1530"/>
      <c r="DJ1803" s="1530"/>
      <c r="DK1803" s="1530"/>
      <c r="DL1803" s="1530"/>
      <c r="DM1803" s="1530"/>
      <c r="DN1803" s="1571"/>
      <c r="DO1803" s="1530"/>
      <c r="DP1803" s="1530"/>
    </row>
    <row r="1804" spans="1:120">
      <c r="A1804" s="1451"/>
      <c r="C1804" s="1451"/>
      <c r="K1804" s="1451"/>
      <c r="L1804" s="1451"/>
      <c r="U1804" s="1451"/>
      <c r="AD1804" s="1451"/>
      <c r="AM1804" s="1451"/>
      <c r="AV1804" s="1451"/>
      <c r="BE1804" s="1451"/>
      <c r="BN1804" s="1451"/>
      <c r="BV1804" s="1451"/>
      <c r="BW1804" s="1451"/>
      <c r="CF1804" s="1451"/>
      <c r="CN1804" s="1451"/>
      <c r="CO1804" s="1530"/>
      <c r="CP1804" s="1530"/>
      <c r="CQ1804" s="1530"/>
      <c r="CR1804" s="1530"/>
      <c r="CS1804" s="1530"/>
      <c r="CT1804" s="1530"/>
      <c r="CU1804" s="1530"/>
      <c r="CV1804" s="1530"/>
      <c r="CW1804" s="1530"/>
      <c r="CX1804" s="1530"/>
      <c r="CY1804" s="1530"/>
      <c r="CZ1804" s="1530"/>
      <c r="DA1804" s="1530"/>
      <c r="DB1804" s="1530"/>
      <c r="DC1804" s="1530"/>
      <c r="DD1804" s="1530"/>
      <c r="DE1804" s="1530"/>
      <c r="DF1804" s="1530"/>
      <c r="DG1804" s="1530"/>
      <c r="DH1804" s="1530"/>
      <c r="DI1804" s="1530"/>
      <c r="DJ1804" s="1530"/>
      <c r="DK1804" s="1530"/>
      <c r="DL1804" s="1530"/>
      <c r="DM1804" s="1530"/>
      <c r="DN1804" s="1571"/>
      <c r="DO1804" s="1530"/>
      <c r="DP1804" s="1530"/>
    </row>
    <row r="1805" spans="1:120">
      <c r="A1805" s="1451"/>
      <c r="C1805" s="1451"/>
      <c r="K1805" s="1451"/>
      <c r="L1805" s="1451"/>
      <c r="U1805" s="1451"/>
      <c r="AD1805" s="1451"/>
      <c r="AM1805" s="1451"/>
      <c r="AV1805" s="1451"/>
      <c r="BE1805" s="1451"/>
      <c r="BN1805" s="1451"/>
      <c r="BV1805" s="1451"/>
      <c r="BW1805" s="1451"/>
      <c r="CF1805" s="1451"/>
      <c r="CN1805" s="1451"/>
      <c r="CO1805" s="1530"/>
      <c r="CP1805" s="1530"/>
      <c r="CQ1805" s="1530"/>
      <c r="CR1805" s="1530"/>
      <c r="CS1805" s="1530"/>
      <c r="CT1805" s="1530"/>
      <c r="CU1805" s="1530"/>
      <c r="CV1805" s="1530"/>
      <c r="CW1805" s="1530"/>
      <c r="CX1805" s="1530"/>
      <c r="CY1805" s="1530"/>
      <c r="CZ1805" s="1530"/>
      <c r="DA1805" s="1530"/>
      <c r="DB1805" s="1530"/>
      <c r="DC1805" s="1530"/>
      <c r="DD1805" s="1530"/>
      <c r="DE1805" s="1530"/>
      <c r="DF1805" s="1530"/>
      <c r="DG1805" s="1530"/>
      <c r="DH1805" s="1530"/>
      <c r="DI1805" s="1530"/>
      <c r="DJ1805" s="1530"/>
      <c r="DK1805" s="1530"/>
      <c r="DL1805" s="1530"/>
      <c r="DM1805" s="1530"/>
      <c r="DN1805" s="1571"/>
      <c r="DO1805" s="1530"/>
      <c r="DP1805" s="1530"/>
    </row>
    <row r="1806" spans="1:120">
      <c r="A1806" s="1451"/>
      <c r="C1806" s="1451"/>
      <c r="K1806" s="1451"/>
      <c r="L1806" s="1451"/>
      <c r="U1806" s="1451"/>
      <c r="AD1806" s="1451"/>
      <c r="AM1806" s="1451"/>
      <c r="AV1806" s="1451"/>
      <c r="BE1806" s="1451"/>
      <c r="BN1806" s="1451"/>
      <c r="BV1806" s="1451"/>
      <c r="BW1806" s="1451"/>
      <c r="CF1806" s="1451"/>
      <c r="CN1806" s="1451"/>
      <c r="CO1806" s="1530"/>
      <c r="CP1806" s="1530"/>
      <c r="CQ1806" s="1530"/>
      <c r="CR1806" s="1530"/>
      <c r="CS1806" s="1530"/>
      <c r="CT1806" s="1530"/>
      <c r="CU1806" s="1530"/>
      <c r="CV1806" s="1530"/>
      <c r="CW1806" s="1530"/>
      <c r="CX1806" s="1530"/>
      <c r="CY1806" s="1530"/>
      <c r="CZ1806" s="1530"/>
      <c r="DA1806" s="1530"/>
      <c r="DB1806" s="1530"/>
      <c r="DC1806" s="1530"/>
      <c r="DD1806" s="1530"/>
      <c r="DE1806" s="1530"/>
      <c r="DF1806" s="1530"/>
      <c r="DG1806" s="1530"/>
      <c r="DH1806" s="1530"/>
      <c r="DI1806" s="1530"/>
      <c r="DJ1806" s="1530"/>
      <c r="DK1806" s="1530"/>
      <c r="DL1806" s="1530"/>
      <c r="DM1806" s="1530"/>
      <c r="DN1806" s="1571"/>
      <c r="DO1806" s="1530"/>
      <c r="DP1806" s="1530"/>
    </row>
    <row r="1807" spans="1:120">
      <c r="A1807" s="1451"/>
      <c r="C1807" s="1451"/>
      <c r="K1807" s="1451"/>
      <c r="L1807" s="1451"/>
      <c r="U1807" s="1451"/>
      <c r="AD1807" s="1451"/>
      <c r="AM1807" s="1451"/>
      <c r="AV1807" s="1451"/>
      <c r="BE1807" s="1451"/>
      <c r="BN1807" s="1451"/>
      <c r="BV1807" s="1451"/>
      <c r="BW1807" s="1451"/>
      <c r="CF1807" s="1451"/>
      <c r="CN1807" s="1451"/>
      <c r="CO1807" s="1530"/>
      <c r="CP1807" s="1530"/>
      <c r="CQ1807" s="1530"/>
      <c r="CR1807" s="1530"/>
      <c r="CS1807" s="1530"/>
      <c r="CT1807" s="1530"/>
      <c r="CU1807" s="1530"/>
      <c r="CV1807" s="1530"/>
      <c r="CW1807" s="1530"/>
      <c r="CX1807" s="1530"/>
      <c r="CY1807" s="1530"/>
      <c r="CZ1807" s="1530"/>
      <c r="DA1807" s="1530"/>
      <c r="DB1807" s="1530"/>
      <c r="DC1807" s="1530"/>
      <c r="DD1807" s="1530"/>
      <c r="DE1807" s="1530"/>
      <c r="DF1807" s="1530"/>
      <c r="DG1807" s="1530"/>
      <c r="DH1807" s="1530"/>
      <c r="DI1807" s="1530"/>
      <c r="DJ1807" s="1530"/>
      <c r="DK1807" s="1530"/>
      <c r="DL1807" s="1530"/>
      <c r="DM1807" s="1530"/>
      <c r="DN1807" s="1571"/>
      <c r="DO1807" s="1530"/>
      <c r="DP1807" s="1530"/>
    </row>
    <row r="1808" spans="1:120">
      <c r="A1808" s="1451"/>
      <c r="C1808" s="1451"/>
      <c r="K1808" s="1451"/>
      <c r="L1808" s="1451"/>
      <c r="U1808" s="1451"/>
      <c r="AD1808" s="1451"/>
      <c r="AM1808" s="1451"/>
      <c r="AV1808" s="1451"/>
      <c r="BE1808" s="1451"/>
      <c r="BN1808" s="1451"/>
      <c r="BV1808" s="1451"/>
      <c r="BW1808" s="1451"/>
      <c r="CF1808" s="1451"/>
      <c r="CN1808" s="1451"/>
      <c r="CO1808" s="1530"/>
      <c r="CP1808" s="1530"/>
      <c r="CQ1808" s="1530"/>
      <c r="CR1808" s="1530"/>
      <c r="CS1808" s="1530"/>
      <c r="CT1808" s="1530"/>
      <c r="CU1808" s="1530"/>
      <c r="CV1808" s="1530"/>
      <c r="CW1808" s="1530"/>
      <c r="CX1808" s="1530"/>
      <c r="CY1808" s="1530"/>
      <c r="CZ1808" s="1530"/>
      <c r="DA1808" s="1530"/>
      <c r="DB1808" s="1530"/>
      <c r="DC1808" s="1530"/>
      <c r="DD1808" s="1530"/>
      <c r="DE1808" s="1530"/>
      <c r="DF1808" s="1530"/>
      <c r="DG1808" s="1530"/>
      <c r="DH1808" s="1530"/>
      <c r="DI1808" s="1530"/>
      <c r="DJ1808" s="1530"/>
      <c r="DK1808" s="1530"/>
      <c r="DL1808" s="1530"/>
      <c r="DM1808" s="1530"/>
      <c r="DN1808" s="1571"/>
      <c r="DO1808" s="1530"/>
      <c r="DP1808" s="1530"/>
    </row>
    <row r="1809" spans="1:120">
      <c r="A1809" s="1451"/>
      <c r="C1809" s="1451"/>
      <c r="K1809" s="1451"/>
      <c r="L1809" s="1451"/>
      <c r="U1809" s="1451"/>
      <c r="AD1809" s="1451"/>
      <c r="AM1809" s="1451"/>
      <c r="AV1809" s="1451"/>
      <c r="BE1809" s="1451"/>
      <c r="BN1809" s="1451"/>
      <c r="BV1809" s="1451"/>
      <c r="BW1809" s="1451"/>
      <c r="CF1809" s="1451"/>
      <c r="CN1809" s="1451"/>
      <c r="CO1809" s="1530"/>
      <c r="CP1809" s="1530"/>
      <c r="CQ1809" s="1530"/>
      <c r="CR1809" s="1530"/>
      <c r="CS1809" s="1530"/>
      <c r="CT1809" s="1530"/>
      <c r="CU1809" s="1530"/>
      <c r="CV1809" s="1530"/>
      <c r="CW1809" s="1530"/>
      <c r="CX1809" s="1530"/>
      <c r="CY1809" s="1530"/>
      <c r="CZ1809" s="1530"/>
      <c r="DA1809" s="1530"/>
      <c r="DB1809" s="1530"/>
      <c r="DC1809" s="1530"/>
      <c r="DD1809" s="1530"/>
      <c r="DE1809" s="1530"/>
      <c r="DF1809" s="1530"/>
      <c r="DG1809" s="1530"/>
      <c r="DH1809" s="1530"/>
      <c r="DI1809" s="1530"/>
      <c r="DJ1809" s="1530"/>
      <c r="DK1809" s="1530"/>
      <c r="DL1809" s="1530"/>
      <c r="DM1809" s="1530"/>
      <c r="DN1809" s="1571"/>
      <c r="DO1809" s="1530"/>
      <c r="DP1809" s="1530"/>
    </row>
    <row r="1810" spans="1:120">
      <c r="A1810" s="1451"/>
      <c r="C1810" s="1451"/>
      <c r="K1810" s="1451"/>
      <c r="L1810" s="1451"/>
      <c r="U1810" s="1451"/>
      <c r="AD1810" s="1451"/>
      <c r="AM1810" s="1451"/>
      <c r="AV1810" s="1451"/>
      <c r="BE1810" s="1451"/>
      <c r="BN1810" s="1451"/>
      <c r="BV1810" s="1451"/>
      <c r="BW1810" s="1451"/>
      <c r="CF1810" s="1451"/>
      <c r="CN1810" s="1451"/>
      <c r="CO1810" s="1530"/>
      <c r="CP1810" s="1530"/>
      <c r="CQ1810" s="1530"/>
      <c r="CR1810" s="1530"/>
      <c r="CS1810" s="1530"/>
      <c r="CT1810" s="1530"/>
      <c r="CU1810" s="1530"/>
      <c r="CV1810" s="1530"/>
      <c r="CW1810" s="1530"/>
      <c r="CX1810" s="1530"/>
      <c r="CY1810" s="1530"/>
      <c r="CZ1810" s="1530"/>
      <c r="DA1810" s="1530"/>
      <c r="DB1810" s="1530"/>
      <c r="DC1810" s="1530"/>
      <c r="DD1810" s="1530"/>
      <c r="DE1810" s="1530"/>
      <c r="DF1810" s="1530"/>
      <c r="DG1810" s="1530"/>
      <c r="DH1810" s="1530"/>
      <c r="DI1810" s="1530"/>
      <c r="DJ1810" s="1530"/>
      <c r="DK1810" s="1530"/>
      <c r="DL1810" s="1530"/>
      <c r="DM1810" s="1530"/>
      <c r="DN1810" s="1571"/>
      <c r="DO1810" s="1530"/>
      <c r="DP1810" s="1530"/>
    </row>
    <row r="1811" spans="1:120">
      <c r="A1811" s="1451"/>
      <c r="C1811" s="1451"/>
      <c r="K1811" s="1451"/>
      <c r="L1811" s="1451"/>
      <c r="U1811" s="1451"/>
      <c r="AD1811" s="1451"/>
      <c r="AM1811" s="1451"/>
      <c r="AV1811" s="1451"/>
      <c r="BE1811" s="1451"/>
      <c r="BN1811" s="1451"/>
      <c r="BV1811" s="1451"/>
      <c r="BW1811" s="1451"/>
      <c r="CF1811" s="1451"/>
      <c r="CN1811" s="1451"/>
      <c r="CO1811" s="1530"/>
      <c r="CP1811" s="1530"/>
      <c r="CQ1811" s="1530"/>
      <c r="CR1811" s="1530"/>
      <c r="CS1811" s="1530"/>
      <c r="CT1811" s="1530"/>
      <c r="CU1811" s="1530"/>
      <c r="CV1811" s="1530"/>
      <c r="CW1811" s="1530"/>
      <c r="CX1811" s="1530"/>
      <c r="CY1811" s="1530"/>
      <c r="CZ1811" s="1530"/>
      <c r="DA1811" s="1530"/>
      <c r="DB1811" s="1530"/>
      <c r="DC1811" s="1530"/>
      <c r="DD1811" s="1530"/>
      <c r="DE1811" s="1530"/>
      <c r="DF1811" s="1530"/>
      <c r="DG1811" s="1530"/>
      <c r="DH1811" s="1530"/>
      <c r="DI1811" s="1530"/>
      <c r="DJ1811" s="1530"/>
      <c r="DK1811" s="1530"/>
      <c r="DL1811" s="1530"/>
      <c r="DM1811" s="1530"/>
      <c r="DN1811" s="1571"/>
      <c r="DO1811" s="1530"/>
      <c r="DP1811" s="1530"/>
    </row>
    <row r="1812" spans="1:120">
      <c r="A1812" s="1451"/>
      <c r="C1812" s="1451"/>
      <c r="K1812" s="1451"/>
      <c r="L1812" s="1451"/>
      <c r="U1812" s="1451"/>
      <c r="AD1812" s="1451"/>
      <c r="AM1812" s="1451"/>
      <c r="AV1812" s="1451"/>
      <c r="BE1812" s="1451"/>
      <c r="BN1812" s="1451"/>
      <c r="BV1812" s="1451"/>
      <c r="BW1812" s="1451"/>
      <c r="CF1812" s="1451"/>
      <c r="CN1812" s="1451"/>
      <c r="CO1812" s="1530"/>
      <c r="CP1812" s="1530"/>
      <c r="CQ1812" s="1530"/>
      <c r="CR1812" s="1530"/>
      <c r="CS1812" s="1530"/>
      <c r="CT1812" s="1530"/>
      <c r="CU1812" s="1530"/>
      <c r="CV1812" s="1530"/>
      <c r="CW1812" s="1530"/>
      <c r="CX1812" s="1530"/>
      <c r="CY1812" s="1530"/>
      <c r="CZ1812" s="1530"/>
      <c r="DA1812" s="1530"/>
      <c r="DB1812" s="1530"/>
      <c r="DC1812" s="1530"/>
      <c r="DD1812" s="1530"/>
      <c r="DE1812" s="1530"/>
      <c r="DF1812" s="1530"/>
      <c r="DG1812" s="1530"/>
      <c r="DH1812" s="1530"/>
      <c r="DI1812" s="1530"/>
      <c r="DJ1812" s="1530"/>
      <c r="DK1812" s="1530"/>
      <c r="DL1812" s="1530"/>
      <c r="DM1812" s="1530"/>
      <c r="DN1812" s="1571"/>
      <c r="DO1812" s="1530"/>
      <c r="DP1812" s="1530"/>
    </row>
    <row r="1813" spans="1:120">
      <c r="A1813" s="1451"/>
      <c r="C1813" s="1451"/>
      <c r="K1813" s="1451"/>
      <c r="L1813" s="1451"/>
      <c r="U1813" s="1451"/>
      <c r="AD1813" s="1451"/>
      <c r="AM1813" s="1451"/>
      <c r="AV1813" s="1451"/>
      <c r="BE1813" s="1451"/>
      <c r="BN1813" s="1451"/>
      <c r="BV1813" s="1451"/>
      <c r="BW1813" s="1451"/>
      <c r="CF1813" s="1451"/>
      <c r="CN1813" s="1451"/>
      <c r="CO1813" s="1530"/>
      <c r="CP1813" s="1530"/>
      <c r="CQ1813" s="1530"/>
      <c r="CR1813" s="1530"/>
      <c r="CS1813" s="1530"/>
      <c r="CT1813" s="1530"/>
      <c r="CU1813" s="1530"/>
      <c r="CV1813" s="1530"/>
      <c r="CW1813" s="1530"/>
      <c r="CX1813" s="1530"/>
      <c r="CY1813" s="1530"/>
      <c r="CZ1813" s="1530"/>
      <c r="DA1813" s="1530"/>
      <c r="DB1813" s="1530"/>
      <c r="DC1813" s="1530"/>
      <c r="DD1813" s="1530"/>
      <c r="DE1813" s="1530"/>
      <c r="DF1813" s="1530"/>
      <c r="DG1813" s="1530"/>
      <c r="DH1813" s="1530"/>
      <c r="DI1813" s="1530"/>
      <c r="DJ1813" s="1530"/>
      <c r="DK1813" s="1530"/>
      <c r="DL1813" s="1530"/>
      <c r="DM1813" s="1530"/>
      <c r="DN1813" s="1571"/>
      <c r="DO1813" s="1530"/>
      <c r="DP1813" s="1530"/>
    </row>
    <row r="1814" spans="1:120">
      <c r="A1814" s="1451"/>
      <c r="C1814" s="1451"/>
      <c r="K1814" s="1451"/>
      <c r="L1814" s="1451"/>
      <c r="U1814" s="1451"/>
      <c r="AD1814" s="1451"/>
      <c r="AM1814" s="1451"/>
      <c r="AV1814" s="1451"/>
      <c r="BE1814" s="1451"/>
      <c r="BN1814" s="1451"/>
      <c r="BV1814" s="1451"/>
      <c r="BW1814" s="1451"/>
      <c r="CF1814" s="1451"/>
      <c r="CN1814" s="1451"/>
      <c r="CO1814" s="1530"/>
      <c r="CP1814" s="1530"/>
      <c r="CQ1814" s="1530"/>
      <c r="CR1814" s="1530"/>
      <c r="CS1814" s="1530"/>
      <c r="CT1814" s="1530"/>
      <c r="CU1814" s="1530"/>
      <c r="CV1814" s="1530"/>
      <c r="CW1814" s="1530"/>
      <c r="CX1814" s="1530"/>
      <c r="CY1814" s="1530"/>
      <c r="CZ1814" s="1530"/>
      <c r="DA1814" s="1530"/>
      <c r="DB1814" s="1530"/>
      <c r="DC1814" s="1530"/>
      <c r="DD1814" s="1530"/>
      <c r="DE1814" s="1530"/>
      <c r="DF1814" s="1530"/>
      <c r="DG1814" s="1530"/>
      <c r="DH1814" s="1530"/>
      <c r="DI1814" s="1530"/>
      <c r="DJ1814" s="1530"/>
      <c r="DK1814" s="1530"/>
      <c r="DL1814" s="1530"/>
      <c r="DM1814" s="1530"/>
      <c r="DN1814" s="1571"/>
      <c r="DO1814" s="1530"/>
      <c r="DP1814" s="1530"/>
    </row>
    <row r="1815" spans="1:120">
      <c r="A1815" s="1451"/>
      <c r="C1815" s="1451"/>
      <c r="K1815" s="1451"/>
      <c r="L1815" s="1451"/>
      <c r="U1815" s="1451"/>
      <c r="AD1815" s="1451"/>
      <c r="AM1815" s="1451"/>
      <c r="AV1815" s="1451"/>
      <c r="BE1815" s="1451"/>
      <c r="BN1815" s="1451"/>
      <c r="BV1815" s="1451"/>
      <c r="BW1815" s="1451"/>
      <c r="CF1815" s="1451"/>
      <c r="CN1815" s="1451"/>
      <c r="CO1815" s="1530"/>
      <c r="CP1815" s="1530"/>
      <c r="CQ1815" s="1530"/>
      <c r="CR1815" s="1530"/>
      <c r="CS1815" s="1530"/>
      <c r="CT1815" s="1530"/>
      <c r="CU1815" s="1530"/>
      <c r="CV1815" s="1530"/>
      <c r="CW1815" s="1530"/>
      <c r="CX1815" s="1530"/>
      <c r="CY1815" s="1530"/>
      <c r="CZ1815" s="1530"/>
      <c r="DA1815" s="1530"/>
      <c r="DB1815" s="1530"/>
      <c r="DC1815" s="1530"/>
      <c r="DD1815" s="1530"/>
      <c r="DE1815" s="1530"/>
      <c r="DF1815" s="1530"/>
      <c r="DG1815" s="1530"/>
      <c r="DH1815" s="1530"/>
      <c r="DI1815" s="1530"/>
      <c r="DJ1815" s="1530"/>
      <c r="DK1815" s="1530"/>
      <c r="DL1815" s="1530"/>
      <c r="DM1815" s="1530"/>
      <c r="DN1815" s="1571"/>
      <c r="DO1815" s="1530"/>
      <c r="DP1815" s="1530"/>
    </row>
    <row r="1816" spans="1:120">
      <c r="A1816" s="1451"/>
      <c r="C1816" s="1451"/>
      <c r="K1816" s="1451"/>
      <c r="L1816" s="1451"/>
      <c r="U1816" s="1451"/>
      <c r="AD1816" s="1451"/>
      <c r="AM1816" s="1451"/>
      <c r="AV1816" s="1451"/>
      <c r="BE1816" s="1451"/>
      <c r="BN1816" s="1451"/>
      <c r="BV1816" s="1451"/>
      <c r="BW1816" s="1451"/>
      <c r="CF1816" s="1451"/>
      <c r="CN1816" s="1451"/>
      <c r="CO1816" s="1530"/>
      <c r="CP1816" s="1530"/>
      <c r="CQ1816" s="1530"/>
      <c r="CR1816" s="1530"/>
      <c r="CS1816" s="1530"/>
      <c r="CT1816" s="1530"/>
      <c r="CU1816" s="1530"/>
      <c r="CV1816" s="1530"/>
      <c r="CW1816" s="1530"/>
      <c r="CX1816" s="1530"/>
      <c r="CY1816" s="1530"/>
      <c r="CZ1816" s="1530"/>
      <c r="DA1816" s="1530"/>
      <c r="DB1816" s="1530"/>
      <c r="DC1816" s="1530"/>
      <c r="DD1816" s="1530"/>
      <c r="DE1816" s="1530"/>
      <c r="DF1816" s="1530"/>
      <c r="DG1816" s="1530"/>
      <c r="DH1816" s="1530"/>
      <c r="DI1816" s="1530"/>
      <c r="DJ1816" s="1530"/>
      <c r="DK1816" s="1530"/>
      <c r="DL1816" s="1530"/>
      <c r="DM1816" s="1530"/>
      <c r="DN1816" s="1571"/>
      <c r="DO1816" s="1530"/>
      <c r="DP1816" s="1530"/>
    </row>
    <row r="1817" spans="1:120">
      <c r="A1817" s="1451"/>
      <c r="C1817" s="1451"/>
      <c r="K1817" s="1451"/>
      <c r="L1817" s="1451"/>
      <c r="U1817" s="1451"/>
      <c r="AD1817" s="1451"/>
      <c r="AM1817" s="1451"/>
      <c r="AV1817" s="1451"/>
      <c r="BE1817" s="1451"/>
      <c r="BN1817" s="1451"/>
      <c r="BV1817" s="1451"/>
      <c r="BW1817" s="1451"/>
      <c r="CF1817" s="1451"/>
      <c r="CN1817" s="1451"/>
      <c r="CO1817" s="1530"/>
      <c r="CP1817" s="1530"/>
      <c r="CQ1817" s="1530"/>
      <c r="CR1817" s="1530"/>
      <c r="CS1817" s="1530"/>
      <c r="CT1817" s="1530"/>
      <c r="CU1817" s="1530"/>
      <c r="CV1817" s="1530"/>
      <c r="CW1817" s="1530"/>
      <c r="CX1817" s="1530"/>
      <c r="CY1817" s="1530"/>
      <c r="CZ1817" s="1530"/>
      <c r="DA1817" s="1530"/>
      <c r="DB1817" s="1530"/>
      <c r="DC1817" s="1530"/>
      <c r="DD1817" s="1530"/>
      <c r="DE1817" s="1530"/>
      <c r="DF1817" s="1530"/>
      <c r="DG1817" s="1530"/>
      <c r="DH1817" s="1530"/>
      <c r="DI1817" s="1530"/>
      <c r="DJ1817" s="1530"/>
      <c r="DK1817" s="1530"/>
      <c r="DL1817" s="1530"/>
      <c r="DM1817" s="1530"/>
      <c r="DN1817" s="1571"/>
      <c r="DO1817" s="1530"/>
      <c r="DP1817" s="1530"/>
    </row>
    <row r="1818" spans="1:120">
      <c r="A1818" s="1451"/>
      <c r="C1818" s="1451"/>
      <c r="K1818" s="1451"/>
      <c r="L1818" s="1451"/>
      <c r="U1818" s="1451"/>
      <c r="AD1818" s="1451"/>
      <c r="AM1818" s="1451"/>
      <c r="AV1818" s="1451"/>
      <c r="BE1818" s="1451"/>
      <c r="BN1818" s="1451"/>
      <c r="BV1818" s="1451"/>
      <c r="BW1818" s="1451"/>
      <c r="CF1818" s="1451"/>
      <c r="CN1818" s="1451"/>
      <c r="CO1818" s="1530"/>
      <c r="CP1818" s="1530"/>
      <c r="CQ1818" s="1530"/>
      <c r="CR1818" s="1530"/>
      <c r="CS1818" s="1530"/>
      <c r="CT1818" s="1530"/>
      <c r="CU1818" s="1530"/>
      <c r="CV1818" s="1530"/>
      <c r="CW1818" s="1530"/>
      <c r="CX1818" s="1530"/>
      <c r="CY1818" s="1530"/>
      <c r="CZ1818" s="1530"/>
      <c r="DA1818" s="1530"/>
      <c r="DB1818" s="1530"/>
      <c r="DC1818" s="1530"/>
      <c r="DD1818" s="1530"/>
      <c r="DE1818" s="1530"/>
      <c r="DF1818" s="1530"/>
      <c r="DG1818" s="1530"/>
      <c r="DH1818" s="1530"/>
      <c r="DI1818" s="1530"/>
      <c r="DJ1818" s="1530"/>
      <c r="DK1818" s="1530"/>
      <c r="DL1818" s="1530"/>
      <c r="DM1818" s="1530"/>
      <c r="DN1818" s="1571"/>
      <c r="DO1818" s="1530"/>
      <c r="DP1818" s="1530"/>
    </row>
    <row r="1819" spans="1:120">
      <c r="A1819" s="1451"/>
      <c r="C1819" s="1451"/>
      <c r="K1819" s="1451"/>
      <c r="L1819" s="1451"/>
      <c r="U1819" s="1451"/>
      <c r="AD1819" s="1451"/>
      <c r="AM1819" s="1451"/>
      <c r="AV1819" s="1451"/>
      <c r="BE1819" s="1451"/>
      <c r="BN1819" s="1451"/>
      <c r="BV1819" s="1451"/>
      <c r="BW1819" s="1451"/>
      <c r="CF1819" s="1451"/>
      <c r="CN1819" s="1451"/>
      <c r="CO1819" s="1530"/>
      <c r="CP1819" s="1530"/>
      <c r="CQ1819" s="1530"/>
      <c r="CR1819" s="1530"/>
      <c r="CS1819" s="1530"/>
      <c r="CT1819" s="1530"/>
      <c r="CU1819" s="1530"/>
      <c r="CV1819" s="1530"/>
      <c r="CW1819" s="1530"/>
      <c r="CX1819" s="1530"/>
      <c r="CY1819" s="1530"/>
      <c r="CZ1819" s="1530"/>
      <c r="DA1819" s="1530"/>
      <c r="DB1819" s="1530"/>
      <c r="DC1819" s="1530"/>
      <c r="DD1819" s="1530"/>
      <c r="DE1819" s="1530"/>
      <c r="DF1819" s="1530"/>
      <c r="DG1819" s="1530"/>
      <c r="DH1819" s="1530"/>
      <c r="DI1819" s="1530"/>
      <c r="DJ1819" s="1530"/>
      <c r="DK1819" s="1530"/>
      <c r="DL1819" s="1530"/>
      <c r="DM1819" s="1530"/>
      <c r="DN1819" s="1571"/>
      <c r="DO1819" s="1530"/>
      <c r="DP1819" s="1530"/>
    </row>
    <row r="1820" spans="1:120">
      <c r="A1820" s="1451"/>
      <c r="C1820" s="1451"/>
      <c r="K1820" s="1451"/>
      <c r="L1820" s="1451"/>
      <c r="U1820" s="1451"/>
      <c r="AD1820" s="1451"/>
      <c r="AM1820" s="1451"/>
      <c r="AV1820" s="1451"/>
      <c r="BE1820" s="1451"/>
      <c r="BN1820" s="1451"/>
      <c r="BV1820" s="1451"/>
      <c r="BW1820" s="1451"/>
      <c r="CF1820" s="1451"/>
      <c r="CN1820" s="1451"/>
      <c r="CO1820" s="1530"/>
      <c r="CP1820" s="1530"/>
      <c r="CQ1820" s="1530"/>
      <c r="CR1820" s="1530"/>
      <c r="CS1820" s="1530"/>
      <c r="CT1820" s="1530"/>
      <c r="CU1820" s="1530"/>
      <c r="CV1820" s="1530"/>
      <c r="CW1820" s="1530"/>
      <c r="CX1820" s="1530"/>
      <c r="CY1820" s="1530"/>
      <c r="CZ1820" s="1530"/>
      <c r="DA1820" s="1530"/>
      <c r="DB1820" s="1530"/>
      <c r="DC1820" s="1530"/>
      <c r="DD1820" s="1530"/>
      <c r="DE1820" s="1530"/>
      <c r="DF1820" s="1530"/>
      <c r="DG1820" s="1530"/>
      <c r="DH1820" s="1530"/>
      <c r="DI1820" s="1530"/>
      <c r="DJ1820" s="1530"/>
      <c r="DK1820" s="1530"/>
      <c r="DL1820" s="1530"/>
      <c r="DM1820" s="1530"/>
      <c r="DN1820" s="1571"/>
      <c r="DO1820" s="1530"/>
      <c r="DP1820" s="1530"/>
    </row>
    <row r="1821" spans="1:120">
      <c r="A1821" s="1451"/>
      <c r="C1821" s="1451"/>
      <c r="K1821" s="1451"/>
      <c r="L1821" s="1451"/>
      <c r="U1821" s="1451"/>
      <c r="AD1821" s="1451"/>
      <c r="AM1821" s="1451"/>
      <c r="AV1821" s="1451"/>
      <c r="BE1821" s="1451"/>
      <c r="BN1821" s="1451"/>
      <c r="BV1821" s="1451"/>
      <c r="BW1821" s="1451"/>
      <c r="CF1821" s="1451"/>
      <c r="CN1821" s="1451"/>
      <c r="CO1821" s="1530"/>
      <c r="CP1821" s="1530"/>
      <c r="CQ1821" s="1530"/>
      <c r="CR1821" s="1530"/>
      <c r="CS1821" s="1530"/>
      <c r="CT1821" s="1530"/>
      <c r="CU1821" s="1530"/>
      <c r="CV1821" s="1530"/>
      <c r="CW1821" s="1530"/>
      <c r="CX1821" s="1530"/>
      <c r="CY1821" s="1530"/>
      <c r="CZ1821" s="1530"/>
      <c r="DA1821" s="1530"/>
      <c r="DB1821" s="1530"/>
      <c r="DC1821" s="1530"/>
      <c r="DD1821" s="1530"/>
      <c r="DE1821" s="1530"/>
      <c r="DF1821" s="1530"/>
      <c r="DG1821" s="1530"/>
      <c r="DH1821" s="1530"/>
      <c r="DI1821" s="1530"/>
      <c r="DJ1821" s="1530"/>
      <c r="DK1821" s="1530"/>
      <c r="DL1821" s="1530"/>
      <c r="DM1821" s="1530"/>
      <c r="DN1821" s="1571"/>
      <c r="DO1821" s="1530"/>
      <c r="DP1821" s="1530"/>
    </row>
    <row r="1822" spans="1:120">
      <c r="A1822" s="1451"/>
      <c r="C1822" s="1451"/>
      <c r="K1822" s="1451"/>
      <c r="L1822" s="1451"/>
      <c r="U1822" s="1451"/>
      <c r="AD1822" s="1451"/>
      <c r="AM1822" s="1451"/>
      <c r="AV1822" s="1451"/>
      <c r="BE1822" s="1451"/>
      <c r="BN1822" s="1451"/>
      <c r="BV1822" s="1451"/>
      <c r="BW1822" s="1451"/>
      <c r="CF1822" s="1451"/>
      <c r="CN1822" s="1451"/>
      <c r="CO1822" s="1530"/>
      <c r="CP1822" s="1530"/>
      <c r="CQ1822" s="1530"/>
      <c r="CR1822" s="1530"/>
      <c r="CS1822" s="1530"/>
      <c r="CT1822" s="1530"/>
      <c r="CU1822" s="1530"/>
      <c r="CV1822" s="1530"/>
      <c r="CW1822" s="1530"/>
      <c r="CX1822" s="1530"/>
      <c r="CY1822" s="1530"/>
      <c r="CZ1822" s="1530"/>
      <c r="DA1822" s="1530"/>
      <c r="DB1822" s="1530"/>
      <c r="DC1822" s="1530"/>
      <c r="DD1822" s="1530"/>
      <c r="DE1822" s="1530"/>
      <c r="DF1822" s="1530"/>
      <c r="DG1822" s="1530"/>
      <c r="DH1822" s="1530"/>
      <c r="DI1822" s="1530"/>
      <c r="DJ1822" s="1530"/>
      <c r="DK1822" s="1530"/>
      <c r="DL1822" s="1530"/>
      <c r="DM1822" s="1530"/>
      <c r="DN1822" s="1571"/>
      <c r="DO1822" s="1530"/>
      <c r="DP1822" s="1530"/>
    </row>
    <row r="1823" spans="1:120">
      <c r="A1823" s="1451"/>
      <c r="C1823" s="1451"/>
      <c r="K1823" s="1451"/>
      <c r="L1823" s="1451"/>
      <c r="U1823" s="1451"/>
      <c r="AD1823" s="1451"/>
      <c r="AM1823" s="1451"/>
      <c r="AV1823" s="1451"/>
      <c r="BE1823" s="1451"/>
      <c r="BN1823" s="1451"/>
      <c r="BV1823" s="1451"/>
      <c r="BW1823" s="1451"/>
      <c r="CF1823" s="1451"/>
      <c r="CN1823" s="1451"/>
      <c r="CO1823" s="1530"/>
      <c r="CP1823" s="1530"/>
      <c r="CQ1823" s="1530"/>
      <c r="CR1823" s="1530"/>
      <c r="CS1823" s="1530"/>
      <c r="CT1823" s="1530"/>
      <c r="CU1823" s="1530"/>
      <c r="CV1823" s="1530"/>
      <c r="CW1823" s="1530"/>
      <c r="CX1823" s="1530"/>
      <c r="CY1823" s="1530"/>
      <c r="CZ1823" s="1530"/>
      <c r="DA1823" s="1530"/>
      <c r="DB1823" s="1530"/>
      <c r="DC1823" s="1530"/>
      <c r="DD1823" s="1530"/>
      <c r="DE1823" s="1530"/>
      <c r="DF1823" s="1530"/>
      <c r="DG1823" s="1530"/>
      <c r="DH1823" s="1530"/>
      <c r="DI1823" s="1530"/>
      <c r="DJ1823" s="1530"/>
      <c r="DK1823" s="1530"/>
      <c r="DL1823" s="1530"/>
      <c r="DM1823" s="1530"/>
      <c r="DN1823" s="1571"/>
      <c r="DO1823" s="1530"/>
      <c r="DP1823" s="1530"/>
    </row>
    <row r="1824" spans="1:120">
      <c r="A1824" s="1451"/>
      <c r="C1824" s="1451"/>
      <c r="K1824" s="1451"/>
      <c r="L1824" s="1451"/>
      <c r="U1824" s="1451"/>
      <c r="AD1824" s="1451"/>
      <c r="AM1824" s="1451"/>
      <c r="AV1824" s="1451"/>
      <c r="BE1824" s="1451"/>
      <c r="BN1824" s="1451"/>
      <c r="BV1824" s="1451"/>
      <c r="BW1824" s="1451"/>
      <c r="CF1824" s="1451"/>
      <c r="CN1824" s="1451"/>
      <c r="CO1824" s="1530"/>
      <c r="CP1824" s="1530"/>
      <c r="CQ1824" s="1530"/>
      <c r="CR1824" s="1530"/>
      <c r="CS1824" s="1530"/>
      <c r="CT1824" s="1530"/>
      <c r="CU1824" s="1530"/>
      <c r="CV1824" s="1530"/>
      <c r="CW1824" s="1530"/>
      <c r="CX1824" s="1530"/>
      <c r="CY1824" s="1530"/>
      <c r="CZ1824" s="1530"/>
      <c r="DA1824" s="1530"/>
      <c r="DB1824" s="1530"/>
      <c r="DC1824" s="1530"/>
      <c r="DD1824" s="1530"/>
      <c r="DE1824" s="1530"/>
      <c r="DF1824" s="1530"/>
      <c r="DG1824" s="1530"/>
      <c r="DH1824" s="1530"/>
      <c r="DI1824" s="1530"/>
      <c r="DJ1824" s="1530"/>
      <c r="DK1824" s="1530"/>
      <c r="DL1824" s="1530"/>
      <c r="DM1824" s="1530"/>
      <c r="DN1824" s="1571"/>
      <c r="DO1824" s="1530"/>
      <c r="DP1824" s="1530"/>
    </row>
    <row r="1825" spans="1:120">
      <c r="A1825" s="1451"/>
      <c r="C1825" s="1451"/>
      <c r="K1825" s="1451"/>
      <c r="L1825" s="1451"/>
      <c r="U1825" s="1451"/>
      <c r="AD1825" s="1451"/>
      <c r="AM1825" s="1451"/>
      <c r="AV1825" s="1451"/>
      <c r="BE1825" s="1451"/>
      <c r="BN1825" s="1451"/>
      <c r="BV1825" s="1451"/>
      <c r="BW1825" s="1451"/>
      <c r="CF1825" s="1451"/>
      <c r="CN1825" s="1451"/>
      <c r="CO1825" s="1530"/>
      <c r="CP1825" s="1530"/>
      <c r="CQ1825" s="1530"/>
      <c r="CR1825" s="1530"/>
      <c r="CS1825" s="1530"/>
      <c r="CT1825" s="1530"/>
      <c r="CU1825" s="1530"/>
      <c r="CV1825" s="1530"/>
      <c r="CW1825" s="1530"/>
      <c r="CX1825" s="1530"/>
      <c r="CY1825" s="1530"/>
      <c r="CZ1825" s="1530"/>
      <c r="DA1825" s="1530"/>
      <c r="DB1825" s="1530"/>
      <c r="DC1825" s="1530"/>
      <c r="DD1825" s="1530"/>
      <c r="DE1825" s="1530"/>
      <c r="DF1825" s="1530"/>
      <c r="DG1825" s="1530"/>
      <c r="DH1825" s="1530"/>
      <c r="DI1825" s="1530"/>
      <c r="DJ1825" s="1530"/>
      <c r="DK1825" s="1530"/>
      <c r="DL1825" s="1530"/>
      <c r="DM1825" s="1530"/>
      <c r="DN1825" s="1571"/>
      <c r="DO1825" s="1530"/>
      <c r="DP1825" s="1530"/>
    </row>
    <row r="1826" spans="1:120">
      <c r="A1826" s="1451"/>
      <c r="C1826" s="1451"/>
      <c r="K1826" s="1451"/>
      <c r="L1826" s="1451"/>
      <c r="U1826" s="1451"/>
      <c r="AD1826" s="1451"/>
      <c r="AM1826" s="1451"/>
      <c r="AV1826" s="1451"/>
      <c r="BE1826" s="1451"/>
      <c r="BN1826" s="1451"/>
      <c r="BV1826" s="1451"/>
      <c r="BW1826" s="1451"/>
      <c r="CF1826" s="1451"/>
      <c r="CN1826" s="1451"/>
      <c r="CO1826" s="1530"/>
      <c r="CP1826" s="1530"/>
      <c r="CQ1826" s="1530"/>
      <c r="CR1826" s="1530"/>
      <c r="CS1826" s="1530"/>
      <c r="CT1826" s="1530"/>
      <c r="CU1826" s="1530"/>
      <c r="CV1826" s="1530"/>
      <c r="CW1826" s="1530"/>
      <c r="CX1826" s="1530"/>
      <c r="CY1826" s="1530"/>
      <c r="CZ1826" s="1530"/>
      <c r="DA1826" s="1530"/>
      <c r="DB1826" s="1530"/>
      <c r="DC1826" s="1530"/>
      <c r="DD1826" s="1530"/>
      <c r="DE1826" s="1530"/>
      <c r="DF1826" s="1530"/>
      <c r="DG1826" s="1530"/>
      <c r="DH1826" s="1530"/>
      <c r="DI1826" s="1530"/>
      <c r="DJ1826" s="1530"/>
      <c r="DK1826" s="1530"/>
      <c r="DL1826" s="1530"/>
      <c r="DM1826" s="1530"/>
      <c r="DN1826" s="1571"/>
      <c r="DO1826" s="1530"/>
      <c r="DP1826" s="1530"/>
    </row>
    <row r="1827" spans="1:120">
      <c r="A1827" s="1451"/>
      <c r="C1827" s="1451"/>
      <c r="K1827" s="1451"/>
      <c r="L1827" s="1451"/>
      <c r="U1827" s="1451"/>
      <c r="AD1827" s="1451"/>
      <c r="AM1827" s="1451"/>
      <c r="AV1827" s="1451"/>
      <c r="BE1827" s="1451"/>
      <c r="BN1827" s="1451"/>
      <c r="BV1827" s="1451"/>
      <c r="BW1827" s="1451"/>
      <c r="CF1827" s="1451"/>
      <c r="CN1827" s="1451"/>
      <c r="CO1827" s="1530"/>
      <c r="CP1827" s="1530"/>
      <c r="CQ1827" s="1530"/>
      <c r="CR1827" s="1530"/>
      <c r="CS1827" s="1530"/>
      <c r="CT1827" s="1530"/>
      <c r="CU1827" s="1530"/>
      <c r="CV1827" s="1530"/>
      <c r="CW1827" s="1530"/>
      <c r="CX1827" s="1530"/>
      <c r="CY1827" s="1530"/>
      <c r="CZ1827" s="1530"/>
      <c r="DA1827" s="1530"/>
      <c r="DB1827" s="1530"/>
      <c r="DC1827" s="1530"/>
      <c r="DD1827" s="1530"/>
      <c r="DE1827" s="1530"/>
      <c r="DF1827" s="1530"/>
      <c r="DG1827" s="1530"/>
      <c r="DH1827" s="1530"/>
      <c r="DI1827" s="1530"/>
      <c r="DJ1827" s="1530"/>
      <c r="DK1827" s="1530"/>
      <c r="DL1827" s="1530"/>
      <c r="DM1827" s="1530"/>
      <c r="DN1827" s="1571"/>
      <c r="DO1827" s="1530"/>
      <c r="DP1827" s="1530"/>
    </row>
    <row r="1828" spans="1:120">
      <c r="A1828" s="1451"/>
      <c r="C1828" s="1451"/>
      <c r="K1828" s="1451"/>
      <c r="L1828" s="1451"/>
      <c r="U1828" s="1451"/>
      <c r="AD1828" s="1451"/>
      <c r="AM1828" s="1451"/>
      <c r="AV1828" s="1451"/>
      <c r="BE1828" s="1451"/>
      <c r="BN1828" s="1451"/>
      <c r="BV1828" s="1451"/>
      <c r="BW1828" s="1451"/>
      <c r="CF1828" s="1451"/>
      <c r="CN1828" s="1451"/>
      <c r="CO1828" s="1530"/>
      <c r="CP1828" s="1530"/>
      <c r="CQ1828" s="1530"/>
      <c r="CR1828" s="1530"/>
      <c r="CS1828" s="1530"/>
      <c r="CT1828" s="1530"/>
      <c r="CU1828" s="1530"/>
      <c r="CV1828" s="1530"/>
      <c r="CW1828" s="1530"/>
      <c r="CX1828" s="1530"/>
      <c r="CY1828" s="1530"/>
      <c r="CZ1828" s="1530"/>
      <c r="DA1828" s="1530"/>
      <c r="DB1828" s="1530"/>
      <c r="DC1828" s="1530"/>
      <c r="DD1828" s="1530"/>
      <c r="DE1828" s="1530"/>
      <c r="DF1828" s="1530"/>
      <c r="DG1828" s="1530"/>
      <c r="DH1828" s="1530"/>
      <c r="DI1828" s="1530"/>
      <c r="DJ1828" s="1530"/>
      <c r="DK1828" s="1530"/>
      <c r="DL1828" s="1530"/>
      <c r="DM1828" s="1530"/>
      <c r="DN1828" s="1571"/>
      <c r="DO1828" s="1530"/>
      <c r="DP1828" s="1530"/>
    </row>
    <row r="1829" spans="1:120">
      <c r="A1829" s="1451"/>
      <c r="C1829" s="1451"/>
      <c r="K1829" s="1451"/>
      <c r="L1829" s="1451"/>
      <c r="U1829" s="1451"/>
      <c r="AD1829" s="1451"/>
      <c r="AM1829" s="1451"/>
      <c r="AV1829" s="1451"/>
      <c r="BE1829" s="1451"/>
      <c r="BN1829" s="1451"/>
      <c r="BV1829" s="1451"/>
      <c r="BW1829" s="1451"/>
      <c r="CF1829" s="1451"/>
      <c r="CN1829" s="1451"/>
      <c r="CO1829" s="1530"/>
      <c r="CP1829" s="1530"/>
      <c r="CQ1829" s="1530"/>
      <c r="CR1829" s="1530"/>
      <c r="CS1829" s="1530"/>
      <c r="CT1829" s="1530"/>
      <c r="CU1829" s="1530"/>
      <c r="CV1829" s="1530"/>
      <c r="CW1829" s="1530"/>
      <c r="CX1829" s="1530"/>
      <c r="CY1829" s="1530"/>
      <c r="CZ1829" s="1530"/>
      <c r="DA1829" s="1530"/>
      <c r="DB1829" s="1530"/>
      <c r="DC1829" s="1530"/>
      <c r="DD1829" s="1530"/>
      <c r="DE1829" s="1530"/>
      <c r="DF1829" s="1530"/>
      <c r="DG1829" s="1530"/>
      <c r="DH1829" s="1530"/>
      <c r="DI1829" s="1530"/>
      <c r="DJ1829" s="1530"/>
      <c r="DK1829" s="1530"/>
      <c r="DL1829" s="1530"/>
      <c r="DM1829" s="1530"/>
      <c r="DN1829" s="1571"/>
      <c r="DO1829" s="1530"/>
      <c r="DP1829" s="1530"/>
    </row>
    <row r="1830" spans="1:120">
      <c r="A1830" s="1451"/>
      <c r="C1830" s="1451"/>
      <c r="K1830" s="1451"/>
      <c r="L1830" s="1451"/>
      <c r="U1830" s="1451"/>
      <c r="AD1830" s="1451"/>
      <c r="AM1830" s="1451"/>
      <c r="AV1830" s="1451"/>
      <c r="BE1830" s="1451"/>
      <c r="BN1830" s="1451"/>
      <c r="BV1830" s="1451"/>
      <c r="BW1830" s="1451"/>
      <c r="CF1830" s="1451"/>
      <c r="CN1830" s="1451"/>
      <c r="CO1830" s="1530"/>
      <c r="CP1830" s="1530"/>
      <c r="CQ1830" s="1530"/>
      <c r="CR1830" s="1530"/>
      <c r="CS1830" s="1530"/>
      <c r="CT1830" s="1530"/>
      <c r="CU1830" s="1530"/>
      <c r="CV1830" s="1530"/>
      <c r="CW1830" s="1530"/>
      <c r="CX1830" s="1530"/>
      <c r="CY1830" s="1530"/>
      <c r="CZ1830" s="1530"/>
      <c r="DA1830" s="1530"/>
      <c r="DB1830" s="1530"/>
      <c r="DC1830" s="1530"/>
      <c r="DD1830" s="1530"/>
      <c r="DE1830" s="1530"/>
      <c r="DF1830" s="1530"/>
      <c r="DG1830" s="1530"/>
      <c r="DH1830" s="1530"/>
      <c r="DI1830" s="1530"/>
      <c r="DJ1830" s="1530"/>
      <c r="DK1830" s="1530"/>
      <c r="DL1830" s="1530"/>
      <c r="DM1830" s="1530"/>
      <c r="DN1830" s="1571"/>
      <c r="DO1830" s="1530"/>
      <c r="DP1830" s="1530"/>
    </row>
    <row r="1831" spans="1:120">
      <c r="A1831" s="1451"/>
      <c r="C1831" s="1451"/>
      <c r="K1831" s="1451"/>
      <c r="L1831" s="1451"/>
      <c r="U1831" s="1451"/>
      <c r="AD1831" s="1451"/>
      <c r="AM1831" s="1451"/>
      <c r="AV1831" s="1451"/>
      <c r="BE1831" s="1451"/>
      <c r="BN1831" s="1451"/>
      <c r="BV1831" s="1451"/>
      <c r="BW1831" s="1451"/>
      <c r="CF1831" s="1451"/>
      <c r="CN1831" s="1451"/>
      <c r="CO1831" s="1530"/>
      <c r="CP1831" s="1530"/>
      <c r="CQ1831" s="1530"/>
      <c r="CR1831" s="1530"/>
      <c r="CS1831" s="1530"/>
      <c r="CT1831" s="1530"/>
      <c r="CU1831" s="1530"/>
      <c r="CV1831" s="1530"/>
      <c r="CW1831" s="1530"/>
      <c r="CX1831" s="1530"/>
      <c r="CY1831" s="1530"/>
      <c r="CZ1831" s="1530"/>
      <c r="DA1831" s="1530"/>
      <c r="DB1831" s="1530"/>
      <c r="DC1831" s="1530"/>
      <c r="DD1831" s="1530"/>
      <c r="DE1831" s="1530"/>
      <c r="DF1831" s="1530"/>
      <c r="DG1831" s="1530"/>
      <c r="DH1831" s="1530"/>
      <c r="DI1831" s="1530"/>
      <c r="DJ1831" s="1530"/>
      <c r="DK1831" s="1530"/>
      <c r="DL1831" s="1530"/>
      <c r="DM1831" s="1530"/>
      <c r="DN1831" s="1571"/>
      <c r="DO1831" s="1530"/>
      <c r="DP1831" s="1530"/>
    </row>
    <row r="1832" spans="1:120">
      <c r="A1832" s="1451"/>
      <c r="C1832" s="1451"/>
      <c r="K1832" s="1451"/>
      <c r="L1832" s="1451"/>
      <c r="U1832" s="1451"/>
      <c r="AD1832" s="1451"/>
      <c r="AM1832" s="1451"/>
      <c r="AV1832" s="1451"/>
      <c r="BE1832" s="1451"/>
      <c r="BN1832" s="1451"/>
      <c r="BV1832" s="1451"/>
      <c r="BW1832" s="1451"/>
      <c r="CF1832" s="1451"/>
      <c r="CN1832" s="1451"/>
      <c r="CO1832" s="1530"/>
      <c r="CP1832" s="1530"/>
      <c r="CQ1832" s="1530"/>
      <c r="CR1832" s="1530"/>
      <c r="CS1832" s="1530"/>
      <c r="CT1832" s="1530"/>
      <c r="CU1832" s="1530"/>
      <c r="CV1832" s="1530"/>
      <c r="CW1832" s="1530"/>
      <c r="CX1832" s="1530"/>
      <c r="CY1832" s="1530"/>
      <c r="CZ1832" s="1530"/>
      <c r="DA1832" s="1530"/>
      <c r="DB1832" s="1530"/>
      <c r="DC1832" s="1530"/>
      <c r="DD1832" s="1530"/>
      <c r="DE1832" s="1530"/>
      <c r="DF1832" s="1530"/>
      <c r="DG1832" s="1530"/>
      <c r="DH1832" s="1530"/>
      <c r="DI1832" s="1530"/>
      <c r="DJ1832" s="1530"/>
      <c r="DK1832" s="1530"/>
      <c r="DL1832" s="1530"/>
      <c r="DM1832" s="1530"/>
      <c r="DN1832" s="1571"/>
      <c r="DO1832" s="1530"/>
      <c r="DP1832" s="1530"/>
    </row>
    <row r="1833" spans="1:120">
      <c r="A1833" s="1451"/>
      <c r="C1833" s="1451"/>
      <c r="K1833" s="1451"/>
      <c r="L1833" s="1451"/>
      <c r="U1833" s="1451"/>
      <c r="AD1833" s="1451"/>
      <c r="AM1833" s="1451"/>
      <c r="AV1833" s="1451"/>
      <c r="BE1833" s="1451"/>
      <c r="BN1833" s="1451"/>
      <c r="BV1833" s="1451"/>
      <c r="BW1833" s="1451"/>
      <c r="CF1833" s="1451"/>
      <c r="CN1833" s="1451"/>
      <c r="CO1833" s="1530"/>
      <c r="CP1833" s="1530"/>
      <c r="CQ1833" s="1530"/>
      <c r="CR1833" s="1530"/>
      <c r="CS1833" s="1530"/>
      <c r="CT1833" s="1530"/>
      <c r="CU1833" s="1530"/>
      <c r="CV1833" s="1530"/>
      <c r="CW1833" s="1530"/>
      <c r="CX1833" s="1530"/>
      <c r="CY1833" s="1530"/>
      <c r="CZ1833" s="1530"/>
      <c r="DA1833" s="1530"/>
      <c r="DB1833" s="1530"/>
      <c r="DC1833" s="1530"/>
      <c r="DD1833" s="1530"/>
      <c r="DE1833" s="1530"/>
      <c r="DF1833" s="1530"/>
      <c r="DG1833" s="1530"/>
      <c r="DH1833" s="1530"/>
      <c r="DI1833" s="1530"/>
      <c r="DJ1833" s="1530"/>
      <c r="DK1833" s="1530"/>
      <c r="DL1833" s="1530"/>
      <c r="DM1833" s="1530"/>
      <c r="DN1833" s="1571"/>
      <c r="DO1833" s="1530"/>
      <c r="DP1833" s="1530"/>
    </row>
    <row r="1834" spans="1:120">
      <c r="A1834" s="1451"/>
      <c r="C1834" s="1451"/>
      <c r="K1834" s="1451"/>
      <c r="L1834" s="1451"/>
      <c r="U1834" s="1451"/>
      <c r="AD1834" s="1451"/>
      <c r="AM1834" s="1451"/>
      <c r="AV1834" s="1451"/>
      <c r="BE1834" s="1451"/>
      <c r="BN1834" s="1451"/>
      <c r="BV1834" s="1451"/>
      <c r="BW1834" s="1451"/>
      <c r="CF1834" s="1451"/>
      <c r="CN1834" s="1451"/>
      <c r="CO1834" s="1530"/>
      <c r="CP1834" s="1530"/>
      <c r="CQ1834" s="1530"/>
      <c r="CR1834" s="1530"/>
      <c r="CS1834" s="1530"/>
      <c r="CT1834" s="1530"/>
      <c r="CU1834" s="1530"/>
      <c r="CV1834" s="1530"/>
      <c r="CW1834" s="1530"/>
      <c r="CX1834" s="1530"/>
      <c r="CY1834" s="1530"/>
      <c r="CZ1834" s="1530"/>
      <c r="DA1834" s="1530"/>
      <c r="DB1834" s="1530"/>
      <c r="DC1834" s="1530"/>
      <c r="DD1834" s="1530"/>
      <c r="DE1834" s="1530"/>
      <c r="DF1834" s="1530"/>
      <c r="DG1834" s="1530"/>
      <c r="DH1834" s="1530"/>
      <c r="DI1834" s="1530"/>
      <c r="DJ1834" s="1530"/>
      <c r="DK1834" s="1530"/>
      <c r="DL1834" s="1530"/>
      <c r="DM1834" s="1530"/>
      <c r="DN1834" s="1571"/>
      <c r="DO1834" s="1530"/>
      <c r="DP1834" s="1530"/>
    </row>
    <row r="1835" spans="1:120">
      <c r="A1835" s="1451"/>
      <c r="C1835" s="1451"/>
      <c r="K1835" s="1451"/>
      <c r="L1835" s="1451"/>
      <c r="U1835" s="1451"/>
      <c r="AD1835" s="1451"/>
      <c r="AM1835" s="1451"/>
      <c r="AV1835" s="1451"/>
      <c r="BE1835" s="1451"/>
      <c r="BN1835" s="1451"/>
      <c r="BV1835" s="1451"/>
      <c r="BW1835" s="1451"/>
      <c r="CF1835" s="1451"/>
      <c r="CN1835" s="1451"/>
      <c r="CO1835" s="1530"/>
      <c r="CP1835" s="1530"/>
      <c r="CQ1835" s="1530"/>
      <c r="CR1835" s="1530"/>
      <c r="CS1835" s="1530"/>
      <c r="CT1835" s="1530"/>
      <c r="CU1835" s="1530"/>
      <c r="CV1835" s="1530"/>
      <c r="CW1835" s="1530"/>
      <c r="CX1835" s="1530"/>
      <c r="CY1835" s="1530"/>
      <c r="CZ1835" s="1530"/>
      <c r="DA1835" s="1530"/>
      <c r="DB1835" s="1530"/>
      <c r="DC1835" s="1530"/>
      <c r="DD1835" s="1530"/>
      <c r="DE1835" s="1530"/>
      <c r="DF1835" s="1530"/>
      <c r="DG1835" s="1530"/>
      <c r="DH1835" s="1530"/>
      <c r="DI1835" s="1530"/>
      <c r="DJ1835" s="1530"/>
      <c r="DK1835" s="1530"/>
      <c r="DL1835" s="1530"/>
      <c r="DM1835" s="1530"/>
      <c r="DN1835" s="1571"/>
      <c r="DO1835" s="1530"/>
      <c r="DP1835" s="1530"/>
    </row>
    <row r="1836" spans="1:120">
      <c r="A1836" s="1451"/>
      <c r="C1836" s="1451"/>
      <c r="K1836" s="1451"/>
      <c r="L1836" s="1451"/>
      <c r="U1836" s="1451"/>
      <c r="AD1836" s="1451"/>
      <c r="AM1836" s="1451"/>
      <c r="AV1836" s="1451"/>
      <c r="BE1836" s="1451"/>
      <c r="BN1836" s="1451"/>
      <c r="BV1836" s="1451"/>
      <c r="BW1836" s="1451"/>
      <c r="CF1836" s="1451"/>
      <c r="CN1836" s="1451"/>
      <c r="CO1836" s="1530"/>
      <c r="CP1836" s="1530"/>
      <c r="CQ1836" s="1530"/>
      <c r="CR1836" s="1530"/>
      <c r="CS1836" s="1530"/>
      <c r="CT1836" s="1530"/>
      <c r="CU1836" s="1530"/>
      <c r="CV1836" s="1530"/>
      <c r="CW1836" s="1530"/>
      <c r="CX1836" s="1530"/>
      <c r="CY1836" s="1530"/>
      <c r="CZ1836" s="1530"/>
      <c r="DA1836" s="1530"/>
      <c r="DB1836" s="1530"/>
      <c r="DC1836" s="1530"/>
      <c r="DD1836" s="1530"/>
      <c r="DE1836" s="1530"/>
      <c r="DF1836" s="1530"/>
      <c r="DG1836" s="1530"/>
      <c r="DH1836" s="1530"/>
      <c r="DI1836" s="1530"/>
      <c r="DJ1836" s="1530"/>
      <c r="DK1836" s="1530"/>
      <c r="DL1836" s="1530"/>
      <c r="DM1836" s="1530"/>
      <c r="DN1836" s="1571"/>
      <c r="DO1836" s="1530"/>
      <c r="DP1836" s="1530"/>
    </row>
    <row r="1837" spans="1:120">
      <c r="A1837" s="1451"/>
      <c r="C1837" s="1451"/>
      <c r="K1837" s="1451"/>
      <c r="L1837" s="1451"/>
      <c r="U1837" s="1451"/>
      <c r="AD1837" s="1451"/>
      <c r="AM1837" s="1451"/>
      <c r="AV1837" s="1451"/>
      <c r="BE1837" s="1451"/>
      <c r="BN1837" s="1451"/>
      <c r="BV1837" s="1451"/>
      <c r="BW1837" s="1451"/>
      <c r="CF1837" s="1451"/>
      <c r="CN1837" s="1451"/>
      <c r="CO1837" s="1530"/>
      <c r="CP1837" s="1530"/>
      <c r="CQ1837" s="1530"/>
      <c r="CR1837" s="1530"/>
      <c r="CS1837" s="1530"/>
      <c r="CT1837" s="1530"/>
      <c r="CU1837" s="1530"/>
      <c r="CV1837" s="1530"/>
      <c r="CW1837" s="1530"/>
      <c r="CX1837" s="1530"/>
      <c r="CY1837" s="1530"/>
      <c r="CZ1837" s="1530"/>
      <c r="DA1837" s="1530"/>
      <c r="DB1837" s="1530"/>
      <c r="DC1837" s="1530"/>
      <c r="DD1837" s="1530"/>
      <c r="DE1837" s="1530"/>
      <c r="DF1837" s="1530"/>
      <c r="DG1837" s="1530"/>
      <c r="DH1837" s="1530"/>
      <c r="DI1837" s="1530"/>
      <c r="DJ1837" s="1530"/>
      <c r="DK1837" s="1530"/>
      <c r="DL1837" s="1530"/>
      <c r="DM1837" s="1530"/>
      <c r="DN1837" s="1571"/>
      <c r="DO1837" s="1530"/>
      <c r="DP1837" s="1530"/>
    </row>
    <row r="1838" spans="1:120">
      <c r="A1838" s="1451"/>
      <c r="C1838" s="1451"/>
      <c r="K1838" s="1451"/>
      <c r="L1838" s="1451"/>
      <c r="U1838" s="1451"/>
      <c r="AD1838" s="1451"/>
      <c r="AM1838" s="1451"/>
      <c r="AV1838" s="1451"/>
      <c r="BE1838" s="1451"/>
      <c r="BN1838" s="1451"/>
      <c r="BV1838" s="1451"/>
      <c r="BW1838" s="1451"/>
      <c r="CF1838" s="1451"/>
      <c r="CN1838" s="1451"/>
      <c r="CO1838" s="1530"/>
      <c r="CP1838" s="1530"/>
      <c r="CQ1838" s="1530"/>
      <c r="CR1838" s="1530"/>
      <c r="CS1838" s="1530"/>
      <c r="CT1838" s="1530"/>
      <c r="CU1838" s="1530"/>
      <c r="CV1838" s="1530"/>
      <c r="CW1838" s="1530"/>
      <c r="CX1838" s="1530"/>
      <c r="CY1838" s="1530"/>
      <c r="CZ1838" s="1530"/>
      <c r="DA1838" s="1530"/>
      <c r="DB1838" s="1530"/>
      <c r="DC1838" s="1530"/>
      <c r="DD1838" s="1530"/>
      <c r="DE1838" s="1530"/>
      <c r="DF1838" s="1530"/>
      <c r="DG1838" s="1530"/>
      <c r="DH1838" s="1530"/>
      <c r="DI1838" s="1530"/>
      <c r="DJ1838" s="1530"/>
      <c r="DK1838" s="1530"/>
      <c r="DL1838" s="1530"/>
      <c r="DM1838" s="1530"/>
      <c r="DN1838" s="1571"/>
      <c r="DO1838" s="1530"/>
      <c r="DP1838" s="1530"/>
    </row>
    <row r="1839" spans="1:120">
      <c r="A1839" s="1451"/>
      <c r="C1839" s="1451"/>
      <c r="K1839" s="1451"/>
      <c r="L1839" s="1451"/>
      <c r="U1839" s="1451"/>
      <c r="AD1839" s="1451"/>
      <c r="AM1839" s="1451"/>
      <c r="AV1839" s="1451"/>
      <c r="BE1839" s="1451"/>
      <c r="BN1839" s="1451"/>
      <c r="BV1839" s="1451"/>
      <c r="BW1839" s="1451"/>
      <c r="CF1839" s="1451"/>
      <c r="CN1839" s="1451"/>
      <c r="CO1839" s="1530"/>
      <c r="CP1839" s="1530"/>
      <c r="CQ1839" s="1530"/>
      <c r="CR1839" s="1530"/>
      <c r="CS1839" s="1530"/>
      <c r="CT1839" s="1530"/>
      <c r="CU1839" s="1530"/>
      <c r="CV1839" s="1530"/>
      <c r="CW1839" s="1530"/>
      <c r="CX1839" s="1530"/>
      <c r="CY1839" s="1530"/>
      <c r="CZ1839" s="1530"/>
      <c r="DA1839" s="1530"/>
      <c r="DB1839" s="1530"/>
      <c r="DC1839" s="1530"/>
      <c r="DD1839" s="1530"/>
      <c r="DE1839" s="1530"/>
      <c r="DF1839" s="1530"/>
      <c r="DG1839" s="1530"/>
      <c r="DH1839" s="1530"/>
      <c r="DI1839" s="1530"/>
      <c r="DJ1839" s="1530"/>
      <c r="DK1839" s="1530"/>
      <c r="DL1839" s="1530"/>
      <c r="DM1839" s="1530"/>
      <c r="DN1839" s="1571"/>
      <c r="DO1839" s="1530"/>
      <c r="DP1839" s="1530"/>
    </row>
    <row r="1840" spans="1:120">
      <c r="A1840" s="1451"/>
      <c r="C1840" s="1451"/>
      <c r="K1840" s="1451"/>
      <c r="L1840" s="1451"/>
      <c r="U1840" s="1451"/>
      <c r="AD1840" s="1451"/>
      <c r="AM1840" s="1451"/>
      <c r="AV1840" s="1451"/>
      <c r="BE1840" s="1451"/>
      <c r="BN1840" s="1451"/>
      <c r="BV1840" s="1451"/>
      <c r="BW1840" s="1451"/>
      <c r="CF1840" s="1451"/>
      <c r="CN1840" s="1451"/>
      <c r="CO1840" s="1530"/>
      <c r="CP1840" s="1530"/>
      <c r="CQ1840" s="1530"/>
      <c r="CR1840" s="1530"/>
      <c r="CS1840" s="1530"/>
      <c r="CT1840" s="1530"/>
      <c r="CU1840" s="1530"/>
      <c r="CV1840" s="1530"/>
      <c r="CW1840" s="1530"/>
      <c r="CX1840" s="1530"/>
      <c r="CY1840" s="1530"/>
      <c r="CZ1840" s="1530"/>
      <c r="DA1840" s="1530"/>
      <c r="DB1840" s="1530"/>
      <c r="DC1840" s="1530"/>
      <c r="DD1840" s="1530"/>
      <c r="DE1840" s="1530"/>
      <c r="DF1840" s="1530"/>
      <c r="DG1840" s="1530"/>
      <c r="DH1840" s="1530"/>
      <c r="DI1840" s="1530"/>
      <c r="DJ1840" s="1530"/>
      <c r="DK1840" s="1530"/>
      <c r="DL1840" s="1530"/>
      <c r="DM1840" s="1530"/>
      <c r="DN1840" s="1571"/>
      <c r="DO1840" s="1530"/>
      <c r="DP1840" s="1530"/>
    </row>
    <row r="1841" spans="1:120">
      <c r="A1841" s="1451"/>
      <c r="C1841" s="1451"/>
      <c r="K1841" s="1451"/>
      <c r="L1841" s="1451"/>
      <c r="U1841" s="1451"/>
      <c r="AD1841" s="1451"/>
      <c r="AM1841" s="1451"/>
      <c r="AV1841" s="1451"/>
      <c r="BE1841" s="1451"/>
      <c r="BN1841" s="1451"/>
      <c r="BV1841" s="1451"/>
      <c r="BW1841" s="1451"/>
      <c r="CF1841" s="1451"/>
      <c r="CN1841" s="1451"/>
      <c r="CO1841" s="1530"/>
      <c r="CP1841" s="1530"/>
      <c r="CQ1841" s="1530"/>
      <c r="CR1841" s="1530"/>
      <c r="CS1841" s="1530"/>
      <c r="CT1841" s="1530"/>
      <c r="CU1841" s="1530"/>
      <c r="CV1841" s="1530"/>
      <c r="CW1841" s="1530"/>
      <c r="CX1841" s="1530"/>
      <c r="CY1841" s="1530"/>
      <c r="CZ1841" s="1530"/>
      <c r="DA1841" s="1530"/>
      <c r="DB1841" s="1530"/>
      <c r="DC1841" s="1530"/>
      <c r="DD1841" s="1530"/>
      <c r="DE1841" s="1530"/>
      <c r="DF1841" s="1530"/>
      <c r="DG1841" s="1530"/>
      <c r="DH1841" s="1530"/>
      <c r="DI1841" s="1530"/>
      <c r="DJ1841" s="1530"/>
      <c r="DK1841" s="1530"/>
      <c r="DL1841" s="1530"/>
      <c r="DM1841" s="1530"/>
      <c r="DN1841" s="1571"/>
      <c r="DO1841" s="1530"/>
      <c r="DP1841" s="1530"/>
    </row>
    <row r="1842" spans="1:120">
      <c r="A1842" s="1451"/>
      <c r="C1842" s="1451"/>
      <c r="K1842" s="1451"/>
      <c r="L1842" s="1451"/>
      <c r="U1842" s="1451"/>
      <c r="AD1842" s="1451"/>
      <c r="AM1842" s="1451"/>
      <c r="AV1842" s="1451"/>
      <c r="BE1842" s="1451"/>
      <c r="BN1842" s="1451"/>
      <c r="BV1842" s="1451"/>
      <c r="BW1842" s="1451"/>
      <c r="CF1842" s="1451"/>
      <c r="CN1842" s="1451"/>
      <c r="CO1842" s="1530"/>
      <c r="CP1842" s="1530"/>
      <c r="CQ1842" s="1530"/>
      <c r="CR1842" s="1530"/>
      <c r="CS1842" s="1530"/>
      <c r="CT1842" s="1530"/>
      <c r="CU1842" s="1530"/>
      <c r="CV1842" s="1530"/>
      <c r="CW1842" s="1530"/>
      <c r="CX1842" s="1530"/>
      <c r="CY1842" s="1530"/>
      <c r="CZ1842" s="1530"/>
      <c r="DA1842" s="1530"/>
      <c r="DB1842" s="1530"/>
      <c r="DC1842" s="1530"/>
      <c r="DD1842" s="1530"/>
      <c r="DE1842" s="1530"/>
      <c r="DF1842" s="1530"/>
      <c r="DG1842" s="1530"/>
      <c r="DH1842" s="1530"/>
      <c r="DI1842" s="1530"/>
      <c r="DJ1842" s="1530"/>
      <c r="DK1842" s="1530"/>
      <c r="DL1842" s="1530"/>
      <c r="DM1842" s="1530"/>
      <c r="DN1842" s="1571"/>
      <c r="DO1842" s="1530"/>
      <c r="DP1842" s="1530"/>
    </row>
    <row r="1843" spans="1:120">
      <c r="A1843" s="1451"/>
      <c r="C1843" s="1451"/>
      <c r="K1843" s="1451"/>
      <c r="L1843" s="1451"/>
      <c r="U1843" s="1451"/>
      <c r="AD1843" s="1451"/>
      <c r="AM1843" s="1451"/>
      <c r="AV1843" s="1451"/>
      <c r="BE1843" s="1451"/>
      <c r="BN1843" s="1451"/>
      <c r="BV1843" s="1451"/>
      <c r="BW1843" s="1451"/>
      <c r="CF1843" s="1451"/>
      <c r="CN1843" s="1451"/>
      <c r="CO1843" s="1530"/>
      <c r="CP1843" s="1530"/>
      <c r="CQ1843" s="1530"/>
      <c r="CR1843" s="1530"/>
      <c r="CS1843" s="1530"/>
      <c r="CT1843" s="1530"/>
      <c r="CU1843" s="1530"/>
      <c r="CV1843" s="1530"/>
      <c r="CW1843" s="1530"/>
      <c r="CX1843" s="1530"/>
      <c r="CY1843" s="1530"/>
      <c r="CZ1843" s="1530"/>
      <c r="DA1843" s="1530"/>
      <c r="DB1843" s="1530"/>
      <c r="DC1843" s="1530"/>
      <c r="DD1843" s="1530"/>
      <c r="DE1843" s="1530"/>
      <c r="DF1843" s="1530"/>
      <c r="DG1843" s="1530"/>
      <c r="DH1843" s="1530"/>
      <c r="DI1843" s="1530"/>
      <c r="DJ1843" s="1530"/>
      <c r="DK1843" s="1530"/>
      <c r="DL1843" s="1530"/>
      <c r="DM1843" s="1530"/>
      <c r="DN1843" s="1571"/>
      <c r="DO1843" s="1530"/>
      <c r="DP1843" s="1530"/>
    </row>
    <row r="1844" spans="1:120">
      <c r="A1844" s="1451"/>
      <c r="C1844" s="1451"/>
      <c r="K1844" s="1451"/>
      <c r="L1844" s="1451"/>
      <c r="U1844" s="1451"/>
      <c r="AD1844" s="1451"/>
      <c r="AM1844" s="1451"/>
      <c r="AV1844" s="1451"/>
      <c r="BE1844" s="1451"/>
      <c r="BN1844" s="1451"/>
      <c r="BV1844" s="1451"/>
      <c r="BW1844" s="1451"/>
      <c r="CF1844" s="1451"/>
      <c r="CN1844" s="1451"/>
      <c r="CO1844" s="1530"/>
      <c r="CP1844" s="1530"/>
      <c r="CQ1844" s="1530"/>
      <c r="CR1844" s="1530"/>
      <c r="CS1844" s="1530"/>
      <c r="CT1844" s="1530"/>
      <c r="CU1844" s="1530"/>
      <c r="CV1844" s="1530"/>
      <c r="CW1844" s="1530"/>
      <c r="CX1844" s="1530"/>
      <c r="CY1844" s="1530"/>
      <c r="CZ1844" s="1530"/>
      <c r="DA1844" s="1530"/>
      <c r="DB1844" s="1530"/>
      <c r="DC1844" s="1530"/>
      <c r="DD1844" s="1530"/>
      <c r="DE1844" s="1530"/>
      <c r="DF1844" s="1530"/>
      <c r="DG1844" s="1530"/>
      <c r="DH1844" s="1530"/>
      <c r="DI1844" s="1530"/>
      <c r="DJ1844" s="1530"/>
      <c r="DK1844" s="1530"/>
      <c r="DL1844" s="1530"/>
      <c r="DM1844" s="1530"/>
      <c r="DN1844" s="1571"/>
      <c r="DO1844" s="1530"/>
      <c r="DP1844" s="1530"/>
    </row>
    <row r="1845" spans="1:120">
      <c r="A1845" s="1451"/>
      <c r="C1845" s="1451"/>
      <c r="K1845" s="1451"/>
      <c r="L1845" s="1451"/>
      <c r="U1845" s="1451"/>
      <c r="AD1845" s="1451"/>
      <c r="AM1845" s="1451"/>
      <c r="AV1845" s="1451"/>
      <c r="BE1845" s="1451"/>
      <c r="BN1845" s="1451"/>
      <c r="BV1845" s="1451"/>
      <c r="BW1845" s="1451"/>
      <c r="CF1845" s="1451"/>
      <c r="CN1845" s="1451"/>
      <c r="CO1845" s="1530"/>
      <c r="CP1845" s="1530"/>
      <c r="CQ1845" s="1530"/>
      <c r="CR1845" s="1530"/>
      <c r="CS1845" s="1530"/>
      <c r="CT1845" s="1530"/>
      <c r="CU1845" s="1530"/>
      <c r="CV1845" s="1530"/>
      <c r="CW1845" s="1530"/>
      <c r="CX1845" s="1530"/>
      <c r="CY1845" s="1530"/>
      <c r="CZ1845" s="1530"/>
      <c r="DA1845" s="1530"/>
      <c r="DB1845" s="1530"/>
      <c r="DC1845" s="1530"/>
      <c r="DD1845" s="1530"/>
      <c r="DE1845" s="1530"/>
      <c r="DF1845" s="1530"/>
      <c r="DG1845" s="1530"/>
      <c r="DH1845" s="1530"/>
      <c r="DI1845" s="1530"/>
      <c r="DJ1845" s="1530"/>
      <c r="DK1845" s="1530"/>
      <c r="DL1845" s="1530"/>
      <c r="DM1845" s="1530"/>
      <c r="DN1845" s="1571"/>
      <c r="DO1845" s="1530"/>
      <c r="DP1845" s="1530"/>
    </row>
    <row r="1846" spans="1:120">
      <c r="A1846" s="1451"/>
      <c r="C1846" s="1451"/>
      <c r="K1846" s="1451"/>
      <c r="L1846" s="1451"/>
      <c r="U1846" s="1451"/>
      <c r="AD1846" s="1451"/>
      <c r="AM1846" s="1451"/>
      <c r="AV1846" s="1451"/>
      <c r="BE1846" s="1451"/>
      <c r="BN1846" s="1451"/>
      <c r="BV1846" s="1451"/>
      <c r="BW1846" s="1451"/>
      <c r="CF1846" s="1451"/>
      <c r="CN1846" s="1451"/>
      <c r="CO1846" s="1530"/>
      <c r="CP1846" s="1530"/>
      <c r="CQ1846" s="1530"/>
      <c r="CR1846" s="1530"/>
      <c r="CS1846" s="1530"/>
      <c r="CT1846" s="1530"/>
      <c r="CU1846" s="1530"/>
      <c r="CV1846" s="1530"/>
      <c r="CW1846" s="1530"/>
      <c r="CX1846" s="1530"/>
      <c r="CY1846" s="1530"/>
      <c r="CZ1846" s="1530"/>
      <c r="DA1846" s="1530"/>
      <c r="DB1846" s="1530"/>
      <c r="DC1846" s="1530"/>
      <c r="DD1846" s="1530"/>
      <c r="DE1846" s="1530"/>
      <c r="DF1846" s="1530"/>
      <c r="DG1846" s="1530"/>
      <c r="DH1846" s="1530"/>
      <c r="DI1846" s="1530"/>
      <c r="DJ1846" s="1530"/>
      <c r="DK1846" s="1530"/>
      <c r="DL1846" s="1530"/>
      <c r="DM1846" s="1530"/>
      <c r="DN1846" s="1571"/>
      <c r="DO1846" s="1530"/>
      <c r="DP1846" s="1530"/>
    </row>
    <row r="1847" spans="1:120">
      <c r="A1847" s="1451"/>
      <c r="C1847" s="1451"/>
      <c r="K1847" s="1451"/>
      <c r="L1847" s="1451"/>
      <c r="U1847" s="1451"/>
      <c r="AD1847" s="1451"/>
      <c r="AM1847" s="1451"/>
      <c r="AV1847" s="1451"/>
      <c r="BE1847" s="1451"/>
      <c r="BN1847" s="1451"/>
      <c r="BV1847" s="1451"/>
      <c r="BW1847" s="1451"/>
      <c r="CF1847" s="1451"/>
      <c r="CN1847" s="1451"/>
      <c r="CO1847" s="1530"/>
      <c r="CP1847" s="1530"/>
      <c r="CQ1847" s="1530"/>
      <c r="CR1847" s="1530"/>
      <c r="CS1847" s="1530"/>
      <c r="CT1847" s="1530"/>
      <c r="CU1847" s="1530"/>
      <c r="CV1847" s="1530"/>
      <c r="CW1847" s="1530"/>
      <c r="CX1847" s="1530"/>
      <c r="CY1847" s="1530"/>
      <c r="CZ1847" s="1530"/>
      <c r="DA1847" s="1530"/>
      <c r="DB1847" s="1530"/>
      <c r="DC1847" s="1530"/>
      <c r="DD1847" s="1530"/>
      <c r="DE1847" s="1530"/>
      <c r="DF1847" s="1530"/>
      <c r="DG1847" s="1530"/>
      <c r="DH1847" s="1530"/>
      <c r="DI1847" s="1530"/>
      <c r="DJ1847" s="1530"/>
      <c r="DK1847" s="1530"/>
      <c r="DL1847" s="1530"/>
      <c r="DM1847" s="1530"/>
      <c r="DN1847" s="1571"/>
      <c r="DO1847" s="1530"/>
      <c r="DP1847" s="1530"/>
    </row>
    <row r="1848" spans="1:120">
      <c r="A1848" s="1451"/>
      <c r="C1848" s="1451"/>
      <c r="K1848" s="1451"/>
      <c r="L1848" s="1451"/>
      <c r="U1848" s="1451"/>
      <c r="AD1848" s="1451"/>
      <c r="AM1848" s="1451"/>
      <c r="AV1848" s="1451"/>
      <c r="BE1848" s="1451"/>
      <c r="BN1848" s="1451"/>
      <c r="BV1848" s="1451"/>
      <c r="BW1848" s="1451"/>
      <c r="CF1848" s="1451"/>
      <c r="CN1848" s="1451"/>
      <c r="CO1848" s="1530"/>
      <c r="CP1848" s="1530"/>
      <c r="CQ1848" s="1530"/>
      <c r="CR1848" s="1530"/>
      <c r="CS1848" s="1530"/>
      <c r="CT1848" s="1530"/>
      <c r="CU1848" s="1530"/>
      <c r="CV1848" s="1530"/>
      <c r="CW1848" s="1530"/>
      <c r="CX1848" s="1530"/>
      <c r="CY1848" s="1530"/>
      <c r="CZ1848" s="1530"/>
      <c r="DA1848" s="1530"/>
      <c r="DB1848" s="1530"/>
      <c r="DC1848" s="1530"/>
      <c r="DD1848" s="1530"/>
      <c r="DE1848" s="1530"/>
      <c r="DF1848" s="1530"/>
      <c r="DG1848" s="1530"/>
      <c r="DH1848" s="1530"/>
      <c r="DI1848" s="1530"/>
      <c r="DJ1848" s="1530"/>
      <c r="DK1848" s="1530"/>
      <c r="DL1848" s="1530"/>
      <c r="DM1848" s="1530"/>
      <c r="DN1848" s="1571"/>
      <c r="DO1848" s="1530"/>
      <c r="DP1848" s="1530"/>
    </row>
    <row r="1849" spans="1:120">
      <c r="A1849" s="1451"/>
      <c r="C1849" s="1451"/>
      <c r="K1849" s="1451"/>
      <c r="L1849" s="1451"/>
      <c r="U1849" s="1451"/>
      <c r="AD1849" s="1451"/>
      <c r="AM1849" s="1451"/>
      <c r="AV1849" s="1451"/>
      <c r="BE1849" s="1451"/>
      <c r="BN1849" s="1451"/>
      <c r="BV1849" s="1451"/>
      <c r="BW1849" s="1451"/>
      <c r="CF1849" s="1451"/>
      <c r="CN1849" s="1451"/>
      <c r="CO1849" s="1530"/>
      <c r="CP1849" s="1530"/>
      <c r="CQ1849" s="1530"/>
      <c r="CR1849" s="1530"/>
      <c r="CS1849" s="1530"/>
      <c r="CT1849" s="1530"/>
      <c r="CU1849" s="1530"/>
      <c r="CV1849" s="1530"/>
      <c r="CW1849" s="1530"/>
      <c r="CX1849" s="1530"/>
      <c r="CY1849" s="1530"/>
      <c r="CZ1849" s="1530"/>
      <c r="DA1849" s="1530"/>
      <c r="DB1849" s="1530"/>
      <c r="DC1849" s="1530"/>
      <c r="DD1849" s="1530"/>
      <c r="DE1849" s="1530"/>
      <c r="DF1849" s="1530"/>
      <c r="DG1849" s="1530"/>
      <c r="DH1849" s="1530"/>
      <c r="DI1849" s="1530"/>
      <c r="DJ1849" s="1530"/>
      <c r="DK1849" s="1530"/>
      <c r="DL1849" s="1530"/>
      <c r="DM1849" s="1530"/>
      <c r="DN1849" s="1571"/>
      <c r="DO1849" s="1530"/>
      <c r="DP1849" s="1530"/>
    </row>
    <row r="1850" spans="1:120">
      <c r="A1850" s="1451"/>
      <c r="C1850" s="1451"/>
      <c r="K1850" s="1451"/>
      <c r="L1850" s="1451"/>
      <c r="U1850" s="1451"/>
      <c r="AD1850" s="1451"/>
      <c r="AM1850" s="1451"/>
      <c r="AV1850" s="1451"/>
      <c r="BE1850" s="1451"/>
      <c r="BN1850" s="1451"/>
      <c r="BV1850" s="1451"/>
      <c r="BW1850" s="1451"/>
      <c r="CF1850" s="1451"/>
      <c r="CN1850" s="1451"/>
      <c r="CO1850" s="1530"/>
      <c r="CP1850" s="1530"/>
      <c r="CQ1850" s="1530"/>
      <c r="CR1850" s="1530"/>
      <c r="CS1850" s="1530"/>
      <c r="CT1850" s="1530"/>
      <c r="CU1850" s="1530"/>
      <c r="CV1850" s="1530"/>
      <c r="CW1850" s="1530"/>
      <c r="CX1850" s="1530"/>
      <c r="CY1850" s="1530"/>
      <c r="CZ1850" s="1530"/>
      <c r="DA1850" s="1530"/>
      <c r="DB1850" s="1530"/>
      <c r="DC1850" s="1530"/>
      <c r="DD1850" s="1530"/>
      <c r="DE1850" s="1530"/>
      <c r="DF1850" s="1530"/>
      <c r="DG1850" s="1530"/>
      <c r="DH1850" s="1530"/>
      <c r="DI1850" s="1530"/>
      <c r="DJ1850" s="1530"/>
      <c r="DK1850" s="1530"/>
      <c r="DL1850" s="1530"/>
      <c r="DM1850" s="1530"/>
      <c r="DN1850" s="1571"/>
      <c r="DO1850" s="1530"/>
      <c r="DP1850" s="1530"/>
    </row>
    <row r="1851" spans="1:120">
      <c r="A1851" s="1451"/>
      <c r="C1851" s="1451"/>
      <c r="K1851" s="1451"/>
      <c r="L1851" s="1451"/>
      <c r="U1851" s="1451"/>
      <c r="AD1851" s="1451"/>
      <c r="AM1851" s="1451"/>
      <c r="AV1851" s="1451"/>
      <c r="BE1851" s="1451"/>
      <c r="BN1851" s="1451"/>
      <c r="BV1851" s="1451"/>
      <c r="BW1851" s="1451"/>
      <c r="CF1851" s="1451"/>
      <c r="CN1851" s="1451"/>
      <c r="CO1851" s="1530"/>
      <c r="CP1851" s="1530"/>
      <c r="CQ1851" s="1530"/>
      <c r="CR1851" s="1530"/>
      <c r="CS1851" s="1530"/>
      <c r="CT1851" s="1530"/>
      <c r="CU1851" s="1530"/>
      <c r="CV1851" s="1530"/>
      <c r="CW1851" s="1530"/>
      <c r="CX1851" s="1530"/>
      <c r="CY1851" s="1530"/>
      <c r="CZ1851" s="1530"/>
      <c r="DA1851" s="1530"/>
      <c r="DB1851" s="1530"/>
      <c r="DC1851" s="1530"/>
      <c r="DD1851" s="1530"/>
      <c r="DE1851" s="1530"/>
      <c r="DF1851" s="1530"/>
      <c r="DG1851" s="1530"/>
      <c r="DH1851" s="1530"/>
      <c r="DI1851" s="1530"/>
      <c r="DJ1851" s="1530"/>
      <c r="DK1851" s="1530"/>
      <c r="DL1851" s="1530"/>
      <c r="DM1851" s="1530"/>
      <c r="DN1851" s="1571"/>
      <c r="DO1851" s="1530"/>
      <c r="DP1851" s="1530"/>
    </row>
    <row r="1852" spans="1:120">
      <c r="A1852" s="1451"/>
      <c r="C1852" s="1451"/>
      <c r="K1852" s="1451"/>
      <c r="L1852" s="1451"/>
      <c r="U1852" s="1451"/>
      <c r="AD1852" s="1451"/>
      <c r="AM1852" s="1451"/>
      <c r="AV1852" s="1451"/>
      <c r="BE1852" s="1451"/>
      <c r="BN1852" s="1451"/>
      <c r="BV1852" s="1451"/>
      <c r="BW1852" s="1451"/>
      <c r="CF1852" s="1451"/>
      <c r="CN1852" s="1451"/>
      <c r="CO1852" s="1530"/>
      <c r="CP1852" s="1530"/>
      <c r="CQ1852" s="1530"/>
      <c r="CR1852" s="1530"/>
      <c r="CS1852" s="1530"/>
      <c r="CT1852" s="1530"/>
      <c r="CU1852" s="1530"/>
      <c r="CV1852" s="1530"/>
      <c r="CW1852" s="1530"/>
      <c r="CX1852" s="1530"/>
      <c r="CY1852" s="1530"/>
      <c r="CZ1852" s="1530"/>
      <c r="DA1852" s="1530"/>
      <c r="DB1852" s="1530"/>
      <c r="DC1852" s="1530"/>
      <c r="DD1852" s="1530"/>
      <c r="DE1852" s="1530"/>
      <c r="DF1852" s="1530"/>
      <c r="DG1852" s="1530"/>
      <c r="DH1852" s="1530"/>
      <c r="DI1852" s="1530"/>
      <c r="DJ1852" s="1530"/>
      <c r="DK1852" s="1530"/>
      <c r="DL1852" s="1530"/>
      <c r="DM1852" s="1530"/>
      <c r="DN1852" s="1571"/>
      <c r="DO1852" s="1530"/>
      <c r="DP1852" s="1530"/>
    </row>
    <row r="1853" spans="1:120">
      <c r="A1853" s="1451"/>
      <c r="C1853" s="1451"/>
      <c r="K1853" s="1451"/>
      <c r="L1853" s="1451"/>
      <c r="U1853" s="1451"/>
      <c r="AD1853" s="1451"/>
      <c r="AM1853" s="1451"/>
      <c r="AV1853" s="1451"/>
      <c r="BE1853" s="1451"/>
      <c r="BN1853" s="1451"/>
      <c r="BV1853" s="1451"/>
      <c r="BW1853" s="1451"/>
      <c r="CF1853" s="1451"/>
      <c r="CN1853" s="1451"/>
      <c r="CO1853" s="1530"/>
      <c r="CP1853" s="1530"/>
      <c r="CQ1853" s="1530"/>
      <c r="CR1853" s="1530"/>
      <c r="CS1853" s="1530"/>
      <c r="CT1853" s="1530"/>
      <c r="CU1853" s="1530"/>
      <c r="CV1853" s="1530"/>
      <c r="CW1853" s="1530"/>
      <c r="CX1853" s="1530"/>
      <c r="CY1853" s="1530"/>
      <c r="CZ1853" s="1530"/>
      <c r="DA1853" s="1530"/>
      <c r="DB1853" s="1530"/>
      <c r="DC1853" s="1530"/>
      <c r="DD1853" s="1530"/>
      <c r="DE1853" s="1530"/>
      <c r="DF1853" s="1530"/>
      <c r="DG1853" s="1530"/>
      <c r="DH1853" s="1530"/>
      <c r="DI1853" s="1530"/>
      <c r="DJ1853" s="1530"/>
      <c r="DK1853" s="1530"/>
      <c r="DL1853" s="1530"/>
      <c r="DM1853" s="1530"/>
      <c r="DN1853" s="1571"/>
      <c r="DO1853" s="1530"/>
      <c r="DP1853" s="1530"/>
    </row>
    <row r="1854" spans="1:120">
      <c r="A1854" s="1451"/>
      <c r="C1854" s="1451"/>
      <c r="K1854" s="1451"/>
      <c r="L1854" s="1451"/>
      <c r="U1854" s="1451"/>
      <c r="AD1854" s="1451"/>
      <c r="AM1854" s="1451"/>
      <c r="AV1854" s="1451"/>
      <c r="BE1854" s="1451"/>
      <c r="BN1854" s="1451"/>
      <c r="BV1854" s="1451"/>
      <c r="BW1854" s="1451"/>
      <c r="CF1854" s="1451"/>
      <c r="CN1854" s="1451"/>
      <c r="CO1854" s="1530"/>
      <c r="CP1854" s="1530"/>
      <c r="CQ1854" s="1530"/>
      <c r="CR1854" s="1530"/>
      <c r="CS1854" s="1530"/>
      <c r="CT1854" s="1530"/>
      <c r="CU1854" s="1530"/>
      <c r="CV1854" s="1530"/>
      <c r="CW1854" s="1530"/>
      <c r="CX1854" s="1530"/>
      <c r="CY1854" s="1530"/>
      <c r="CZ1854" s="1530"/>
      <c r="DA1854" s="1530"/>
      <c r="DB1854" s="1530"/>
      <c r="DC1854" s="1530"/>
      <c r="DD1854" s="1530"/>
      <c r="DE1854" s="1530"/>
      <c r="DF1854" s="1530"/>
      <c r="DG1854" s="1530"/>
      <c r="DH1854" s="1530"/>
      <c r="DI1854" s="1530"/>
      <c r="DJ1854" s="1530"/>
      <c r="DK1854" s="1530"/>
      <c r="DL1854" s="1530"/>
      <c r="DM1854" s="1530"/>
      <c r="DN1854" s="1571"/>
      <c r="DO1854" s="1530"/>
      <c r="DP1854" s="1530"/>
    </row>
    <row r="1855" spans="1:120">
      <c r="A1855" s="1451"/>
      <c r="C1855" s="1451"/>
      <c r="K1855" s="1451"/>
      <c r="L1855" s="1451"/>
      <c r="U1855" s="1451"/>
      <c r="AD1855" s="1451"/>
      <c r="AM1855" s="1451"/>
      <c r="AV1855" s="1451"/>
      <c r="BE1855" s="1451"/>
      <c r="BN1855" s="1451"/>
      <c r="BV1855" s="1451"/>
      <c r="BW1855" s="1451"/>
      <c r="CF1855" s="1451"/>
      <c r="CN1855" s="1451"/>
      <c r="CO1855" s="1530"/>
      <c r="CP1855" s="1530"/>
      <c r="CQ1855" s="1530"/>
      <c r="CR1855" s="1530"/>
      <c r="CS1855" s="1530"/>
      <c r="CT1855" s="1530"/>
      <c r="CU1855" s="1530"/>
      <c r="CV1855" s="1530"/>
      <c r="CW1855" s="1530"/>
      <c r="CX1855" s="1530"/>
      <c r="CY1855" s="1530"/>
      <c r="CZ1855" s="1530"/>
      <c r="DA1855" s="1530"/>
      <c r="DB1855" s="1530"/>
      <c r="DC1855" s="1530"/>
      <c r="DD1855" s="1530"/>
      <c r="DE1855" s="1530"/>
      <c r="DF1855" s="1530"/>
      <c r="DG1855" s="1530"/>
      <c r="DH1855" s="1530"/>
      <c r="DI1855" s="1530"/>
      <c r="DJ1855" s="1530"/>
      <c r="DK1855" s="1530"/>
      <c r="DL1855" s="1530"/>
      <c r="DM1855" s="1530"/>
      <c r="DN1855" s="1571"/>
      <c r="DO1855" s="1530"/>
      <c r="DP1855" s="1530"/>
    </row>
    <row r="1856" spans="1:120">
      <c r="A1856" s="1451"/>
      <c r="C1856" s="1451"/>
      <c r="K1856" s="1451"/>
      <c r="L1856" s="1451"/>
      <c r="U1856" s="1451"/>
      <c r="AD1856" s="1451"/>
      <c r="AM1856" s="1451"/>
      <c r="AV1856" s="1451"/>
      <c r="BE1856" s="1451"/>
      <c r="BN1856" s="1451"/>
      <c r="BV1856" s="1451"/>
      <c r="BW1856" s="1451"/>
      <c r="CF1856" s="1451"/>
      <c r="CN1856" s="1451"/>
      <c r="CO1856" s="1530"/>
      <c r="CP1856" s="1530"/>
      <c r="CQ1856" s="1530"/>
      <c r="CR1856" s="1530"/>
      <c r="CS1856" s="1530"/>
      <c r="CT1856" s="1530"/>
      <c r="CU1856" s="1530"/>
      <c r="CV1856" s="1530"/>
      <c r="CW1856" s="1530"/>
      <c r="CX1856" s="1530"/>
      <c r="CY1856" s="1530"/>
      <c r="CZ1856" s="1530"/>
      <c r="DA1856" s="1530"/>
      <c r="DB1856" s="1530"/>
      <c r="DC1856" s="1530"/>
      <c r="DD1856" s="1530"/>
      <c r="DE1856" s="1530"/>
      <c r="DF1856" s="1530"/>
      <c r="DG1856" s="1530"/>
      <c r="DH1856" s="1530"/>
      <c r="DI1856" s="1530"/>
      <c r="DJ1856" s="1530"/>
      <c r="DK1856" s="1530"/>
      <c r="DL1856" s="1530"/>
      <c r="DM1856" s="1530"/>
      <c r="DN1856" s="1571"/>
      <c r="DO1856" s="1530"/>
      <c r="DP1856" s="1530"/>
    </row>
    <row r="1857" spans="1:120">
      <c r="A1857" s="1451"/>
      <c r="C1857" s="1451"/>
      <c r="K1857" s="1451"/>
      <c r="L1857" s="1451"/>
      <c r="U1857" s="1451"/>
      <c r="AD1857" s="1451"/>
      <c r="AM1857" s="1451"/>
      <c r="AV1857" s="1451"/>
      <c r="BE1857" s="1451"/>
      <c r="BN1857" s="1451"/>
      <c r="BV1857" s="1451"/>
      <c r="BW1857" s="1451"/>
      <c r="CF1857" s="1451"/>
      <c r="CN1857" s="1451"/>
      <c r="CO1857" s="1530"/>
      <c r="CP1857" s="1530"/>
      <c r="CQ1857" s="1530"/>
      <c r="CR1857" s="1530"/>
      <c r="CS1857" s="1530"/>
      <c r="CT1857" s="1530"/>
      <c r="CU1857" s="1530"/>
      <c r="CV1857" s="1530"/>
      <c r="CW1857" s="1530"/>
      <c r="CX1857" s="1530"/>
      <c r="CY1857" s="1530"/>
      <c r="CZ1857" s="1530"/>
      <c r="DA1857" s="1530"/>
      <c r="DB1857" s="1530"/>
      <c r="DC1857" s="1530"/>
      <c r="DD1857" s="1530"/>
      <c r="DE1857" s="1530"/>
      <c r="DF1857" s="1530"/>
      <c r="DG1857" s="1530"/>
      <c r="DH1857" s="1530"/>
      <c r="DI1857" s="1530"/>
      <c r="DJ1857" s="1530"/>
      <c r="DK1857" s="1530"/>
      <c r="DL1857" s="1530"/>
      <c r="DM1857" s="1530"/>
      <c r="DN1857" s="1571"/>
      <c r="DO1857" s="1530"/>
      <c r="DP1857" s="1530"/>
    </row>
    <row r="1858" spans="1:120">
      <c r="A1858" s="1451"/>
      <c r="C1858" s="1451"/>
      <c r="K1858" s="1451"/>
      <c r="L1858" s="1451"/>
      <c r="U1858" s="1451"/>
      <c r="AD1858" s="1451"/>
      <c r="AM1858" s="1451"/>
      <c r="AV1858" s="1451"/>
      <c r="BE1858" s="1451"/>
      <c r="BN1858" s="1451"/>
      <c r="BV1858" s="1451"/>
      <c r="BW1858" s="1451"/>
      <c r="CF1858" s="1451"/>
      <c r="CN1858" s="1451"/>
      <c r="CO1858" s="1530"/>
      <c r="CP1858" s="1530"/>
      <c r="CQ1858" s="1530"/>
      <c r="CR1858" s="1530"/>
      <c r="CS1858" s="1530"/>
      <c r="CT1858" s="1530"/>
      <c r="CU1858" s="1530"/>
      <c r="CV1858" s="1530"/>
      <c r="CW1858" s="1530"/>
      <c r="CX1858" s="1530"/>
      <c r="CY1858" s="1530"/>
      <c r="CZ1858" s="1530"/>
      <c r="DA1858" s="1530"/>
      <c r="DB1858" s="1530"/>
      <c r="DC1858" s="1530"/>
      <c r="DD1858" s="1530"/>
      <c r="DE1858" s="1530"/>
      <c r="DF1858" s="1530"/>
      <c r="DG1858" s="1530"/>
      <c r="DH1858" s="1530"/>
      <c r="DI1858" s="1530"/>
      <c r="DJ1858" s="1530"/>
      <c r="DK1858" s="1530"/>
      <c r="DL1858" s="1530"/>
      <c r="DM1858" s="1530"/>
      <c r="DN1858" s="1571"/>
      <c r="DO1858" s="1530"/>
      <c r="DP1858" s="1530"/>
    </row>
    <row r="1859" spans="1:120">
      <c r="A1859" s="1451"/>
      <c r="C1859" s="1451"/>
      <c r="K1859" s="1451"/>
      <c r="L1859" s="1451"/>
      <c r="U1859" s="1451"/>
      <c r="AD1859" s="1451"/>
      <c r="AM1859" s="1451"/>
      <c r="AV1859" s="1451"/>
      <c r="BE1859" s="1451"/>
      <c r="BN1859" s="1451"/>
      <c r="BV1859" s="1451"/>
      <c r="BW1859" s="1451"/>
      <c r="CF1859" s="1451"/>
      <c r="CN1859" s="1451"/>
      <c r="CO1859" s="1530"/>
      <c r="CP1859" s="1530"/>
      <c r="CQ1859" s="1530"/>
      <c r="CR1859" s="1530"/>
      <c r="CS1859" s="1530"/>
      <c r="CT1859" s="1530"/>
      <c r="CU1859" s="1530"/>
      <c r="CV1859" s="1530"/>
      <c r="CW1859" s="1530"/>
      <c r="CX1859" s="1530"/>
      <c r="CY1859" s="1530"/>
      <c r="CZ1859" s="1530"/>
      <c r="DA1859" s="1530"/>
      <c r="DB1859" s="1530"/>
      <c r="DC1859" s="1530"/>
      <c r="DD1859" s="1530"/>
      <c r="DE1859" s="1530"/>
      <c r="DF1859" s="1530"/>
      <c r="DG1859" s="1530"/>
      <c r="DH1859" s="1530"/>
      <c r="DI1859" s="1530"/>
      <c r="DJ1859" s="1530"/>
      <c r="DK1859" s="1530"/>
      <c r="DL1859" s="1530"/>
      <c r="DM1859" s="1530"/>
      <c r="DN1859" s="1571"/>
      <c r="DO1859" s="1530"/>
      <c r="DP1859" s="1530"/>
    </row>
    <row r="1860" spans="1:120">
      <c r="A1860" s="1451"/>
      <c r="C1860" s="1451"/>
      <c r="K1860" s="1451"/>
      <c r="L1860" s="1451"/>
      <c r="U1860" s="1451"/>
      <c r="AD1860" s="1451"/>
      <c r="AM1860" s="1451"/>
      <c r="AV1860" s="1451"/>
      <c r="BE1860" s="1451"/>
      <c r="BN1860" s="1451"/>
      <c r="BV1860" s="1451"/>
      <c r="BW1860" s="1451"/>
      <c r="CF1860" s="1451"/>
      <c r="CN1860" s="1451"/>
      <c r="CO1860" s="1530"/>
      <c r="CP1860" s="1530"/>
      <c r="CQ1860" s="1530"/>
      <c r="CR1860" s="1530"/>
      <c r="CS1860" s="1530"/>
      <c r="CT1860" s="1530"/>
      <c r="CU1860" s="1530"/>
      <c r="CV1860" s="1530"/>
      <c r="CW1860" s="1530"/>
      <c r="CX1860" s="1530"/>
      <c r="CY1860" s="1530"/>
      <c r="CZ1860" s="1530"/>
      <c r="DA1860" s="1530"/>
      <c r="DB1860" s="1530"/>
      <c r="DC1860" s="1530"/>
      <c r="DD1860" s="1530"/>
      <c r="DE1860" s="1530"/>
      <c r="DF1860" s="1530"/>
      <c r="DG1860" s="1530"/>
      <c r="DH1860" s="1530"/>
      <c r="DI1860" s="1530"/>
      <c r="DJ1860" s="1530"/>
      <c r="DK1860" s="1530"/>
      <c r="DL1860" s="1530"/>
      <c r="DM1860" s="1530"/>
      <c r="DN1860" s="1571"/>
      <c r="DO1860" s="1530"/>
      <c r="DP1860" s="1530"/>
    </row>
    <row r="1861" spans="1:120">
      <c r="A1861" s="1451"/>
      <c r="C1861" s="1451"/>
      <c r="K1861" s="1451"/>
      <c r="L1861" s="1451"/>
      <c r="U1861" s="1451"/>
      <c r="AD1861" s="1451"/>
      <c r="AM1861" s="1451"/>
      <c r="AV1861" s="1451"/>
      <c r="BE1861" s="1451"/>
      <c r="BN1861" s="1451"/>
      <c r="BV1861" s="1451"/>
      <c r="BW1861" s="1451"/>
      <c r="CF1861" s="1451"/>
      <c r="CN1861" s="1451"/>
      <c r="CO1861" s="1530"/>
      <c r="CP1861" s="1530"/>
      <c r="CQ1861" s="1530"/>
      <c r="CR1861" s="1530"/>
      <c r="CS1861" s="1530"/>
      <c r="CT1861" s="1530"/>
      <c r="CU1861" s="1530"/>
      <c r="CV1861" s="1530"/>
      <c r="CW1861" s="1530"/>
      <c r="CX1861" s="1530"/>
      <c r="CY1861" s="1530"/>
      <c r="CZ1861" s="1530"/>
      <c r="DA1861" s="1530"/>
      <c r="DB1861" s="1530"/>
      <c r="DC1861" s="1530"/>
      <c r="DD1861" s="1530"/>
      <c r="DE1861" s="1530"/>
      <c r="DF1861" s="1530"/>
      <c r="DG1861" s="1530"/>
      <c r="DH1861" s="1530"/>
      <c r="DI1861" s="1530"/>
      <c r="DJ1861" s="1530"/>
      <c r="DK1861" s="1530"/>
      <c r="DL1861" s="1530"/>
      <c r="DM1861" s="1530"/>
      <c r="DN1861" s="1571"/>
      <c r="DO1861" s="1530"/>
      <c r="DP1861" s="1530"/>
    </row>
    <row r="1862" spans="1:120">
      <c r="A1862" s="1451"/>
      <c r="C1862" s="1451"/>
      <c r="K1862" s="1451"/>
      <c r="L1862" s="1451"/>
      <c r="U1862" s="1451"/>
      <c r="AD1862" s="1451"/>
      <c r="AM1862" s="1451"/>
      <c r="AV1862" s="1451"/>
      <c r="BE1862" s="1451"/>
      <c r="BN1862" s="1451"/>
      <c r="BV1862" s="1451"/>
      <c r="BW1862" s="1451"/>
      <c r="CF1862" s="1451"/>
      <c r="CN1862" s="1451"/>
      <c r="CO1862" s="1530"/>
      <c r="CP1862" s="1530"/>
      <c r="CQ1862" s="1530"/>
      <c r="CR1862" s="1530"/>
      <c r="CS1862" s="1530"/>
      <c r="CT1862" s="1530"/>
      <c r="CU1862" s="1530"/>
      <c r="CV1862" s="1530"/>
      <c r="CW1862" s="1530"/>
      <c r="CX1862" s="1530"/>
      <c r="CY1862" s="1530"/>
      <c r="CZ1862" s="1530"/>
      <c r="DA1862" s="1530"/>
      <c r="DB1862" s="1530"/>
      <c r="DC1862" s="1530"/>
      <c r="DD1862" s="1530"/>
      <c r="DE1862" s="1530"/>
      <c r="DF1862" s="1530"/>
      <c r="DG1862" s="1530"/>
      <c r="DH1862" s="1530"/>
      <c r="DI1862" s="1530"/>
      <c r="DJ1862" s="1530"/>
      <c r="DK1862" s="1530"/>
      <c r="DL1862" s="1530"/>
      <c r="DM1862" s="1530"/>
      <c r="DN1862" s="1571"/>
      <c r="DO1862" s="1530"/>
      <c r="DP1862" s="1530"/>
    </row>
    <row r="1863" spans="1:120">
      <c r="A1863" s="1451"/>
      <c r="C1863" s="1451"/>
      <c r="K1863" s="1451"/>
      <c r="L1863" s="1451"/>
      <c r="U1863" s="1451"/>
      <c r="AD1863" s="1451"/>
      <c r="AM1863" s="1451"/>
      <c r="AV1863" s="1451"/>
      <c r="BE1863" s="1451"/>
      <c r="BN1863" s="1451"/>
      <c r="BV1863" s="1451"/>
      <c r="BW1863" s="1451"/>
      <c r="CF1863" s="1451"/>
      <c r="CN1863" s="1451"/>
      <c r="CO1863" s="1530"/>
      <c r="CP1863" s="1530"/>
      <c r="CQ1863" s="1530"/>
      <c r="CR1863" s="1530"/>
      <c r="CS1863" s="1530"/>
      <c r="CT1863" s="1530"/>
      <c r="CU1863" s="1530"/>
      <c r="CV1863" s="1530"/>
      <c r="CW1863" s="1530"/>
      <c r="CX1863" s="1530"/>
      <c r="CY1863" s="1530"/>
      <c r="CZ1863" s="1530"/>
      <c r="DA1863" s="1530"/>
      <c r="DB1863" s="1530"/>
      <c r="DC1863" s="1530"/>
      <c r="DD1863" s="1530"/>
      <c r="DE1863" s="1530"/>
      <c r="DF1863" s="1530"/>
      <c r="DG1863" s="1530"/>
      <c r="DH1863" s="1530"/>
      <c r="DI1863" s="1530"/>
      <c r="DJ1863" s="1530"/>
      <c r="DK1863" s="1530"/>
      <c r="DL1863" s="1530"/>
      <c r="DM1863" s="1530"/>
      <c r="DN1863" s="1571"/>
      <c r="DO1863" s="1530"/>
      <c r="DP1863" s="1530"/>
    </row>
    <row r="1864" spans="1:120">
      <c r="A1864" s="1451"/>
      <c r="C1864" s="1451"/>
      <c r="K1864" s="1451"/>
      <c r="L1864" s="1451"/>
      <c r="U1864" s="1451"/>
      <c r="AD1864" s="1451"/>
      <c r="AM1864" s="1451"/>
      <c r="AV1864" s="1451"/>
      <c r="BE1864" s="1451"/>
      <c r="BN1864" s="1451"/>
      <c r="BV1864" s="1451"/>
      <c r="BW1864" s="1451"/>
      <c r="CF1864" s="1451"/>
      <c r="CN1864" s="1451"/>
      <c r="CO1864" s="1530"/>
      <c r="CP1864" s="1530"/>
      <c r="CQ1864" s="1530"/>
      <c r="CR1864" s="1530"/>
      <c r="CS1864" s="1530"/>
      <c r="CT1864" s="1530"/>
      <c r="CU1864" s="1530"/>
      <c r="CV1864" s="1530"/>
      <c r="CW1864" s="1530"/>
      <c r="CX1864" s="1530"/>
      <c r="CY1864" s="1530"/>
      <c r="CZ1864" s="1530"/>
      <c r="DA1864" s="1530"/>
      <c r="DB1864" s="1530"/>
      <c r="DC1864" s="1530"/>
      <c r="DD1864" s="1530"/>
      <c r="DE1864" s="1530"/>
      <c r="DF1864" s="1530"/>
      <c r="DG1864" s="1530"/>
      <c r="DH1864" s="1530"/>
      <c r="DI1864" s="1530"/>
      <c r="DJ1864" s="1530"/>
      <c r="DK1864" s="1530"/>
      <c r="DL1864" s="1530"/>
      <c r="DM1864" s="1530"/>
      <c r="DN1864" s="1571"/>
      <c r="DO1864" s="1530"/>
      <c r="DP1864" s="1530"/>
    </row>
    <row r="1865" spans="1:120">
      <c r="A1865" s="1451"/>
      <c r="C1865" s="1451"/>
      <c r="K1865" s="1451"/>
      <c r="L1865" s="1451"/>
      <c r="U1865" s="1451"/>
      <c r="AD1865" s="1451"/>
      <c r="AM1865" s="1451"/>
      <c r="AV1865" s="1451"/>
      <c r="BE1865" s="1451"/>
      <c r="BN1865" s="1451"/>
      <c r="BV1865" s="1451"/>
      <c r="BW1865" s="1451"/>
      <c r="CF1865" s="1451"/>
      <c r="CN1865" s="1451"/>
      <c r="CO1865" s="1530"/>
      <c r="CP1865" s="1530"/>
      <c r="CQ1865" s="1530"/>
      <c r="CR1865" s="1530"/>
      <c r="CS1865" s="1530"/>
      <c r="CT1865" s="1530"/>
      <c r="CU1865" s="1530"/>
      <c r="CV1865" s="1530"/>
      <c r="CW1865" s="1530"/>
      <c r="CX1865" s="1530"/>
      <c r="CY1865" s="1530"/>
      <c r="CZ1865" s="1530"/>
      <c r="DA1865" s="1530"/>
      <c r="DB1865" s="1530"/>
      <c r="DC1865" s="1530"/>
      <c r="DD1865" s="1530"/>
      <c r="DE1865" s="1530"/>
      <c r="DF1865" s="1530"/>
      <c r="DG1865" s="1530"/>
      <c r="DH1865" s="1530"/>
      <c r="DI1865" s="1530"/>
      <c r="DJ1865" s="1530"/>
      <c r="DK1865" s="1530"/>
      <c r="DL1865" s="1530"/>
      <c r="DM1865" s="1530"/>
      <c r="DN1865" s="1571"/>
      <c r="DO1865" s="1530"/>
      <c r="DP1865" s="1530"/>
    </row>
    <row r="1866" spans="1:120">
      <c r="A1866" s="1451"/>
      <c r="C1866" s="1451"/>
      <c r="K1866" s="1451"/>
      <c r="L1866" s="1451"/>
      <c r="U1866" s="1451"/>
      <c r="AD1866" s="1451"/>
      <c r="AM1866" s="1451"/>
      <c r="AV1866" s="1451"/>
      <c r="BE1866" s="1451"/>
      <c r="BN1866" s="1451"/>
      <c r="BV1866" s="1451"/>
      <c r="BW1866" s="1451"/>
      <c r="CF1866" s="1451"/>
      <c r="CN1866" s="1451"/>
      <c r="CO1866" s="1530"/>
      <c r="CP1866" s="1530"/>
      <c r="CQ1866" s="1530"/>
      <c r="CR1866" s="1530"/>
      <c r="CS1866" s="1530"/>
      <c r="CT1866" s="1530"/>
      <c r="CU1866" s="1530"/>
      <c r="CV1866" s="1530"/>
      <c r="CW1866" s="1530"/>
      <c r="CX1866" s="1530"/>
      <c r="CY1866" s="1530"/>
      <c r="CZ1866" s="1530"/>
      <c r="DA1866" s="1530"/>
      <c r="DB1866" s="1530"/>
      <c r="DC1866" s="1530"/>
      <c r="DD1866" s="1530"/>
      <c r="DE1866" s="1530"/>
      <c r="DF1866" s="1530"/>
      <c r="DG1866" s="1530"/>
      <c r="DH1866" s="1530"/>
      <c r="DI1866" s="1530"/>
      <c r="DJ1866" s="1530"/>
      <c r="DK1866" s="1530"/>
      <c r="DL1866" s="1530"/>
      <c r="DM1866" s="1530"/>
      <c r="DN1866" s="1571"/>
      <c r="DO1866" s="1530"/>
      <c r="DP1866" s="1530"/>
    </row>
    <row r="1867" spans="1:120">
      <c r="A1867" s="1451"/>
      <c r="C1867" s="1451"/>
      <c r="K1867" s="1451"/>
      <c r="L1867" s="1451"/>
      <c r="U1867" s="1451"/>
      <c r="AD1867" s="1451"/>
      <c r="AM1867" s="1451"/>
      <c r="AV1867" s="1451"/>
      <c r="BE1867" s="1451"/>
      <c r="BN1867" s="1451"/>
      <c r="BV1867" s="1451"/>
      <c r="BW1867" s="1451"/>
      <c r="CF1867" s="1451"/>
      <c r="CN1867" s="1451"/>
      <c r="CO1867" s="1530"/>
      <c r="CP1867" s="1530"/>
      <c r="CQ1867" s="1530"/>
      <c r="CR1867" s="1530"/>
      <c r="CS1867" s="1530"/>
      <c r="CT1867" s="1530"/>
      <c r="CU1867" s="1530"/>
      <c r="CV1867" s="1530"/>
      <c r="CW1867" s="1530"/>
      <c r="CX1867" s="1530"/>
      <c r="CY1867" s="1530"/>
      <c r="CZ1867" s="1530"/>
      <c r="DA1867" s="1530"/>
      <c r="DB1867" s="1530"/>
      <c r="DC1867" s="1530"/>
      <c r="DD1867" s="1530"/>
      <c r="DE1867" s="1530"/>
      <c r="DF1867" s="1530"/>
      <c r="DG1867" s="1530"/>
      <c r="DH1867" s="1530"/>
      <c r="DI1867" s="1530"/>
      <c r="DJ1867" s="1530"/>
      <c r="DK1867" s="1530"/>
      <c r="DL1867" s="1530"/>
      <c r="DM1867" s="1530"/>
      <c r="DN1867" s="1571"/>
      <c r="DO1867" s="1530"/>
      <c r="DP1867" s="1530"/>
    </row>
    <row r="1868" spans="1:120">
      <c r="A1868" s="1451"/>
      <c r="C1868" s="1451"/>
      <c r="K1868" s="1451"/>
      <c r="L1868" s="1451"/>
      <c r="U1868" s="1451"/>
      <c r="AD1868" s="1451"/>
      <c r="AM1868" s="1451"/>
      <c r="AV1868" s="1451"/>
      <c r="BE1868" s="1451"/>
      <c r="BN1868" s="1451"/>
      <c r="BV1868" s="1451"/>
      <c r="BW1868" s="1451"/>
      <c r="CF1868" s="1451"/>
      <c r="CN1868" s="1451"/>
      <c r="CO1868" s="1530"/>
      <c r="CP1868" s="1530"/>
      <c r="CQ1868" s="1530"/>
      <c r="CR1868" s="1530"/>
      <c r="CS1868" s="1530"/>
      <c r="CT1868" s="1530"/>
      <c r="CU1868" s="1530"/>
      <c r="CV1868" s="1530"/>
      <c r="CW1868" s="1530"/>
      <c r="CX1868" s="1530"/>
      <c r="CY1868" s="1530"/>
      <c r="CZ1868" s="1530"/>
      <c r="DA1868" s="1530"/>
      <c r="DB1868" s="1530"/>
      <c r="DC1868" s="1530"/>
      <c r="DD1868" s="1530"/>
      <c r="DE1868" s="1530"/>
      <c r="DF1868" s="1530"/>
      <c r="DG1868" s="1530"/>
      <c r="DH1868" s="1530"/>
      <c r="DI1868" s="1530"/>
      <c r="DJ1868" s="1530"/>
      <c r="DK1868" s="1530"/>
      <c r="DL1868" s="1530"/>
      <c r="DM1868" s="1530"/>
      <c r="DN1868" s="1571"/>
      <c r="DO1868" s="1530"/>
      <c r="DP1868" s="1530"/>
    </row>
    <row r="1869" spans="1:120">
      <c r="A1869" s="1451"/>
      <c r="C1869" s="1451"/>
      <c r="K1869" s="1451"/>
      <c r="L1869" s="1451"/>
      <c r="U1869" s="1451"/>
      <c r="AD1869" s="1451"/>
      <c r="AM1869" s="1451"/>
      <c r="AV1869" s="1451"/>
      <c r="BE1869" s="1451"/>
      <c r="BN1869" s="1451"/>
      <c r="BV1869" s="1451"/>
      <c r="BW1869" s="1451"/>
      <c r="CF1869" s="1451"/>
      <c r="CN1869" s="1451"/>
      <c r="CO1869" s="1530"/>
      <c r="CP1869" s="1530"/>
      <c r="CQ1869" s="1530"/>
      <c r="CR1869" s="1530"/>
      <c r="CS1869" s="1530"/>
      <c r="CT1869" s="1530"/>
      <c r="CU1869" s="1530"/>
      <c r="CV1869" s="1530"/>
      <c r="CW1869" s="1530"/>
      <c r="CX1869" s="1530"/>
      <c r="CY1869" s="1530"/>
      <c r="CZ1869" s="1530"/>
      <c r="DA1869" s="1530"/>
      <c r="DB1869" s="1530"/>
      <c r="DC1869" s="1530"/>
      <c r="DD1869" s="1530"/>
      <c r="DE1869" s="1530"/>
      <c r="DF1869" s="1530"/>
      <c r="DG1869" s="1530"/>
      <c r="DH1869" s="1530"/>
      <c r="DI1869" s="1530"/>
      <c r="DJ1869" s="1530"/>
      <c r="DK1869" s="1530"/>
      <c r="DL1869" s="1530"/>
      <c r="DM1869" s="1530"/>
      <c r="DN1869" s="1571"/>
      <c r="DO1869" s="1530"/>
      <c r="DP1869" s="1530"/>
    </row>
    <row r="1870" spans="1:120">
      <c r="A1870" s="1451"/>
      <c r="C1870" s="1451"/>
      <c r="K1870" s="1451"/>
      <c r="L1870" s="1451"/>
      <c r="U1870" s="1451"/>
      <c r="AD1870" s="1451"/>
      <c r="AM1870" s="1451"/>
      <c r="AV1870" s="1451"/>
      <c r="BE1870" s="1451"/>
      <c r="BN1870" s="1451"/>
      <c r="BV1870" s="1451"/>
      <c r="BW1870" s="1451"/>
      <c r="CF1870" s="1451"/>
      <c r="CN1870" s="1451"/>
      <c r="CO1870" s="1530"/>
      <c r="CP1870" s="1530"/>
      <c r="CQ1870" s="1530"/>
      <c r="CR1870" s="1530"/>
      <c r="CS1870" s="1530"/>
      <c r="CT1870" s="1530"/>
      <c r="CU1870" s="1530"/>
      <c r="CV1870" s="1530"/>
      <c r="CW1870" s="1530"/>
      <c r="CX1870" s="1530"/>
      <c r="CY1870" s="1530"/>
      <c r="CZ1870" s="1530"/>
      <c r="DA1870" s="1530"/>
      <c r="DB1870" s="1530"/>
      <c r="DC1870" s="1530"/>
      <c r="DD1870" s="1530"/>
      <c r="DE1870" s="1530"/>
      <c r="DF1870" s="1530"/>
      <c r="DG1870" s="1530"/>
      <c r="DH1870" s="1530"/>
      <c r="DI1870" s="1530"/>
      <c r="DJ1870" s="1530"/>
      <c r="DK1870" s="1530"/>
      <c r="DL1870" s="1530"/>
      <c r="DM1870" s="1530"/>
      <c r="DN1870" s="1571"/>
      <c r="DO1870" s="1530"/>
      <c r="DP1870" s="1530"/>
    </row>
    <row r="1871" spans="1:120">
      <c r="A1871" s="1451"/>
      <c r="C1871" s="1451"/>
      <c r="K1871" s="1451"/>
      <c r="L1871" s="1451"/>
      <c r="U1871" s="1451"/>
      <c r="AD1871" s="1451"/>
      <c r="AM1871" s="1451"/>
      <c r="AV1871" s="1451"/>
      <c r="BE1871" s="1451"/>
      <c r="BN1871" s="1451"/>
      <c r="BV1871" s="1451"/>
      <c r="BW1871" s="1451"/>
      <c r="CF1871" s="1451"/>
      <c r="CN1871" s="1451"/>
      <c r="CO1871" s="1530"/>
      <c r="CP1871" s="1530"/>
      <c r="CQ1871" s="1530"/>
      <c r="CR1871" s="1530"/>
      <c r="CS1871" s="1530"/>
      <c r="CT1871" s="1530"/>
      <c r="CU1871" s="1530"/>
      <c r="CV1871" s="1530"/>
      <c r="CW1871" s="1530"/>
      <c r="CX1871" s="1530"/>
      <c r="CY1871" s="1530"/>
      <c r="CZ1871" s="1530"/>
      <c r="DA1871" s="1530"/>
      <c r="DB1871" s="1530"/>
      <c r="DC1871" s="1530"/>
      <c r="DD1871" s="1530"/>
      <c r="DE1871" s="1530"/>
      <c r="DF1871" s="1530"/>
      <c r="DG1871" s="1530"/>
      <c r="DH1871" s="1530"/>
      <c r="DI1871" s="1530"/>
      <c r="DJ1871" s="1530"/>
      <c r="DK1871" s="1530"/>
      <c r="DL1871" s="1530"/>
      <c r="DM1871" s="1530"/>
      <c r="DN1871" s="1571"/>
      <c r="DO1871" s="1530"/>
      <c r="DP1871" s="1530"/>
    </row>
    <row r="1872" spans="1:120">
      <c r="A1872" s="1451"/>
      <c r="C1872" s="1451"/>
      <c r="K1872" s="1451"/>
      <c r="L1872" s="1451"/>
      <c r="U1872" s="1451"/>
      <c r="AD1872" s="1451"/>
      <c r="AM1872" s="1451"/>
      <c r="AV1872" s="1451"/>
      <c r="BE1872" s="1451"/>
      <c r="BN1872" s="1451"/>
      <c r="BV1872" s="1451"/>
      <c r="BW1872" s="1451"/>
      <c r="CF1872" s="1451"/>
      <c r="CN1872" s="1451"/>
      <c r="CO1872" s="1530"/>
      <c r="CP1872" s="1530"/>
      <c r="CQ1872" s="1530"/>
      <c r="CR1872" s="1530"/>
      <c r="CS1872" s="1530"/>
      <c r="CT1872" s="1530"/>
      <c r="CU1872" s="1530"/>
      <c r="CV1872" s="1530"/>
      <c r="CW1872" s="1530"/>
      <c r="CX1872" s="1530"/>
      <c r="CY1872" s="1530"/>
      <c r="CZ1872" s="1530"/>
      <c r="DA1872" s="1530"/>
      <c r="DB1872" s="1530"/>
      <c r="DC1872" s="1530"/>
      <c r="DD1872" s="1530"/>
      <c r="DE1872" s="1530"/>
      <c r="DF1872" s="1530"/>
      <c r="DG1872" s="1530"/>
      <c r="DH1872" s="1530"/>
      <c r="DI1872" s="1530"/>
      <c r="DJ1872" s="1530"/>
      <c r="DK1872" s="1530"/>
      <c r="DL1872" s="1530"/>
      <c r="DM1872" s="1530"/>
      <c r="DN1872" s="1571"/>
      <c r="DO1872" s="1530"/>
      <c r="DP1872" s="1530"/>
    </row>
    <row r="1873" spans="1:120">
      <c r="A1873" s="1451"/>
      <c r="C1873" s="1451"/>
      <c r="K1873" s="1451"/>
      <c r="L1873" s="1451"/>
      <c r="U1873" s="1451"/>
      <c r="AD1873" s="1451"/>
      <c r="AM1873" s="1451"/>
      <c r="AV1873" s="1451"/>
      <c r="BE1873" s="1451"/>
      <c r="BN1873" s="1451"/>
      <c r="BV1873" s="1451"/>
      <c r="BW1873" s="1451"/>
      <c r="CF1873" s="1451"/>
      <c r="CN1873" s="1451"/>
      <c r="CO1873" s="1530"/>
      <c r="CP1873" s="1530"/>
      <c r="CQ1873" s="1530"/>
      <c r="CR1873" s="1530"/>
      <c r="CS1873" s="1530"/>
      <c r="CT1873" s="1530"/>
      <c r="CU1873" s="1530"/>
      <c r="CV1873" s="1530"/>
      <c r="CW1873" s="1530"/>
      <c r="CX1873" s="1530"/>
      <c r="CY1873" s="1530"/>
      <c r="CZ1873" s="1530"/>
      <c r="DA1873" s="1530"/>
      <c r="DB1873" s="1530"/>
      <c r="DC1873" s="1530"/>
      <c r="DD1873" s="1530"/>
      <c r="DE1873" s="1530"/>
      <c r="DF1873" s="1530"/>
      <c r="DG1873" s="1530"/>
      <c r="DH1873" s="1530"/>
      <c r="DI1873" s="1530"/>
      <c r="DJ1873" s="1530"/>
      <c r="DK1873" s="1530"/>
      <c r="DL1873" s="1530"/>
      <c r="DM1873" s="1530"/>
      <c r="DN1873" s="1571"/>
      <c r="DO1873" s="1530"/>
      <c r="DP1873" s="1530"/>
    </row>
    <row r="1874" spans="1:120">
      <c r="A1874" s="1451"/>
      <c r="C1874" s="1451"/>
      <c r="K1874" s="1451"/>
      <c r="L1874" s="1451"/>
      <c r="U1874" s="1451"/>
      <c r="AD1874" s="1451"/>
      <c r="AM1874" s="1451"/>
      <c r="AV1874" s="1451"/>
      <c r="BE1874" s="1451"/>
      <c r="BN1874" s="1451"/>
      <c r="BV1874" s="1451"/>
      <c r="BW1874" s="1451"/>
      <c r="CF1874" s="1451"/>
      <c r="CN1874" s="1451"/>
      <c r="CO1874" s="1530"/>
      <c r="CP1874" s="1530"/>
      <c r="CQ1874" s="1530"/>
      <c r="CR1874" s="1530"/>
      <c r="CS1874" s="1530"/>
      <c r="CT1874" s="1530"/>
      <c r="CU1874" s="1530"/>
      <c r="CV1874" s="1530"/>
      <c r="CW1874" s="1530"/>
      <c r="CX1874" s="1530"/>
      <c r="CY1874" s="1530"/>
      <c r="CZ1874" s="1530"/>
      <c r="DA1874" s="1530"/>
      <c r="DB1874" s="1530"/>
      <c r="DC1874" s="1530"/>
      <c r="DD1874" s="1530"/>
      <c r="DE1874" s="1530"/>
      <c r="DF1874" s="1530"/>
      <c r="DG1874" s="1530"/>
      <c r="DH1874" s="1530"/>
      <c r="DI1874" s="1530"/>
      <c r="DJ1874" s="1530"/>
      <c r="DK1874" s="1530"/>
      <c r="DL1874" s="1530"/>
      <c r="DM1874" s="1530"/>
      <c r="DN1874" s="1571"/>
      <c r="DO1874" s="1530"/>
      <c r="DP1874" s="1530"/>
    </row>
    <row r="1875" spans="1:120">
      <c r="A1875" s="1451"/>
      <c r="C1875" s="1451"/>
      <c r="K1875" s="1451"/>
      <c r="L1875" s="1451"/>
      <c r="U1875" s="1451"/>
      <c r="AD1875" s="1451"/>
      <c r="AM1875" s="1451"/>
      <c r="AV1875" s="1451"/>
      <c r="BE1875" s="1451"/>
      <c r="BN1875" s="1451"/>
      <c r="BV1875" s="1451"/>
      <c r="BW1875" s="1451"/>
      <c r="CF1875" s="1451"/>
      <c r="CN1875" s="1451"/>
      <c r="CO1875" s="1530"/>
      <c r="CP1875" s="1530"/>
      <c r="CQ1875" s="1530"/>
      <c r="CR1875" s="1530"/>
      <c r="CS1875" s="1530"/>
      <c r="CT1875" s="1530"/>
      <c r="CU1875" s="1530"/>
      <c r="CV1875" s="1530"/>
      <c r="CW1875" s="1530"/>
      <c r="CX1875" s="1530"/>
      <c r="CY1875" s="1530"/>
      <c r="CZ1875" s="1530"/>
      <c r="DA1875" s="1530"/>
      <c r="DB1875" s="1530"/>
      <c r="DC1875" s="1530"/>
      <c r="DD1875" s="1530"/>
      <c r="DE1875" s="1530"/>
      <c r="DF1875" s="1530"/>
      <c r="DG1875" s="1530"/>
      <c r="DH1875" s="1530"/>
      <c r="DI1875" s="1530"/>
      <c r="DJ1875" s="1530"/>
      <c r="DK1875" s="1530"/>
      <c r="DL1875" s="1530"/>
      <c r="DM1875" s="1530"/>
      <c r="DN1875" s="1571"/>
      <c r="DO1875" s="1530"/>
      <c r="DP1875" s="1530"/>
    </row>
    <row r="1876" spans="1:120">
      <c r="A1876" s="1451"/>
      <c r="C1876" s="1451"/>
      <c r="K1876" s="1451"/>
      <c r="L1876" s="1451"/>
      <c r="U1876" s="1451"/>
      <c r="AD1876" s="1451"/>
      <c r="AM1876" s="1451"/>
      <c r="AV1876" s="1451"/>
      <c r="BE1876" s="1451"/>
      <c r="BN1876" s="1451"/>
      <c r="BV1876" s="1451"/>
      <c r="BW1876" s="1451"/>
      <c r="CF1876" s="1451"/>
      <c r="CN1876" s="1451"/>
      <c r="CO1876" s="1530"/>
      <c r="CP1876" s="1530"/>
      <c r="CQ1876" s="1530"/>
      <c r="CR1876" s="1530"/>
      <c r="CS1876" s="1530"/>
      <c r="CT1876" s="1530"/>
      <c r="CU1876" s="1530"/>
      <c r="CV1876" s="1530"/>
      <c r="CW1876" s="1530"/>
      <c r="CX1876" s="1530"/>
      <c r="CY1876" s="1530"/>
      <c r="CZ1876" s="1530"/>
      <c r="DA1876" s="1530"/>
      <c r="DB1876" s="1530"/>
      <c r="DC1876" s="1530"/>
      <c r="DD1876" s="1530"/>
      <c r="DE1876" s="1530"/>
      <c r="DF1876" s="1530"/>
      <c r="DG1876" s="1530"/>
      <c r="DH1876" s="1530"/>
      <c r="DI1876" s="1530"/>
      <c r="DJ1876" s="1530"/>
      <c r="DK1876" s="1530"/>
      <c r="DL1876" s="1530"/>
      <c r="DM1876" s="1530"/>
      <c r="DN1876" s="1571"/>
      <c r="DO1876" s="1530"/>
      <c r="DP1876" s="1530"/>
    </row>
    <row r="1877" spans="1:120">
      <c r="A1877" s="1451"/>
      <c r="C1877" s="1451"/>
      <c r="K1877" s="1451"/>
      <c r="L1877" s="1451"/>
      <c r="U1877" s="1451"/>
      <c r="AD1877" s="1451"/>
      <c r="AM1877" s="1451"/>
      <c r="AV1877" s="1451"/>
      <c r="BE1877" s="1451"/>
      <c r="BN1877" s="1451"/>
      <c r="BV1877" s="1451"/>
      <c r="BW1877" s="1451"/>
      <c r="CF1877" s="1451"/>
      <c r="CN1877" s="1451"/>
      <c r="CO1877" s="1530"/>
      <c r="CP1877" s="1530"/>
      <c r="CQ1877" s="1530"/>
      <c r="CR1877" s="1530"/>
      <c r="CS1877" s="1530"/>
      <c r="CT1877" s="1530"/>
      <c r="CU1877" s="1530"/>
      <c r="CV1877" s="1530"/>
      <c r="CW1877" s="1530"/>
      <c r="CX1877" s="1530"/>
      <c r="CY1877" s="1530"/>
      <c r="CZ1877" s="1530"/>
      <c r="DA1877" s="1530"/>
      <c r="DB1877" s="1530"/>
      <c r="DC1877" s="1530"/>
      <c r="DD1877" s="1530"/>
      <c r="DE1877" s="1530"/>
      <c r="DF1877" s="1530"/>
      <c r="DG1877" s="1530"/>
      <c r="DH1877" s="1530"/>
      <c r="DI1877" s="1530"/>
      <c r="DJ1877" s="1530"/>
      <c r="DK1877" s="1530"/>
      <c r="DL1877" s="1530"/>
      <c r="DM1877" s="1530"/>
      <c r="DN1877" s="1571"/>
      <c r="DO1877" s="1530"/>
      <c r="DP1877" s="1530"/>
    </row>
    <row r="1878" spans="1:120">
      <c r="A1878" s="1451"/>
      <c r="C1878" s="1451"/>
      <c r="K1878" s="1451"/>
      <c r="L1878" s="1451"/>
      <c r="U1878" s="1451"/>
      <c r="AD1878" s="1451"/>
      <c r="AM1878" s="1451"/>
      <c r="AV1878" s="1451"/>
      <c r="BE1878" s="1451"/>
      <c r="BN1878" s="1451"/>
      <c r="BV1878" s="1451"/>
      <c r="BW1878" s="1451"/>
      <c r="CF1878" s="1451"/>
      <c r="CN1878" s="1451"/>
      <c r="CO1878" s="1530"/>
      <c r="CP1878" s="1530"/>
      <c r="CQ1878" s="1530"/>
      <c r="CR1878" s="1530"/>
      <c r="CS1878" s="1530"/>
      <c r="CT1878" s="1530"/>
      <c r="CU1878" s="1530"/>
      <c r="CV1878" s="1530"/>
      <c r="CW1878" s="1530"/>
      <c r="CX1878" s="1530"/>
      <c r="CY1878" s="1530"/>
      <c r="CZ1878" s="1530"/>
      <c r="DA1878" s="1530"/>
      <c r="DB1878" s="1530"/>
      <c r="DC1878" s="1530"/>
      <c r="DD1878" s="1530"/>
      <c r="DE1878" s="1530"/>
      <c r="DF1878" s="1530"/>
      <c r="DG1878" s="1530"/>
      <c r="DH1878" s="1530"/>
      <c r="DI1878" s="1530"/>
      <c r="DJ1878" s="1530"/>
      <c r="DK1878" s="1530"/>
      <c r="DL1878" s="1530"/>
      <c r="DM1878" s="1530"/>
      <c r="DN1878" s="1571"/>
      <c r="DO1878" s="1530"/>
      <c r="DP1878" s="1530"/>
    </row>
    <row r="1879" spans="1:120">
      <c r="A1879" s="1451"/>
      <c r="C1879" s="1451"/>
      <c r="K1879" s="1451"/>
      <c r="L1879" s="1451"/>
      <c r="U1879" s="1451"/>
      <c r="AD1879" s="1451"/>
      <c r="AM1879" s="1451"/>
      <c r="AV1879" s="1451"/>
      <c r="BE1879" s="1451"/>
      <c r="BN1879" s="1451"/>
      <c r="BV1879" s="1451"/>
      <c r="BW1879" s="1451"/>
      <c r="CF1879" s="1451"/>
      <c r="CN1879" s="1451"/>
      <c r="CO1879" s="1530"/>
      <c r="CP1879" s="1530"/>
      <c r="CQ1879" s="1530"/>
      <c r="CR1879" s="1530"/>
      <c r="CS1879" s="1530"/>
      <c r="CT1879" s="1530"/>
      <c r="CU1879" s="1530"/>
      <c r="CV1879" s="1530"/>
      <c r="CW1879" s="1530"/>
      <c r="CX1879" s="1530"/>
      <c r="CY1879" s="1530"/>
      <c r="CZ1879" s="1530"/>
      <c r="DA1879" s="1530"/>
      <c r="DB1879" s="1530"/>
      <c r="DC1879" s="1530"/>
      <c r="DD1879" s="1530"/>
      <c r="DE1879" s="1530"/>
      <c r="DF1879" s="1530"/>
      <c r="DG1879" s="1530"/>
      <c r="DH1879" s="1530"/>
      <c r="DI1879" s="1530"/>
      <c r="DJ1879" s="1530"/>
      <c r="DK1879" s="1530"/>
      <c r="DL1879" s="1530"/>
      <c r="DM1879" s="1530"/>
      <c r="DN1879" s="1571"/>
      <c r="DO1879" s="1530"/>
      <c r="DP1879" s="1530"/>
    </row>
    <row r="1880" spans="1:120">
      <c r="A1880" s="1451"/>
      <c r="C1880" s="1451"/>
      <c r="K1880" s="1451"/>
      <c r="L1880" s="1451"/>
      <c r="U1880" s="1451"/>
      <c r="AD1880" s="1451"/>
      <c r="AM1880" s="1451"/>
      <c r="AV1880" s="1451"/>
      <c r="BE1880" s="1451"/>
      <c r="BN1880" s="1451"/>
      <c r="BV1880" s="1451"/>
      <c r="BW1880" s="1451"/>
      <c r="CF1880" s="1451"/>
      <c r="CN1880" s="1451"/>
      <c r="CO1880" s="1530"/>
      <c r="CP1880" s="1530"/>
      <c r="CQ1880" s="1530"/>
      <c r="CR1880" s="1530"/>
      <c r="CS1880" s="1530"/>
      <c r="CT1880" s="1530"/>
      <c r="CU1880" s="1530"/>
      <c r="CV1880" s="1530"/>
      <c r="CW1880" s="1530"/>
      <c r="CX1880" s="1530"/>
      <c r="CY1880" s="1530"/>
      <c r="CZ1880" s="1530"/>
      <c r="DA1880" s="1530"/>
      <c r="DB1880" s="1530"/>
      <c r="DC1880" s="1530"/>
      <c r="DD1880" s="1530"/>
      <c r="DE1880" s="1530"/>
      <c r="DF1880" s="1530"/>
      <c r="DG1880" s="1530"/>
      <c r="DH1880" s="1530"/>
      <c r="DI1880" s="1530"/>
      <c r="DJ1880" s="1530"/>
      <c r="DK1880" s="1530"/>
      <c r="DL1880" s="1530"/>
      <c r="DM1880" s="1530"/>
      <c r="DN1880" s="1571"/>
      <c r="DO1880" s="1530"/>
      <c r="DP1880" s="1530"/>
    </row>
    <row r="1881" spans="1:120">
      <c r="A1881" s="1451"/>
      <c r="C1881" s="1451"/>
      <c r="K1881" s="1451"/>
      <c r="L1881" s="1451"/>
      <c r="U1881" s="1451"/>
      <c r="AD1881" s="1451"/>
      <c r="AM1881" s="1451"/>
      <c r="AV1881" s="1451"/>
      <c r="BE1881" s="1451"/>
      <c r="BN1881" s="1451"/>
      <c r="BV1881" s="1451"/>
      <c r="BW1881" s="1451"/>
      <c r="CF1881" s="1451"/>
      <c r="CN1881" s="1451"/>
      <c r="CO1881" s="1530"/>
      <c r="CP1881" s="1530"/>
      <c r="CQ1881" s="1530"/>
      <c r="CR1881" s="1530"/>
      <c r="CS1881" s="1530"/>
      <c r="CT1881" s="1530"/>
      <c r="CU1881" s="1530"/>
      <c r="CV1881" s="1530"/>
      <c r="CW1881" s="1530"/>
      <c r="CX1881" s="1530"/>
      <c r="CY1881" s="1530"/>
      <c r="CZ1881" s="1530"/>
      <c r="DA1881" s="1530"/>
      <c r="DB1881" s="1530"/>
      <c r="DC1881" s="1530"/>
      <c r="DD1881" s="1530"/>
      <c r="DE1881" s="1530"/>
      <c r="DF1881" s="1530"/>
      <c r="DG1881" s="1530"/>
      <c r="DH1881" s="1530"/>
      <c r="DI1881" s="1530"/>
      <c r="DJ1881" s="1530"/>
      <c r="DK1881" s="1530"/>
      <c r="DL1881" s="1530"/>
      <c r="DM1881" s="1530"/>
      <c r="DN1881" s="1571"/>
      <c r="DO1881" s="1530"/>
      <c r="DP1881" s="1530"/>
    </row>
    <row r="1882" spans="1:120">
      <c r="A1882" s="1451"/>
      <c r="C1882" s="1451"/>
      <c r="K1882" s="1451"/>
      <c r="L1882" s="1451"/>
      <c r="U1882" s="1451"/>
      <c r="AD1882" s="1451"/>
      <c r="AM1882" s="1451"/>
      <c r="AV1882" s="1451"/>
      <c r="BE1882" s="1451"/>
      <c r="BN1882" s="1451"/>
      <c r="BV1882" s="1451"/>
      <c r="BW1882" s="1451"/>
      <c r="CF1882" s="1451"/>
      <c r="CN1882" s="1451"/>
      <c r="CO1882" s="1530"/>
      <c r="CP1882" s="1530"/>
      <c r="CQ1882" s="1530"/>
      <c r="CR1882" s="1530"/>
      <c r="CS1882" s="1530"/>
      <c r="CT1882" s="1530"/>
      <c r="CU1882" s="1530"/>
      <c r="CV1882" s="1530"/>
      <c r="CW1882" s="1530"/>
      <c r="CX1882" s="1530"/>
      <c r="CY1882" s="1530"/>
      <c r="CZ1882" s="1530"/>
      <c r="DA1882" s="1530"/>
      <c r="DB1882" s="1530"/>
      <c r="DC1882" s="1530"/>
      <c r="DD1882" s="1530"/>
      <c r="DE1882" s="1530"/>
      <c r="DF1882" s="1530"/>
      <c r="DG1882" s="1530"/>
      <c r="DH1882" s="1530"/>
      <c r="DI1882" s="1530"/>
      <c r="DJ1882" s="1530"/>
      <c r="DK1882" s="1530"/>
      <c r="DL1882" s="1530"/>
      <c r="DM1882" s="1530"/>
      <c r="DN1882" s="1571"/>
      <c r="DO1882" s="1530"/>
      <c r="DP1882" s="1530"/>
    </row>
    <row r="1883" spans="1:120">
      <c r="A1883" s="1451"/>
      <c r="C1883" s="1451"/>
      <c r="K1883" s="1451"/>
      <c r="L1883" s="1451"/>
      <c r="U1883" s="1451"/>
      <c r="AD1883" s="1451"/>
      <c r="AM1883" s="1451"/>
      <c r="AV1883" s="1451"/>
      <c r="BE1883" s="1451"/>
      <c r="BN1883" s="1451"/>
      <c r="BV1883" s="1451"/>
      <c r="BW1883" s="1451"/>
      <c r="CF1883" s="1451"/>
      <c r="CN1883" s="1451"/>
      <c r="CO1883" s="1530"/>
      <c r="CP1883" s="1530"/>
      <c r="CQ1883" s="1530"/>
      <c r="CR1883" s="1530"/>
      <c r="CS1883" s="1530"/>
      <c r="CT1883" s="1530"/>
      <c r="CU1883" s="1530"/>
      <c r="CV1883" s="1530"/>
      <c r="CW1883" s="1530"/>
      <c r="CX1883" s="1530"/>
      <c r="CY1883" s="1530"/>
      <c r="CZ1883" s="1530"/>
      <c r="DA1883" s="1530"/>
      <c r="DB1883" s="1530"/>
      <c r="DC1883" s="1530"/>
      <c r="DD1883" s="1530"/>
      <c r="DE1883" s="1530"/>
      <c r="DF1883" s="1530"/>
      <c r="DG1883" s="1530"/>
      <c r="DH1883" s="1530"/>
      <c r="DI1883" s="1530"/>
      <c r="DJ1883" s="1530"/>
      <c r="DK1883" s="1530"/>
      <c r="DL1883" s="1530"/>
      <c r="DM1883" s="1530"/>
      <c r="DN1883" s="1571"/>
      <c r="DO1883" s="1530"/>
      <c r="DP1883" s="1530"/>
    </row>
    <row r="1884" spans="1:120">
      <c r="A1884" s="1451"/>
      <c r="C1884" s="1451"/>
      <c r="K1884" s="1451"/>
      <c r="L1884" s="1451"/>
      <c r="U1884" s="1451"/>
      <c r="AD1884" s="1451"/>
      <c r="AM1884" s="1451"/>
      <c r="AV1884" s="1451"/>
      <c r="BE1884" s="1451"/>
      <c r="BN1884" s="1451"/>
      <c r="BV1884" s="1451"/>
      <c r="BW1884" s="1451"/>
      <c r="CF1884" s="1451"/>
      <c r="CN1884" s="1451"/>
      <c r="CO1884" s="1530"/>
      <c r="CP1884" s="1530"/>
      <c r="CQ1884" s="1530"/>
      <c r="CR1884" s="1530"/>
      <c r="CS1884" s="1530"/>
      <c r="CT1884" s="1530"/>
      <c r="CU1884" s="1530"/>
      <c r="CV1884" s="1530"/>
      <c r="CW1884" s="1530"/>
      <c r="CX1884" s="1530"/>
      <c r="CY1884" s="1530"/>
      <c r="CZ1884" s="1530"/>
      <c r="DA1884" s="1530"/>
      <c r="DB1884" s="1530"/>
      <c r="DC1884" s="1530"/>
      <c r="DD1884" s="1530"/>
      <c r="DE1884" s="1530"/>
      <c r="DF1884" s="1530"/>
      <c r="DG1884" s="1530"/>
      <c r="DH1884" s="1530"/>
      <c r="DI1884" s="1530"/>
      <c r="DJ1884" s="1530"/>
      <c r="DK1884" s="1530"/>
      <c r="DL1884" s="1530"/>
      <c r="DM1884" s="1530"/>
      <c r="DN1884" s="1571"/>
      <c r="DO1884" s="1530"/>
      <c r="DP1884" s="1530"/>
    </row>
    <row r="1885" spans="1:120">
      <c r="A1885" s="1451"/>
      <c r="C1885" s="1451"/>
      <c r="K1885" s="1451"/>
      <c r="L1885" s="1451"/>
      <c r="U1885" s="1451"/>
      <c r="AD1885" s="1451"/>
      <c r="AM1885" s="1451"/>
      <c r="AV1885" s="1451"/>
      <c r="BE1885" s="1451"/>
      <c r="BN1885" s="1451"/>
      <c r="BV1885" s="1451"/>
      <c r="BW1885" s="1451"/>
      <c r="CF1885" s="1451"/>
      <c r="CN1885" s="1451"/>
      <c r="CO1885" s="1530"/>
      <c r="CP1885" s="1530"/>
      <c r="CQ1885" s="1530"/>
      <c r="CR1885" s="1530"/>
      <c r="CS1885" s="1530"/>
      <c r="CT1885" s="1530"/>
      <c r="CU1885" s="1530"/>
      <c r="CV1885" s="1530"/>
      <c r="CW1885" s="1530"/>
      <c r="CX1885" s="1530"/>
      <c r="CY1885" s="1530"/>
      <c r="CZ1885" s="1530"/>
      <c r="DA1885" s="1530"/>
      <c r="DB1885" s="1530"/>
      <c r="DC1885" s="1530"/>
      <c r="DD1885" s="1530"/>
      <c r="DE1885" s="1530"/>
      <c r="DF1885" s="1530"/>
      <c r="DG1885" s="1530"/>
      <c r="DH1885" s="1530"/>
      <c r="DI1885" s="1530"/>
      <c r="DJ1885" s="1530"/>
      <c r="DK1885" s="1530"/>
      <c r="DL1885" s="1530"/>
      <c r="DM1885" s="1530"/>
      <c r="DN1885" s="1571"/>
      <c r="DO1885" s="1530"/>
      <c r="DP1885" s="1530"/>
    </row>
    <row r="1886" spans="1:120">
      <c r="A1886" s="1451"/>
      <c r="C1886" s="1451"/>
      <c r="K1886" s="1451"/>
      <c r="L1886" s="1451"/>
      <c r="U1886" s="1451"/>
      <c r="AD1886" s="1451"/>
      <c r="AM1886" s="1451"/>
      <c r="AV1886" s="1451"/>
      <c r="BE1886" s="1451"/>
      <c r="BN1886" s="1451"/>
      <c r="BV1886" s="1451"/>
      <c r="BW1886" s="1451"/>
      <c r="CF1886" s="1451"/>
      <c r="CN1886" s="1451"/>
      <c r="CO1886" s="1530"/>
      <c r="CP1886" s="1530"/>
      <c r="CQ1886" s="1530"/>
      <c r="CR1886" s="1530"/>
      <c r="CS1886" s="1530"/>
      <c r="CT1886" s="1530"/>
      <c r="CU1886" s="1530"/>
      <c r="CV1886" s="1530"/>
      <c r="CW1886" s="1530"/>
      <c r="CX1886" s="1530"/>
      <c r="CY1886" s="1530"/>
      <c r="CZ1886" s="1530"/>
      <c r="DA1886" s="1530"/>
      <c r="DB1886" s="1530"/>
      <c r="DC1886" s="1530"/>
      <c r="DD1886" s="1530"/>
      <c r="DE1886" s="1530"/>
      <c r="DF1886" s="1530"/>
      <c r="DG1886" s="1530"/>
      <c r="DH1886" s="1530"/>
      <c r="DI1886" s="1530"/>
      <c r="DJ1886" s="1530"/>
      <c r="DK1886" s="1530"/>
      <c r="DL1886" s="1530"/>
      <c r="DM1886" s="1530"/>
      <c r="DN1886" s="1571"/>
      <c r="DO1886" s="1530"/>
      <c r="DP1886" s="1530"/>
    </row>
    <row r="1887" spans="1:120">
      <c r="A1887" s="1451"/>
      <c r="C1887" s="1451"/>
      <c r="K1887" s="1451"/>
      <c r="L1887" s="1451"/>
      <c r="U1887" s="1451"/>
      <c r="AD1887" s="1451"/>
      <c r="AM1887" s="1451"/>
      <c r="AV1887" s="1451"/>
      <c r="BE1887" s="1451"/>
      <c r="BN1887" s="1451"/>
      <c r="BV1887" s="1451"/>
      <c r="BW1887" s="1451"/>
      <c r="CF1887" s="1451"/>
      <c r="CN1887" s="1451"/>
      <c r="CO1887" s="1530"/>
      <c r="CP1887" s="1530"/>
      <c r="CQ1887" s="1530"/>
      <c r="CR1887" s="1530"/>
      <c r="CS1887" s="1530"/>
      <c r="CT1887" s="1530"/>
      <c r="CU1887" s="1530"/>
      <c r="CV1887" s="1530"/>
      <c r="CW1887" s="1530"/>
      <c r="CX1887" s="1530"/>
      <c r="CY1887" s="1530"/>
      <c r="CZ1887" s="1530"/>
      <c r="DA1887" s="1530"/>
      <c r="DB1887" s="1530"/>
      <c r="DC1887" s="1530"/>
      <c r="DD1887" s="1530"/>
      <c r="DE1887" s="1530"/>
      <c r="DF1887" s="1530"/>
      <c r="DG1887" s="1530"/>
      <c r="DH1887" s="1530"/>
      <c r="DI1887" s="1530"/>
      <c r="DJ1887" s="1530"/>
      <c r="DK1887" s="1530"/>
      <c r="DL1887" s="1530"/>
      <c r="DM1887" s="1530"/>
      <c r="DN1887" s="1571"/>
      <c r="DO1887" s="1530"/>
      <c r="DP1887" s="1530"/>
    </row>
    <row r="1888" spans="1:120">
      <c r="A1888" s="1451"/>
      <c r="C1888" s="1451"/>
      <c r="K1888" s="1451"/>
      <c r="L1888" s="1451"/>
      <c r="U1888" s="1451"/>
      <c r="AD1888" s="1451"/>
      <c r="AM1888" s="1451"/>
      <c r="AV1888" s="1451"/>
      <c r="BE1888" s="1451"/>
      <c r="BN1888" s="1451"/>
      <c r="BV1888" s="1451"/>
      <c r="BW1888" s="1451"/>
      <c r="CF1888" s="1451"/>
      <c r="CN1888" s="1451"/>
      <c r="CO1888" s="1530"/>
      <c r="CP1888" s="1530"/>
      <c r="CQ1888" s="1530"/>
      <c r="CR1888" s="1530"/>
      <c r="CS1888" s="1530"/>
      <c r="CT1888" s="1530"/>
      <c r="CU1888" s="1530"/>
      <c r="CV1888" s="1530"/>
      <c r="CW1888" s="1530"/>
      <c r="CX1888" s="1530"/>
      <c r="CY1888" s="1530"/>
      <c r="CZ1888" s="1530"/>
      <c r="DA1888" s="1530"/>
      <c r="DB1888" s="1530"/>
      <c r="DC1888" s="1530"/>
      <c r="DD1888" s="1530"/>
      <c r="DE1888" s="1530"/>
      <c r="DF1888" s="1530"/>
      <c r="DG1888" s="1530"/>
      <c r="DH1888" s="1530"/>
      <c r="DI1888" s="1530"/>
      <c r="DJ1888" s="1530"/>
      <c r="DK1888" s="1530"/>
      <c r="DL1888" s="1530"/>
      <c r="DM1888" s="1530"/>
      <c r="DN1888" s="1571"/>
      <c r="DO1888" s="1530"/>
      <c r="DP1888" s="1530"/>
    </row>
    <row r="1889" spans="1:120">
      <c r="A1889" s="1451"/>
      <c r="C1889" s="1451"/>
      <c r="K1889" s="1451"/>
      <c r="L1889" s="1451"/>
      <c r="U1889" s="1451"/>
      <c r="AD1889" s="1451"/>
      <c r="AM1889" s="1451"/>
      <c r="AV1889" s="1451"/>
      <c r="BE1889" s="1451"/>
      <c r="BN1889" s="1451"/>
      <c r="BV1889" s="1451"/>
      <c r="BW1889" s="1451"/>
      <c r="CF1889" s="1451"/>
      <c r="CN1889" s="1451"/>
      <c r="CO1889" s="1530"/>
      <c r="CP1889" s="1530"/>
      <c r="CQ1889" s="1530"/>
      <c r="CR1889" s="1530"/>
      <c r="CS1889" s="1530"/>
      <c r="CT1889" s="1530"/>
      <c r="CU1889" s="1530"/>
      <c r="CV1889" s="1530"/>
      <c r="CW1889" s="1530"/>
      <c r="CX1889" s="1530"/>
      <c r="CY1889" s="1530"/>
      <c r="CZ1889" s="1530"/>
      <c r="DA1889" s="1530"/>
      <c r="DB1889" s="1530"/>
      <c r="DC1889" s="1530"/>
      <c r="DD1889" s="1530"/>
      <c r="DE1889" s="1530"/>
      <c r="DF1889" s="1530"/>
      <c r="DG1889" s="1530"/>
      <c r="DH1889" s="1530"/>
      <c r="DI1889" s="1530"/>
      <c r="DJ1889" s="1530"/>
      <c r="DK1889" s="1530"/>
      <c r="DL1889" s="1530"/>
      <c r="DM1889" s="1530"/>
      <c r="DN1889" s="1571"/>
      <c r="DO1889" s="1530"/>
      <c r="DP1889" s="1530"/>
    </row>
    <row r="1890" spans="1:120">
      <c r="A1890" s="1451"/>
      <c r="C1890" s="1451"/>
      <c r="K1890" s="1451"/>
      <c r="L1890" s="1451"/>
      <c r="U1890" s="1451"/>
      <c r="AD1890" s="1451"/>
      <c r="AM1890" s="1451"/>
      <c r="AV1890" s="1451"/>
      <c r="BE1890" s="1451"/>
      <c r="BN1890" s="1451"/>
      <c r="BV1890" s="1451"/>
      <c r="BW1890" s="1451"/>
      <c r="CF1890" s="1451"/>
      <c r="CN1890" s="1451"/>
      <c r="CO1890" s="1530"/>
      <c r="CP1890" s="1530"/>
      <c r="CQ1890" s="1530"/>
      <c r="CR1890" s="1530"/>
      <c r="CS1890" s="1530"/>
      <c r="CT1890" s="1530"/>
      <c r="CU1890" s="1530"/>
      <c r="CV1890" s="1530"/>
      <c r="CW1890" s="1530"/>
      <c r="CX1890" s="1530"/>
      <c r="CY1890" s="1530"/>
      <c r="CZ1890" s="1530"/>
      <c r="DA1890" s="1530"/>
      <c r="DB1890" s="1530"/>
      <c r="DC1890" s="1530"/>
      <c r="DD1890" s="1530"/>
      <c r="DE1890" s="1530"/>
      <c r="DF1890" s="1530"/>
      <c r="DG1890" s="1530"/>
      <c r="DH1890" s="1530"/>
      <c r="DI1890" s="1530"/>
      <c r="DJ1890" s="1530"/>
      <c r="DK1890" s="1530"/>
      <c r="DL1890" s="1530"/>
      <c r="DM1890" s="1530"/>
      <c r="DN1890" s="1571"/>
      <c r="DO1890" s="1530"/>
      <c r="DP1890" s="1530"/>
    </row>
    <row r="1891" spans="1:120">
      <c r="A1891" s="1451"/>
      <c r="C1891" s="1451"/>
      <c r="K1891" s="1451"/>
      <c r="L1891" s="1451"/>
      <c r="U1891" s="1451"/>
      <c r="AD1891" s="1451"/>
      <c r="AM1891" s="1451"/>
      <c r="AV1891" s="1451"/>
      <c r="BE1891" s="1451"/>
      <c r="BN1891" s="1451"/>
      <c r="BV1891" s="1451"/>
      <c r="BW1891" s="1451"/>
      <c r="CF1891" s="1451"/>
      <c r="CN1891" s="1451"/>
      <c r="CO1891" s="1530"/>
      <c r="CP1891" s="1530"/>
      <c r="CQ1891" s="1530"/>
      <c r="CR1891" s="1530"/>
      <c r="CS1891" s="1530"/>
      <c r="CT1891" s="1530"/>
      <c r="CU1891" s="1530"/>
      <c r="CV1891" s="1530"/>
      <c r="CW1891" s="1530"/>
      <c r="CX1891" s="1530"/>
      <c r="CY1891" s="1530"/>
      <c r="CZ1891" s="1530"/>
      <c r="DA1891" s="1530"/>
      <c r="DB1891" s="1530"/>
      <c r="DC1891" s="1530"/>
      <c r="DD1891" s="1530"/>
      <c r="DE1891" s="1530"/>
      <c r="DF1891" s="1530"/>
      <c r="DG1891" s="1530"/>
      <c r="DH1891" s="1530"/>
      <c r="DI1891" s="1530"/>
      <c r="DJ1891" s="1530"/>
      <c r="DK1891" s="1530"/>
      <c r="DL1891" s="1530"/>
      <c r="DM1891" s="1530"/>
      <c r="DN1891" s="1571"/>
      <c r="DO1891" s="1530"/>
      <c r="DP1891" s="1530"/>
    </row>
    <row r="1892" spans="1:120">
      <c r="A1892" s="1451"/>
      <c r="C1892" s="1451"/>
      <c r="K1892" s="1451"/>
      <c r="L1892" s="1451"/>
      <c r="U1892" s="1451"/>
      <c r="AD1892" s="1451"/>
      <c r="AM1892" s="1451"/>
      <c r="AV1892" s="1451"/>
      <c r="BE1892" s="1451"/>
      <c r="BN1892" s="1451"/>
      <c r="BV1892" s="1451"/>
      <c r="BW1892" s="1451"/>
      <c r="CF1892" s="1451"/>
      <c r="CN1892" s="1451"/>
      <c r="CO1892" s="1530"/>
      <c r="CP1892" s="1530"/>
      <c r="CQ1892" s="1530"/>
      <c r="CR1892" s="1530"/>
      <c r="CS1892" s="1530"/>
      <c r="CT1892" s="1530"/>
      <c r="CU1892" s="1530"/>
      <c r="CV1892" s="1530"/>
      <c r="CW1892" s="1530"/>
      <c r="CX1892" s="1530"/>
      <c r="CY1892" s="1530"/>
      <c r="CZ1892" s="1530"/>
      <c r="DA1892" s="1530"/>
      <c r="DB1892" s="1530"/>
      <c r="DC1892" s="1530"/>
      <c r="DD1892" s="1530"/>
      <c r="DE1892" s="1530"/>
      <c r="DF1892" s="1530"/>
      <c r="DG1892" s="1530"/>
      <c r="DH1892" s="1530"/>
      <c r="DI1892" s="1530"/>
      <c r="DJ1892" s="1530"/>
      <c r="DK1892" s="1530"/>
      <c r="DL1892" s="1530"/>
      <c r="DM1892" s="1530"/>
      <c r="DN1892" s="1571"/>
      <c r="DO1892" s="1530"/>
      <c r="DP1892" s="1530"/>
    </row>
    <row r="1893" spans="1:120">
      <c r="A1893" s="1451"/>
      <c r="C1893" s="1451"/>
      <c r="K1893" s="1451"/>
      <c r="L1893" s="1451"/>
      <c r="U1893" s="1451"/>
      <c r="AD1893" s="1451"/>
      <c r="AM1893" s="1451"/>
      <c r="AV1893" s="1451"/>
      <c r="BE1893" s="1451"/>
      <c r="BN1893" s="1451"/>
      <c r="BV1893" s="1451"/>
      <c r="BW1893" s="1451"/>
      <c r="CF1893" s="1451"/>
      <c r="CN1893" s="1451"/>
      <c r="CO1893" s="1530"/>
      <c r="CP1893" s="1530"/>
      <c r="CQ1893" s="1530"/>
      <c r="CR1893" s="1530"/>
      <c r="CS1893" s="1530"/>
      <c r="CT1893" s="1530"/>
      <c r="CU1893" s="1530"/>
      <c r="CV1893" s="1530"/>
      <c r="CW1893" s="1530"/>
      <c r="CX1893" s="1530"/>
      <c r="CY1893" s="1530"/>
      <c r="CZ1893" s="1530"/>
      <c r="DA1893" s="1530"/>
      <c r="DB1893" s="1530"/>
      <c r="DC1893" s="1530"/>
      <c r="DD1893" s="1530"/>
      <c r="DE1893" s="1530"/>
      <c r="DF1893" s="1530"/>
      <c r="DG1893" s="1530"/>
      <c r="DH1893" s="1530"/>
      <c r="DI1893" s="1530"/>
      <c r="DJ1893" s="1530"/>
      <c r="DK1893" s="1530"/>
      <c r="DL1893" s="1530"/>
      <c r="DM1893" s="1530"/>
      <c r="DN1893" s="1571"/>
      <c r="DO1893" s="1530"/>
      <c r="DP1893" s="1530"/>
    </row>
    <row r="1894" spans="1:120">
      <c r="A1894" s="1451"/>
      <c r="C1894" s="1451"/>
      <c r="K1894" s="1451"/>
      <c r="L1894" s="1451"/>
      <c r="U1894" s="1451"/>
      <c r="AD1894" s="1451"/>
      <c r="AM1894" s="1451"/>
      <c r="AV1894" s="1451"/>
      <c r="BE1894" s="1451"/>
      <c r="BN1894" s="1451"/>
      <c r="BV1894" s="1451"/>
      <c r="BW1894" s="1451"/>
      <c r="CF1894" s="1451"/>
      <c r="CN1894" s="1451"/>
      <c r="CO1894" s="1530"/>
      <c r="CP1894" s="1530"/>
      <c r="CQ1894" s="1530"/>
      <c r="CR1894" s="1530"/>
      <c r="CS1894" s="1530"/>
      <c r="CT1894" s="1530"/>
      <c r="CU1894" s="1530"/>
      <c r="CV1894" s="1530"/>
      <c r="CW1894" s="1530"/>
      <c r="CX1894" s="1530"/>
      <c r="CY1894" s="1530"/>
      <c r="CZ1894" s="1530"/>
      <c r="DA1894" s="1530"/>
      <c r="DB1894" s="1530"/>
      <c r="DC1894" s="1530"/>
      <c r="DD1894" s="1530"/>
      <c r="DE1894" s="1530"/>
      <c r="DF1894" s="1530"/>
      <c r="DG1894" s="1530"/>
      <c r="DH1894" s="1530"/>
      <c r="DI1894" s="1530"/>
      <c r="DJ1894" s="1530"/>
      <c r="DK1894" s="1530"/>
      <c r="DL1894" s="1530"/>
      <c r="DM1894" s="1530"/>
      <c r="DN1894" s="1571"/>
      <c r="DO1894" s="1530"/>
      <c r="DP1894" s="1530"/>
    </row>
    <row r="1895" spans="1:120">
      <c r="A1895" s="1451"/>
      <c r="C1895" s="1451"/>
      <c r="K1895" s="1451"/>
      <c r="L1895" s="1451"/>
      <c r="U1895" s="1451"/>
      <c r="AD1895" s="1451"/>
      <c r="AM1895" s="1451"/>
      <c r="AV1895" s="1451"/>
      <c r="BE1895" s="1451"/>
      <c r="BN1895" s="1451"/>
      <c r="BV1895" s="1451"/>
      <c r="BW1895" s="1451"/>
      <c r="CF1895" s="1451"/>
      <c r="CN1895" s="1451"/>
      <c r="CO1895" s="1530"/>
      <c r="CP1895" s="1530"/>
      <c r="CQ1895" s="1530"/>
      <c r="CR1895" s="1530"/>
      <c r="CS1895" s="1530"/>
      <c r="CT1895" s="1530"/>
      <c r="CU1895" s="1530"/>
      <c r="CV1895" s="1530"/>
      <c r="CW1895" s="1530"/>
      <c r="CX1895" s="1530"/>
      <c r="CY1895" s="1530"/>
      <c r="CZ1895" s="1530"/>
      <c r="DA1895" s="1530"/>
      <c r="DB1895" s="1530"/>
      <c r="DC1895" s="1530"/>
      <c r="DD1895" s="1530"/>
      <c r="DE1895" s="1530"/>
      <c r="DF1895" s="1530"/>
      <c r="DG1895" s="1530"/>
      <c r="DH1895" s="1530"/>
      <c r="DI1895" s="1530"/>
      <c r="DJ1895" s="1530"/>
      <c r="DK1895" s="1530"/>
      <c r="DL1895" s="1530"/>
      <c r="DM1895" s="1530"/>
      <c r="DN1895" s="1571"/>
      <c r="DO1895" s="1530"/>
      <c r="DP1895" s="1530"/>
    </row>
    <row r="1896" spans="1:120">
      <c r="A1896" s="1451"/>
      <c r="C1896" s="1451"/>
      <c r="K1896" s="1451"/>
      <c r="L1896" s="1451"/>
      <c r="U1896" s="1451"/>
      <c r="AD1896" s="1451"/>
      <c r="AM1896" s="1451"/>
      <c r="AV1896" s="1451"/>
      <c r="BE1896" s="1451"/>
      <c r="BN1896" s="1451"/>
      <c r="BV1896" s="1451"/>
      <c r="BW1896" s="1451"/>
      <c r="CF1896" s="1451"/>
      <c r="CN1896" s="1451"/>
      <c r="CO1896" s="1530"/>
      <c r="CP1896" s="1530"/>
      <c r="CQ1896" s="1530"/>
      <c r="CR1896" s="1530"/>
      <c r="CS1896" s="1530"/>
      <c r="CT1896" s="1530"/>
      <c r="CU1896" s="1530"/>
      <c r="CV1896" s="1530"/>
      <c r="CW1896" s="1530"/>
      <c r="CX1896" s="1530"/>
      <c r="CY1896" s="1530"/>
      <c r="CZ1896" s="1530"/>
      <c r="DA1896" s="1530"/>
      <c r="DB1896" s="1530"/>
      <c r="DC1896" s="1530"/>
      <c r="DD1896" s="1530"/>
      <c r="DE1896" s="1530"/>
      <c r="DF1896" s="1530"/>
      <c r="DG1896" s="1530"/>
      <c r="DH1896" s="1530"/>
      <c r="DI1896" s="1530"/>
      <c r="DJ1896" s="1530"/>
      <c r="DK1896" s="1530"/>
      <c r="DL1896" s="1530"/>
      <c r="DM1896" s="1530"/>
      <c r="DN1896" s="1571"/>
      <c r="DO1896" s="1530"/>
      <c r="DP1896" s="1530"/>
    </row>
    <row r="1897" spans="1:120">
      <c r="A1897" s="1451"/>
      <c r="C1897" s="1451"/>
      <c r="K1897" s="1451"/>
      <c r="L1897" s="1451"/>
      <c r="U1897" s="1451"/>
      <c r="AD1897" s="1451"/>
      <c r="AM1897" s="1451"/>
      <c r="AV1897" s="1451"/>
      <c r="BE1897" s="1451"/>
      <c r="BN1897" s="1451"/>
      <c r="BV1897" s="1451"/>
      <c r="BW1897" s="1451"/>
      <c r="CF1897" s="1451"/>
      <c r="CN1897" s="1451"/>
      <c r="CO1897" s="1530"/>
      <c r="CP1897" s="1530"/>
      <c r="CQ1897" s="1530"/>
      <c r="CR1897" s="1530"/>
      <c r="CS1897" s="1530"/>
      <c r="CT1897" s="1530"/>
      <c r="CU1897" s="1530"/>
      <c r="CV1897" s="1530"/>
      <c r="CW1897" s="1530"/>
      <c r="CX1897" s="1530"/>
      <c r="CY1897" s="1530"/>
      <c r="CZ1897" s="1530"/>
      <c r="DA1897" s="1530"/>
      <c r="DB1897" s="1530"/>
      <c r="DC1897" s="1530"/>
      <c r="DD1897" s="1530"/>
      <c r="DE1897" s="1530"/>
      <c r="DF1897" s="1530"/>
      <c r="DG1897" s="1530"/>
      <c r="DH1897" s="1530"/>
      <c r="DI1897" s="1530"/>
      <c r="DJ1897" s="1530"/>
      <c r="DK1897" s="1530"/>
      <c r="DL1897" s="1530"/>
      <c r="DM1897" s="1530"/>
      <c r="DN1897" s="1571"/>
      <c r="DO1897" s="1530"/>
      <c r="DP1897" s="1530"/>
    </row>
    <row r="1898" spans="1:120">
      <c r="A1898" s="1451"/>
      <c r="C1898" s="1451"/>
      <c r="K1898" s="1451"/>
      <c r="L1898" s="1451"/>
      <c r="U1898" s="1451"/>
      <c r="AD1898" s="1451"/>
      <c r="AM1898" s="1451"/>
      <c r="AV1898" s="1451"/>
      <c r="BE1898" s="1451"/>
      <c r="BN1898" s="1451"/>
      <c r="BV1898" s="1451"/>
      <c r="BW1898" s="1451"/>
      <c r="CF1898" s="1451"/>
      <c r="CN1898" s="1451"/>
      <c r="CO1898" s="1530"/>
      <c r="CP1898" s="1530"/>
      <c r="CQ1898" s="1530"/>
      <c r="CR1898" s="1530"/>
      <c r="CS1898" s="1530"/>
      <c r="CT1898" s="1530"/>
      <c r="CU1898" s="1530"/>
      <c r="CV1898" s="1530"/>
      <c r="CW1898" s="1530"/>
      <c r="CX1898" s="1530"/>
      <c r="CY1898" s="1530"/>
      <c r="CZ1898" s="1530"/>
      <c r="DA1898" s="1530"/>
      <c r="DB1898" s="1530"/>
      <c r="DC1898" s="1530"/>
      <c r="DD1898" s="1530"/>
      <c r="DE1898" s="1530"/>
      <c r="DF1898" s="1530"/>
      <c r="DG1898" s="1530"/>
      <c r="DH1898" s="1530"/>
      <c r="DI1898" s="1530"/>
      <c r="DJ1898" s="1530"/>
      <c r="DK1898" s="1530"/>
      <c r="DL1898" s="1530"/>
      <c r="DM1898" s="1530"/>
      <c r="DN1898" s="1571"/>
      <c r="DO1898" s="1530"/>
      <c r="DP1898" s="1530"/>
    </row>
    <row r="1899" spans="1:120">
      <c r="A1899" s="1451"/>
      <c r="C1899" s="1451"/>
      <c r="K1899" s="1451"/>
      <c r="L1899" s="1451"/>
      <c r="U1899" s="1451"/>
      <c r="AD1899" s="1451"/>
      <c r="AM1899" s="1451"/>
      <c r="AV1899" s="1451"/>
      <c r="BE1899" s="1451"/>
      <c r="BN1899" s="1451"/>
      <c r="BV1899" s="1451"/>
      <c r="BW1899" s="1451"/>
      <c r="CF1899" s="1451"/>
      <c r="CN1899" s="1451"/>
      <c r="CO1899" s="1530"/>
      <c r="CP1899" s="1530"/>
      <c r="CQ1899" s="1530"/>
      <c r="CR1899" s="1530"/>
      <c r="CS1899" s="1530"/>
      <c r="CT1899" s="1530"/>
      <c r="CU1899" s="1530"/>
      <c r="CV1899" s="1530"/>
      <c r="CW1899" s="1530"/>
      <c r="CX1899" s="1530"/>
      <c r="CY1899" s="1530"/>
      <c r="CZ1899" s="1530"/>
      <c r="DA1899" s="1530"/>
      <c r="DB1899" s="1530"/>
      <c r="DC1899" s="1530"/>
      <c r="DD1899" s="1530"/>
      <c r="DE1899" s="1530"/>
      <c r="DF1899" s="1530"/>
      <c r="DG1899" s="1530"/>
      <c r="DH1899" s="1530"/>
      <c r="DI1899" s="1530"/>
      <c r="DJ1899" s="1530"/>
      <c r="DK1899" s="1530"/>
      <c r="DL1899" s="1530"/>
      <c r="DM1899" s="1530"/>
      <c r="DN1899" s="1571"/>
      <c r="DO1899" s="1530"/>
      <c r="DP1899" s="1530"/>
    </row>
    <row r="1900" spans="1:120">
      <c r="A1900" s="1451"/>
      <c r="C1900" s="1451"/>
      <c r="K1900" s="1451"/>
      <c r="L1900" s="1451"/>
      <c r="U1900" s="1451"/>
      <c r="AD1900" s="1451"/>
      <c r="AM1900" s="1451"/>
      <c r="AV1900" s="1451"/>
      <c r="BE1900" s="1451"/>
      <c r="BN1900" s="1451"/>
      <c r="BV1900" s="1451"/>
      <c r="BW1900" s="1451"/>
      <c r="CF1900" s="1451"/>
      <c r="CN1900" s="1451"/>
      <c r="CO1900" s="1530"/>
      <c r="CP1900" s="1530"/>
      <c r="CQ1900" s="1530"/>
      <c r="CR1900" s="1530"/>
      <c r="CS1900" s="1530"/>
      <c r="CT1900" s="1530"/>
      <c r="CU1900" s="1530"/>
      <c r="CV1900" s="1530"/>
      <c r="CW1900" s="1530"/>
      <c r="CX1900" s="1530"/>
      <c r="CY1900" s="1530"/>
      <c r="CZ1900" s="1530"/>
      <c r="DA1900" s="1530"/>
      <c r="DB1900" s="1530"/>
      <c r="DC1900" s="1530"/>
      <c r="DD1900" s="1530"/>
      <c r="DE1900" s="1530"/>
      <c r="DF1900" s="1530"/>
      <c r="DG1900" s="1530"/>
      <c r="DH1900" s="1530"/>
      <c r="DI1900" s="1530"/>
      <c r="DJ1900" s="1530"/>
      <c r="DK1900" s="1530"/>
      <c r="DL1900" s="1530"/>
      <c r="DM1900" s="1530"/>
      <c r="DN1900" s="1571"/>
      <c r="DO1900" s="1530"/>
      <c r="DP1900" s="1530"/>
    </row>
    <row r="1901" spans="1:120">
      <c r="A1901" s="1451"/>
      <c r="C1901" s="1451"/>
      <c r="K1901" s="1451"/>
      <c r="L1901" s="1451"/>
      <c r="U1901" s="1451"/>
      <c r="AD1901" s="1451"/>
      <c r="AM1901" s="1451"/>
      <c r="AV1901" s="1451"/>
      <c r="BE1901" s="1451"/>
      <c r="BN1901" s="1451"/>
      <c r="BV1901" s="1451"/>
      <c r="BW1901" s="1451"/>
      <c r="CF1901" s="1451"/>
      <c r="CN1901" s="1451"/>
      <c r="CO1901" s="1530"/>
      <c r="CP1901" s="1530"/>
      <c r="CQ1901" s="1530"/>
      <c r="CR1901" s="1530"/>
      <c r="CS1901" s="1530"/>
      <c r="CT1901" s="1530"/>
      <c r="CU1901" s="1530"/>
      <c r="CV1901" s="1530"/>
      <c r="CW1901" s="1530"/>
      <c r="CX1901" s="1530"/>
      <c r="CY1901" s="1530"/>
      <c r="CZ1901" s="1530"/>
      <c r="DA1901" s="1530"/>
      <c r="DB1901" s="1530"/>
      <c r="DC1901" s="1530"/>
      <c r="DD1901" s="1530"/>
      <c r="DE1901" s="1530"/>
      <c r="DF1901" s="1530"/>
      <c r="DG1901" s="1530"/>
      <c r="DH1901" s="1530"/>
      <c r="DI1901" s="1530"/>
      <c r="DJ1901" s="1530"/>
      <c r="DK1901" s="1530"/>
      <c r="DL1901" s="1530"/>
      <c r="DM1901" s="1530"/>
      <c r="DN1901" s="1571"/>
      <c r="DO1901" s="1530"/>
      <c r="DP1901" s="1530"/>
    </row>
    <row r="1902" spans="1:120">
      <c r="A1902" s="1451"/>
      <c r="C1902" s="1451"/>
      <c r="K1902" s="1451"/>
      <c r="L1902" s="1451"/>
      <c r="U1902" s="1451"/>
      <c r="AD1902" s="1451"/>
      <c r="AM1902" s="1451"/>
      <c r="AV1902" s="1451"/>
      <c r="BE1902" s="1451"/>
      <c r="BN1902" s="1451"/>
      <c r="BV1902" s="1451"/>
      <c r="BW1902" s="1451"/>
      <c r="CF1902" s="1451"/>
      <c r="CN1902" s="1451"/>
      <c r="CO1902" s="1530"/>
      <c r="CP1902" s="1530"/>
      <c r="CQ1902" s="1530"/>
      <c r="CR1902" s="1530"/>
      <c r="CS1902" s="1530"/>
      <c r="CT1902" s="1530"/>
      <c r="CU1902" s="1530"/>
      <c r="CV1902" s="1530"/>
      <c r="CW1902" s="1530"/>
      <c r="CX1902" s="1530"/>
      <c r="CY1902" s="1530"/>
      <c r="CZ1902" s="1530"/>
      <c r="DA1902" s="1530"/>
      <c r="DB1902" s="1530"/>
      <c r="DC1902" s="1530"/>
      <c r="DD1902" s="1530"/>
      <c r="DE1902" s="1530"/>
      <c r="DF1902" s="1530"/>
      <c r="DG1902" s="1530"/>
      <c r="DH1902" s="1530"/>
      <c r="DI1902" s="1530"/>
      <c r="DJ1902" s="1530"/>
      <c r="DK1902" s="1530"/>
      <c r="DL1902" s="1530"/>
      <c r="DM1902" s="1530"/>
      <c r="DN1902" s="1571"/>
      <c r="DO1902" s="1530"/>
      <c r="DP1902" s="1530"/>
    </row>
    <row r="1903" spans="1:120">
      <c r="A1903" s="1451"/>
      <c r="C1903" s="1451"/>
      <c r="K1903" s="1451"/>
      <c r="L1903" s="1451"/>
      <c r="U1903" s="1451"/>
      <c r="AD1903" s="1451"/>
      <c r="AM1903" s="1451"/>
      <c r="AV1903" s="1451"/>
      <c r="BE1903" s="1451"/>
      <c r="BN1903" s="1451"/>
      <c r="BV1903" s="1451"/>
      <c r="BW1903" s="1451"/>
      <c r="CF1903" s="1451"/>
      <c r="CN1903" s="1451"/>
      <c r="CO1903" s="1530"/>
      <c r="CP1903" s="1530"/>
      <c r="CQ1903" s="1530"/>
      <c r="CR1903" s="1530"/>
      <c r="CS1903" s="1530"/>
      <c r="CT1903" s="1530"/>
      <c r="CU1903" s="1530"/>
      <c r="CV1903" s="1530"/>
      <c r="CW1903" s="1530"/>
      <c r="CX1903" s="1530"/>
      <c r="CY1903" s="1530"/>
      <c r="CZ1903" s="1530"/>
      <c r="DA1903" s="1530"/>
      <c r="DB1903" s="1530"/>
      <c r="DC1903" s="1530"/>
      <c r="DD1903" s="1530"/>
      <c r="DE1903" s="1530"/>
      <c r="DF1903" s="1530"/>
      <c r="DG1903" s="1530"/>
      <c r="DH1903" s="1530"/>
      <c r="DI1903" s="1530"/>
      <c r="DJ1903" s="1530"/>
      <c r="DK1903" s="1530"/>
      <c r="DL1903" s="1530"/>
      <c r="DM1903" s="1530"/>
      <c r="DN1903" s="1571"/>
      <c r="DO1903" s="1530"/>
      <c r="DP1903" s="1530"/>
    </row>
    <row r="1904" spans="1:120">
      <c r="A1904" s="1451"/>
      <c r="C1904" s="1451"/>
      <c r="K1904" s="1451"/>
      <c r="L1904" s="1451"/>
      <c r="U1904" s="1451"/>
      <c r="AD1904" s="1451"/>
      <c r="AM1904" s="1451"/>
      <c r="AV1904" s="1451"/>
      <c r="BE1904" s="1451"/>
      <c r="BN1904" s="1451"/>
      <c r="BV1904" s="1451"/>
      <c r="BW1904" s="1451"/>
      <c r="CF1904" s="1451"/>
      <c r="CN1904" s="1451"/>
      <c r="CO1904" s="1530"/>
      <c r="CP1904" s="1530"/>
      <c r="CQ1904" s="1530"/>
      <c r="CR1904" s="1530"/>
      <c r="CS1904" s="1530"/>
      <c r="CT1904" s="1530"/>
      <c r="CU1904" s="1530"/>
      <c r="CV1904" s="1530"/>
      <c r="CW1904" s="1530"/>
      <c r="CX1904" s="1530"/>
      <c r="CY1904" s="1530"/>
      <c r="CZ1904" s="1530"/>
      <c r="DA1904" s="1530"/>
      <c r="DB1904" s="1530"/>
      <c r="DC1904" s="1530"/>
      <c r="DD1904" s="1530"/>
      <c r="DE1904" s="1530"/>
      <c r="DF1904" s="1530"/>
      <c r="DG1904" s="1530"/>
      <c r="DH1904" s="1530"/>
      <c r="DI1904" s="1530"/>
      <c r="DJ1904" s="1530"/>
      <c r="DK1904" s="1530"/>
      <c r="DL1904" s="1530"/>
      <c r="DM1904" s="1530"/>
      <c r="DN1904" s="1571"/>
      <c r="DO1904" s="1530"/>
      <c r="DP1904" s="1530"/>
    </row>
    <row r="1905" spans="1:120">
      <c r="A1905" s="1451"/>
      <c r="C1905" s="1451"/>
      <c r="K1905" s="1451"/>
      <c r="L1905" s="1451"/>
      <c r="U1905" s="1451"/>
      <c r="AD1905" s="1451"/>
      <c r="AM1905" s="1451"/>
      <c r="AV1905" s="1451"/>
      <c r="BE1905" s="1451"/>
      <c r="BN1905" s="1451"/>
      <c r="BV1905" s="1451"/>
      <c r="BW1905" s="1451"/>
      <c r="CF1905" s="1451"/>
      <c r="CN1905" s="1451"/>
      <c r="CO1905" s="1530"/>
      <c r="CP1905" s="1530"/>
      <c r="CQ1905" s="1530"/>
      <c r="CR1905" s="1530"/>
      <c r="CS1905" s="1530"/>
      <c r="CT1905" s="1530"/>
      <c r="CU1905" s="1530"/>
      <c r="CV1905" s="1530"/>
      <c r="CW1905" s="1530"/>
      <c r="CX1905" s="1530"/>
      <c r="CY1905" s="1530"/>
      <c r="CZ1905" s="1530"/>
      <c r="DA1905" s="1530"/>
      <c r="DB1905" s="1530"/>
      <c r="DC1905" s="1530"/>
      <c r="DD1905" s="1530"/>
      <c r="DE1905" s="1530"/>
      <c r="DF1905" s="1530"/>
      <c r="DG1905" s="1530"/>
      <c r="DH1905" s="1530"/>
      <c r="DI1905" s="1530"/>
      <c r="DJ1905" s="1530"/>
      <c r="DK1905" s="1530"/>
      <c r="DL1905" s="1530"/>
      <c r="DM1905" s="1530"/>
      <c r="DN1905" s="1571"/>
      <c r="DO1905" s="1530"/>
      <c r="DP1905" s="1530"/>
    </row>
    <row r="1906" spans="1:120">
      <c r="A1906" s="1451"/>
      <c r="C1906" s="1451"/>
      <c r="K1906" s="1451"/>
      <c r="L1906" s="1451"/>
      <c r="U1906" s="1451"/>
      <c r="AD1906" s="1451"/>
      <c r="AM1906" s="1451"/>
      <c r="AV1906" s="1451"/>
      <c r="BE1906" s="1451"/>
      <c r="BN1906" s="1451"/>
      <c r="BV1906" s="1451"/>
      <c r="BW1906" s="1451"/>
      <c r="CF1906" s="1451"/>
      <c r="CN1906" s="1451"/>
      <c r="CO1906" s="1530"/>
      <c r="CP1906" s="1530"/>
      <c r="CQ1906" s="1530"/>
      <c r="CR1906" s="1530"/>
      <c r="CS1906" s="1530"/>
      <c r="CT1906" s="1530"/>
      <c r="CU1906" s="1530"/>
      <c r="CV1906" s="1530"/>
      <c r="CW1906" s="1530"/>
      <c r="CX1906" s="1530"/>
      <c r="CY1906" s="1530"/>
      <c r="CZ1906" s="1530"/>
      <c r="DA1906" s="1530"/>
      <c r="DB1906" s="1530"/>
      <c r="DC1906" s="1530"/>
      <c r="DD1906" s="1530"/>
      <c r="DE1906" s="1530"/>
      <c r="DF1906" s="1530"/>
      <c r="DG1906" s="1530"/>
      <c r="DH1906" s="1530"/>
      <c r="DI1906" s="1530"/>
      <c r="DJ1906" s="1530"/>
      <c r="DK1906" s="1530"/>
      <c r="DL1906" s="1530"/>
      <c r="DM1906" s="1530"/>
      <c r="DN1906" s="1571"/>
      <c r="DO1906" s="1530"/>
      <c r="DP1906" s="1530"/>
    </row>
    <row r="1907" spans="1:120">
      <c r="A1907" s="1451"/>
      <c r="C1907" s="1451"/>
      <c r="K1907" s="1451"/>
      <c r="L1907" s="1451"/>
      <c r="U1907" s="1451"/>
      <c r="AD1907" s="1451"/>
      <c r="AM1907" s="1451"/>
      <c r="AV1907" s="1451"/>
      <c r="BE1907" s="1451"/>
      <c r="BN1907" s="1451"/>
      <c r="BV1907" s="1451"/>
      <c r="BW1907" s="1451"/>
      <c r="CF1907" s="1451"/>
      <c r="CN1907" s="1451"/>
      <c r="CO1907" s="1530"/>
      <c r="CP1907" s="1530"/>
      <c r="CQ1907" s="1530"/>
      <c r="CR1907" s="1530"/>
      <c r="CS1907" s="1530"/>
      <c r="CT1907" s="1530"/>
      <c r="CU1907" s="1530"/>
      <c r="CV1907" s="1530"/>
      <c r="CW1907" s="1530"/>
      <c r="CX1907" s="1530"/>
      <c r="CY1907" s="1530"/>
      <c r="CZ1907" s="1530"/>
      <c r="DA1907" s="1530"/>
      <c r="DB1907" s="1530"/>
      <c r="DC1907" s="1530"/>
      <c r="DD1907" s="1530"/>
      <c r="DE1907" s="1530"/>
      <c r="DF1907" s="1530"/>
      <c r="DG1907" s="1530"/>
      <c r="DH1907" s="1530"/>
      <c r="DI1907" s="1530"/>
      <c r="DJ1907" s="1530"/>
      <c r="DK1907" s="1530"/>
      <c r="DL1907" s="1530"/>
      <c r="DM1907" s="1530"/>
      <c r="DN1907" s="1571"/>
      <c r="DO1907" s="1530"/>
      <c r="DP1907" s="1530"/>
    </row>
    <row r="1908" spans="1:120">
      <c r="A1908" s="1451"/>
      <c r="C1908" s="1451"/>
      <c r="K1908" s="1451"/>
      <c r="L1908" s="1451"/>
      <c r="U1908" s="1451"/>
      <c r="AD1908" s="1451"/>
      <c r="AM1908" s="1451"/>
      <c r="AV1908" s="1451"/>
      <c r="BE1908" s="1451"/>
      <c r="BN1908" s="1451"/>
      <c r="BV1908" s="1451"/>
      <c r="BW1908" s="1451"/>
      <c r="CF1908" s="1451"/>
      <c r="CN1908" s="1451"/>
      <c r="CO1908" s="1530"/>
      <c r="CP1908" s="1530"/>
      <c r="CQ1908" s="1530"/>
      <c r="CR1908" s="1530"/>
      <c r="CS1908" s="1530"/>
      <c r="CT1908" s="1530"/>
      <c r="CU1908" s="1530"/>
      <c r="CV1908" s="1530"/>
      <c r="CW1908" s="1530"/>
      <c r="CX1908" s="1530"/>
      <c r="CY1908" s="1530"/>
      <c r="CZ1908" s="1530"/>
      <c r="DA1908" s="1530"/>
      <c r="DB1908" s="1530"/>
      <c r="DC1908" s="1530"/>
      <c r="DD1908" s="1530"/>
      <c r="DE1908" s="1530"/>
      <c r="DF1908" s="1530"/>
      <c r="DG1908" s="1530"/>
      <c r="DH1908" s="1530"/>
      <c r="DI1908" s="1530"/>
      <c r="DJ1908" s="1530"/>
      <c r="DK1908" s="1530"/>
      <c r="DL1908" s="1530"/>
      <c r="DM1908" s="1530"/>
      <c r="DN1908" s="1571"/>
      <c r="DO1908" s="1530"/>
      <c r="DP1908" s="1530"/>
    </row>
    <row r="1909" spans="1:120">
      <c r="A1909" s="1451"/>
      <c r="C1909" s="1451"/>
      <c r="K1909" s="1451"/>
      <c r="L1909" s="1451"/>
      <c r="U1909" s="1451"/>
      <c r="AD1909" s="1451"/>
      <c r="AM1909" s="1451"/>
      <c r="AV1909" s="1451"/>
      <c r="BE1909" s="1451"/>
      <c r="BN1909" s="1451"/>
      <c r="BV1909" s="1451"/>
      <c r="BW1909" s="1451"/>
      <c r="CF1909" s="1451"/>
      <c r="CN1909" s="1451"/>
      <c r="CO1909" s="1530"/>
      <c r="CP1909" s="1530"/>
      <c r="CQ1909" s="1530"/>
      <c r="CR1909" s="1530"/>
      <c r="CS1909" s="1530"/>
      <c r="CT1909" s="1530"/>
      <c r="CU1909" s="1530"/>
      <c r="CV1909" s="1530"/>
      <c r="CW1909" s="1530"/>
      <c r="CX1909" s="1530"/>
      <c r="CY1909" s="1530"/>
      <c r="CZ1909" s="1530"/>
      <c r="DA1909" s="1530"/>
      <c r="DB1909" s="1530"/>
      <c r="DC1909" s="1530"/>
      <c r="DD1909" s="1530"/>
      <c r="DE1909" s="1530"/>
      <c r="DF1909" s="1530"/>
      <c r="DG1909" s="1530"/>
      <c r="DH1909" s="1530"/>
      <c r="DI1909" s="1530"/>
      <c r="DJ1909" s="1530"/>
      <c r="DK1909" s="1530"/>
      <c r="DL1909" s="1530"/>
      <c r="DM1909" s="1530"/>
      <c r="DN1909" s="1571"/>
      <c r="DO1909" s="1530"/>
      <c r="DP1909" s="1530"/>
    </row>
    <row r="1910" spans="1:120">
      <c r="A1910" s="1451"/>
      <c r="C1910" s="1451"/>
      <c r="K1910" s="1451"/>
      <c r="L1910" s="1451"/>
      <c r="U1910" s="1451"/>
      <c r="AD1910" s="1451"/>
      <c r="AM1910" s="1451"/>
      <c r="AV1910" s="1451"/>
      <c r="BE1910" s="1451"/>
      <c r="BN1910" s="1451"/>
      <c r="BV1910" s="1451"/>
      <c r="BW1910" s="1451"/>
      <c r="CF1910" s="1451"/>
      <c r="CN1910" s="1451"/>
      <c r="CO1910" s="1530"/>
      <c r="CP1910" s="1530"/>
      <c r="CQ1910" s="1530"/>
      <c r="CR1910" s="1530"/>
      <c r="CS1910" s="1530"/>
      <c r="CT1910" s="1530"/>
      <c r="CU1910" s="1530"/>
      <c r="CV1910" s="1530"/>
      <c r="CW1910" s="1530"/>
      <c r="CX1910" s="1530"/>
      <c r="CY1910" s="1530"/>
      <c r="CZ1910" s="1530"/>
      <c r="DA1910" s="1530"/>
      <c r="DB1910" s="1530"/>
      <c r="DC1910" s="1530"/>
      <c r="DD1910" s="1530"/>
      <c r="DE1910" s="1530"/>
      <c r="DF1910" s="1530"/>
      <c r="DG1910" s="1530"/>
      <c r="DH1910" s="1530"/>
      <c r="DI1910" s="1530"/>
      <c r="DJ1910" s="1530"/>
      <c r="DK1910" s="1530"/>
      <c r="DL1910" s="1530"/>
      <c r="DM1910" s="1530"/>
      <c r="DN1910" s="1571"/>
      <c r="DO1910" s="1530"/>
      <c r="DP1910" s="1530"/>
    </row>
    <row r="1911" spans="1:120">
      <c r="A1911" s="1451"/>
      <c r="C1911" s="1451"/>
      <c r="K1911" s="1451"/>
      <c r="L1911" s="1451"/>
      <c r="U1911" s="1451"/>
      <c r="AD1911" s="1451"/>
      <c r="AM1911" s="1451"/>
      <c r="AV1911" s="1451"/>
      <c r="BE1911" s="1451"/>
      <c r="BN1911" s="1451"/>
      <c r="BV1911" s="1451"/>
      <c r="BW1911" s="1451"/>
      <c r="CF1911" s="1451"/>
      <c r="CN1911" s="1451"/>
      <c r="CO1911" s="1530"/>
      <c r="CP1911" s="1530"/>
      <c r="CQ1911" s="1530"/>
      <c r="CR1911" s="1530"/>
      <c r="CS1911" s="1530"/>
      <c r="CT1911" s="1530"/>
      <c r="CU1911" s="1530"/>
      <c r="CV1911" s="1530"/>
      <c r="CW1911" s="1530"/>
      <c r="CX1911" s="1530"/>
      <c r="CY1911" s="1530"/>
      <c r="CZ1911" s="1530"/>
      <c r="DA1911" s="1530"/>
      <c r="DB1911" s="1530"/>
      <c r="DC1911" s="1530"/>
      <c r="DD1911" s="1530"/>
      <c r="DE1911" s="1530"/>
      <c r="DF1911" s="1530"/>
      <c r="DG1911" s="1530"/>
      <c r="DH1911" s="1530"/>
      <c r="DI1911" s="1530"/>
      <c r="DJ1911" s="1530"/>
      <c r="DK1911" s="1530"/>
      <c r="DL1911" s="1530"/>
      <c r="DM1911" s="1530"/>
      <c r="DN1911" s="1571"/>
      <c r="DO1911" s="1530"/>
      <c r="DP1911" s="1530"/>
    </row>
    <row r="1912" spans="1:120">
      <c r="A1912" s="1451"/>
      <c r="C1912" s="1451"/>
      <c r="K1912" s="1451"/>
      <c r="L1912" s="1451"/>
      <c r="U1912" s="1451"/>
      <c r="AD1912" s="1451"/>
      <c r="AM1912" s="1451"/>
      <c r="AV1912" s="1451"/>
      <c r="BE1912" s="1451"/>
      <c r="BN1912" s="1451"/>
      <c r="BV1912" s="1451"/>
      <c r="BW1912" s="1451"/>
      <c r="CF1912" s="1451"/>
      <c r="CN1912" s="1451"/>
      <c r="CO1912" s="1530"/>
      <c r="CP1912" s="1530"/>
      <c r="CQ1912" s="1530"/>
      <c r="CR1912" s="1530"/>
      <c r="CS1912" s="1530"/>
      <c r="CT1912" s="1530"/>
      <c r="CU1912" s="1530"/>
      <c r="CV1912" s="1530"/>
      <c r="CW1912" s="1530"/>
      <c r="CX1912" s="1530"/>
      <c r="CY1912" s="1530"/>
      <c r="CZ1912" s="1530"/>
      <c r="DA1912" s="1530"/>
      <c r="DB1912" s="1530"/>
      <c r="DC1912" s="1530"/>
      <c r="DD1912" s="1530"/>
      <c r="DE1912" s="1530"/>
      <c r="DF1912" s="1530"/>
      <c r="DG1912" s="1530"/>
      <c r="DH1912" s="1530"/>
      <c r="DI1912" s="1530"/>
      <c r="DJ1912" s="1530"/>
      <c r="DK1912" s="1530"/>
      <c r="DL1912" s="1530"/>
      <c r="DM1912" s="1530"/>
      <c r="DN1912" s="1571"/>
      <c r="DO1912" s="1530"/>
      <c r="DP1912" s="1530"/>
    </row>
    <row r="1913" spans="1:120">
      <c r="A1913" s="1451"/>
      <c r="C1913" s="1451"/>
      <c r="K1913" s="1451"/>
      <c r="L1913" s="1451"/>
      <c r="U1913" s="1451"/>
      <c r="AD1913" s="1451"/>
      <c r="AM1913" s="1451"/>
      <c r="AV1913" s="1451"/>
      <c r="BE1913" s="1451"/>
      <c r="BN1913" s="1451"/>
      <c r="BV1913" s="1451"/>
      <c r="BW1913" s="1451"/>
      <c r="CF1913" s="1451"/>
      <c r="CN1913" s="1451"/>
      <c r="CO1913" s="1530"/>
      <c r="CP1913" s="1530"/>
      <c r="CQ1913" s="1530"/>
      <c r="CR1913" s="1530"/>
      <c r="CS1913" s="1530"/>
      <c r="CT1913" s="1530"/>
      <c r="CU1913" s="1530"/>
      <c r="CV1913" s="1530"/>
      <c r="CW1913" s="1530"/>
      <c r="CX1913" s="1530"/>
      <c r="CY1913" s="1530"/>
      <c r="CZ1913" s="1530"/>
      <c r="DA1913" s="1530"/>
      <c r="DB1913" s="1530"/>
      <c r="DC1913" s="1530"/>
      <c r="DD1913" s="1530"/>
      <c r="DE1913" s="1530"/>
      <c r="DF1913" s="1530"/>
      <c r="DG1913" s="1530"/>
      <c r="DH1913" s="1530"/>
      <c r="DI1913" s="1530"/>
      <c r="DJ1913" s="1530"/>
      <c r="DK1913" s="1530"/>
      <c r="DL1913" s="1530"/>
      <c r="DM1913" s="1530"/>
      <c r="DN1913" s="1571"/>
      <c r="DO1913" s="1530"/>
      <c r="DP1913" s="1530"/>
    </row>
    <row r="1914" spans="1:120">
      <c r="A1914" s="1451"/>
      <c r="C1914" s="1451"/>
      <c r="K1914" s="1451"/>
      <c r="L1914" s="1451"/>
      <c r="U1914" s="1451"/>
      <c r="AD1914" s="1451"/>
      <c r="AM1914" s="1451"/>
      <c r="AV1914" s="1451"/>
      <c r="BE1914" s="1451"/>
      <c r="BN1914" s="1451"/>
      <c r="BV1914" s="1451"/>
      <c r="BW1914" s="1451"/>
      <c r="CF1914" s="1451"/>
      <c r="CN1914" s="1451"/>
      <c r="CO1914" s="1530"/>
      <c r="CP1914" s="1530"/>
      <c r="CQ1914" s="1530"/>
      <c r="CR1914" s="1530"/>
      <c r="CS1914" s="1530"/>
      <c r="CT1914" s="1530"/>
      <c r="CU1914" s="1530"/>
      <c r="CV1914" s="1530"/>
      <c r="CW1914" s="1530"/>
      <c r="CX1914" s="1530"/>
      <c r="CY1914" s="1530"/>
      <c r="CZ1914" s="1530"/>
      <c r="DA1914" s="1530"/>
      <c r="DB1914" s="1530"/>
      <c r="DC1914" s="1530"/>
      <c r="DD1914" s="1530"/>
      <c r="DE1914" s="1530"/>
      <c r="DF1914" s="1530"/>
      <c r="DG1914" s="1530"/>
      <c r="DH1914" s="1530"/>
      <c r="DI1914" s="1530"/>
      <c r="DJ1914" s="1530"/>
      <c r="DK1914" s="1530"/>
      <c r="DL1914" s="1530"/>
      <c r="DM1914" s="1530"/>
      <c r="DN1914" s="1571"/>
      <c r="DO1914" s="1530"/>
      <c r="DP1914" s="1530"/>
    </row>
    <row r="1915" spans="1:120">
      <c r="A1915" s="1451"/>
      <c r="C1915" s="1451"/>
      <c r="K1915" s="1451"/>
      <c r="L1915" s="1451"/>
      <c r="U1915" s="1451"/>
      <c r="AD1915" s="1451"/>
      <c r="AM1915" s="1451"/>
      <c r="AV1915" s="1451"/>
      <c r="BE1915" s="1451"/>
      <c r="BN1915" s="1451"/>
      <c r="BV1915" s="1451"/>
      <c r="BW1915" s="1451"/>
      <c r="CF1915" s="1451"/>
      <c r="CN1915" s="1451"/>
      <c r="CO1915" s="1530"/>
      <c r="CP1915" s="1530"/>
      <c r="CQ1915" s="1530"/>
      <c r="CR1915" s="1530"/>
      <c r="CS1915" s="1530"/>
      <c r="CT1915" s="1530"/>
      <c r="CU1915" s="1530"/>
      <c r="CV1915" s="1530"/>
      <c r="CW1915" s="1530"/>
      <c r="CX1915" s="1530"/>
      <c r="CY1915" s="1530"/>
      <c r="CZ1915" s="1530"/>
      <c r="DA1915" s="1530"/>
      <c r="DB1915" s="1530"/>
      <c r="DC1915" s="1530"/>
      <c r="DD1915" s="1530"/>
      <c r="DE1915" s="1530"/>
      <c r="DF1915" s="1530"/>
      <c r="DG1915" s="1530"/>
      <c r="DH1915" s="1530"/>
      <c r="DI1915" s="1530"/>
      <c r="DJ1915" s="1530"/>
      <c r="DK1915" s="1530"/>
      <c r="DL1915" s="1530"/>
      <c r="DM1915" s="1530"/>
      <c r="DN1915" s="1571"/>
      <c r="DO1915" s="1530"/>
      <c r="DP1915" s="1530"/>
    </row>
    <row r="1916" spans="1:120">
      <c r="A1916" s="1451"/>
      <c r="C1916" s="1451"/>
      <c r="K1916" s="1451"/>
      <c r="L1916" s="1451"/>
      <c r="U1916" s="1451"/>
      <c r="AD1916" s="1451"/>
      <c r="AM1916" s="1451"/>
      <c r="AV1916" s="1451"/>
      <c r="BE1916" s="1451"/>
      <c r="BN1916" s="1451"/>
      <c r="BV1916" s="1451"/>
      <c r="BW1916" s="1451"/>
      <c r="CF1916" s="1451"/>
      <c r="CN1916" s="1451"/>
      <c r="CO1916" s="1530"/>
      <c r="CP1916" s="1530"/>
      <c r="CQ1916" s="1530"/>
      <c r="CR1916" s="1530"/>
      <c r="CS1916" s="1530"/>
      <c r="CT1916" s="1530"/>
      <c r="CU1916" s="1530"/>
      <c r="CV1916" s="1530"/>
      <c r="CW1916" s="1530"/>
      <c r="CX1916" s="1530"/>
      <c r="CY1916" s="1530"/>
      <c r="CZ1916" s="1530"/>
      <c r="DA1916" s="1530"/>
      <c r="DB1916" s="1530"/>
      <c r="DC1916" s="1530"/>
      <c r="DD1916" s="1530"/>
      <c r="DE1916" s="1530"/>
      <c r="DF1916" s="1530"/>
      <c r="DG1916" s="1530"/>
      <c r="DH1916" s="1530"/>
      <c r="DI1916" s="1530"/>
      <c r="DJ1916" s="1530"/>
      <c r="DK1916" s="1530"/>
      <c r="DL1916" s="1530"/>
      <c r="DM1916" s="1530"/>
      <c r="DN1916" s="1571"/>
      <c r="DO1916" s="1530"/>
      <c r="DP1916" s="1530"/>
    </row>
    <row r="1917" spans="1:120">
      <c r="A1917" s="1451"/>
      <c r="C1917" s="1451"/>
      <c r="K1917" s="1451"/>
      <c r="L1917" s="1451"/>
      <c r="U1917" s="1451"/>
      <c r="AD1917" s="1451"/>
      <c r="AM1917" s="1451"/>
      <c r="AV1917" s="1451"/>
      <c r="BE1917" s="1451"/>
      <c r="BN1917" s="1451"/>
      <c r="BV1917" s="1451"/>
      <c r="BW1917" s="1451"/>
      <c r="CF1917" s="1451"/>
      <c r="CN1917" s="1451"/>
      <c r="CO1917" s="1530"/>
      <c r="CP1917" s="1530"/>
      <c r="CQ1917" s="1530"/>
      <c r="CR1917" s="1530"/>
      <c r="CS1917" s="1530"/>
      <c r="CT1917" s="1530"/>
      <c r="CU1917" s="1530"/>
      <c r="CV1917" s="1530"/>
      <c r="CW1917" s="1530"/>
      <c r="CX1917" s="1530"/>
      <c r="CY1917" s="1530"/>
      <c r="CZ1917" s="1530"/>
      <c r="DA1917" s="1530"/>
      <c r="DB1917" s="1530"/>
      <c r="DC1917" s="1530"/>
      <c r="DD1917" s="1530"/>
      <c r="DE1917" s="1530"/>
      <c r="DF1917" s="1530"/>
      <c r="DG1917" s="1530"/>
      <c r="DH1917" s="1530"/>
      <c r="DI1917" s="1530"/>
      <c r="DJ1917" s="1530"/>
      <c r="DK1917" s="1530"/>
      <c r="DL1917" s="1530"/>
      <c r="DM1917" s="1530"/>
      <c r="DN1917" s="1571"/>
      <c r="DO1917" s="1530"/>
      <c r="DP1917" s="1530"/>
    </row>
    <row r="1918" spans="1:120">
      <c r="A1918" s="1451"/>
      <c r="C1918" s="1451"/>
      <c r="K1918" s="1451"/>
      <c r="L1918" s="1451"/>
      <c r="U1918" s="1451"/>
      <c r="AD1918" s="1451"/>
      <c r="AM1918" s="1451"/>
      <c r="AV1918" s="1451"/>
      <c r="BE1918" s="1451"/>
      <c r="BN1918" s="1451"/>
      <c r="BV1918" s="1451"/>
      <c r="BW1918" s="1451"/>
      <c r="CF1918" s="1451"/>
      <c r="CN1918" s="1451"/>
      <c r="CO1918" s="1530"/>
      <c r="CP1918" s="1530"/>
      <c r="CQ1918" s="1530"/>
      <c r="CR1918" s="1530"/>
      <c r="CS1918" s="1530"/>
      <c r="CT1918" s="1530"/>
      <c r="CU1918" s="1530"/>
      <c r="CV1918" s="1530"/>
      <c r="CW1918" s="1530"/>
      <c r="CX1918" s="1530"/>
      <c r="CY1918" s="1530"/>
      <c r="CZ1918" s="1530"/>
      <c r="DA1918" s="1530"/>
      <c r="DB1918" s="1530"/>
      <c r="DC1918" s="1530"/>
      <c r="DD1918" s="1530"/>
      <c r="DE1918" s="1530"/>
      <c r="DF1918" s="1530"/>
      <c r="DG1918" s="1530"/>
      <c r="DH1918" s="1530"/>
      <c r="DI1918" s="1530"/>
      <c r="DJ1918" s="1530"/>
      <c r="DK1918" s="1530"/>
      <c r="DL1918" s="1530"/>
      <c r="DM1918" s="1530"/>
      <c r="DN1918" s="1571"/>
      <c r="DO1918" s="1530"/>
      <c r="DP1918" s="1530"/>
    </row>
    <row r="1919" spans="1:120">
      <c r="A1919" s="1451"/>
      <c r="C1919" s="1451"/>
      <c r="K1919" s="1451"/>
      <c r="L1919" s="1451"/>
      <c r="U1919" s="1451"/>
      <c r="AD1919" s="1451"/>
      <c r="AM1919" s="1451"/>
      <c r="AV1919" s="1451"/>
      <c r="BE1919" s="1451"/>
      <c r="BN1919" s="1451"/>
      <c r="BV1919" s="1451"/>
      <c r="BW1919" s="1451"/>
      <c r="CF1919" s="1451"/>
      <c r="CN1919" s="1451"/>
      <c r="CO1919" s="1530"/>
      <c r="CP1919" s="1530"/>
      <c r="CQ1919" s="1530"/>
      <c r="CR1919" s="1530"/>
      <c r="CS1919" s="1530"/>
      <c r="CT1919" s="1530"/>
      <c r="CU1919" s="1530"/>
      <c r="CV1919" s="1530"/>
      <c r="CW1919" s="1530"/>
      <c r="CX1919" s="1530"/>
      <c r="CY1919" s="1530"/>
      <c r="CZ1919" s="1530"/>
      <c r="DA1919" s="1530"/>
      <c r="DB1919" s="1530"/>
      <c r="DC1919" s="1530"/>
      <c r="DD1919" s="1530"/>
      <c r="DE1919" s="1530"/>
      <c r="DF1919" s="1530"/>
      <c r="DG1919" s="1530"/>
      <c r="DH1919" s="1530"/>
      <c r="DI1919" s="1530"/>
      <c r="DJ1919" s="1530"/>
      <c r="DK1919" s="1530"/>
      <c r="DL1919" s="1530"/>
      <c r="DM1919" s="1530"/>
      <c r="DN1919" s="1571"/>
      <c r="DO1919" s="1530"/>
      <c r="DP1919" s="1530"/>
    </row>
    <row r="1920" spans="1:120">
      <c r="A1920" s="1451"/>
      <c r="C1920" s="1451"/>
      <c r="K1920" s="1451"/>
      <c r="L1920" s="1451"/>
      <c r="U1920" s="1451"/>
      <c r="AD1920" s="1451"/>
      <c r="AM1920" s="1451"/>
      <c r="AV1920" s="1451"/>
      <c r="BE1920" s="1451"/>
      <c r="BN1920" s="1451"/>
      <c r="BV1920" s="1451"/>
      <c r="BW1920" s="1451"/>
      <c r="CF1920" s="1451"/>
      <c r="CN1920" s="1451"/>
      <c r="CO1920" s="1530"/>
      <c r="CP1920" s="1530"/>
      <c r="CQ1920" s="1530"/>
      <c r="CR1920" s="1530"/>
      <c r="CS1920" s="1530"/>
      <c r="CT1920" s="1530"/>
      <c r="CU1920" s="1530"/>
      <c r="CV1920" s="1530"/>
      <c r="CW1920" s="1530"/>
      <c r="CX1920" s="1530"/>
      <c r="CY1920" s="1530"/>
      <c r="CZ1920" s="1530"/>
      <c r="DA1920" s="1530"/>
      <c r="DB1920" s="1530"/>
      <c r="DC1920" s="1530"/>
      <c r="DD1920" s="1530"/>
      <c r="DE1920" s="1530"/>
      <c r="DF1920" s="1530"/>
      <c r="DG1920" s="1530"/>
      <c r="DH1920" s="1530"/>
      <c r="DI1920" s="1530"/>
      <c r="DJ1920" s="1530"/>
      <c r="DK1920" s="1530"/>
      <c r="DL1920" s="1530"/>
      <c r="DM1920" s="1530"/>
      <c r="DN1920" s="1571"/>
      <c r="DO1920" s="1530"/>
      <c r="DP1920" s="1530"/>
    </row>
    <row r="1921" spans="1:120">
      <c r="A1921" s="1451"/>
      <c r="C1921" s="1451"/>
      <c r="K1921" s="1451"/>
      <c r="L1921" s="1451"/>
      <c r="U1921" s="1451"/>
      <c r="AD1921" s="1451"/>
      <c r="AM1921" s="1451"/>
      <c r="AV1921" s="1451"/>
      <c r="BE1921" s="1451"/>
      <c r="BN1921" s="1451"/>
      <c r="BV1921" s="1451"/>
      <c r="BW1921" s="1451"/>
      <c r="CF1921" s="1451"/>
      <c r="CN1921" s="1451"/>
      <c r="CO1921" s="1530"/>
      <c r="CP1921" s="1530"/>
      <c r="CQ1921" s="1530"/>
      <c r="CR1921" s="1530"/>
      <c r="CS1921" s="1530"/>
      <c r="CT1921" s="1530"/>
      <c r="CU1921" s="1530"/>
      <c r="CV1921" s="1530"/>
      <c r="CW1921" s="1530"/>
      <c r="CX1921" s="1530"/>
      <c r="CY1921" s="1530"/>
      <c r="CZ1921" s="1530"/>
      <c r="DA1921" s="1530"/>
      <c r="DB1921" s="1530"/>
      <c r="DC1921" s="1530"/>
      <c r="DD1921" s="1530"/>
      <c r="DE1921" s="1530"/>
      <c r="DF1921" s="1530"/>
      <c r="DG1921" s="1530"/>
      <c r="DH1921" s="1530"/>
      <c r="DI1921" s="1530"/>
      <c r="DJ1921" s="1530"/>
      <c r="DK1921" s="1530"/>
      <c r="DL1921" s="1530"/>
      <c r="DM1921" s="1530"/>
      <c r="DN1921" s="1571"/>
      <c r="DO1921" s="1530"/>
      <c r="DP1921" s="1530"/>
    </row>
    <row r="1922" spans="1:120">
      <c r="A1922" s="1451"/>
      <c r="C1922" s="1451"/>
      <c r="K1922" s="1451"/>
      <c r="L1922" s="1451"/>
      <c r="U1922" s="1451"/>
      <c r="AD1922" s="1451"/>
      <c r="AM1922" s="1451"/>
      <c r="AV1922" s="1451"/>
      <c r="BE1922" s="1451"/>
      <c r="BN1922" s="1451"/>
      <c r="BV1922" s="1451"/>
      <c r="BW1922" s="1451"/>
      <c r="CF1922" s="1451"/>
      <c r="CN1922" s="1451"/>
      <c r="CO1922" s="1530"/>
      <c r="CP1922" s="1530"/>
      <c r="CQ1922" s="1530"/>
      <c r="CR1922" s="1530"/>
      <c r="CS1922" s="1530"/>
      <c r="CT1922" s="1530"/>
      <c r="CU1922" s="1530"/>
      <c r="CV1922" s="1530"/>
      <c r="CW1922" s="1530"/>
      <c r="CX1922" s="1530"/>
      <c r="CY1922" s="1530"/>
      <c r="CZ1922" s="1530"/>
      <c r="DA1922" s="1530"/>
      <c r="DB1922" s="1530"/>
      <c r="DC1922" s="1530"/>
      <c r="DD1922" s="1530"/>
      <c r="DE1922" s="1530"/>
      <c r="DF1922" s="1530"/>
      <c r="DG1922" s="1530"/>
      <c r="DH1922" s="1530"/>
      <c r="DI1922" s="1530"/>
      <c r="DJ1922" s="1530"/>
      <c r="DK1922" s="1530"/>
      <c r="DL1922" s="1530"/>
      <c r="DM1922" s="1530"/>
      <c r="DN1922" s="1571"/>
      <c r="DO1922" s="1530"/>
      <c r="DP1922" s="1530"/>
    </row>
    <row r="1923" spans="1:120">
      <c r="A1923" s="1451"/>
      <c r="C1923" s="1451"/>
      <c r="K1923" s="1451"/>
      <c r="L1923" s="1451"/>
      <c r="U1923" s="1451"/>
      <c r="AD1923" s="1451"/>
      <c r="AM1923" s="1451"/>
      <c r="AV1923" s="1451"/>
      <c r="BE1923" s="1451"/>
      <c r="BN1923" s="1451"/>
      <c r="BV1923" s="1451"/>
      <c r="BW1923" s="1451"/>
      <c r="CF1923" s="1451"/>
      <c r="CN1923" s="1451"/>
      <c r="CO1923" s="1530"/>
      <c r="CP1923" s="1530"/>
      <c r="CQ1923" s="1530"/>
      <c r="CR1923" s="1530"/>
      <c r="CS1923" s="1530"/>
      <c r="CT1923" s="1530"/>
      <c r="CU1923" s="1530"/>
      <c r="CV1923" s="1530"/>
      <c r="CW1923" s="1530"/>
      <c r="CX1923" s="1530"/>
      <c r="CY1923" s="1530"/>
      <c r="CZ1923" s="1530"/>
      <c r="DA1923" s="1530"/>
      <c r="DB1923" s="1530"/>
      <c r="DC1923" s="1530"/>
      <c r="DD1923" s="1530"/>
      <c r="DE1923" s="1530"/>
      <c r="DF1923" s="1530"/>
      <c r="DG1923" s="1530"/>
      <c r="DH1923" s="1530"/>
      <c r="DI1923" s="1530"/>
      <c r="DJ1923" s="1530"/>
      <c r="DK1923" s="1530"/>
      <c r="DL1923" s="1530"/>
      <c r="DM1923" s="1530"/>
      <c r="DN1923" s="1571"/>
      <c r="DO1923" s="1530"/>
      <c r="DP1923" s="1530"/>
    </row>
    <row r="1924" spans="1:120">
      <c r="A1924" s="1451"/>
      <c r="C1924" s="1451"/>
      <c r="K1924" s="1451"/>
      <c r="L1924" s="1451"/>
      <c r="U1924" s="1451"/>
      <c r="AD1924" s="1451"/>
      <c r="AM1924" s="1451"/>
      <c r="AV1924" s="1451"/>
      <c r="BE1924" s="1451"/>
      <c r="BN1924" s="1451"/>
      <c r="BV1924" s="1451"/>
      <c r="BW1924" s="1451"/>
      <c r="CF1924" s="1451"/>
      <c r="CN1924" s="1451"/>
      <c r="CO1924" s="1530"/>
      <c r="CP1924" s="1530"/>
      <c r="CQ1924" s="1530"/>
      <c r="CR1924" s="1530"/>
      <c r="CS1924" s="1530"/>
      <c r="CT1924" s="1530"/>
      <c r="CU1924" s="1530"/>
      <c r="CV1924" s="1530"/>
      <c r="CW1924" s="1530"/>
      <c r="CX1924" s="1530"/>
      <c r="CY1924" s="1530"/>
      <c r="CZ1924" s="1530"/>
      <c r="DA1924" s="1530"/>
      <c r="DB1924" s="1530"/>
      <c r="DC1924" s="1530"/>
      <c r="DD1924" s="1530"/>
      <c r="DE1924" s="1530"/>
      <c r="DF1924" s="1530"/>
      <c r="DG1924" s="1530"/>
      <c r="DH1924" s="1530"/>
      <c r="DI1924" s="1530"/>
      <c r="DJ1924" s="1530"/>
      <c r="DK1924" s="1530"/>
      <c r="DL1924" s="1530"/>
      <c r="DM1924" s="1530"/>
      <c r="DN1924" s="1571"/>
      <c r="DO1924" s="1530"/>
      <c r="DP1924" s="1530"/>
    </row>
    <row r="1925" spans="1:120">
      <c r="A1925" s="1451"/>
      <c r="C1925" s="1451"/>
      <c r="K1925" s="1451"/>
      <c r="L1925" s="1451"/>
      <c r="U1925" s="1451"/>
      <c r="AD1925" s="1451"/>
      <c r="AM1925" s="1451"/>
      <c r="AV1925" s="1451"/>
      <c r="BE1925" s="1451"/>
      <c r="BN1925" s="1451"/>
      <c r="BV1925" s="1451"/>
      <c r="BW1925" s="1451"/>
      <c r="CF1925" s="1451"/>
      <c r="CN1925" s="1451"/>
      <c r="CO1925" s="1530"/>
      <c r="CP1925" s="1530"/>
      <c r="CQ1925" s="1530"/>
      <c r="CR1925" s="1530"/>
      <c r="CS1925" s="1530"/>
      <c r="CT1925" s="1530"/>
      <c r="CU1925" s="1530"/>
      <c r="CV1925" s="1530"/>
      <c r="CW1925" s="1530"/>
      <c r="CX1925" s="1530"/>
      <c r="CY1925" s="1530"/>
      <c r="CZ1925" s="1530"/>
      <c r="DA1925" s="1530"/>
      <c r="DB1925" s="1530"/>
      <c r="DC1925" s="1530"/>
      <c r="DD1925" s="1530"/>
      <c r="DE1925" s="1530"/>
      <c r="DF1925" s="1530"/>
      <c r="DG1925" s="1530"/>
      <c r="DH1925" s="1530"/>
      <c r="DI1925" s="1530"/>
      <c r="DJ1925" s="1530"/>
      <c r="DK1925" s="1530"/>
      <c r="DL1925" s="1530"/>
      <c r="DM1925" s="1530"/>
      <c r="DN1925" s="1571"/>
      <c r="DO1925" s="1530"/>
      <c r="DP1925" s="1530"/>
    </row>
    <row r="1926" spans="1:120">
      <c r="A1926" s="1451"/>
      <c r="C1926" s="1451"/>
      <c r="K1926" s="1451"/>
      <c r="L1926" s="1451"/>
      <c r="U1926" s="1451"/>
      <c r="AD1926" s="1451"/>
      <c r="AM1926" s="1451"/>
      <c r="AV1926" s="1451"/>
      <c r="BE1926" s="1451"/>
      <c r="BN1926" s="1451"/>
      <c r="BV1926" s="1451"/>
      <c r="BW1926" s="1451"/>
      <c r="CF1926" s="1451"/>
      <c r="CN1926" s="1451"/>
      <c r="CO1926" s="1530"/>
      <c r="CP1926" s="1530"/>
      <c r="CQ1926" s="1530"/>
      <c r="CR1926" s="1530"/>
      <c r="CS1926" s="1530"/>
      <c r="CT1926" s="1530"/>
      <c r="CU1926" s="1530"/>
      <c r="CV1926" s="1530"/>
      <c r="CW1926" s="1530"/>
      <c r="CX1926" s="1530"/>
      <c r="CY1926" s="1530"/>
      <c r="CZ1926" s="1530"/>
      <c r="DA1926" s="1530"/>
      <c r="DB1926" s="1530"/>
      <c r="DC1926" s="1530"/>
      <c r="DD1926" s="1530"/>
      <c r="DE1926" s="1530"/>
      <c r="DF1926" s="1530"/>
      <c r="DG1926" s="1530"/>
      <c r="DH1926" s="1530"/>
      <c r="DI1926" s="1530"/>
      <c r="DJ1926" s="1530"/>
      <c r="DK1926" s="1530"/>
      <c r="DL1926" s="1530"/>
      <c r="DM1926" s="1530"/>
      <c r="DN1926" s="1571"/>
      <c r="DO1926" s="1530"/>
      <c r="DP1926" s="1530"/>
    </row>
    <row r="1927" spans="1:120">
      <c r="A1927" s="1451"/>
      <c r="C1927" s="1451"/>
      <c r="K1927" s="1451"/>
      <c r="L1927" s="1451"/>
      <c r="U1927" s="1451"/>
      <c r="AD1927" s="1451"/>
      <c r="AM1927" s="1451"/>
      <c r="AV1927" s="1451"/>
      <c r="BE1927" s="1451"/>
      <c r="BN1927" s="1451"/>
      <c r="BV1927" s="1451"/>
      <c r="BW1927" s="1451"/>
      <c r="CF1927" s="1451"/>
      <c r="CN1927" s="1451"/>
      <c r="CO1927" s="1530"/>
      <c r="CP1927" s="1530"/>
      <c r="CQ1927" s="1530"/>
      <c r="CR1927" s="1530"/>
      <c r="CS1927" s="1530"/>
      <c r="CT1927" s="1530"/>
      <c r="CU1927" s="1530"/>
      <c r="CV1927" s="1530"/>
      <c r="CW1927" s="1530"/>
      <c r="CX1927" s="1530"/>
      <c r="CY1927" s="1530"/>
      <c r="CZ1927" s="1530"/>
      <c r="DA1927" s="1530"/>
      <c r="DB1927" s="1530"/>
      <c r="DC1927" s="1530"/>
      <c r="DD1927" s="1530"/>
      <c r="DE1927" s="1530"/>
      <c r="DF1927" s="1530"/>
      <c r="DG1927" s="1530"/>
      <c r="DH1927" s="1530"/>
      <c r="DI1927" s="1530"/>
      <c r="DJ1927" s="1530"/>
      <c r="DK1927" s="1530"/>
      <c r="DL1927" s="1530"/>
      <c r="DM1927" s="1530"/>
      <c r="DN1927" s="1571"/>
      <c r="DO1927" s="1530"/>
      <c r="DP1927" s="1530"/>
    </row>
    <row r="1928" spans="1:120">
      <c r="A1928" s="1451"/>
      <c r="C1928" s="1451"/>
      <c r="K1928" s="1451"/>
      <c r="L1928" s="1451"/>
      <c r="U1928" s="1451"/>
      <c r="AD1928" s="1451"/>
      <c r="AM1928" s="1451"/>
      <c r="AV1928" s="1451"/>
      <c r="BE1928" s="1451"/>
      <c r="BN1928" s="1451"/>
      <c r="BV1928" s="1451"/>
      <c r="BW1928" s="1451"/>
      <c r="CF1928" s="1451"/>
      <c r="CN1928" s="1451"/>
      <c r="CO1928" s="1530"/>
      <c r="CP1928" s="1530"/>
      <c r="CQ1928" s="1530"/>
      <c r="CR1928" s="1530"/>
      <c r="CS1928" s="1530"/>
      <c r="CT1928" s="1530"/>
      <c r="CU1928" s="1530"/>
      <c r="CV1928" s="1530"/>
      <c r="CW1928" s="1530"/>
      <c r="CX1928" s="1530"/>
      <c r="CY1928" s="1530"/>
      <c r="CZ1928" s="1530"/>
      <c r="DA1928" s="1530"/>
      <c r="DB1928" s="1530"/>
      <c r="DC1928" s="1530"/>
      <c r="DD1928" s="1530"/>
      <c r="DE1928" s="1530"/>
      <c r="DF1928" s="1530"/>
      <c r="DG1928" s="1530"/>
      <c r="DH1928" s="1530"/>
      <c r="DI1928" s="1530"/>
      <c r="DJ1928" s="1530"/>
      <c r="DK1928" s="1530"/>
      <c r="DL1928" s="1530"/>
      <c r="DM1928" s="1530"/>
      <c r="DN1928" s="1571"/>
      <c r="DO1928" s="1530"/>
      <c r="DP1928" s="1530"/>
    </row>
    <row r="1929" spans="1:120">
      <c r="A1929" s="1451"/>
      <c r="C1929" s="1451"/>
      <c r="K1929" s="1451"/>
      <c r="L1929" s="1451"/>
      <c r="U1929" s="1451"/>
      <c r="AD1929" s="1451"/>
      <c r="AM1929" s="1451"/>
      <c r="AV1929" s="1451"/>
      <c r="BE1929" s="1451"/>
      <c r="BN1929" s="1451"/>
      <c r="BV1929" s="1451"/>
      <c r="BW1929" s="1451"/>
      <c r="CF1929" s="1451"/>
      <c r="CN1929" s="1451"/>
      <c r="CO1929" s="1530"/>
      <c r="CP1929" s="1530"/>
      <c r="CQ1929" s="1530"/>
      <c r="CR1929" s="1530"/>
      <c r="CS1929" s="1530"/>
      <c r="CT1929" s="1530"/>
      <c r="CU1929" s="1530"/>
      <c r="CV1929" s="1530"/>
      <c r="CW1929" s="1530"/>
      <c r="CX1929" s="1530"/>
      <c r="CY1929" s="1530"/>
      <c r="CZ1929" s="1530"/>
      <c r="DA1929" s="1530"/>
      <c r="DB1929" s="1530"/>
      <c r="DC1929" s="1530"/>
      <c r="DD1929" s="1530"/>
      <c r="DE1929" s="1530"/>
      <c r="DF1929" s="1530"/>
      <c r="DG1929" s="1530"/>
      <c r="DH1929" s="1530"/>
      <c r="DI1929" s="1530"/>
      <c r="DJ1929" s="1530"/>
      <c r="DK1929" s="1530"/>
      <c r="DL1929" s="1530"/>
      <c r="DM1929" s="1530"/>
      <c r="DN1929" s="1571"/>
      <c r="DO1929" s="1530"/>
      <c r="DP1929" s="1530"/>
    </row>
    <row r="1930" spans="1:120">
      <c r="A1930" s="1451"/>
      <c r="C1930" s="1451"/>
      <c r="K1930" s="1451"/>
      <c r="L1930" s="1451"/>
      <c r="U1930" s="1451"/>
      <c r="AD1930" s="1451"/>
      <c r="AM1930" s="1451"/>
      <c r="AV1930" s="1451"/>
      <c r="BE1930" s="1451"/>
      <c r="BN1930" s="1451"/>
      <c r="BV1930" s="1451"/>
      <c r="BW1930" s="1451"/>
      <c r="CF1930" s="1451"/>
      <c r="CN1930" s="1451"/>
      <c r="CO1930" s="1530"/>
      <c r="CP1930" s="1530"/>
      <c r="CQ1930" s="1530"/>
      <c r="CR1930" s="1530"/>
      <c r="CS1930" s="1530"/>
      <c r="CT1930" s="1530"/>
      <c r="CU1930" s="1530"/>
      <c r="CV1930" s="1530"/>
      <c r="CW1930" s="1530"/>
      <c r="CX1930" s="1530"/>
      <c r="CY1930" s="1530"/>
      <c r="CZ1930" s="1530"/>
      <c r="DA1930" s="1530"/>
      <c r="DB1930" s="1530"/>
      <c r="DC1930" s="1530"/>
      <c r="DD1930" s="1530"/>
      <c r="DE1930" s="1530"/>
      <c r="DF1930" s="1530"/>
      <c r="DG1930" s="1530"/>
      <c r="DH1930" s="1530"/>
      <c r="DI1930" s="1530"/>
      <c r="DJ1930" s="1530"/>
      <c r="DK1930" s="1530"/>
      <c r="DL1930" s="1530"/>
      <c r="DM1930" s="1530"/>
      <c r="DN1930" s="1571"/>
      <c r="DO1930" s="1530"/>
      <c r="DP1930" s="1530"/>
    </row>
    <row r="1931" spans="1:120">
      <c r="A1931" s="1451"/>
      <c r="C1931" s="1451"/>
      <c r="K1931" s="1451"/>
      <c r="L1931" s="1451"/>
      <c r="U1931" s="1451"/>
      <c r="AD1931" s="1451"/>
      <c r="AM1931" s="1451"/>
      <c r="AV1931" s="1451"/>
      <c r="BE1931" s="1451"/>
      <c r="BN1931" s="1451"/>
      <c r="BV1931" s="1451"/>
      <c r="BW1931" s="1451"/>
      <c r="CF1931" s="1451"/>
      <c r="CN1931" s="1451"/>
      <c r="CO1931" s="1530"/>
      <c r="CP1931" s="1530"/>
      <c r="CQ1931" s="1530"/>
      <c r="CR1931" s="1530"/>
      <c r="CS1931" s="1530"/>
      <c r="CT1931" s="1530"/>
      <c r="CU1931" s="1530"/>
      <c r="CV1931" s="1530"/>
      <c r="CW1931" s="1530"/>
      <c r="CX1931" s="1530"/>
      <c r="CY1931" s="1530"/>
      <c r="CZ1931" s="1530"/>
      <c r="DA1931" s="1530"/>
      <c r="DB1931" s="1530"/>
      <c r="DC1931" s="1530"/>
      <c r="DD1931" s="1530"/>
      <c r="DE1931" s="1530"/>
      <c r="DF1931" s="1530"/>
      <c r="DG1931" s="1530"/>
      <c r="DH1931" s="1530"/>
      <c r="DI1931" s="1530"/>
      <c r="DJ1931" s="1530"/>
      <c r="DK1931" s="1530"/>
      <c r="DL1931" s="1530"/>
      <c r="DM1931" s="1530"/>
      <c r="DN1931" s="1571"/>
      <c r="DO1931" s="1530"/>
      <c r="DP1931" s="1530"/>
    </row>
    <row r="1932" spans="1:120">
      <c r="A1932" s="1451"/>
      <c r="C1932" s="1451"/>
      <c r="K1932" s="1451"/>
      <c r="L1932" s="1451"/>
      <c r="U1932" s="1451"/>
      <c r="AD1932" s="1451"/>
      <c r="AM1932" s="1451"/>
      <c r="AV1932" s="1451"/>
      <c r="BE1932" s="1451"/>
      <c r="BN1932" s="1451"/>
      <c r="BV1932" s="1451"/>
      <c r="BW1932" s="1451"/>
      <c r="CF1932" s="1451"/>
      <c r="CN1932" s="1451"/>
      <c r="CO1932" s="1530"/>
      <c r="CP1932" s="1530"/>
      <c r="CQ1932" s="1530"/>
      <c r="CR1932" s="1530"/>
      <c r="CS1932" s="1530"/>
      <c r="CT1932" s="1530"/>
      <c r="CU1932" s="1530"/>
      <c r="CV1932" s="1530"/>
      <c r="CW1932" s="1530"/>
      <c r="CX1932" s="1530"/>
      <c r="CY1932" s="1530"/>
      <c r="CZ1932" s="1530"/>
      <c r="DA1932" s="1530"/>
      <c r="DB1932" s="1530"/>
      <c r="DC1932" s="1530"/>
      <c r="DD1932" s="1530"/>
      <c r="DE1932" s="1530"/>
      <c r="DF1932" s="1530"/>
      <c r="DG1932" s="1530"/>
      <c r="DH1932" s="1530"/>
      <c r="DI1932" s="1530"/>
      <c r="DJ1932" s="1530"/>
      <c r="DK1932" s="1530"/>
      <c r="DL1932" s="1530"/>
      <c r="DM1932" s="1530"/>
      <c r="DN1932" s="1571"/>
      <c r="DO1932" s="1530"/>
      <c r="DP1932" s="1530"/>
    </row>
    <row r="1933" spans="1:120">
      <c r="A1933" s="1451"/>
      <c r="C1933" s="1451"/>
      <c r="K1933" s="1451"/>
      <c r="L1933" s="1451"/>
      <c r="U1933" s="1451"/>
      <c r="AD1933" s="1451"/>
      <c r="AM1933" s="1451"/>
      <c r="AV1933" s="1451"/>
      <c r="BE1933" s="1451"/>
      <c r="BN1933" s="1451"/>
      <c r="BV1933" s="1451"/>
      <c r="BW1933" s="1451"/>
      <c r="CF1933" s="1451"/>
      <c r="CN1933" s="1451"/>
      <c r="CO1933" s="1530"/>
      <c r="CP1933" s="1530"/>
      <c r="CQ1933" s="1530"/>
      <c r="CR1933" s="1530"/>
      <c r="CS1933" s="1530"/>
      <c r="CT1933" s="1530"/>
      <c r="CU1933" s="1530"/>
      <c r="CV1933" s="1530"/>
      <c r="CW1933" s="1530"/>
      <c r="CX1933" s="1530"/>
      <c r="CY1933" s="1530"/>
      <c r="CZ1933" s="1530"/>
      <c r="DA1933" s="1530"/>
      <c r="DB1933" s="1530"/>
      <c r="DC1933" s="1530"/>
      <c r="DD1933" s="1530"/>
      <c r="DE1933" s="1530"/>
      <c r="DF1933" s="1530"/>
      <c r="DG1933" s="1530"/>
      <c r="DH1933" s="1530"/>
      <c r="DI1933" s="1530"/>
      <c r="DJ1933" s="1530"/>
      <c r="DK1933" s="1530"/>
      <c r="DL1933" s="1530"/>
      <c r="DM1933" s="1530"/>
      <c r="DN1933" s="1571"/>
      <c r="DO1933" s="1530"/>
      <c r="DP1933" s="1530"/>
    </row>
    <row r="1934" spans="1:120">
      <c r="A1934" s="1451"/>
      <c r="C1934" s="1451"/>
      <c r="K1934" s="1451"/>
      <c r="L1934" s="1451"/>
      <c r="U1934" s="1451"/>
      <c r="AD1934" s="1451"/>
      <c r="AM1934" s="1451"/>
      <c r="AV1934" s="1451"/>
      <c r="BE1934" s="1451"/>
      <c r="BN1934" s="1451"/>
      <c r="BV1934" s="1451"/>
      <c r="BW1934" s="1451"/>
      <c r="CF1934" s="1451"/>
      <c r="CN1934" s="1451"/>
      <c r="CO1934" s="1530"/>
      <c r="CP1934" s="1530"/>
      <c r="CQ1934" s="1530"/>
      <c r="CR1934" s="1530"/>
      <c r="CS1934" s="1530"/>
      <c r="CT1934" s="1530"/>
      <c r="CU1934" s="1530"/>
      <c r="CV1934" s="1530"/>
      <c r="CW1934" s="1530"/>
      <c r="CX1934" s="1530"/>
      <c r="CY1934" s="1530"/>
      <c r="CZ1934" s="1530"/>
      <c r="DA1934" s="1530"/>
      <c r="DB1934" s="1530"/>
      <c r="DC1934" s="1530"/>
      <c r="DD1934" s="1530"/>
      <c r="DE1934" s="1530"/>
      <c r="DF1934" s="1530"/>
      <c r="DG1934" s="1530"/>
      <c r="DH1934" s="1530"/>
      <c r="DI1934" s="1530"/>
      <c r="DJ1934" s="1530"/>
      <c r="DK1934" s="1530"/>
      <c r="DL1934" s="1530"/>
      <c r="DM1934" s="1530"/>
      <c r="DN1934" s="1571"/>
      <c r="DO1934" s="1530"/>
      <c r="DP1934" s="1530"/>
    </row>
    <row r="1935" spans="1:120">
      <c r="A1935" s="1451"/>
      <c r="C1935" s="1451"/>
      <c r="K1935" s="1451"/>
      <c r="L1935" s="1451"/>
      <c r="U1935" s="1451"/>
      <c r="AD1935" s="1451"/>
      <c r="AM1935" s="1451"/>
      <c r="AV1935" s="1451"/>
      <c r="BE1935" s="1451"/>
      <c r="BN1935" s="1451"/>
      <c r="BV1935" s="1451"/>
      <c r="BW1935" s="1451"/>
      <c r="CF1935" s="1451"/>
      <c r="CN1935" s="1451"/>
      <c r="CO1935" s="1530"/>
      <c r="CP1935" s="1530"/>
      <c r="CQ1935" s="1530"/>
      <c r="CR1935" s="1530"/>
      <c r="CS1935" s="1530"/>
      <c r="CT1935" s="1530"/>
      <c r="CU1935" s="1530"/>
      <c r="CV1935" s="1530"/>
      <c r="CW1935" s="1530"/>
      <c r="CX1935" s="1530"/>
      <c r="CY1935" s="1530"/>
      <c r="CZ1935" s="1530"/>
      <c r="DA1935" s="1530"/>
      <c r="DB1935" s="1530"/>
      <c r="DC1935" s="1530"/>
      <c r="DD1935" s="1530"/>
      <c r="DE1935" s="1530"/>
      <c r="DF1935" s="1530"/>
      <c r="DG1935" s="1530"/>
      <c r="DH1935" s="1530"/>
      <c r="DI1935" s="1530"/>
      <c r="DJ1935" s="1530"/>
      <c r="DK1935" s="1530"/>
      <c r="DL1935" s="1530"/>
      <c r="DM1935" s="1530"/>
      <c r="DN1935" s="1571"/>
      <c r="DO1935" s="1530"/>
      <c r="DP1935" s="1530"/>
    </row>
    <row r="1936" spans="1:120">
      <c r="A1936" s="1451"/>
      <c r="C1936" s="1451"/>
      <c r="K1936" s="1451"/>
      <c r="L1936" s="1451"/>
      <c r="U1936" s="1451"/>
      <c r="AD1936" s="1451"/>
      <c r="AM1936" s="1451"/>
      <c r="AV1936" s="1451"/>
      <c r="BE1936" s="1451"/>
      <c r="BN1936" s="1451"/>
      <c r="BV1936" s="1451"/>
      <c r="BW1936" s="1451"/>
      <c r="CF1936" s="1451"/>
      <c r="CN1936" s="1451"/>
      <c r="CO1936" s="1530"/>
      <c r="CP1936" s="1530"/>
      <c r="CQ1936" s="1530"/>
      <c r="CR1936" s="1530"/>
      <c r="CS1936" s="1530"/>
      <c r="CT1936" s="1530"/>
      <c r="CU1936" s="1530"/>
      <c r="CV1936" s="1530"/>
      <c r="CW1936" s="1530"/>
      <c r="CX1936" s="1530"/>
      <c r="CY1936" s="1530"/>
      <c r="CZ1936" s="1530"/>
      <c r="DA1936" s="1530"/>
      <c r="DB1936" s="1530"/>
      <c r="DC1936" s="1530"/>
      <c r="DD1936" s="1530"/>
      <c r="DE1936" s="1530"/>
      <c r="DF1936" s="1530"/>
      <c r="DG1936" s="1530"/>
      <c r="DH1936" s="1530"/>
      <c r="DI1936" s="1530"/>
      <c r="DJ1936" s="1530"/>
      <c r="DK1936" s="1530"/>
      <c r="DL1936" s="1530"/>
      <c r="DM1936" s="1530"/>
      <c r="DN1936" s="1571"/>
      <c r="DO1936" s="1530"/>
      <c r="DP1936" s="1530"/>
    </row>
    <row r="1937" spans="1:120">
      <c r="A1937" s="1451"/>
      <c r="C1937" s="1451"/>
      <c r="K1937" s="1451"/>
      <c r="L1937" s="1451"/>
      <c r="U1937" s="1451"/>
      <c r="AD1937" s="1451"/>
      <c r="AM1937" s="1451"/>
      <c r="AV1937" s="1451"/>
      <c r="BE1937" s="1451"/>
      <c r="BN1937" s="1451"/>
      <c r="BV1937" s="1451"/>
      <c r="BW1937" s="1451"/>
      <c r="CF1937" s="1451"/>
      <c r="CN1937" s="1451"/>
      <c r="CO1937" s="1530"/>
      <c r="CP1937" s="1530"/>
      <c r="CQ1937" s="1530"/>
      <c r="CR1937" s="1530"/>
      <c r="CS1937" s="1530"/>
      <c r="CT1937" s="1530"/>
      <c r="CU1937" s="1530"/>
      <c r="CV1937" s="1530"/>
      <c r="CW1937" s="1530"/>
      <c r="CX1937" s="1530"/>
      <c r="CY1937" s="1530"/>
      <c r="CZ1937" s="1530"/>
      <c r="DA1937" s="1530"/>
      <c r="DB1937" s="1530"/>
      <c r="DC1937" s="1530"/>
      <c r="DD1937" s="1530"/>
      <c r="DE1937" s="1530"/>
      <c r="DF1937" s="1530"/>
      <c r="DG1937" s="1530"/>
      <c r="DH1937" s="1530"/>
      <c r="DI1937" s="1530"/>
      <c r="DJ1937" s="1530"/>
      <c r="DK1937" s="1530"/>
      <c r="DL1937" s="1530"/>
      <c r="DM1937" s="1530"/>
      <c r="DN1937" s="1571"/>
      <c r="DO1937" s="1530"/>
      <c r="DP1937" s="1530"/>
    </row>
    <row r="1938" spans="1:120">
      <c r="A1938" s="1451"/>
      <c r="C1938" s="1451"/>
      <c r="K1938" s="1451"/>
      <c r="L1938" s="1451"/>
      <c r="U1938" s="1451"/>
      <c r="AD1938" s="1451"/>
      <c r="AM1938" s="1451"/>
      <c r="AV1938" s="1451"/>
      <c r="BE1938" s="1451"/>
      <c r="BN1938" s="1451"/>
      <c r="BV1938" s="1451"/>
      <c r="BW1938" s="1451"/>
      <c r="CF1938" s="1451"/>
      <c r="CN1938" s="1451"/>
      <c r="CO1938" s="1530"/>
      <c r="CP1938" s="1530"/>
      <c r="CQ1938" s="1530"/>
      <c r="CR1938" s="1530"/>
      <c r="CS1938" s="1530"/>
      <c r="CT1938" s="1530"/>
      <c r="CU1938" s="1530"/>
      <c r="CV1938" s="1530"/>
      <c r="CW1938" s="1530"/>
      <c r="CX1938" s="1530"/>
      <c r="CY1938" s="1530"/>
      <c r="CZ1938" s="1530"/>
      <c r="DA1938" s="1530"/>
      <c r="DB1938" s="1530"/>
      <c r="DC1938" s="1530"/>
      <c r="DD1938" s="1530"/>
      <c r="DE1938" s="1530"/>
      <c r="DF1938" s="1530"/>
      <c r="DG1938" s="1530"/>
      <c r="DH1938" s="1530"/>
      <c r="DI1938" s="1530"/>
      <c r="DJ1938" s="1530"/>
      <c r="DK1938" s="1530"/>
      <c r="DL1938" s="1530"/>
      <c r="DM1938" s="1530"/>
      <c r="DN1938" s="1571"/>
      <c r="DO1938" s="1530"/>
      <c r="DP1938" s="1530"/>
    </row>
    <row r="1939" spans="1:120">
      <c r="A1939" s="1451"/>
      <c r="C1939" s="1451"/>
      <c r="K1939" s="1451"/>
      <c r="L1939" s="1451"/>
      <c r="U1939" s="1451"/>
      <c r="AD1939" s="1451"/>
      <c r="AM1939" s="1451"/>
      <c r="AV1939" s="1451"/>
      <c r="BE1939" s="1451"/>
      <c r="BN1939" s="1451"/>
      <c r="BV1939" s="1451"/>
      <c r="BW1939" s="1451"/>
      <c r="CF1939" s="1451"/>
      <c r="CN1939" s="1451"/>
      <c r="CO1939" s="1530"/>
      <c r="CP1939" s="1530"/>
      <c r="CQ1939" s="1530"/>
      <c r="CR1939" s="1530"/>
      <c r="CS1939" s="1530"/>
      <c r="CT1939" s="1530"/>
      <c r="CU1939" s="1530"/>
      <c r="CV1939" s="1530"/>
      <c r="CW1939" s="1530"/>
      <c r="CX1939" s="1530"/>
      <c r="CY1939" s="1530"/>
      <c r="CZ1939" s="1530"/>
      <c r="DA1939" s="1530"/>
      <c r="DB1939" s="1530"/>
      <c r="DC1939" s="1530"/>
      <c r="DD1939" s="1530"/>
      <c r="DE1939" s="1530"/>
      <c r="DF1939" s="1530"/>
      <c r="DG1939" s="1530"/>
      <c r="DH1939" s="1530"/>
      <c r="DI1939" s="1530"/>
      <c r="DJ1939" s="1530"/>
      <c r="DK1939" s="1530"/>
      <c r="DL1939" s="1530"/>
      <c r="DM1939" s="1530"/>
      <c r="DN1939" s="1571"/>
      <c r="DO1939" s="1530"/>
      <c r="DP1939" s="1530"/>
    </row>
    <row r="1940" spans="1:120">
      <c r="A1940" s="1451"/>
      <c r="C1940" s="1451"/>
      <c r="K1940" s="1451"/>
      <c r="L1940" s="1451"/>
      <c r="U1940" s="1451"/>
      <c r="AD1940" s="1451"/>
      <c r="AM1940" s="1451"/>
      <c r="AV1940" s="1451"/>
      <c r="BE1940" s="1451"/>
      <c r="BN1940" s="1451"/>
      <c r="BV1940" s="1451"/>
      <c r="BW1940" s="1451"/>
      <c r="CF1940" s="1451"/>
      <c r="CN1940" s="1451"/>
      <c r="CO1940" s="1530"/>
      <c r="CP1940" s="1530"/>
      <c r="CQ1940" s="1530"/>
      <c r="CR1940" s="1530"/>
      <c r="CS1940" s="1530"/>
      <c r="CT1940" s="1530"/>
      <c r="CU1940" s="1530"/>
      <c r="CV1940" s="1530"/>
      <c r="CW1940" s="1530"/>
      <c r="CX1940" s="1530"/>
      <c r="CY1940" s="1530"/>
      <c r="CZ1940" s="1530"/>
      <c r="DA1940" s="1530"/>
      <c r="DB1940" s="1530"/>
      <c r="DC1940" s="1530"/>
      <c r="DD1940" s="1530"/>
      <c r="DE1940" s="1530"/>
      <c r="DF1940" s="1530"/>
      <c r="DG1940" s="1530"/>
      <c r="DH1940" s="1530"/>
      <c r="DI1940" s="1530"/>
      <c r="DJ1940" s="1530"/>
      <c r="DK1940" s="1530"/>
      <c r="DL1940" s="1530"/>
      <c r="DM1940" s="1530"/>
      <c r="DN1940" s="1571"/>
      <c r="DO1940" s="1530"/>
      <c r="DP1940" s="1530"/>
    </row>
    <row r="1941" spans="1:120">
      <c r="A1941" s="1451"/>
      <c r="C1941" s="1451"/>
      <c r="K1941" s="1451"/>
      <c r="L1941" s="1451"/>
      <c r="U1941" s="1451"/>
      <c r="AD1941" s="1451"/>
      <c r="AM1941" s="1451"/>
      <c r="AV1941" s="1451"/>
      <c r="BE1941" s="1451"/>
      <c r="BN1941" s="1451"/>
      <c r="BV1941" s="1451"/>
      <c r="BW1941" s="1451"/>
      <c r="CF1941" s="1451"/>
      <c r="CN1941" s="1451"/>
      <c r="CO1941" s="1530"/>
      <c r="CP1941" s="1530"/>
      <c r="CQ1941" s="1530"/>
      <c r="CR1941" s="1530"/>
      <c r="CS1941" s="1530"/>
      <c r="CT1941" s="1530"/>
      <c r="CU1941" s="1530"/>
      <c r="CV1941" s="1530"/>
      <c r="CW1941" s="1530"/>
      <c r="CX1941" s="1530"/>
      <c r="CY1941" s="1530"/>
      <c r="CZ1941" s="1530"/>
      <c r="DA1941" s="1530"/>
      <c r="DB1941" s="1530"/>
      <c r="DC1941" s="1530"/>
      <c r="DD1941" s="1530"/>
      <c r="DE1941" s="1530"/>
      <c r="DF1941" s="1530"/>
      <c r="DG1941" s="1530"/>
      <c r="DH1941" s="1530"/>
      <c r="DI1941" s="1530"/>
      <c r="DJ1941" s="1530"/>
      <c r="DK1941" s="1530"/>
      <c r="DL1941" s="1530"/>
      <c r="DM1941" s="1530"/>
      <c r="DN1941" s="1571"/>
      <c r="DO1941" s="1530"/>
      <c r="DP1941" s="1530"/>
    </row>
    <row r="1942" spans="1:120">
      <c r="A1942" s="1451"/>
      <c r="C1942" s="1451"/>
      <c r="K1942" s="1451"/>
      <c r="L1942" s="1451"/>
      <c r="U1942" s="1451"/>
      <c r="AD1942" s="1451"/>
      <c r="AM1942" s="1451"/>
      <c r="AV1942" s="1451"/>
      <c r="BE1942" s="1451"/>
      <c r="BN1942" s="1451"/>
      <c r="BV1942" s="1451"/>
      <c r="BW1942" s="1451"/>
      <c r="CF1942" s="1451"/>
      <c r="CN1942" s="1451"/>
      <c r="CO1942" s="1530"/>
      <c r="CP1942" s="1530"/>
      <c r="CQ1942" s="1530"/>
      <c r="CR1942" s="1530"/>
      <c r="CS1942" s="1530"/>
      <c r="CT1942" s="1530"/>
      <c r="CU1942" s="1530"/>
      <c r="CV1942" s="1530"/>
      <c r="CW1942" s="1530"/>
      <c r="CX1942" s="1530"/>
      <c r="CY1942" s="1530"/>
      <c r="CZ1942" s="1530"/>
      <c r="DA1942" s="1530"/>
      <c r="DB1942" s="1530"/>
      <c r="DC1942" s="1530"/>
      <c r="DD1942" s="1530"/>
      <c r="DE1942" s="1530"/>
      <c r="DF1942" s="1530"/>
      <c r="DG1942" s="1530"/>
      <c r="DH1942" s="1530"/>
      <c r="DI1942" s="1530"/>
      <c r="DJ1942" s="1530"/>
      <c r="DK1942" s="1530"/>
      <c r="DL1942" s="1530"/>
      <c r="DM1942" s="1530"/>
      <c r="DN1942" s="1571"/>
      <c r="DO1942" s="1530"/>
      <c r="DP1942" s="1530"/>
    </row>
    <row r="1943" spans="1:120">
      <c r="A1943" s="1451"/>
      <c r="C1943" s="1451"/>
      <c r="K1943" s="1451"/>
      <c r="L1943" s="1451"/>
      <c r="U1943" s="1451"/>
      <c r="AD1943" s="1451"/>
      <c r="AM1943" s="1451"/>
      <c r="AV1943" s="1451"/>
      <c r="BE1943" s="1451"/>
      <c r="BN1943" s="1451"/>
      <c r="BV1943" s="1451"/>
      <c r="BW1943" s="1451"/>
      <c r="CF1943" s="1451"/>
      <c r="CN1943" s="1451"/>
      <c r="CO1943" s="1530"/>
      <c r="CP1943" s="1530"/>
      <c r="CQ1943" s="1530"/>
      <c r="CR1943" s="1530"/>
      <c r="CS1943" s="1530"/>
      <c r="CT1943" s="1530"/>
      <c r="CU1943" s="1530"/>
      <c r="CV1943" s="1530"/>
      <c r="CW1943" s="1530"/>
      <c r="CX1943" s="1530"/>
      <c r="CY1943" s="1530"/>
      <c r="CZ1943" s="1530"/>
      <c r="DA1943" s="1530"/>
      <c r="DB1943" s="1530"/>
      <c r="DC1943" s="1530"/>
      <c r="DD1943" s="1530"/>
      <c r="DE1943" s="1530"/>
      <c r="DF1943" s="1530"/>
      <c r="DG1943" s="1530"/>
      <c r="DH1943" s="1530"/>
      <c r="DI1943" s="1530"/>
      <c r="DJ1943" s="1530"/>
      <c r="DK1943" s="1530"/>
      <c r="DL1943" s="1530"/>
      <c r="DM1943" s="1530"/>
      <c r="DN1943" s="1571"/>
      <c r="DO1943" s="1530"/>
      <c r="DP1943" s="1530"/>
    </row>
    <row r="1944" spans="1:120">
      <c r="A1944" s="1451"/>
      <c r="C1944" s="1451"/>
      <c r="K1944" s="1451"/>
      <c r="L1944" s="1451"/>
      <c r="U1944" s="1451"/>
      <c r="AD1944" s="1451"/>
      <c r="AM1944" s="1451"/>
      <c r="AV1944" s="1451"/>
      <c r="BE1944" s="1451"/>
      <c r="BN1944" s="1451"/>
      <c r="BV1944" s="1451"/>
      <c r="BW1944" s="1451"/>
      <c r="CF1944" s="1451"/>
      <c r="CN1944" s="1451"/>
      <c r="CO1944" s="1530"/>
      <c r="CP1944" s="1530"/>
      <c r="CQ1944" s="1530"/>
      <c r="CR1944" s="1530"/>
      <c r="CS1944" s="1530"/>
      <c r="CT1944" s="1530"/>
      <c r="CU1944" s="1530"/>
      <c r="CV1944" s="1530"/>
      <c r="CW1944" s="1530"/>
      <c r="CX1944" s="1530"/>
      <c r="CY1944" s="1530"/>
      <c r="CZ1944" s="1530"/>
      <c r="DA1944" s="1530"/>
      <c r="DB1944" s="1530"/>
      <c r="DC1944" s="1530"/>
      <c r="DD1944" s="1530"/>
      <c r="DE1944" s="1530"/>
      <c r="DF1944" s="1530"/>
      <c r="DG1944" s="1530"/>
      <c r="DH1944" s="1530"/>
      <c r="DI1944" s="1530"/>
      <c r="DJ1944" s="1530"/>
      <c r="DK1944" s="1530"/>
      <c r="DL1944" s="1530"/>
      <c r="DM1944" s="1530"/>
      <c r="DN1944" s="1571"/>
      <c r="DO1944" s="1530"/>
      <c r="DP1944" s="1530"/>
    </row>
    <row r="1945" spans="1:120">
      <c r="A1945" s="1451"/>
      <c r="C1945" s="1451"/>
      <c r="K1945" s="1451"/>
      <c r="L1945" s="1451"/>
      <c r="U1945" s="1451"/>
      <c r="AD1945" s="1451"/>
      <c r="AM1945" s="1451"/>
      <c r="AV1945" s="1451"/>
      <c r="BE1945" s="1451"/>
      <c r="BN1945" s="1451"/>
      <c r="BV1945" s="1451"/>
      <c r="BW1945" s="1451"/>
      <c r="CF1945" s="1451"/>
      <c r="CN1945" s="1451"/>
      <c r="CO1945" s="1530"/>
      <c r="CP1945" s="1530"/>
      <c r="CQ1945" s="1530"/>
      <c r="CR1945" s="1530"/>
      <c r="CS1945" s="1530"/>
      <c r="CT1945" s="1530"/>
      <c r="CU1945" s="1530"/>
      <c r="CV1945" s="1530"/>
      <c r="CW1945" s="1530"/>
      <c r="CX1945" s="1530"/>
      <c r="CY1945" s="1530"/>
      <c r="CZ1945" s="1530"/>
      <c r="DA1945" s="1530"/>
      <c r="DB1945" s="1530"/>
      <c r="DC1945" s="1530"/>
      <c r="DD1945" s="1530"/>
      <c r="DE1945" s="1530"/>
      <c r="DF1945" s="1530"/>
      <c r="DG1945" s="1530"/>
      <c r="DH1945" s="1530"/>
      <c r="DI1945" s="1530"/>
      <c r="DJ1945" s="1530"/>
      <c r="DK1945" s="1530"/>
      <c r="DL1945" s="1530"/>
      <c r="DM1945" s="1530"/>
      <c r="DN1945" s="1571"/>
      <c r="DO1945" s="1530"/>
      <c r="DP1945" s="1530"/>
    </row>
    <row r="1946" spans="1:120">
      <c r="A1946" s="1451"/>
      <c r="C1946" s="1451"/>
      <c r="K1946" s="1451"/>
      <c r="L1946" s="1451"/>
      <c r="U1946" s="1451"/>
      <c r="AD1946" s="1451"/>
      <c r="AM1946" s="1451"/>
      <c r="AV1946" s="1451"/>
      <c r="BE1946" s="1451"/>
      <c r="BN1946" s="1451"/>
      <c r="BV1946" s="1451"/>
      <c r="BW1946" s="1451"/>
      <c r="CF1946" s="1451"/>
      <c r="CN1946" s="1451"/>
      <c r="CO1946" s="1530"/>
      <c r="CP1946" s="1530"/>
      <c r="CQ1946" s="1530"/>
      <c r="CR1946" s="1530"/>
      <c r="CS1946" s="1530"/>
      <c r="CT1946" s="1530"/>
      <c r="CU1946" s="1530"/>
      <c r="CV1946" s="1530"/>
      <c r="CW1946" s="1530"/>
      <c r="CX1946" s="1530"/>
      <c r="CY1946" s="1530"/>
      <c r="CZ1946" s="1530"/>
      <c r="DA1946" s="1530"/>
      <c r="DB1946" s="1530"/>
      <c r="DC1946" s="1530"/>
      <c r="DD1946" s="1530"/>
      <c r="DE1946" s="1530"/>
      <c r="DF1946" s="1530"/>
      <c r="DG1946" s="1530"/>
      <c r="DH1946" s="1530"/>
      <c r="DI1946" s="1530"/>
      <c r="DJ1946" s="1530"/>
      <c r="DK1946" s="1530"/>
      <c r="DL1946" s="1530"/>
      <c r="DM1946" s="1530"/>
      <c r="DN1946" s="1571"/>
      <c r="DO1946" s="1530"/>
      <c r="DP1946" s="1530"/>
    </row>
    <row r="1947" spans="1:120">
      <c r="A1947" s="1451"/>
      <c r="C1947" s="1451"/>
      <c r="K1947" s="1451"/>
      <c r="L1947" s="1451"/>
      <c r="U1947" s="1451"/>
      <c r="AD1947" s="1451"/>
      <c r="AM1947" s="1451"/>
      <c r="AV1947" s="1451"/>
      <c r="BE1947" s="1451"/>
      <c r="BN1947" s="1451"/>
      <c r="BV1947" s="1451"/>
      <c r="BW1947" s="1451"/>
      <c r="CF1947" s="1451"/>
      <c r="CN1947" s="1451"/>
      <c r="CO1947" s="1530"/>
      <c r="CP1947" s="1530"/>
      <c r="CQ1947" s="1530"/>
      <c r="CR1947" s="1530"/>
      <c r="CS1947" s="1530"/>
      <c r="CT1947" s="1530"/>
      <c r="CU1947" s="1530"/>
      <c r="CV1947" s="1530"/>
      <c r="CW1947" s="1530"/>
      <c r="CX1947" s="1530"/>
      <c r="CY1947" s="1530"/>
      <c r="CZ1947" s="1530"/>
      <c r="DA1947" s="1530"/>
      <c r="DB1947" s="1530"/>
      <c r="DC1947" s="1530"/>
      <c r="DD1947" s="1530"/>
      <c r="DE1947" s="1530"/>
      <c r="DF1947" s="1530"/>
      <c r="DG1947" s="1530"/>
      <c r="DH1947" s="1530"/>
      <c r="DI1947" s="1530"/>
      <c r="DJ1947" s="1530"/>
      <c r="DK1947" s="1530"/>
      <c r="DL1947" s="1530"/>
      <c r="DM1947" s="1530"/>
      <c r="DN1947" s="1571"/>
      <c r="DO1947" s="1530"/>
      <c r="DP1947" s="1530"/>
    </row>
    <row r="1948" spans="1:120">
      <c r="A1948" s="1451"/>
      <c r="C1948" s="1451"/>
      <c r="K1948" s="1451"/>
      <c r="L1948" s="1451"/>
      <c r="U1948" s="1451"/>
      <c r="AD1948" s="1451"/>
      <c r="AM1948" s="1451"/>
      <c r="AV1948" s="1451"/>
      <c r="BE1948" s="1451"/>
      <c r="BN1948" s="1451"/>
      <c r="BV1948" s="1451"/>
      <c r="BW1948" s="1451"/>
      <c r="CF1948" s="1451"/>
      <c r="CN1948" s="1451"/>
      <c r="CO1948" s="1530"/>
      <c r="CP1948" s="1530"/>
      <c r="CQ1948" s="1530"/>
      <c r="CR1948" s="1530"/>
      <c r="CS1948" s="1530"/>
      <c r="CT1948" s="1530"/>
      <c r="CU1948" s="1530"/>
      <c r="CV1948" s="1530"/>
      <c r="CW1948" s="1530"/>
      <c r="CX1948" s="1530"/>
      <c r="CY1948" s="1530"/>
      <c r="CZ1948" s="1530"/>
      <c r="DA1948" s="1530"/>
      <c r="DB1948" s="1530"/>
      <c r="DC1948" s="1530"/>
      <c r="DD1948" s="1530"/>
      <c r="DE1948" s="1530"/>
      <c r="DF1948" s="1530"/>
      <c r="DG1948" s="1530"/>
      <c r="DH1948" s="1530"/>
      <c r="DI1948" s="1530"/>
      <c r="DJ1948" s="1530"/>
      <c r="DK1948" s="1530"/>
      <c r="DL1948" s="1530"/>
      <c r="DM1948" s="1530"/>
      <c r="DN1948" s="1571"/>
      <c r="DO1948" s="1530"/>
      <c r="DP1948" s="1530"/>
    </row>
    <row r="1949" spans="1:120">
      <c r="A1949" s="1451"/>
      <c r="C1949" s="1451"/>
      <c r="K1949" s="1451"/>
      <c r="L1949" s="1451"/>
      <c r="U1949" s="1451"/>
      <c r="AD1949" s="1451"/>
      <c r="AM1949" s="1451"/>
      <c r="AV1949" s="1451"/>
      <c r="BE1949" s="1451"/>
      <c r="BN1949" s="1451"/>
      <c r="BV1949" s="1451"/>
      <c r="BW1949" s="1451"/>
      <c r="CF1949" s="1451"/>
      <c r="CN1949" s="1451"/>
      <c r="CO1949" s="1530"/>
      <c r="CP1949" s="1530"/>
      <c r="CQ1949" s="1530"/>
      <c r="CR1949" s="1530"/>
      <c r="CS1949" s="1530"/>
      <c r="CT1949" s="1530"/>
      <c r="CU1949" s="1530"/>
      <c r="CV1949" s="1530"/>
      <c r="CW1949" s="1530"/>
      <c r="CX1949" s="1530"/>
      <c r="CY1949" s="1530"/>
      <c r="CZ1949" s="1530"/>
      <c r="DA1949" s="1530"/>
      <c r="DB1949" s="1530"/>
      <c r="DC1949" s="1530"/>
      <c r="DD1949" s="1530"/>
      <c r="DE1949" s="1530"/>
      <c r="DF1949" s="1530"/>
      <c r="DG1949" s="1530"/>
      <c r="DH1949" s="1530"/>
      <c r="DI1949" s="1530"/>
      <c r="DJ1949" s="1530"/>
      <c r="DK1949" s="1530"/>
      <c r="DL1949" s="1530"/>
      <c r="DM1949" s="1530"/>
      <c r="DN1949" s="1571"/>
      <c r="DO1949" s="1530"/>
      <c r="DP1949" s="1530"/>
    </row>
    <row r="1950" spans="1:120">
      <c r="A1950" s="1451"/>
      <c r="C1950" s="1451"/>
      <c r="K1950" s="1451"/>
      <c r="L1950" s="1451"/>
      <c r="U1950" s="1451"/>
      <c r="AD1950" s="1451"/>
      <c r="AM1950" s="1451"/>
      <c r="AV1950" s="1451"/>
      <c r="BE1950" s="1451"/>
      <c r="BN1950" s="1451"/>
      <c r="BV1950" s="1451"/>
      <c r="BW1950" s="1451"/>
      <c r="CF1950" s="1451"/>
      <c r="CN1950" s="1451"/>
      <c r="CO1950" s="1530"/>
      <c r="CP1950" s="1530"/>
      <c r="CQ1950" s="1530"/>
      <c r="CR1950" s="1530"/>
      <c r="CS1950" s="1530"/>
      <c r="CT1950" s="1530"/>
      <c r="CU1950" s="1530"/>
      <c r="CV1950" s="1530"/>
      <c r="CW1950" s="1530"/>
      <c r="CX1950" s="1530"/>
      <c r="CY1950" s="1530"/>
      <c r="CZ1950" s="1530"/>
      <c r="DA1950" s="1530"/>
      <c r="DB1950" s="1530"/>
      <c r="DC1950" s="1530"/>
      <c r="DD1950" s="1530"/>
      <c r="DE1950" s="1530"/>
      <c r="DF1950" s="1530"/>
      <c r="DG1950" s="1530"/>
      <c r="DH1950" s="1530"/>
      <c r="DI1950" s="1530"/>
      <c r="DJ1950" s="1530"/>
      <c r="DK1950" s="1530"/>
      <c r="DL1950" s="1530"/>
      <c r="DM1950" s="1530"/>
      <c r="DN1950" s="1571"/>
      <c r="DO1950" s="1530"/>
      <c r="DP1950" s="1530"/>
    </row>
    <row r="1951" spans="1:120">
      <c r="A1951" s="1451"/>
      <c r="C1951" s="1451"/>
      <c r="K1951" s="1451"/>
      <c r="L1951" s="1451"/>
      <c r="U1951" s="1451"/>
      <c r="AD1951" s="1451"/>
      <c r="AM1951" s="1451"/>
      <c r="AV1951" s="1451"/>
      <c r="BE1951" s="1451"/>
      <c r="BN1951" s="1451"/>
      <c r="BV1951" s="1451"/>
      <c r="BW1951" s="1451"/>
      <c r="CF1951" s="1451"/>
      <c r="CN1951" s="1451"/>
      <c r="CO1951" s="1530"/>
      <c r="CP1951" s="1530"/>
      <c r="CQ1951" s="1530"/>
      <c r="CR1951" s="1530"/>
      <c r="CS1951" s="1530"/>
      <c r="CT1951" s="1530"/>
      <c r="CU1951" s="1530"/>
      <c r="CV1951" s="1530"/>
      <c r="CW1951" s="1530"/>
      <c r="CX1951" s="1530"/>
      <c r="CY1951" s="1530"/>
      <c r="CZ1951" s="1530"/>
      <c r="DA1951" s="1530"/>
      <c r="DB1951" s="1530"/>
      <c r="DC1951" s="1530"/>
      <c r="DD1951" s="1530"/>
      <c r="DE1951" s="1530"/>
      <c r="DF1951" s="1530"/>
      <c r="DG1951" s="1530"/>
      <c r="DH1951" s="1530"/>
      <c r="DI1951" s="1530"/>
      <c r="DJ1951" s="1530"/>
      <c r="DK1951" s="1530"/>
      <c r="DL1951" s="1530"/>
      <c r="DM1951" s="1530"/>
      <c r="DN1951" s="1571"/>
      <c r="DO1951" s="1530"/>
      <c r="DP1951" s="1530"/>
    </row>
    <row r="1952" spans="1:120">
      <c r="A1952" s="1451"/>
      <c r="C1952" s="1451"/>
      <c r="K1952" s="1451"/>
      <c r="L1952" s="1451"/>
      <c r="U1952" s="1451"/>
      <c r="AD1952" s="1451"/>
      <c r="AM1952" s="1451"/>
      <c r="AV1952" s="1451"/>
      <c r="BE1952" s="1451"/>
      <c r="BN1952" s="1451"/>
      <c r="BV1952" s="1451"/>
      <c r="BW1952" s="1451"/>
      <c r="CF1952" s="1451"/>
      <c r="CN1952" s="1451"/>
      <c r="CO1952" s="1530"/>
      <c r="CP1952" s="1530"/>
      <c r="CQ1952" s="1530"/>
      <c r="CR1952" s="1530"/>
      <c r="CS1952" s="1530"/>
      <c r="CT1952" s="1530"/>
      <c r="CU1952" s="1530"/>
      <c r="CV1952" s="1530"/>
      <c r="CW1952" s="1530"/>
      <c r="CX1952" s="1530"/>
      <c r="CY1952" s="1530"/>
      <c r="CZ1952" s="1530"/>
      <c r="DA1952" s="1530"/>
      <c r="DB1952" s="1530"/>
      <c r="DC1952" s="1530"/>
      <c r="DD1952" s="1530"/>
      <c r="DE1952" s="1530"/>
      <c r="DF1952" s="1530"/>
      <c r="DG1952" s="1530"/>
      <c r="DH1952" s="1530"/>
      <c r="DI1952" s="1530"/>
      <c r="DJ1952" s="1530"/>
      <c r="DK1952" s="1530"/>
      <c r="DL1952" s="1530"/>
      <c r="DM1952" s="1530"/>
      <c r="DN1952" s="1571"/>
      <c r="DO1952" s="1530"/>
      <c r="DP1952" s="1530"/>
    </row>
    <row r="1953" spans="1:120">
      <c r="A1953" s="1451"/>
      <c r="C1953" s="1451"/>
      <c r="K1953" s="1451"/>
      <c r="L1953" s="1451"/>
      <c r="U1953" s="1451"/>
      <c r="AD1953" s="1451"/>
      <c r="AM1953" s="1451"/>
      <c r="AV1953" s="1451"/>
      <c r="BE1953" s="1451"/>
      <c r="BN1953" s="1451"/>
      <c r="BV1953" s="1451"/>
      <c r="BW1953" s="1451"/>
      <c r="CF1953" s="1451"/>
      <c r="CN1953" s="1451"/>
      <c r="CO1953" s="1530"/>
      <c r="CP1953" s="1530"/>
      <c r="CQ1953" s="1530"/>
      <c r="CR1953" s="1530"/>
      <c r="CS1953" s="1530"/>
      <c r="CT1953" s="1530"/>
      <c r="CU1953" s="1530"/>
      <c r="CV1953" s="1530"/>
      <c r="CW1953" s="1530"/>
      <c r="CX1953" s="1530"/>
      <c r="CY1953" s="1530"/>
      <c r="CZ1953" s="1530"/>
      <c r="DA1953" s="1530"/>
      <c r="DB1953" s="1530"/>
      <c r="DC1953" s="1530"/>
      <c r="DD1953" s="1530"/>
      <c r="DE1953" s="1530"/>
      <c r="DF1953" s="1530"/>
      <c r="DG1953" s="1530"/>
      <c r="DH1953" s="1530"/>
      <c r="DI1953" s="1530"/>
      <c r="DJ1953" s="1530"/>
      <c r="DK1953" s="1530"/>
      <c r="DL1953" s="1530"/>
      <c r="DM1953" s="1530"/>
      <c r="DN1953" s="1571"/>
      <c r="DO1953" s="1530"/>
      <c r="DP1953" s="1530"/>
    </row>
    <row r="1954" spans="1:120">
      <c r="A1954" s="1451"/>
      <c r="C1954" s="1451"/>
      <c r="K1954" s="1451"/>
      <c r="L1954" s="1451"/>
      <c r="U1954" s="1451"/>
      <c r="AD1954" s="1451"/>
      <c r="AM1954" s="1451"/>
      <c r="AV1954" s="1451"/>
      <c r="BE1954" s="1451"/>
      <c r="BN1954" s="1451"/>
      <c r="BV1954" s="1451"/>
      <c r="BW1954" s="1451"/>
      <c r="CF1954" s="1451"/>
      <c r="CN1954" s="1451"/>
      <c r="CO1954" s="1530"/>
      <c r="CP1954" s="1530"/>
      <c r="CQ1954" s="1530"/>
      <c r="CR1954" s="1530"/>
      <c r="CS1954" s="1530"/>
      <c r="CT1954" s="1530"/>
      <c r="CU1954" s="1530"/>
      <c r="CV1954" s="1530"/>
      <c r="CW1954" s="1530"/>
      <c r="CX1954" s="1530"/>
      <c r="CY1954" s="1530"/>
      <c r="CZ1954" s="1530"/>
      <c r="DA1954" s="1530"/>
      <c r="DB1954" s="1530"/>
      <c r="DC1954" s="1530"/>
      <c r="DD1954" s="1530"/>
      <c r="DE1954" s="1530"/>
      <c r="DF1954" s="1530"/>
      <c r="DG1954" s="1530"/>
      <c r="DH1954" s="1530"/>
      <c r="DI1954" s="1530"/>
      <c r="DJ1954" s="1530"/>
      <c r="DK1954" s="1530"/>
      <c r="DL1954" s="1530"/>
      <c r="DM1954" s="1530"/>
      <c r="DN1954" s="1571"/>
      <c r="DO1954" s="1530"/>
      <c r="DP1954" s="1530"/>
    </row>
    <row r="1955" spans="1:120">
      <c r="A1955" s="1451"/>
      <c r="C1955" s="1451"/>
      <c r="K1955" s="1451"/>
      <c r="L1955" s="1451"/>
      <c r="U1955" s="1451"/>
      <c r="AD1955" s="1451"/>
      <c r="AM1955" s="1451"/>
      <c r="AV1955" s="1451"/>
      <c r="BE1955" s="1451"/>
      <c r="BN1955" s="1451"/>
      <c r="BV1955" s="1451"/>
      <c r="BW1955" s="1451"/>
      <c r="CF1955" s="1451"/>
      <c r="CN1955" s="1451"/>
      <c r="CO1955" s="1530"/>
      <c r="CP1955" s="1530"/>
      <c r="CQ1955" s="1530"/>
      <c r="CR1955" s="1530"/>
      <c r="CS1955" s="1530"/>
      <c r="CT1955" s="1530"/>
      <c r="CU1955" s="1530"/>
      <c r="CV1955" s="1530"/>
      <c r="CW1955" s="1530"/>
      <c r="CX1955" s="1530"/>
      <c r="CY1955" s="1530"/>
      <c r="CZ1955" s="1530"/>
      <c r="DA1955" s="1530"/>
      <c r="DB1955" s="1530"/>
      <c r="DC1955" s="1530"/>
      <c r="DD1955" s="1530"/>
      <c r="DE1955" s="1530"/>
      <c r="DF1955" s="1530"/>
      <c r="DG1955" s="1530"/>
      <c r="DH1955" s="1530"/>
      <c r="DI1955" s="1530"/>
      <c r="DJ1955" s="1530"/>
      <c r="DK1955" s="1530"/>
      <c r="DL1955" s="1530"/>
      <c r="DM1955" s="1530"/>
      <c r="DN1955" s="1571"/>
      <c r="DO1955" s="1530"/>
      <c r="DP1955" s="1530"/>
    </row>
    <row r="1956" spans="1:120">
      <c r="A1956" s="1451"/>
      <c r="C1956" s="1451"/>
      <c r="K1956" s="1451"/>
      <c r="L1956" s="1451"/>
      <c r="U1956" s="1451"/>
      <c r="AD1956" s="1451"/>
      <c r="AM1956" s="1451"/>
      <c r="AV1956" s="1451"/>
      <c r="BE1956" s="1451"/>
      <c r="BN1956" s="1451"/>
      <c r="BV1956" s="1451"/>
      <c r="BW1956" s="1451"/>
      <c r="CF1956" s="1451"/>
      <c r="CN1956" s="1451"/>
      <c r="CO1956" s="1530"/>
      <c r="CP1956" s="1530"/>
      <c r="CQ1956" s="1530"/>
      <c r="CR1956" s="1530"/>
      <c r="CS1956" s="1530"/>
      <c r="CT1956" s="1530"/>
      <c r="CU1956" s="1530"/>
      <c r="CV1956" s="1530"/>
      <c r="CW1956" s="1530"/>
      <c r="CX1956" s="1530"/>
      <c r="CY1956" s="1530"/>
      <c r="CZ1956" s="1530"/>
      <c r="DA1956" s="1530"/>
      <c r="DB1956" s="1530"/>
      <c r="DC1956" s="1530"/>
      <c r="DD1956" s="1530"/>
      <c r="DE1956" s="1530"/>
      <c r="DF1956" s="1530"/>
      <c r="DG1956" s="1530"/>
      <c r="DH1956" s="1530"/>
      <c r="DI1956" s="1530"/>
      <c r="DJ1956" s="1530"/>
      <c r="DK1956" s="1530"/>
      <c r="DL1956" s="1530"/>
      <c r="DM1956" s="1530"/>
      <c r="DN1956" s="1571"/>
      <c r="DO1956" s="1530"/>
      <c r="DP1956" s="1530"/>
    </row>
    <row r="1957" spans="1:120">
      <c r="A1957" s="1451"/>
      <c r="C1957" s="1451"/>
      <c r="K1957" s="1451"/>
      <c r="L1957" s="1451"/>
      <c r="U1957" s="1451"/>
      <c r="AD1957" s="1451"/>
      <c r="AM1957" s="1451"/>
      <c r="AV1957" s="1451"/>
      <c r="BE1957" s="1451"/>
      <c r="BN1957" s="1451"/>
      <c r="BV1957" s="1451"/>
      <c r="BW1957" s="1451"/>
      <c r="CF1957" s="1451"/>
      <c r="CN1957" s="1451"/>
      <c r="CO1957" s="1530"/>
      <c r="CP1957" s="1530"/>
      <c r="CQ1957" s="1530"/>
      <c r="CR1957" s="1530"/>
      <c r="CS1957" s="1530"/>
      <c r="CT1957" s="1530"/>
      <c r="CU1957" s="1530"/>
      <c r="CV1957" s="1530"/>
      <c r="CW1957" s="1530"/>
      <c r="CX1957" s="1530"/>
      <c r="CY1957" s="1530"/>
      <c r="CZ1957" s="1530"/>
      <c r="DA1957" s="1530"/>
      <c r="DB1957" s="1530"/>
      <c r="DC1957" s="1530"/>
      <c r="DD1957" s="1530"/>
      <c r="DE1957" s="1530"/>
      <c r="DF1957" s="1530"/>
      <c r="DG1957" s="1530"/>
      <c r="DH1957" s="1530"/>
      <c r="DI1957" s="1530"/>
      <c r="DJ1957" s="1530"/>
      <c r="DK1957" s="1530"/>
      <c r="DL1957" s="1530"/>
      <c r="DM1957" s="1530"/>
      <c r="DN1957" s="1571"/>
      <c r="DO1957" s="1530"/>
      <c r="DP1957" s="1530"/>
    </row>
    <row r="1958" spans="1:120">
      <c r="A1958" s="1451"/>
      <c r="C1958" s="1451"/>
      <c r="K1958" s="1451"/>
      <c r="L1958" s="1451"/>
      <c r="U1958" s="1451"/>
      <c r="AD1958" s="1451"/>
      <c r="AM1958" s="1451"/>
      <c r="AV1958" s="1451"/>
      <c r="BE1958" s="1451"/>
      <c r="BN1958" s="1451"/>
      <c r="BV1958" s="1451"/>
      <c r="BW1958" s="1451"/>
      <c r="CF1958" s="1451"/>
      <c r="CN1958" s="1451"/>
      <c r="CO1958" s="1530"/>
      <c r="CP1958" s="1530"/>
      <c r="CQ1958" s="1530"/>
      <c r="CR1958" s="1530"/>
      <c r="CS1958" s="1530"/>
      <c r="CT1958" s="1530"/>
      <c r="CU1958" s="1530"/>
      <c r="CV1958" s="1530"/>
      <c r="CW1958" s="1530"/>
      <c r="CX1958" s="1530"/>
      <c r="CY1958" s="1530"/>
      <c r="CZ1958" s="1530"/>
      <c r="DA1958" s="1530"/>
      <c r="DB1958" s="1530"/>
      <c r="DC1958" s="1530"/>
      <c r="DD1958" s="1530"/>
      <c r="DE1958" s="1530"/>
      <c r="DF1958" s="1530"/>
      <c r="DG1958" s="1530"/>
      <c r="DH1958" s="1530"/>
      <c r="DI1958" s="1530"/>
      <c r="DJ1958" s="1530"/>
      <c r="DK1958" s="1530"/>
      <c r="DL1958" s="1530"/>
      <c r="DM1958" s="1530"/>
      <c r="DN1958" s="1571"/>
      <c r="DO1958" s="1530"/>
      <c r="DP1958" s="1530"/>
    </row>
    <row r="1959" spans="1:120">
      <c r="A1959" s="1451"/>
      <c r="C1959" s="1451"/>
      <c r="K1959" s="1451"/>
      <c r="L1959" s="1451"/>
      <c r="U1959" s="1451"/>
      <c r="AD1959" s="1451"/>
      <c r="AM1959" s="1451"/>
      <c r="AV1959" s="1451"/>
      <c r="BE1959" s="1451"/>
      <c r="BN1959" s="1451"/>
      <c r="BV1959" s="1451"/>
      <c r="BW1959" s="1451"/>
      <c r="CF1959" s="1451"/>
      <c r="CN1959" s="1451"/>
      <c r="CO1959" s="1530"/>
      <c r="CP1959" s="1530"/>
      <c r="CQ1959" s="1530"/>
      <c r="CR1959" s="1530"/>
      <c r="CS1959" s="1530"/>
      <c r="CT1959" s="1530"/>
      <c r="CU1959" s="1530"/>
      <c r="CV1959" s="1530"/>
      <c r="CW1959" s="1530"/>
      <c r="CX1959" s="1530"/>
      <c r="CY1959" s="1530"/>
      <c r="CZ1959" s="1530"/>
      <c r="DA1959" s="1530"/>
      <c r="DB1959" s="1530"/>
      <c r="DC1959" s="1530"/>
      <c r="DD1959" s="1530"/>
      <c r="DE1959" s="1530"/>
      <c r="DF1959" s="1530"/>
      <c r="DG1959" s="1530"/>
      <c r="DH1959" s="1530"/>
      <c r="DI1959" s="1530"/>
      <c r="DJ1959" s="1530"/>
      <c r="DK1959" s="1530"/>
      <c r="DL1959" s="1530"/>
      <c r="DM1959" s="1530"/>
      <c r="DN1959" s="1571"/>
      <c r="DO1959" s="1530"/>
      <c r="DP1959" s="1530"/>
    </row>
    <row r="1960" spans="1:120">
      <c r="A1960" s="1451"/>
      <c r="C1960" s="1451"/>
      <c r="K1960" s="1451"/>
      <c r="L1960" s="1451"/>
      <c r="U1960" s="1451"/>
      <c r="AD1960" s="1451"/>
      <c r="AM1960" s="1451"/>
      <c r="AV1960" s="1451"/>
      <c r="BE1960" s="1451"/>
      <c r="BN1960" s="1451"/>
      <c r="BV1960" s="1451"/>
      <c r="BW1960" s="1451"/>
      <c r="CF1960" s="1451"/>
      <c r="CN1960" s="1451"/>
      <c r="CO1960" s="1530"/>
      <c r="CP1960" s="1530"/>
      <c r="CQ1960" s="1530"/>
      <c r="CR1960" s="1530"/>
      <c r="CS1960" s="1530"/>
      <c r="CT1960" s="1530"/>
      <c r="CU1960" s="1530"/>
      <c r="CV1960" s="1530"/>
      <c r="CW1960" s="1530"/>
      <c r="CX1960" s="1530"/>
      <c r="CY1960" s="1530"/>
      <c r="CZ1960" s="1530"/>
      <c r="DA1960" s="1530"/>
      <c r="DB1960" s="1530"/>
      <c r="DC1960" s="1530"/>
      <c r="DD1960" s="1530"/>
      <c r="DE1960" s="1530"/>
      <c r="DF1960" s="1530"/>
      <c r="DG1960" s="1530"/>
      <c r="DH1960" s="1530"/>
      <c r="DI1960" s="1530"/>
      <c r="DJ1960" s="1530"/>
      <c r="DK1960" s="1530"/>
      <c r="DL1960" s="1530"/>
      <c r="DM1960" s="1530"/>
      <c r="DN1960" s="1571"/>
      <c r="DO1960" s="1530"/>
      <c r="DP1960" s="1530"/>
    </row>
    <row r="1961" spans="1:120">
      <c r="A1961" s="1451"/>
      <c r="C1961" s="1451"/>
      <c r="K1961" s="1451"/>
      <c r="L1961" s="1451"/>
      <c r="U1961" s="1451"/>
      <c r="AD1961" s="1451"/>
      <c r="AM1961" s="1451"/>
      <c r="AV1961" s="1451"/>
      <c r="BE1961" s="1451"/>
      <c r="BN1961" s="1451"/>
      <c r="BV1961" s="1451"/>
      <c r="BW1961" s="1451"/>
      <c r="CF1961" s="1451"/>
      <c r="CN1961" s="1451"/>
      <c r="CO1961" s="1530"/>
      <c r="CP1961" s="1530"/>
      <c r="CQ1961" s="1530"/>
      <c r="CR1961" s="1530"/>
      <c r="CS1961" s="1530"/>
      <c r="CT1961" s="1530"/>
      <c r="CU1961" s="1530"/>
      <c r="CV1961" s="1530"/>
      <c r="CW1961" s="1530"/>
      <c r="CX1961" s="1530"/>
      <c r="CY1961" s="1530"/>
      <c r="CZ1961" s="1530"/>
      <c r="DA1961" s="1530"/>
      <c r="DB1961" s="1530"/>
      <c r="DC1961" s="1530"/>
      <c r="DD1961" s="1530"/>
      <c r="DE1961" s="1530"/>
      <c r="DF1961" s="1530"/>
      <c r="DG1961" s="1530"/>
      <c r="DH1961" s="1530"/>
      <c r="DI1961" s="1530"/>
      <c r="DJ1961" s="1530"/>
      <c r="DK1961" s="1530"/>
      <c r="DL1961" s="1530"/>
      <c r="DM1961" s="1530"/>
      <c r="DN1961" s="1571"/>
      <c r="DO1961" s="1530"/>
      <c r="DP1961" s="1530"/>
    </row>
    <row r="1962" spans="1:120">
      <c r="A1962" s="1451"/>
      <c r="C1962" s="1451"/>
      <c r="K1962" s="1451"/>
      <c r="L1962" s="1451"/>
      <c r="U1962" s="1451"/>
      <c r="AD1962" s="1451"/>
      <c r="AM1962" s="1451"/>
      <c r="AV1962" s="1451"/>
      <c r="BE1962" s="1451"/>
      <c r="BN1962" s="1451"/>
      <c r="BV1962" s="1451"/>
      <c r="BW1962" s="1451"/>
      <c r="CF1962" s="1451"/>
      <c r="CN1962" s="1451"/>
      <c r="CO1962" s="1530"/>
      <c r="CP1962" s="1530"/>
      <c r="CQ1962" s="1530"/>
      <c r="CR1962" s="1530"/>
      <c r="CS1962" s="1530"/>
      <c r="CT1962" s="1530"/>
      <c r="CU1962" s="1530"/>
      <c r="CV1962" s="1530"/>
      <c r="CW1962" s="1530"/>
      <c r="CX1962" s="1530"/>
      <c r="CY1962" s="1530"/>
      <c r="CZ1962" s="1530"/>
      <c r="DA1962" s="1530"/>
      <c r="DB1962" s="1530"/>
      <c r="DC1962" s="1530"/>
      <c r="DD1962" s="1530"/>
      <c r="DE1962" s="1530"/>
      <c r="DF1962" s="1530"/>
      <c r="DG1962" s="1530"/>
      <c r="DH1962" s="1530"/>
      <c r="DI1962" s="1530"/>
      <c r="DJ1962" s="1530"/>
      <c r="DK1962" s="1530"/>
      <c r="DL1962" s="1530"/>
      <c r="DM1962" s="1530"/>
      <c r="DN1962" s="1571"/>
      <c r="DO1962" s="1530"/>
      <c r="DP1962" s="1530"/>
    </row>
    <row r="1963" spans="1:120">
      <c r="A1963" s="1451"/>
      <c r="C1963" s="1451"/>
      <c r="K1963" s="1451"/>
      <c r="L1963" s="1451"/>
      <c r="U1963" s="1451"/>
      <c r="AD1963" s="1451"/>
      <c r="AM1963" s="1451"/>
      <c r="AV1963" s="1451"/>
      <c r="BE1963" s="1451"/>
      <c r="BN1963" s="1451"/>
      <c r="BV1963" s="1451"/>
      <c r="BW1963" s="1451"/>
      <c r="CF1963" s="1451"/>
      <c r="CN1963" s="1451"/>
      <c r="CO1963" s="1530"/>
      <c r="CP1963" s="1530"/>
      <c r="CQ1963" s="1530"/>
      <c r="CR1963" s="1530"/>
      <c r="CS1963" s="1530"/>
      <c r="CT1963" s="1530"/>
      <c r="CU1963" s="1530"/>
      <c r="CV1963" s="1530"/>
      <c r="CW1963" s="1530"/>
      <c r="CX1963" s="1530"/>
      <c r="CY1963" s="1530"/>
      <c r="CZ1963" s="1530"/>
      <c r="DA1963" s="1530"/>
      <c r="DB1963" s="1530"/>
      <c r="DC1963" s="1530"/>
      <c r="DD1963" s="1530"/>
      <c r="DE1963" s="1530"/>
      <c r="DF1963" s="1530"/>
      <c r="DG1963" s="1530"/>
      <c r="DH1963" s="1530"/>
      <c r="DI1963" s="1530"/>
      <c r="DJ1963" s="1530"/>
      <c r="DK1963" s="1530"/>
      <c r="DL1963" s="1530"/>
      <c r="DM1963" s="1530"/>
      <c r="DN1963" s="1571"/>
      <c r="DO1963" s="1530"/>
      <c r="DP1963" s="1530"/>
    </row>
    <row r="1964" spans="1:120">
      <c r="A1964" s="1451"/>
      <c r="C1964" s="1451"/>
      <c r="K1964" s="1451"/>
      <c r="L1964" s="1451"/>
      <c r="U1964" s="1451"/>
      <c r="AD1964" s="1451"/>
      <c r="AM1964" s="1451"/>
      <c r="AV1964" s="1451"/>
      <c r="BE1964" s="1451"/>
      <c r="BN1964" s="1451"/>
      <c r="BV1964" s="1451"/>
      <c r="BW1964" s="1451"/>
      <c r="CF1964" s="1451"/>
      <c r="CN1964" s="1451"/>
      <c r="CO1964" s="1530"/>
      <c r="CP1964" s="1530"/>
      <c r="CQ1964" s="1530"/>
      <c r="CR1964" s="1530"/>
      <c r="CS1964" s="1530"/>
      <c r="CT1964" s="1530"/>
      <c r="CU1964" s="1530"/>
      <c r="CV1964" s="1530"/>
      <c r="CW1964" s="1530"/>
      <c r="CX1964" s="1530"/>
      <c r="CY1964" s="1530"/>
      <c r="CZ1964" s="1530"/>
      <c r="DA1964" s="1530"/>
      <c r="DB1964" s="1530"/>
      <c r="DC1964" s="1530"/>
      <c r="DD1964" s="1530"/>
      <c r="DE1964" s="1530"/>
      <c r="DF1964" s="1530"/>
      <c r="DG1964" s="1530"/>
      <c r="DH1964" s="1530"/>
      <c r="DI1964" s="1530"/>
      <c r="DJ1964" s="1530"/>
      <c r="DK1964" s="1530"/>
      <c r="DL1964" s="1530"/>
      <c r="DM1964" s="1530"/>
      <c r="DN1964" s="1571"/>
      <c r="DO1964" s="1530"/>
      <c r="DP1964" s="1530"/>
    </row>
    <row r="1965" spans="1:120">
      <c r="A1965" s="1451"/>
      <c r="C1965" s="1451"/>
      <c r="K1965" s="1451"/>
      <c r="L1965" s="1451"/>
      <c r="U1965" s="1451"/>
      <c r="AD1965" s="1451"/>
      <c r="AM1965" s="1451"/>
      <c r="AV1965" s="1451"/>
      <c r="BE1965" s="1451"/>
      <c r="BN1965" s="1451"/>
      <c r="BV1965" s="1451"/>
      <c r="BW1965" s="1451"/>
      <c r="CF1965" s="1451"/>
      <c r="CN1965" s="1451"/>
      <c r="CO1965" s="1530"/>
      <c r="CP1965" s="1530"/>
      <c r="CQ1965" s="1530"/>
      <c r="CR1965" s="1530"/>
      <c r="CS1965" s="1530"/>
      <c r="CT1965" s="1530"/>
      <c r="CU1965" s="1530"/>
      <c r="CV1965" s="1530"/>
      <c r="CW1965" s="1530"/>
      <c r="CX1965" s="1530"/>
      <c r="CY1965" s="1530"/>
      <c r="CZ1965" s="1530"/>
      <c r="DA1965" s="1530"/>
      <c r="DB1965" s="1530"/>
      <c r="DC1965" s="1530"/>
      <c r="DD1965" s="1530"/>
      <c r="DE1965" s="1530"/>
      <c r="DF1965" s="1530"/>
      <c r="DG1965" s="1530"/>
      <c r="DH1965" s="1530"/>
      <c r="DI1965" s="1530"/>
      <c r="DJ1965" s="1530"/>
      <c r="DK1965" s="1530"/>
      <c r="DL1965" s="1530"/>
      <c r="DM1965" s="1530"/>
      <c r="DN1965" s="1571"/>
      <c r="DO1965" s="1530"/>
      <c r="DP1965" s="1530"/>
    </row>
    <row r="1966" spans="1:120">
      <c r="A1966" s="1451"/>
      <c r="C1966" s="1451"/>
      <c r="K1966" s="1451"/>
      <c r="L1966" s="1451"/>
      <c r="U1966" s="1451"/>
      <c r="AD1966" s="1451"/>
      <c r="AM1966" s="1451"/>
      <c r="AV1966" s="1451"/>
      <c r="BE1966" s="1451"/>
      <c r="BN1966" s="1451"/>
      <c r="BV1966" s="1451"/>
      <c r="BW1966" s="1451"/>
      <c r="CF1966" s="1451"/>
      <c r="CN1966" s="1451"/>
      <c r="CO1966" s="1530"/>
      <c r="CP1966" s="1530"/>
      <c r="CQ1966" s="1530"/>
      <c r="CR1966" s="1530"/>
      <c r="CS1966" s="1530"/>
      <c r="CT1966" s="1530"/>
      <c r="CU1966" s="1530"/>
      <c r="CV1966" s="1530"/>
      <c r="CW1966" s="1530"/>
      <c r="CX1966" s="1530"/>
      <c r="CY1966" s="1530"/>
      <c r="CZ1966" s="1530"/>
      <c r="DA1966" s="1530"/>
      <c r="DB1966" s="1530"/>
      <c r="DC1966" s="1530"/>
      <c r="DD1966" s="1530"/>
      <c r="DE1966" s="1530"/>
      <c r="DF1966" s="1530"/>
      <c r="DG1966" s="1530"/>
      <c r="DH1966" s="1530"/>
      <c r="DI1966" s="1530"/>
      <c r="DJ1966" s="1530"/>
      <c r="DK1966" s="1530"/>
      <c r="DL1966" s="1530"/>
      <c r="DM1966" s="1530"/>
      <c r="DN1966" s="1571"/>
      <c r="DO1966" s="1530"/>
      <c r="DP1966" s="1530"/>
    </row>
    <row r="1967" spans="1:120">
      <c r="A1967" s="1451"/>
      <c r="C1967" s="1451"/>
      <c r="K1967" s="1451"/>
      <c r="L1967" s="1451"/>
      <c r="U1967" s="1451"/>
      <c r="AD1967" s="1451"/>
      <c r="AM1967" s="1451"/>
      <c r="AV1967" s="1451"/>
      <c r="BE1967" s="1451"/>
      <c r="BN1967" s="1451"/>
      <c r="BV1967" s="1451"/>
      <c r="BW1967" s="1451"/>
      <c r="CF1967" s="1451"/>
      <c r="CN1967" s="1451"/>
      <c r="CO1967" s="1530"/>
      <c r="CP1967" s="1530"/>
      <c r="CQ1967" s="1530"/>
      <c r="CR1967" s="1530"/>
      <c r="CS1967" s="1530"/>
      <c r="CT1967" s="1530"/>
      <c r="CU1967" s="1530"/>
      <c r="CV1967" s="1530"/>
      <c r="CW1967" s="1530"/>
      <c r="CX1967" s="1530"/>
      <c r="CY1967" s="1530"/>
      <c r="CZ1967" s="1530"/>
      <c r="DA1967" s="1530"/>
      <c r="DB1967" s="1530"/>
      <c r="DC1967" s="1530"/>
      <c r="DD1967" s="1530"/>
      <c r="DE1967" s="1530"/>
      <c r="DF1967" s="1530"/>
      <c r="DG1967" s="1530"/>
      <c r="DH1967" s="1530"/>
      <c r="DI1967" s="1530"/>
      <c r="DJ1967" s="1530"/>
      <c r="DK1967" s="1530"/>
      <c r="DL1967" s="1530"/>
      <c r="DM1967" s="1530"/>
      <c r="DN1967" s="1571"/>
      <c r="DO1967" s="1530"/>
      <c r="DP1967" s="1530"/>
    </row>
    <row r="1968" spans="1:120">
      <c r="A1968" s="1451"/>
      <c r="C1968" s="1451"/>
      <c r="K1968" s="1451"/>
      <c r="L1968" s="1451"/>
      <c r="U1968" s="1451"/>
      <c r="AD1968" s="1451"/>
      <c r="AM1968" s="1451"/>
      <c r="AV1968" s="1451"/>
      <c r="BE1968" s="1451"/>
      <c r="BN1968" s="1451"/>
      <c r="BV1968" s="1451"/>
      <c r="BW1968" s="1451"/>
      <c r="CF1968" s="1451"/>
      <c r="CN1968" s="1451"/>
      <c r="CO1968" s="1530"/>
      <c r="CP1968" s="1530"/>
      <c r="CQ1968" s="1530"/>
      <c r="CR1968" s="1530"/>
      <c r="CS1968" s="1530"/>
      <c r="CT1968" s="1530"/>
      <c r="CU1968" s="1530"/>
      <c r="CV1968" s="1530"/>
      <c r="CW1968" s="1530"/>
      <c r="CX1968" s="1530"/>
      <c r="CY1968" s="1530"/>
      <c r="CZ1968" s="1530"/>
      <c r="DA1968" s="1530"/>
      <c r="DB1968" s="1530"/>
      <c r="DC1968" s="1530"/>
      <c r="DD1968" s="1530"/>
      <c r="DE1968" s="1530"/>
      <c r="DF1968" s="1530"/>
      <c r="DG1968" s="1530"/>
      <c r="DH1968" s="1530"/>
      <c r="DI1968" s="1530"/>
      <c r="DJ1968" s="1530"/>
      <c r="DK1968" s="1530"/>
      <c r="DL1968" s="1530"/>
      <c r="DM1968" s="1530"/>
      <c r="DN1968" s="1571"/>
      <c r="DO1968" s="1530"/>
      <c r="DP1968" s="1530"/>
    </row>
    <row r="1969" spans="1:120">
      <c r="A1969" s="1451"/>
      <c r="C1969" s="1451"/>
      <c r="K1969" s="1451"/>
      <c r="L1969" s="1451"/>
      <c r="U1969" s="1451"/>
      <c r="AD1969" s="1451"/>
      <c r="AM1969" s="1451"/>
      <c r="AV1969" s="1451"/>
      <c r="BE1969" s="1451"/>
      <c r="BN1969" s="1451"/>
      <c r="BV1969" s="1451"/>
      <c r="BW1969" s="1451"/>
      <c r="CF1969" s="1451"/>
      <c r="CN1969" s="1451"/>
      <c r="CO1969" s="1530"/>
      <c r="CP1969" s="1530"/>
      <c r="CQ1969" s="1530"/>
      <c r="CR1969" s="1530"/>
      <c r="CS1969" s="1530"/>
      <c r="CT1969" s="1530"/>
      <c r="CU1969" s="1530"/>
      <c r="CV1969" s="1530"/>
      <c r="CW1969" s="1530"/>
      <c r="CX1969" s="1530"/>
      <c r="CY1969" s="1530"/>
      <c r="CZ1969" s="1530"/>
      <c r="DA1969" s="1530"/>
      <c r="DB1969" s="1530"/>
      <c r="DC1969" s="1530"/>
      <c r="DD1969" s="1530"/>
      <c r="DE1969" s="1530"/>
      <c r="DF1969" s="1530"/>
      <c r="DG1969" s="1530"/>
      <c r="DH1969" s="1530"/>
      <c r="DI1969" s="1530"/>
      <c r="DJ1969" s="1530"/>
      <c r="DK1969" s="1530"/>
      <c r="DL1969" s="1530"/>
      <c r="DM1969" s="1530"/>
      <c r="DN1969" s="1571"/>
      <c r="DO1969" s="1530"/>
      <c r="DP1969" s="1530"/>
    </row>
    <row r="1970" spans="1:120">
      <c r="A1970" s="1451"/>
      <c r="C1970" s="1451"/>
      <c r="K1970" s="1451"/>
      <c r="L1970" s="1451"/>
      <c r="U1970" s="1451"/>
      <c r="AD1970" s="1451"/>
      <c r="AM1970" s="1451"/>
      <c r="AV1970" s="1451"/>
      <c r="BE1970" s="1451"/>
      <c r="BN1970" s="1451"/>
      <c r="BV1970" s="1451"/>
      <c r="BW1970" s="1451"/>
      <c r="CF1970" s="1451"/>
      <c r="CN1970" s="1451"/>
      <c r="CO1970" s="1530"/>
      <c r="CP1970" s="1530"/>
      <c r="CQ1970" s="1530"/>
      <c r="CR1970" s="1530"/>
      <c r="CS1970" s="1530"/>
      <c r="CT1970" s="1530"/>
      <c r="CU1970" s="1530"/>
      <c r="CV1970" s="1530"/>
      <c r="CW1970" s="1530"/>
      <c r="CX1970" s="1530"/>
      <c r="CY1970" s="1530"/>
      <c r="CZ1970" s="1530"/>
      <c r="DA1970" s="1530"/>
      <c r="DB1970" s="1530"/>
      <c r="DC1970" s="1530"/>
      <c r="DD1970" s="1530"/>
      <c r="DE1970" s="1530"/>
      <c r="DF1970" s="1530"/>
      <c r="DG1970" s="1530"/>
      <c r="DH1970" s="1530"/>
      <c r="DI1970" s="1530"/>
      <c r="DJ1970" s="1530"/>
      <c r="DK1970" s="1530"/>
      <c r="DL1970" s="1530"/>
      <c r="DM1970" s="1530"/>
      <c r="DN1970" s="1571"/>
      <c r="DO1970" s="1530"/>
      <c r="DP1970" s="1530"/>
    </row>
    <row r="1971" spans="1:120">
      <c r="A1971" s="1451"/>
      <c r="C1971" s="1451"/>
      <c r="K1971" s="1451"/>
      <c r="L1971" s="1451"/>
      <c r="U1971" s="1451"/>
      <c r="AD1971" s="1451"/>
      <c r="AM1971" s="1451"/>
      <c r="AV1971" s="1451"/>
      <c r="BE1971" s="1451"/>
      <c r="BN1971" s="1451"/>
      <c r="BV1971" s="1451"/>
      <c r="BW1971" s="1451"/>
      <c r="CF1971" s="1451"/>
      <c r="CN1971" s="1451"/>
      <c r="CO1971" s="1530"/>
      <c r="CP1971" s="1530"/>
      <c r="CQ1971" s="1530"/>
      <c r="CR1971" s="1530"/>
      <c r="CS1971" s="1530"/>
      <c r="CT1971" s="1530"/>
      <c r="CU1971" s="1530"/>
      <c r="CV1971" s="1530"/>
      <c r="CW1971" s="1530"/>
      <c r="CX1971" s="1530"/>
      <c r="CY1971" s="1530"/>
      <c r="CZ1971" s="1530"/>
      <c r="DA1971" s="1530"/>
      <c r="DB1971" s="1530"/>
      <c r="DC1971" s="1530"/>
      <c r="DD1971" s="1530"/>
      <c r="DE1971" s="1530"/>
      <c r="DF1971" s="1530"/>
      <c r="DG1971" s="1530"/>
      <c r="DH1971" s="1530"/>
      <c r="DI1971" s="1530"/>
      <c r="DJ1971" s="1530"/>
      <c r="DK1971" s="1530"/>
      <c r="DL1971" s="1530"/>
      <c r="DM1971" s="1530"/>
      <c r="DN1971" s="1571"/>
      <c r="DO1971" s="1530"/>
      <c r="DP1971" s="1530"/>
    </row>
    <row r="1972" spans="1:120">
      <c r="A1972" s="1451"/>
      <c r="C1972" s="1451"/>
      <c r="K1972" s="1451"/>
      <c r="L1972" s="1451"/>
      <c r="U1972" s="1451"/>
      <c r="AD1972" s="1451"/>
      <c r="AM1972" s="1451"/>
      <c r="AV1972" s="1451"/>
      <c r="BE1972" s="1451"/>
      <c r="BN1972" s="1451"/>
      <c r="BV1972" s="1451"/>
      <c r="BW1972" s="1451"/>
      <c r="CF1972" s="1451"/>
      <c r="CN1972" s="1451"/>
      <c r="CO1972" s="1530"/>
      <c r="CP1972" s="1530"/>
      <c r="CQ1972" s="1530"/>
      <c r="CR1972" s="1530"/>
      <c r="CS1972" s="1530"/>
      <c r="CT1972" s="1530"/>
      <c r="CU1972" s="1530"/>
      <c r="CV1972" s="1530"/>
      <c r="CW1972" s="1530"/>
      <c r="CX1972" s="1530"/>
      <c r="CY1972" s="1530"/>
      <c r="CZ1972" s="1530"/>
      <c r="DA1972" s="1530"/>
      <c r="DB1972" s="1530"/>
      <c r="DC1972" s="1530"/>
      <c r="DD1972" s="1530"/>
      <c r="DE1972" s="1530"/>
      <c r="DF1972" s="1530"/>
      <c r="DG1972" s="1530"/>
      <c r="DH1972" s="1530"/>
      <c r="DI1972" s="1530"/>
      <c r="DJ1972" s="1530"/>
      <c r="DK1972" s="1530"/>
      <c r="DL1972" s="1530"/>
      <c r="DM1972" s="1530"/>
      <c r="DN1972" s="1571"/>
      <c r="DO1972" s="1530"/>
      <c r="DP1972" s="1530"/>
    </row>
    <row r="1973" spans="1:120">
      <c r="A1973" s="1451"/>
      <c r="C1973" s="1451"/>
      <c r="K1973" s="1451"/>
      <c r="L1973" s="1451"/>
      <c r="U1973" s="1451"/>
      <c r="AD1973" s="1451"/>
      <c r="AM1973" s="1451"/>
      <c r="AV1973" s="1451"/>
      <c r="BE1973" s="1451"/>
      <c r="BN1973" s="1451"/>
      <c r="BV1973" s="1451"/>
      <c r="BW1973" s="1451"/>
      <c r="CF1973" s="1451"/>
      <c r="CN1973" s="1451"/>
      <c r="CO1973" s="1530"/>
      <c r="CP1973" s="1530"/>
      <c r="CQ1973" s="1530"/>
      <c r="CR1973" s="1530"/>
      <c r="CS1973" s="1530"/>
      <c r="CT1973" s="1530"/>
      <c r="CU1973" s="1530"/>
      <c r="CV1973" s="1530"/>
      <c r="CW1973" s="1530"/>
      <c r="CX1973" s="1530"/>
      <c r="CY1973" s="1530"/>
      <c r="CZ1973" s="1530"/>
      <c r="DA1973" s="1530"/>
      <c r="DB1973" s="1530"/>
      <c r="DC1973" s="1530"/>
      <c r="DD1973" s="1530"/>
      <c r="DE1973" s="1530"/>
      <c r="DF1973" s="1530"/>
      <c r="DG1973" s="1530"/>
      <c r="DH1973" s="1530"/>
      <c r="DI1973" s="1530"/>
      <c r="DJ1973" s="1530"/>
      <c r="DK1973" s="1530"/>
      <c r="DL1973" s="1530"/>
      <c r="DM1973" s="1530"/>
      <c r="DN1973" s="1571"/>
      <c r="DO1973" s="1530"/>
      <c r="DP1973" s="1530"/>
    </row>
    <row r="1974" spans="1:120">
      <c r="A1974" s="1451"/>
      <c r="C1974" s="1451"/>
      <c r="K1974" s="1451"/>
      <c r="L1974" s="1451"/>
      <c r="U1974" s="1451"/>
      <c r="AD1974" s="1451"/>
      <c r="AM1974" s="1451"/>
      <c r="AV1974" s="1451"/>
      <c r="BE1974" s="1451"/>
      <c r="BN1974" s="1451"/>
      <c r="BV1974" s="1451"/>
      <c r="BW1974" s="1451"/>
      <c r="CF1974" s="1451"/>
      <c r="CN1974" s="1451"/>
      <c r="CO1974" s="1530"/>
      <c r="CP1974" s="1530"/>
      <c r="CQ1974" s="1530"/>
      <c r="CR1974" s="1530"/>
      <c r="CS1974" s="1530"/>
      <c r="CT1974" s="1530"/>
      <c r="CU1974" s="1530"/>
      <c r="CV1974" s="1530"/>
      <c r="CW1974" s="1530"/>
      <c r="CX1974" s="1530"/>
      <c r="CY1974" s="1530"/>
      <c r="CZ1974" s="1530"/>
      <c r="DA1974" s="1530"/>
      <c r="DB1974" s="1530"/>
      <c r="DC1974" s="1530"/>
      <c r="DD1974" s="1530"/>
      <c r="DE1974" s="1530"/>
      <c r="DF1974" s="1530"/>
      <c r="DG1974" s="1530"/>
      <c r="DH1974" s="1530"/>
      <c r="DI1974" s="1530"/>
      <c r="DJ1974" s="1530"/>
      <c r="DK1974" s="1530"/>
      <c r="DL1974" s="1530"/>
      <c r="DM1974" s="1530"/>
      <c r="DN1974" s="1571"/>
      <c r="DO1974" s="1530"/>
      <c r="DP1974" s="1530"/>
    </row>
    <row r="1975" spans="1:120">
      <c r="A1975" s="1451"/>
      <c r="C1975" s="1451"/>
      <c r="K1975" s="1451"/>
      <c r="L1975" s="1451"/>
      <c r="U1975" s="1451"/>
      <c r="AD1975" s="1451"/>
      <c r="AM1975" s="1451"/>
      <c r="AV1975" s="1451"/>
      <c r="BE1975" s="1451"/>
      <c r="BN1975" s="1451"/>
      <c r="BV1975" s="1451"/>
      <c r="BW1975" s="1451"/>
      <c r="CF1975" s="1451"/>
      <c r="CN1975" s="1451"/>
      <c r="CO1975" s="1530"/>
      <c r="CP1975" s="1530"/>
      <c r="CQ1975" s="1530"/>
      <c r="CR1975" s="1530"/>
      <c r="CS1975" s="1530"/>
      <c r="CT1975" s="1530"/>
      <c r="CU1975" s="1530"/>
      <c r="CV1975" s="1530"/>
      <c r="CW1975" s="1530"/>
      <c r="CX1975" s="1530"/>
      <c r="CY1975" s="1530"/>
      <c r="CZ1975" s="1530"/>
      <c r="DA1975" s="1530"/>
      <c r="DB1975" s="1530"/>
      <c r="DC1975" s="1530"/>
      <c r="DD1975" s="1530"/>
      <c r="DE1975" s="1530"/>
      <c r="DF1975" s="1530"/>
      <c r="DG1975" s="1530"/>
      <c r="DH1975" s="1530"/>
      <c r="DI1975" s="1530"/>
      <c r="DJ1975" s="1530"/>
      <c r="DK1975" s="1530"/>
      <c r="DL1975" s="1530"/>
      <c r="DM1975" s="1530"/>
      <c r="DN1975" s="1571"/>
      <c r="DO1975" s="1530"/>
      <c r="DP1975" s="1530"/>
    </row>
    <row r="1976" spans="1:120">
      <c r="A1976" s="1451"/>
      <c r="C1976" s="1451"/>
      <c r="K1976" s="1451"/>
      <c r="L1976" s="1451"/>
      <c r="U1976" s="1451"/>
      <c r="AD1976" s="1451"/>
      <c r="AM1976" s="1451"/>
      <c r="AV1976" s="1451"/>
      <c r="BE1976" s="1451"/>
      <c r="BN1976" s="1451"/>
      <c r="BV1976" s="1451"/>
      <c r="BW1976" s="1451"/>
      <c r="CF1976" s="1451"/>
      <c r="CN1976" s="1451"/>
      <c r="CO1976" s="1530"/>
      <c r="CP1976" s="1530"/>
      <c r="CQ1976" s="1530"/>
      <c r="CR1976" s="1530"/>
      <c r="CS1976" s="1530"/>
      <c r="CT1976" s="1530"/>
      <c r="CU1976" s="1530"/>
      <c r="CV1976" s="1530"/>
      <c r="CW1976" s="1530"/>
      <c r="CX1976" s="1530"/>
      <c r="CY1976" s="1530"/>
      <c r="CZ1976" s="1530"/>
      <c r="DA1976" s="1530"/>
      <c r="DB1976" s="1530"/>
      <c r="DC1976" s="1530"/>
      <c r="DD1976" s="1530"/>
      <c r="DE1976" s="1530"/>
      <c r="DF1976" s="1530"/>
      <c r="DG1976" s="1530"/>
      <c r="DH1976" s="1530"/>
      <c r="DI1976" s="1530"/>
      <c r="DJ1976" s="1530"/>
      <c r="DK1976" s="1530"/>
      <c r="DL1976" s="1530"/>
      <c r="DM1976" s="1530"/>
      <c r="DN1976" s="1571"/>
      <c r="DO1976" s="1530"/>
      <c r="DP1976" s="1530"/>
    </row>
    <row r="1977" spans="1:120">
      <c r="A1977" s="1451"/>
      <c r="C1977" s="1451"/>
      <c r="K1977" s="1451"/>
      <c r="L1977" s="1451"/>
      <c r="U1977" s="1451"/>
      <c r="AD1977" s="1451"/>
      <c r="AM1977" s="1451"/>
      <c r="AV1977" s="1451"/>
      <c r="BE1977" s="1451"/>
      <c r="BN1977" s="1451"/>
      <c r="BV1977" s="1451"/>
      <c r="BW1977" s="1451"/>
      <c r="CF1977" s="1451"/>
      <c r="CN1977" s="1451"/>
      <c r="CO1977" s="1530"/>
      <c r="CP1977" s="1530"/>
      <c r="CQ1977" s="1530"/>
      <c r="CR1977" s="1530"/>
      <c r="CS1977" s="1530"/>
      <c r="CT1977" s="1530"/>
      <c r="CU1977" s="1530"/>
      <c r="CV1977" s="1530"/>
      <c r="CW1977" s="1530"/>
      <c r="CX1977" s="1530"/>
      <c r="CY1977" s="1530"/>
      <c r="CZ1977" s="1530"/>
      <c r="DA1977" s="1530"/>
      <c r="DB1977" s="1530"/>
      <c r="DC1977" s="1530"/>
      <c r="DD1977" s="1530"/>
      <c r="DE1977" s="1530"/>
      <c r="DF1977" s="1530"/>
      <c r="DG1977" s="1530"/>
      <c r="DH1977" s="1530"/>
      <c r="DI1977" s="1530"/>
      <c r="DJ1977" s="1530"/>
      <c r="DK1977" s="1530"/>
      <c r="DL1977" s="1530"/>
      <c r="DM1977" s="1530"/>
      <c r="DN1977" s="1571"/>
      <c r="DO1977" s="1530"/>
      <c r="DP1977" s="1530"/>
    </row>
    <row r="1978" spans="1:120">
      <c r="A1978" s="1451"/>
      <c r="C1978" s="1451"/>
      <c r="K1978" s="1451"/>
      <c r="L1978" s="1451"/>
      <c r="U1978" s="1451"/>
      <c r="AD1978" s="1451"/>
      <c r="AM1978" s="1451"/>
      <c r="AV1978" s="1451"/>
      <c r="BE1978" s="1451"/>
      <c r="BN1978" s="1451"/>
      <c r="BV1978" s="1451"/>
      <c r="BW1978" s="1451"/>
      <c r="CF1978" s="1451"/>
      <c r="CN1978" s="1451"/>
      <c r="CO1978" s="1530"/>
      <c r="CP1978" s="1530"/>
      <c r="CQ1978" s="1530"/>
      <c r="CR1978" s="1530"/>
      <c r="CS1978" s="1530"/>
      <c r="CT1978" s="1530"/>
      <c r="CU1978" s="1530"/>
      <c r="CV1978" s="1530"/>
      <c r="CW1978" s="1530"/>
      <c r="CX1978" s="1530"/>
      <c r="CY1978" s="1530"/>
      <c r="CZ1978" s="1530"/>
      <c r="DA1978" s="1530"/>
      <c r="DB1978" s="1530"/>
      <c r="DC1978" s="1530"/>
      <c r="DD1978" s="1530"/>
      <c r="DE1978" s="1530"/>
      <c r="DF1978" s="1530"/>
      <c r="DG1978" s="1530"/>
      <c r="DH1978" s="1530"/>
      <c r="DI1978" s="1530"/>
      <c r="DJ1978" s="1530"/>
      <c r="DK1978" s="1530"/>
      <c r="DL1978" s="1530"/>
      <c r="DM1978" s="1530"/>
      <c r="DN1978" s="1571"/>
      <c r="DO1978" s="1530"/>
      <c r="DP1978" s="1530"/>
    </row>
    <row r="1979" spans="1:120">
      <c r="A1979" s="1451"/>
      <c r="C1979" s="1451"/>
      <c r="K1979" s="1451"/>
      <c r="L1979" s="1451"/>
      <c r="U1979" s="1451"/>
      <c r="AD1979" s="1451"/>
      <c r="AM1979" s="1451"/>
      <c r="AV1979" s="1451"/>
      <c r="BE1979" s="1451"/>
      <c r="BN1979" s="1451"/>
      <c r="BV1979" s="1451"/>
      <c r="BW1979" s="1451"/>
      <c r="CF1979" s="1451"/>
      <c r="CN1979" s="1451"/>
      <c r="CO1979" s="1530"/>
      <c r="CP1979" s="1530"/>
      <c r="CQ1979" s="1530"/>
      <c r="CR1979" s="1530"/>
      <c r="CS1979" s="1530"/>
      <c r="CT1979" s="1530"/>
      <c r="CU1979" s="1530"/>
      <c r="CV1979" s="1530"/>
      <c r="CW1979" s="1530"/>
      <c r="CX1979" s="1530"/>
      <c r="CY1979" s="1530"/>
      <c r="CZ1979" s="1530"/>
      <c r="DA1979" s="1530"/>
      <c r="DB1979" s="1530"/>
      <c r="DC1979" s="1530"/>
      <c r="DD1979" s="1530"/>
      <c r="DE1979" s="1530"/>
      <c r="DF1979" s="1530"/>
      <c r="DG1979" s="1530"/>
      <c r="DH1979" s="1530"/>
      <c r="DI1979" s="1530"/>
      <c r="DJ1979" s="1530"/>
      <c r="DK1979" s="1530"/>
      <c r="DL1979" s="1530"/>
      <c r="DM1979" s="1530"/>
      <c r="DN1979" s="1571"/>
      <c r="DO1979" s="1530"/>
      <c r="DP1979" s="1530"/>
    </row>
    <row r="1980" spans="1:120">
      <c r="A1980" s="1451"/>
      <c r="C1980" s="1451"/>
      <c r="K1980" s="1451"/>
      <c r="L1980" s="1451"/>
      <c r="U1980" s="1451"/>
      <c r="AD1980" s="1451"/>
      <c r="AM1980" s="1451"/>
      <c r="AV1980" s="1451"/>
      <c r="BE1980" s="1451"/>
      <c r="BN1980" s="1451"/>
      <c r="BV1980" s="1451"/>
      <c r="BW1980" s="1451"/>
      <c r="CF1980" s="1451"/>
      <c r="CN1980" s="1451"/>
      <c r="CO1980" s="1530"/>
      <c r="CP1980" s="1530"/>
      <c r="CQ1980" s="1530"/>
      <c r="CR1980" s="1530"/>
      <c r="CS1980" s="1530"/>
      <c r="CT1980" s="1530"/>
      <c r="CU1980" s="1530"/>
      <c r="CV1980" s="1530"/>
      <c r="CW1980" s="1530"/>
      <c r="CX1980" s="1530"/>
      <c r="CY1980" s="1530"/>
      <c r="CZ1980" s="1530"/>
      <c r="DA1980" s="1530"/>
      <c r="DB1980" s="1530"/>
      <c r="DC1980" s="1530"/>
      <c r="DD1980" s="1530"/>
      <c r="DE1980" s="1530"/>
      <c r="DF1980" s="1530"/>
      <c r="DG1980" s="1530"/>
      <c r="DH1980" s="1530"/>
      <c r="DI1980" s="1530"/>
      <c r="DJ1980" s="1530"/>
      <c r="DK1980" s="1530"/>
      <c r="DL1980" s="1530"/>
      <c r="DM1980" s="1530"/>
      <c r="DN1980" s="1571"/>
      <c r="DO1980" s="1530"/>
      <c r="DP1980" s="1530"/>
    </row>
    <row r="1981" spans="1:120">
      <c r="A1981" s="1451"/>
      <c r="C1981" s="1451"/>
      <c r="K1981" s="1451"/>
      <c r="L1981" s="1451"/>
      <c r="U1981" s="1451"/>
      <c r="AD1981" s="1451"/>
      <c r="AM1981" s="1451"/>
      <c r="AV1981" s="1451"/>
      <c r="BE1981" s="1451"/>
      <c r="BN1981" s="1451"/>
      <c r="BV1981" s="1451"/>
      <c r="BW1981" s="1451"/>
      <c r="CF1981" s="1451"/>
      <c r="CN1981" s="1451"/>
      <c r="CO1981" s="1530"/>
      <c r="CP1981" s="1530"/>
      <c r="CQ1981" s="1530"/>
      <c r="CR1981" s="1530"/>
      <c r="CS1981" s="1530"/>
      <c r="CT1981" s="1530"/>
      <c r="CU1981" s="1530"/>
      <c r="CV1981" s="1530"/>
      <c r="CW1981" s="1530"/>
      <c r="CX1981" s="1530"/>
      <c r="CY1981" s="1530"/>
      <c r="CZ1981" s="1530"/>
      <c r="DA1981" s="1530"/>
      <c r="DB1981" s="1530"/>
      <c r="DC1981" s="1530"/>
      <c r="DD1981" s="1530"/>
      <c r="DE1981" s="1530"/>
      <c r="DF1981" s="1530"/>
      <c r="DG1981" s="1530"/>
      <c r="DH1981" s="1530"/>
      <c r="DI1981" s="1530"/>
      <c r="DJ1981" s="1530"/>
      <c r="DK1981" s="1530"/>
      <c r="DL1981" s="1530"/>
      <c r="DM1981" s="1530"/>
      <c r="DN1981" s="1571"/>
      <c r="DO1981" s="1530"/>
      <c r="DP1981" s="1530"/>
    </row>
    <row r="1982" spans="1:120">
      <c r="A1982" s="1451"/>
      <c r="C1982" s="1451"/>
      <c r="K1982" s="1451"/>
      <c r="L1982" s="1451"/>
      <c r="U1982" s="1451"/>
      <c r="AD1982" s="1451"/>
      <c r="AM1982" s="1451"/>
      <c r="AV1982" s="1451"/>
      <c r="BE1982" s="1451"/>
      <c r="BN1982" s="1451"/>
      <c r="BV1982" s="1451"/>
      <c r="BW1982" s="1451"/>
      <c r="CF1982" s="1451"/>
      <c r="CN1982" s="1451"/>
      <c r="CO1982" s="1530"/>
      <c r="CP1982" s="1530"/>
      <c r="CQ1982" s="1530"/>
      <c r="CR1982" s="1530"/>
      <c r="CS1982" s="1530"/>
      <c r="CT1982" s="1530"/>
      <c r="CU1982" s="1530"/>
      <c r="CV1982" s="1530"/>
      <c r="CW1982" s="1530"/>
      <c r="CX1982" s="1530"/>
      <c r="CY1982" s="1530"/>
      <c r="CZ1982" s="1530"/>
      <c r="DA1982" s="1530"/>
      <c r="DB1982" s="1530"/>
      <c r="DC1982" s="1530"/>
      <c r="DD1982" s="1530"/>
      <c r="DE1982" s="1530"/>
      <c r="DF1982" s="1530"/>
      <c r="DG1982" s="1530"/>
      <c r="DH1982" s="1530"/>
      <c r="DI1982" s="1530"/>
      <c r="DJ1982" s="1530"/>
      <c r="DK1982" s="1530"/>
      <c r="DL1982" s="1530"/>
      <c r="DM1982" s="1530"/>
      <c r="DN1982" s="1571"/>
      <c r="DO1982" s="1530"/>
      <c r="DP1982" s="1530"/>
    </row>
    <row r="1983" spans="1:120">
      <c r="A1983" s="1451"/>
      <c r="C1983" s="1451"/>
      <c r="K1983" s="1451"/>
      <c r="L1983" s="1451"/>
      <c r="U1983" s="1451"/>
      <c r="AD1983" s="1451"/>
      <c r="AM1983" s="1451"/>
      <c r="AV1983" s="1451"/>
      <c r="BE1983" s="1451"/>
      <c r="BN1983" s="1451"/>
      <c r="BV1983" s="1451"/>
      <c r="BW1983" s="1451"/>
      <c r="CF1983" s="1451"/>
      <c r="CN1983" s="1451"/>
      <c r="CO1983" s="1530"/>
      <c r="CP1983" s="1530"/>
      <c r="CQ1983" s="1530"/>
      <c r="CR1983" s="1530"/>
      <c r="CS1983" s="1530"/>
      <c r="CT1983" s="1530"/>
      <c r="CU1983" s="1530"/>
      <c r="CV1983" s="1530"/>
      <c r="CW1983" s="1530"/>
      <c r="CX1983" s="1530"/>
      <c r="CY1983" s="1530"/>
      <c r="CZ1983" s="1530"/>
      <c r="DA1983" s="1530"/>
      <c r="DB1983" s="1530"/>
      <c r="DC1983" s="1530"/>
      <c r="DD1983" s="1530"/>
      <c r="DE1983" s="1530"/>
      <c r="DF1983" s="1530"/>
      <c r="DG1983" s="1530"/>
      <c r="DH1983" s="1530"/>
      <c r="DI1983" s="1530"/>
      <c r="DJ1983" s="1530"/>
      <c r="DK1983" s="1530"/>
      <c r="DL1983" s="1530"/>
      <c r="DM1983" s="1530"/>
      <c r="DN1983" s="1571"/>
      <c r="DO1983" s="1530"/>
      <c r="DP1983" s="1530"/>
    </row>
    <row r="1984" spans="1:120">
      <c r="A1984" s="1451"/>
      <c r="C1984" s="1451"/>
      <c r="K1984" s="1451"/>
      <c r="L1984" s="1451"/>
      <c r="U1984" s="1451"/>
      <c r="AD1984" s="1451"/>
      <c r="AM1984" s="1451"/>
      <c r="AV1984" s="1451"/>
      <c r="BE1984" s="1451"/>
      <c r="BN1984" s="1451"/>
      <c r="BV1984" s="1451"/>
      <c r="BW1984" s="1451"/>
      <c r="CF1984" s="1451"/>
      <c r="CN1984" s="1451"/>
      <c r="CO1984" s="1530"/>
      <c r="CP1984" s="1530"/>
      <c r="CQ1984" s="1530"/>
      <c r="CR1984" s="1530"/>
      <c r="CS1984" s="1530"/>
      <c r="CT1984" s="1530"/>
      <c r="CU1984" s="1530"/>
      <c r="CV1984" s="1530"/>
      <c r="CW1984" s="1530"/>
      <c r="CX1984" s="1530"/>
      <c r="CY1984" s="1530"/>
      <c r="CZ1984" s="1530"/>
      <c r="DA1984" s="1530"/>
      <c r="DB1984" s="1530"/>
      <c r="DC1984" s="1530"/>
      <c r="DD1984" s="1530"/>
      <c r="DE1984" s="1530"/>
      <c r="DF1984" s="1530"/>
      <c r="DG1984" s="1530"/>
      <c r="DH1984" s="1530"/>
      <c r="DI1984" s="1530"/>
      <c r="DJ1984" s="1530"/>
      <c r="DK1984" s="1530"/>
      <c r="DL1984" s="1530"/>
      <c r="DM1984" s="1530"/>
      <c r="DN1984" s="1571"/>
      <c r="DO1984" s="1530"/>
      <c r="DP1984" s="1530"/>
    </row>
    <row r="1985" spans="1:120">
      <c r="A1985" s="1451"/>
      <c r="C1985" s="1451"/>
      <c r="K1985" s="1451"/>
      <c r="L1985" s="1451"/>
      <c r="U1985" s="1451"/>
      <c r="AD1985" s="1451"/>
      <c r="AM1985" s="1451"/>
      <c r="AV1985" s="1451"/>
      <c r="BE1985" s="1451"/>
      <c r="BN1985" s="1451"/>
      <c r="BV1985" s="1451"/>
      <c r="BW1985" s="1451"/>
      <c r="CF1985" s="1451"/>
      <c r="CN1985" s="1451"/>
      <c r="CO1985" s="1530"/>
      <c r="CP1985" s="1530"/>
      <c r="CQ1985" s="1530"/>
      <c r="CR1985" s="1530"/>
      <c r="CS1985" s="1530"/>
      <c r="CT1985" s="1530"/>
      <c r="CU1985" s="1530"/>
      <c r="CV1985" s="1530"/>
      <c r="CW1985" s="1530"/>
      <c r="CX1985" s="1530"/>
      <c r="CY1985" s="1530"/>
      <c r="CZ1985" s="1530"/>
      <c r="DA1985" s="1530"/>
      <c r="DB1985" s="1530"/>
      <c r="DC1985" s="1530"/>
      <c r="DD1985" s="1530"/>
      <c r="DE1985" s="1530"/>
      <c r="DF1985" s="1530"/>
      <c r="DG1985" s="1530"/>
      <c r="DH1985" s="1530"/>
      <c r="DI1985" s="1530"/>
      <c r="DJ1985" s="1530"/>
      <c r="DK1985" s="1530"/>
      <c r="DL1985" s="1530"/>
      <c r="DM1985" s="1530"/>
      <c r="DN1985" s="1571"/>
      <c r="DO1985" s="1530"/>
      <c r="DP1985" s="1530"/>
    </row>
    <row r="1986" spans="1:120">
      <c r="A1986" s="1451"/>
      <c r="C1986" s="1451"/>
      <c r="K1986" s="1451"/>
      <c r="L1986" s="1451"/>
      <c r="U1986" s="1451"/>
      <c r="AD1986" s="1451"/>
      <c r="AM1986" s="1451"/>
      <c r="AV1986" s="1451"/>
      <c r="BE1986" s="1451"/>
      <c r="BN1986" s="1451"/>
      <c r="BV1986" s="1451"/>
      <c r="BW1986" s="1451"/>
      <c r="CF1986" s="1451"/>
      <c r="CN1986" s="1451"/>
      <c r="CO1986" s="1530"/>
      <c r="CP1986" s="1530"/>
      <c r="CQ1986" s="1530"/>
      <c r="CR1986" s="1530"/>
      <c r="CS1986" s="1530"/>
      <c r="CT1986" s="1530"/>
      <c r="CU1986" s="1530"/>
      <c r="CV1986" s="1530"/>
      <c r="CW1986" s="1530"/>
      <c r="CX1986" s="1530"/>
      <c r="CY1986" s="1530"/>
      <c r="CZ1986" s="1530"/>
      <c r="DA1986" s="1530"/>
      <c r="DB1986" s="1530"/>
      <c r="DC1986" s="1530"/>
      <c r="DD1986" s="1530"/>
      <c r="DE1986" s="1530"/>
      <c r="DF1986" s="1530"/>
      <c r="DG1986" s="1530"/>
      <c r="DH1986" s="1530"/>
      <c r="DI1986" s="1530"/>
      <c r="DJ1986" s="1530"/>
      <c r="DK1986" s="1530"/>
      <c r="DL1986" s="1530"/>
      <c r="DM1986" s="1530"/>
      <c r="DN1986" s="1571"/>
      <c r="DO1986" s="1530"/>
      <c r="DP1986" s="1530"/>
    </row>
    <row r="1987" spans="1:120">
      <c r="A1987" s="1451"/>
      <c r="C1987" s="1451"/>
      <c r="K1987" s="1451"/>
      <c r="L1987" s="1451"/>
      <c r="U1987" s="1451"/>
      <c r="AD1987" s="1451"/>
      <c r="AM1987" s="1451"/>
      <c r="AV1987" s="1451"/>
      <c r="BE1987" s="1451"/>
      <c r="BN1987" s="1451"/>
      <c r="BV1987" s="1451"/>
      <c r="BW1987" s="1451"/>
      <c r="CF1987" s="1451"/>
      <c r="CN1987" s="1451"/>
      <c r="CO1987" s="1530"/>
      <c r="CP1987" s="1530"/>
      <c r="CQ1987" s="1530"/>
      <c r="CR1987" s="1530"/>
      <c r="CS1987" s="1530"/>
      <c r="CT1987" s="1530"/>
      <c r="CU1987" s="1530"/>
      <c r="CV1987" s="1530"/>
      <c r="CW1987" s="1530"/>
      <c r="CX1987" s="1530"/>
      <c r="CY1987" s="1530"/>
      <c r="CZ1987" s="1530"/>
      <c r="DA1987" s="1530"/>
      <c r="DB1987" s="1530"/>
      <c r="DC1987" s="1530"/>
      <c r="DD1987" s="1530"/>
      <c r="DE1987" s="1530"/>
      <c r="DF1987" s="1530"/>
      <c r="DG1987" s="1530"/>
      <c r="DH1987" s="1530"/>
      <c r="DI1987" s="1530"/>
      <c r="DJ1987" s="1530"/>
      <c r="DK1987" s="1530"/>
      <c r="DL1987" s="1530"/>
      <c r="DM1987" s="1530"/>
      <c r="DN1987" s="1571"/>
      <c r="DO1987" s="1530"/>
      <c r="DP1987" s="1530"/>
    </row>
    <row r="1988" spans="1:120">
      <c r="A1988" s="1451"/>
      <c r="C1988" s="1451"/>
      <c r="K1988" s="1451"/>
      <c r="L1988" s="1451"/>
      <c r="U1988" s="1451"/>
      <c r="AD1988" s="1451"/>
      <c r="AM1988" s="1451"/>
      <c r="AV1988" s="1451"/>
      <c r="BE1988" s="1451"/>
      <c r="BN1988" s="1451"/>
      <c r="BV1988" s="1451"/>
      <c r="BW1988" s="1451"/>
      <c r="CF1988" s="1451"/>
      <c r="CN1988" s="1451"/>
      <c r="CO1988" s="1530"/>
      <c r="CP1988" s="1530"/>
      <c r="CQ1988" s="1530"/>
      <c r="CR1988" s="1530"/>
      <c r="CS1988" s="1530"/>
      <c r="CT1988" s="1530"/>
      <c r="CU1988" s="1530"/>
      <c r="CV1988" s="1530"/>
      <c r="CW1988" s="1530"/>
      <c r="CX1988" s="1530"/>
      <c r="CY1988" s="1530"/>
      <c r="CZ1988" s="1530"/>
      <c r="DA1988" s="1530"/>
      <c r="DB1988" s="1530"/>
      <c r="DC1988" s="1530"/>
      <c r="DD1988" s="1530"/>
      <c r="DE1988" s="1530"/>
      <c r="DF1988" s="1530"/>
      <c r="DG1988" s="1530"/>
      <c r="DH1988" s="1530"/>
      <c r="DI1988" s="1530"/>
      <c r="DJ1988" s="1530"/>
      <c r="DK1988" s="1530"/>
      <c r="DL1988" s="1530"/>
      <c r="DM1988" s="1530"/>
      <c r="DN1988" s="1571"/>
      <c r="DO1988" s="1530"/>
      <c r="DP1988" s="1530"/>
    </row>
    <row r="1989" spans="1:120">
      <c r="A1989" s="1451"/>
      <c r="C1989" s="1451"/>
      <c r="K1989" s="1451"/>
      <c r="L1989" s="1451"/>
      <c r="U1989" s="1451"/>
      <c r="AD1989" s="1451"/>
      <c r="AM1989" s="1451"/>
      <c r="AV1989" s="1451"/>
      <c r="BE1989" s="1451"/>
      <c r="BN1989" s="1451"/>
      <c r="BV1989" s="1451"/>
      <c r="BW1989" s="1451"/>
      <c r="CF1989" s="1451"/>
      <c r="CN1989" s="1451"/>
      <c r="CO1989" s="1530"/>
      <c r="CP1989" s="1530"/>
      <c r="CQ1989" s="1530"/>
      <c r="CR1989" s="1530"/>
      <c r="CS1989" s="1530"/>
      <c r="CT1989" s="1530"/>
      <c r="CU1989" s="1530"/>
      <c r="CV1989" s="1530"/>
      <c r="CW1989" s="1530"/>
      <c r="CX1989" s="1530"/>
      <c r="CY1989" s="1530"/>
      <c r="CZ1989" s="1530"/>
      <c r="DA1989" s="1530"/>
      <c r="DB1989" s="1530"/>
      <c r="DC1989" s="1530"/>
      <c r="DD1989" s="1530"/>
      <c r="DE1989" s="1530"/>
      <c r="DF1989" s="1530"/>
      <c r="DG1989" s="1530"/>
      <c r="DH1989" s="1530"/>
      <c r="DI1989" s="1530"/>
      <c r="DJ1989" s="1530"/>
      <c r="DK1989" s="1530"/>
      <c r="DL1989" s="1530"/>
      <c r="DM1989" s="1530"/>
      <c r="DN1989" s="1571"/>
      <c r="DO1989" s="1530"/>
      <c r="DP1989" s="1530"/>
    </row>
    <row r="1990" spans="1:120">
      <c r="A1990" s="1451"/>
      <c r="C1990" s="1451"/>
      <c r="K1990" s="1451"/>
      <c r="L1990" s="1451"/>
      <c r="U1990" s="1451"/>
      <c r="AD1990" s="1451"/>
      <c r="AM1990" s="1451"/>
      <c r="AV1990" s="1451"/>
      <c r="BE1990" s="1451"/>
      <c r="BN1990" s="1451"/>
      <c r="BV1990" s="1451"/>
      <c r="BW1990" s="1451"/>
      <c r="CF1990" s="1451"/>
      <c r="CN1990" s="1451"/>
      <c r="CO1990" s="1530"/>
      <c r="CP1990" s="1530"/>
      <c r="CQ1990" s="1530"/>
      <c r="CR1990" s="1530"/>
      <c r="CS1990" s="1530"/>
      <c r="CT1990" s="1530"/>
      <c r="CU1990" s="1530"/>
      <c r="CV1990" s="1530"/>
      <c r="CW1990" s="1530"/>
      <c r="CX1990" s="1530"/>
      <c r="CY1990" s="1530"/>
      <c r="CZ1990" s="1530"/>
      <c r="DA1990" s="1530"/>
      <c r="DB1990" s="1530"/>
      <c r="DC1990" s="1530"/>
      <c r="DD1990" s="1530"/>
      <c r="DE1990" s="1530"/>
      <c r="DF1990" s="1530"/>
      <c r="DG1990" s="1530"/>
      <c r="DH1990" s="1530"/>
      <c r="DI1990" s="1530"/>
      <c r="DJ1990" s="1530"/>
      <c r="DK1990" s="1530"/>
      <c r="DL1990" s="1530"/>
      <c r="DM1990" s="1530"/>
      <c r="DN1990" s="1571"/>
      <c r="DO1990" s="1530"/>
      <c r="DP1990" s="1530"/>
    </row>
    <row r="1991" spans="1:120">
      <c r="A1991" s="1451"/>
      <c r="C1991" s="1451"/>
      <c r="K1991" s="1451"/>
      <c r="L1991" s="1451"/>
      <c r="U1991" s="1451"/>
      <c r="AD1991" s="1451"/>
      <c r="AM1991" s="1451"/>
      <c r="AV1991" s="1451"/>
      <c r="BE1991" s="1451"/>
      <c r="BN1991" s="1451"/>
      <c r="BV1991" s="1451"/>
      <c r="BW1991" s="1451"/>
      <c r="CF1991" s="1451"/>
      <c r="CN1991" s="1451"/>
      <c r="CO1991" s="1530"/>
      <c r="CP1991" s="1530"/>
      <c r="CQ1991" s="1530"/>
      <c r="CR1991" s="1530"/>
      <c r="CS1991" s="1530"/>
      <c r="CT1991" s="1530"/>
      <c r="CU1991" s="1530"/>
      <c r="CV1991" s="1530"/>
      <c r="CW1991" s="1530"/>
      <c r="CX1991" s="1530"/>
      <c r="CY1991" s="1530"/>
      <c r="CZ1991" s="1530"/>
      <c r="DA1991" s="1530"/>
      <c r="DB1991" s="1530"/>
      <c r="DC1991" s="1530"/>
      <c r="DD1991" s="1530"/>
      <c r="DE1991" s="1530"/>
      <c r="DF1991" s="1530"/>
      <c r="DG1991" s="1530"/>
      <c r="DH1991" s="1530"/>
      <c r="DI1991" s="1530"/>
      <c r="DJ1991" s="1530"/>
      <c r="DK1991" s="1530"/>
      <c r="DL1991" s="1530"/>
      <c r="DM1991" s="1530"/>
      <c r="DN1991" s="1571"/>
      <c r="DO1991" s="1530"/>
      <c r="DP1991" s="1530"/>
    </row>
    <row r="1992" spans="1:120">
      <c r="A1992" s="1451"/>
      <c r="C1992" s="1451"/>
      <c r="K1992" s="1451"/>
      <c r="L1992" s="1451"/>
      <c r="U1992" s="1451"/>
      <c r="AD1992" s="1451"/>
      <c r="AM1992" s="1451"/>
      <c r="AV1992" s="1451"/>
      <c r="BE1992" s="1451"/>
      <c r="BN1992" s="1451"/>
      <c r="BV1992" s="1451"/>
      <c r="BW1992" s="1451"/>
      <c r="CF1992" s="1451"/>
      <c r="CN1992" s="1451"/>
      <c r="CO1992" s="1530"/>
      <c r="CP1992" s="1530"/>
      <c r="CQ1992" s="1530"/>
      <c r="CR1992" s="1530"/>
      <c r="CS1992" s="1530"/>
      <c r="CT1992" s="1530"/>
      <c r="CU1992" s="1530"/>
      <c r="CV1992" s="1530"/>
      <c r="CW1992" s="1530"/>
      <c r="CX1992" s="1530"/>
      <c r="CY1992" s="1530"/>
      <c r="CZ1992" s="1530"/>
      <c r="DA1992" s="1530"/>
      <c r="DB1992" s="1530"/>
      <c r="DC1992" s="1530"/>
      <c r="DD1992" s="1530"/>
      <c r="DE1992" s="1530"/>
      <c r="DF1992" s="1530"/>
      <c r="DG1992" s="1530"/>
      <c r="DH1992" s="1530"/>
      <c r="DI1992" s="1530"/>
      <c r="DJ1992" s="1530"/>
      <c r="DK1992" s="1530"/>
      <c r="DL1992" s="1530"/>
      <c r="DM1992" s="1530"/>
      <c r="DN1992" s="1571"/>
      <c r="DO1992" s="1530"/>
      <c r="DP1992" s="1530"/>
    </row>
    <row r="1993" spans="1:120">
      <c r="A1993" s="1451"/>
      <c r="C1993" s="1451"/>
      <c r="K1993" s="1451"/>
      <c r="L1993" s="1451"/>
      <c r="U1993" s="1451"/>
      <c r="AD1993" s="1451"/>
      <c r="AM1993" s="1451"/>
      <c r="AV1993" s="1451"/>
      <c r="BE1993" s="1451"/>
      <c r="BN1993" s="1451"/>
      <c r="BV1993" s="1451"/>
      <c r="BW1993" s="1451"/>
      <c r="CF1993" s="1451"/>
      <c r="CN1993" s="1451"/>
      <c r="CO1993" s="1530"/>
      <c r="CP1993" s="1530"/>
      <c r="CQ1993" s="1530"/>
      <c r="CR1993" s="1530"/>
      <c r="CS1993" s="1530"/>
      <c r="CT1993" s="1530"/>
      <c r="CU1993" s="1530"/>
      <c r="CV1993" s="1530"/>
      <c r="CW1993" s="1530"/>
      <c r="CX1993" s="1530"/>
      <c r="CY1993" s="1530"/>
      <c r="CZ1993" s="1530"/>
      <c r="DA1993" s="1530"/>
      <c r="DB1993" s="1530"/>
      <c r="DC1993" s="1530"/>
      <c r="DD1993" s="1530"/>
      <c r="DE1993" s="1530"/>
      <c r="DF1993" s="1530"/>
      <c r="DG1993" s="1530"/>
      <c r="DH1993" s="1530"/>
      <c r="DI1993" s="1530"/>
      <c r="DJ1993" s="1530"/>
      <c r="DK1993" s="1530"/>
      <c r="DL1993" s="1530"/>
      <c r="DM1993" s="1530"/>
      <c r="DN1993" s="1571"/>
      <c r="DO1993" s="1530"/>
      <c r="DP1993" s="1530"/>
    </row>
    <row r="1994" spans="1:120">
      <c r="A1994" s="1451"/>
      <c r="C1994" s="1451"/>
      <c r="K1994" s="1451"/>
      <c r="L1994" s="1451"/>
      <c r="U1994" s="1451"/>
      <c r="AD1994" s="1451"/>
      <c r="AM1994" s="1451"/>
      <c r="AV1994" s="1451"/>
      <c r="BE1994" s="1451"/>
      <c r="BN1994" s="1451"/>
      <c r="BV1994" s="1451"/>
      <c r="BW1994" s="1451"/>
      <c r="CF1994" s="1451"/>
      <c r="CN1994" s="1451"/>
      <c r="CO1994" s="1530"/>
      <c r="CP1994" s="1530"/>
      <c r="CQ1994" s="1530"/>
      <c r="CR1994" s="1530"/>
      <c r="CS1994" s="1530"/>
      <c r="CT1994" s="1530"/>
      <c r="CU1994" s="1530"/>
      <c r="CV1994" s="1530"/>
      <c r="CW1994" s="1530"/>
      <c r="CX1994" s="1530"/>
      <c r="CY1994" s="1530"/>
      <c r="CZ1994" s="1530"/>
      <c r="DA1994" s="1530"/>
      <c r="DB1994" s="1530"/>
      <c r="DC1994" s="1530"/>
      <c r="DD1994" s="1530"/>
      <c r="DE1994" s="1530"/>
      <c r="DF1994" s="1530"/>
      <c r="DG1994" s="1530"/>
      <c r="DH1994" s="1530"/>
      <c r="DI1994" s="1530"/>
      <c r="DJ1994" s="1530"/>
      <c r="DK1994" s="1530"/>
      <c r="DL1994" s="1530"/>
      <c r="DM1994" s="1530"/>
      <c r="DN1994" s="1571"/>
      <c r="DO1994" s="1530"/>
      <c r="DP1994" s="1530"/>
    </row>
    <row r="1995" spans="1:120">
      <c r="A1995" s="1451"/>
      <c r="C1995" s="1451"/>
      <c r="K1995" s="1451"/>
      <c r="L1995" s="1451"/>
      <c r="U1995" s="1451"/>
      <c r="AD1995" s="1451"/>
      <c r="AM1995" s="1451"/>
      <c r="AV1995" s="1451"/>
      <c r="BE1995" s="1451"/>
      <c r="BN1995" s="1451"/>
      <c r="BV1995" s="1451"/>
      <c r="BW1995" s="1451"/>
      <c r="CF1995" s="1451"/>
      <c r="CN1995" s="1451"/>
      <c r="CO1995" s="1530"/>
      <c r="CP1995" s="1530"/>
      <c r="CQ1995" s="1530"/>
      <c r="CR1995" s="1530"/>
      <c r="CS1995" s="1530"/>
      <c r="CT1995" s="1530"/>
      <c r="CU1995" s="1530"/>
      <c r="CV1995" s="1530"/>
      <c r="CW1995" s="1530"/>
      <c r="CX1995" s="1530"/>
      <c r="CY1995" s="1530"/>
      <c r="CZ1995" s="1530"/>
      <c r="DA1995" s="1530"/>
      <c r="DB1995" s="1530"/>
      <c r="DC1995" s="1530"/>
      <c r="DD1995" s="1530"/>
      <c r="DE1995" s="1530"/>
      <c r="DF1995" s="1530"/>
      <c r="DG1995" s="1530"/>
      <c r="DH1995" s="1530"/>
      <c r="DI1995" s="1530"/>
      <c r="DJ1995" s="1530"/>
      <c r="DK1995" s="1530"/>
      <c r="DL1995" s="1530"/>
      <c r="DM1995" s="1530"/>
      <c r="DN1995" s="1571"/>
      <c r="DO1995" s="1530"/>
      <c r="DP1995" s="1530"/>
    </row>
    <row r="1996" spans="1:120">
      <c r="A1996" s="1451"/>
      <c r="C1996" s="1451"/>
      <c r="K1996" s="1451"/>
      <c r="L1996" s="1451"/>
      <c r="U1996" s="1451"/>
      <c r="AD1996" s="1451"/>
      <c r="AM1996" s="1451"/>
      <c r="AV1996" s="1451"/>
      <c r="BE1996" s="1451"/>
      <c r="BN1996" s="1451"/>
      <c r="BV1996" s="1451"/>
      <c r="BW1996" s="1451"/>
      <c r="CF1996" s="1451"/>
      <c r="CN1996" s="1451"/>
      <c r="CO1996" s="1530"/>
      <c r="CP1996" s="1530"/>
      <c r="CQ1996" s="1530"/>
      <c r="CR1996" s="1530"/>
      <c r="CS1996" s="1530"/>
      <c r="CT1996" s="1530"/>
      <c r="CU1996" s="1530"/>
      <c r="CV1996" s="1530"/>
      <c r="CW1996" s="1530"/>
      <c r="CX1996" s="1530"/>
      <c r="CY1996" s="1530"/>
      <c r="CZ1996" s="1530"/>
      <c r="DA1996" s="1530"/>
      <c r="DB1996" s="1530"/>
      <c r="DC1996" s="1530"/>
      <c r="DD1996" s="1530"/>
      <c r="DE1996" s="1530"/>
      <c r="DF1996" s="1530"/>
      <c r="DG1996" s="1530"/>
      <c r="DH1996" s="1530"/>
      <c r="DI1996" s="1530"/>
      <c r="DJ1996" s="1530"/>
      <c r="DK1996" s="1530"/>
      <c r="DL1996" s="1530"/>
      <c r="DM1996" s="1530"/>
      <c r="DN1996" s="1571"/>
      <c r="DO1996" s="1530"/>
      <c r="DP1996" s="1530"/>
    </row>
    <row r="1997" spans="1:120">
      <c r="A1997" s="1451"/>
      <c r="C1997" s="1451"/>
      <c r="K1997" s="1451"/>
      <c r="L1997" s="1451"/>
      <c r="U1997" s="1451"/>
      <c r="AD1997" s="1451"/>
      <c r="AM1997" s="1451"/>
      <c r="AV1997" s="1451"/>
      <c r="BE1997" s="1451"/>
      <c r="BN1997" s="1451"/>
      <c r="BV1997" s="1451"/>
      <c r="BW1997" s="1451"/>
      <c r="CF1997" s="1451"/>
      <c r="CN1997" s="1451"/>
      <c r="CO1997" s="1530"/>
      <c r="CP1997" s="1530"/>
      <c r="CQ1997" s="1530"/>
      <c r="CR1997" s="1530"/>
      <c r="CS1997" s="1530"/>
      <c r="CT1997" s="1530"/>
      <c r="CU1997" s="1530"/>
      <c r="CV1997" s="1530"/>
      <c r="CW1997" s="1530"/>
      <c r="CX1997" s="1530"/>
      <c r="CY1997" s="1530"/>
      <c r="CZ1997" s="1530"/>
      <c r="DA1997" s="1530"/>
      <c r="DB1997" s="1530"/>
      <c r="DC1997" s="1530"/>
      <c r="DD1997" s="1530"/>
      <c r="DE1997" s="1530"/>
      <c r="DF1997" s="1530"/>
      <c r="DG1997" s="1530"/>
      <c r="DH1997" s="1530"/>
      <c r="DI1997" s="1530"/>
      <c r="DJ1997" s="1530"/>
      <c r="DK1997" s="1530"/>
      <c r="DL1997" s="1530"/>
      <c r="DM1997" s="1530"/>
      <c r="DN1997" s="1571"/>
      <c r="DO1997" s="1530"/>
      <c r="DP1997" s="1530"/>
    </row>
    <row r="1998" spans="1:120">
      <c r="A1998" s="1451"/>
      <c r="C1998" s="1451"/>
      <c r="K1998" s="1451"/>
      <c r="L1998" s="1451"/>
      <c r="U1998" s="1451"/>
      <c r="AD1998" s="1451"/>
      <c r="AM1998" s="1451"/>
      <c r="AV1998" s="1451"/>
      <c r="BE1998" s="1451"/>
      <c r="BN1998" s="1451"/>
      <c r="BV1998" s="1451"/>
      <c r="BW1998" s="1451"/>
      <c r="CF1998" s="1451"/>
      <c r="CN1998" s="1451"/>
      <c r="CO1998" s="1530"/>
      <c r="CP1998" s="1530"/>
      <c r="CQ1998" s="1530"/>
      <c r="CR1998" s="1530"/>
      <c r="CS1998" s="1530"/>
      <c r="CT1998" s="1530"/>
      <c r="CU1998" s="1530"/>
      <c r="CV1998" s="1530"/>
      <c r="CW1998" s="1530"/>
      <c r="CX1998" s="1530"/>
      <c r="CY1998" s="1530"/>
      <c r="CZ1998" s="1530"/>
      <c r="DA1998" s="1530"/>
      <c r="DB1998" s="1530"/>
      <c r="DC1998" s="1530"/>
      <c r="DD1998" s="1530"/>
      <c r="DE1998" s="1530"/>
      <c r="DF1998" s="1530"/>
      <c r="DG1998" s="1530"/>
      <c r="DH1998" s="1530"/>
      <c r="DI1998" s="1530"/>
      <c r="DJ1998" s="1530"/>
      <c r="DK1998" s="1530"/>
      <c r="DL1998" s="1530"/>
      <c r="DM1998" s="1530"/>
      <c r="DN1998" s="1571"/>
      <c r="DO1998" s="1530"/>
      <c r="DP1998" s="1530"/>
    </row>
    <row r="1999" spans="1:120">
      <c r="A1999" s="1451"/>
      <c r="C1999" s="1451"/>
      <c r="K1999" s="1451"/>
      <c r="L1999" s="1451"/>
      <c r="U1999" s="1451"/>
      <c r="AD1999" s="1451"/>
      <c r="AM1999" s="1451"/>
      <c r="AV1999" s="1451"/>
      <c r="BE1999" s="1451"/>
      <c r="BN1999" s="1451"/>
      <c r="BV1999" s="1451"/>
      <c r="BW1999" s="1451"/>
      <c r="CF1999" s="1451"/>
      <c r="CN1999" s="1451"/>
      <c r="CO1999" s="1530"/>
      <c r="CP1999" s="1530"/>
      <c r="CQ1999" s="1530"/>
      <c r="CR1999" s="1530"/>
      <c r="CS1999" s="1530"/>
      <c r="CT1999" s="1530"/>
      <c r="CU1999" s="1530"/>
      <c r="CV1999" s="1530"/>
      <c r="CW1999" s="1530"/>
      <c r="CX1999" s="1530"/>
      <c r="CY1999" s="1530"/>
      <c r="CZ1999" s="1530"/>
      <c r="DA1999" s="1530"/>
      <c r="DB1999" s="1530"/>
      <c r="DC1999" s="1530"/>
      <c r="DD1999" s="1530"/>
      <c r="DE1999" s="1530"/>
      <c r="DF1999" s="1530"/>
      <c r="DG1999" s="1530"/>
      <c r="DH1999" s="1530"/>
      <c r="DI1999" s="1530"/>
      <c r="DJ1999" s="1530"/>
      <c r="DK1999" s="1530"/>
      <c r="DL1999" s="1530"/>
      <c r="DM1999" s="1530"/>
      <c r="DN1999" s="1571"/>
      <c r="DO1999" s="1530"/>
      <c r="DP1999" s="1530"/>
    </row>
    <row r="2000" spans="1:120">
      <c r="A2000" s="1451"/>
      <c r="C2000" s="1451"/>
      <c r="K2000" s="1451"/>
      <c r="L2000" s="1451"/>
      <c r="U2000" s="1451"/>
      <c r="AD2000" s="1451"/>
      <c r="AM2000" s="1451"/>
      <c r="AV2000" s="1451"/>
      <c r="BE2000" s="1451"/>
      <c r="BN2000" s="1451"/>
      <c r="BV2000" s="1451"/>
      <c r="BW2000" s="1451"/>
      <c r="CF2000" s="1451"/>
      <c r="CN2000" s="1451"/>
      <c r="CO2000" s="1530"/>
      <c r="CP2000" s="1530"/>
      <c r="CQ2000" s="1530"/>
      <c r="CR2000" s="1530"/>
      <c r="CS2000" s="1530"/>
      <c r="CT2000" s="1530"/>
      <c r="CU2000" s="1530"/>
      <c r="CV2000" s="1530"/>
      <c r="CW2000" s="1530"/>
      <c r="CX2000" s="1530"/>
      <c r="CY2000" s="1530"/>
      <c r="CZ2000" s="1530"/>
      <c r="DA2000" s="1530"/>
      <c r="DB2000" s="1530"/>
      <c r="DC2000" s="1530"/>
      <c r="DD2000" s="1530"/>
      <c r="DE2000" s="1530"/>
      <c r="DF2000" s="1530"/>
      <c r="DG2000" s="1530"/>
      <c r="DH2000" s="1530"/>
      <c r="DI2000" s="1530"/>
      <c r="DJ2000" s="1530"/>
      <c r="DK2000" s="1530"/>
      <c r="DL2000" s="1530"/>
      <c r="DM2000" s="1530"/>
      <c r="DN2000" s="1571"/>
      <c r="DO2000" s="1530"/>
      <c r="DP2000" s="1530"/>
    </row>
    <row r="2001" spans="1:120">
      <c r="A2001" s="1451"/>
      <c r="C2001" s="1451"/>
      <c r="K2001" s="1451"/>
      <c r="L2001" s="1451"/>
      <c r="U2001" s="1451"/>
      <c r="AD2001" s="1451"/>
      <c r="AM2001" s="1451"/>
      <c r="AV2001" s="1451"/>
      <c r="BE2001" s="1451"/>
      <c r="BN2001" s="1451"/>
      <c r="BV2001" s="1451"/>
      <c r="BW2001" s="1451"/>
      <c r="CF2001" s="1451"/>
      <c r="CN2001" s="1451"/>
      <c r="CO2001" s="1530"/>
      <c r="CP2001" s="1530"/>
      <c r="CQ2001" s="1530"/>
      <c r="CR2001" s="1530"/>
      <c r="CS2001" s="1530"/>
      <c r="CT2001" s="1530"/>
      <c r="CU2001" s="1530"/>
      <c r="CV2001" s="1530"/>
      <c r="CW2001" s="1530"/>
      <c r="CX2001" s="1530"/>
      <c r="CY2001" s="1530"/>
      <c r="CZ2001" s="1530"/>
      <c r="DA2001" s="1530"/>
      <c r="DB2001" s="1530"/>
      <c r="DC2001" s="1530"/>
      <c r="DD2001" s="1530"/>
      <c r="DE2001" s="1530"/>
      <c r="DF2001" s="1530"/>
      <c r="DG2001" s="1530"/>
      <c r="DH2001" s="1530"/>
      <c r="DI2001" s="1530"/>
      <c r="DJ2001" s="1530"/>
      <c r="DK2001" s="1530"/>
      <c r="DL2001" s="1530"/>
      <c r="DM2001" s="1530"/>
      <c r="DN2001" s="1571"/>
      <c r="DO2001" s="1530"/>
      <c r="DP2001" s="1530"/>
    </row>
    <row r="2002" spans="1:120">
      <c r="A2002" s="1451"/>
      <c r="C2002" s="1451"/>
      <c r="K2002" s="1451"/>
      <c r="L2002" s="1451"/>
      <c r="U2002" s="1451"/>
      <c r="AD2002" s="1451"/>
      <c r="AM2002" s="1451"/>
      <c r="AV2002" s="1451"/>
      <c r="BE2002" s="1451"/>
      <c r="BN2002" s="1451"/>
      <c r="BV2002" s="1451"/>
      <c r="BW2002" s="1451"/>
      <c r="CF2002" s="1451"/>
      <c r="CN2002" s="1451"/>
      <c r="CO2002" s="1530"/>
      <c r="CP2002" s="1530"/>
      <c r="CQ2002" s="1530"/>
      <c r="CR2002" s="1530"/>
      <c r="CS2002" s="1530"/>
      <c r="CT2002" s="1530"/>
      <c r="CU2002" s="1530"/>
      <c r="CV2002" s="1530"/>
      <c r="CW2002" s="1530"/>
      <c r="CX2002" s="1530"/>
      <c r="CY2002" s="1530"/>
      <c r="CZ2002" s="1530"/>
      <c r="DA2002" s="1530"/>
      <c r="DB2002" s="1530"/>
      <c r="DC2002" s="1530"/>
      <c r="DD2002" s="1530"/>
      <c r="DE2002" s="1530"/>
      <c r="DF2002" s="1530"/>
      <c r="DG2002" s="1530"/>
      <c r="DH2002" s="1530"/>
      <c r="DI2002" s="1530"/>
      <c r="DJ2002" s="1530"/>
      <c r="DK2002" s="1530"/>
      <c r="DL2002" s="1530"/>
      <c r="DM2002" s="1530"/>
      <c r="DN2002" s="1571"/>
      <c r="DO2002" s="1530"/>
      <c r="DP2002" s="1530"/>
    </row>
    <row r="2003" spans="1:120">
      <c r="A2003" s="1451"/>
      <c r="C2003" s="1451"/>
      <c r="K2003" s="1451"/>
      <c r="L2003" s="1451"/>
      <c r="U2003" s="1451"/>
      <c r="AD2003" s="1451"/>
      <c r="AM2003" s="1451"/>
      <c r="AV2003" s="1451"/>
      <c r="BE2003" s="1451"/>
      <c r="BN2003" s="1451"/>
      <c r="BV2003" s="1451"/>
      <c r="BW2003" s="1451"/>
      <c r="CF2003" s="1451"/>
      <c r="CN2003" s="1451"/>
      <c r="CO2003" s="1530"/>
      <c r="CP2003" s="1530"/>
      <c r="CQ2003" s="1530"/>
      <c r="CR2003" s="1530"/>
      <c r="CS2003" s="1530"/>
      <c r="CT2003" s="1530"/>
      <c r="CU2003" s="1530"/>
      <c r="CV2003" s="1530"/>
      <c r="CW2003" s="1530"/>
      <c r="CX2003" s="1530"/>
      <c r="CY2003" s="1530"/>
      <c r="CZ2003" s="1530"/>
      <c r="DA2003" s="1530"/>
      <c r="DB2003" s="1530"/>
      <c r="DC2003" s="1530"/>
      <c r="DD2003" s="1530"/>
      <c r="DE2003" s="1530"/>
      <c r="DF2003" s="1530"/>
      <c r="DG2003" s="1530"/>
      <c r="DH2003" s="1530"/>
      <c r="DI2003" s="1530"/>
      <c r="DJ2003" s="1530"/>
      <c r="DK2003" s="1530"/>
      <c r="DL2003" s="1530"/>
      <c r="DM2003" s="1530"/>
      <c r="DN2003" s="1571"/>
      <c r="DO2003" s="1530"/>
      <c r="DP2003" s="1530"/>
    </row>
    <row r="2004" spans="1:120">
      <c r="A2004" s="1451"/>
      <c r="C2004" s="1451"/>
      <c r="K2004" s="1451"/>
      <c r="L2004" s="1451"/>
      <c r="U2004" s="1451"/>
      <c r="AD2004" s="1451"/>
      <c r="AM2004" s="1451"/>
      <c r="AV2004" s="1451"/>
      <c r="BE2004" s="1451"/>
      <c r="BN2004" s="1451"/>
      <c r="BV2004" s="1451"/>
      <c r="BW2004" s="1451"/>
      <c r="CF2004" s="1451"/>
      <c r="CN2004" s="1451"/>
      <c r="CO2004" s="1530"/>
      <c r="CP2004" s="1530"/>
      <c r="CQ2004" s="1530"/>
      <c r="CR2004" s="1530"/>
      <c r="CS2004" s="1530"/>
      <c r="CT2004" s="1530"/>
      <c r="CU2004" s="1530"/>
      <c r="CV2004" s="1530"/>
      <c r="CW2004" s="1530"/>
      <c r="CX2004" s="1530"/>
      <c r="CY2004" s="1530"/>
      <c r="CZ2004" s="1530"/>
      <c r="DA2004" s="1530"/>
      <c r="DB2004" s="1530"/>
      <c r="DC2004" s="1530"/>
      <c r="DD2004" s="1530"/>
      <c r="DE2004" s="1530"/>
      <c r="DF2004" s="1530"/>
      <c r="DG2004" s="1530"/>
      <c r="DH2004" s="1530"/>
      <c r="DI2004" s="1530"/>
      <c r="DJ2004" s="1530"/>
      <c r="DK2004" s="1530"/>
      <c r="DL2004" s="1530"/>
      <c r="DM2004" s="1530"/>
      <c r="DN2004" s="1571"/>
      <c r="DO2004" s="1530"/>
      <c r="DP2004" s="1530"/>
    </row>
    <row r="2005" spans="1:120">
      <c r="A2005" s="1451"/>
      <c r="C2005" s="1451"/>
      <c r="K2005" s="1451"/>
      <c r="L2005" s="1451"/>
      <c r="U2005" s="1451"/>
      <c r="AD2005" s="1451"/>
      <c r="AM2005" s="1451"/>
      <c r="AV2005" s="1451"/>
      <c r="BE2005" s="1451"/>
      <c r="BN2005" s="1451"/>
      <c r="BV2005" s="1451"/>
      <c r="BW2005" s="1451"/>
      <c r="CF2005" s="1451"/>
      <c r="CN2005" s="1451"/>
      <c r="CO2005" s="1530"/>
      <c r="CP2005" s="1530"/>
      <c r="CQ2005" s="1530"/>
      <c r="CR2005" s="1530"/>
      <c r="CS2005" s="1530"/>
      <c r="CT2005" s="1530"/>
      <c r="CU2005" s="1530"/>
      <c r="CV2005" s="1530"/>
      <c r="CW2005" s="1530"/>
      <c r="CX2005" s="1530"/>
      <c r="CY2005" s="1530"/>
      <c r="CZ2005" s="1530"/>
      <c r="DA2005" s="1530"/>
      <c r="DB2005" s="1530"/>
      <c r="DC2005" s="1530"/>
      <c r="DD2005" s="1530"/>
      <c r="DE2005" s="1530"/>
      <c r="DF2005" s="1530"/>
      <c r="DG2005" s="1530"/>
      <c r="DH2005" s="1530"/>
      <c r="DI2005" s="1530"/>
      <c r="DJ2005" s="1530"/>
      <c r="DK2005" s="1530"/>
      <c r="DL2005" s="1530"/>
      <c r="DM2005" s="1530"/>
      <c r="DN2005" s="1571"/>
      <c r="DO2005" s="1530"/>
      <c r="DP2005" s="1530"/>
    </row>
    <row r="2006" spans="1:120">
      <c r="A2006" s="1451"/>
      <c r="C2006" s="1451"/>
      <c r="K2006" s="1451"/>
      <c r="L2006" s="1451"/>
      <c r="U2006" s="1451"/>
      <c r="AD2006" s="1451"/>
      <c r="AM2006" s="1451"/>
      <c r="AV2006" s="1451"/>
      <c r="BE2006" s="1451"/>
      <c r="BN2006" s="1451"/>
      <c r="BV2006" s="1451"/>
      <c r="BW2006" s="1451"/>
      <c r="CF2006" s="1451"/>
      <c r="CN2006" s="1451"/>
      <c r="CO2006" s="1530"/>
      <c r="CP2006" s="1530"/>
      <c r="CQ2006" s="1530"/>
      <c r="CR2006" s="1530"/>
      <c r="CS2006" s="1530"/>
      <c r="CT2006" s="1530"/>
      <c r="CU2006" s="1530"/>
      <c r="CV2006" s="1530"/>
      <c r="CW2006" s="1530"/>
      <c r="CX2006" s="1530"/>
      <c r="CY2006" s="1530"/>
      <c r="CZ2006" s="1530"/>
      <c r="DA2006" s="1530"/>
      <c r="DB2006" s="1530"/>
      <c r="DC2006" s="1530"/>
      <c r="DD2006" s="1530"/>
      <c r="DE2006" s="1530"/>
      <c r="DF2006" s="1530"/>
      <c r="DG2006" s="1530"/>
      <c r="DH2006" s="1530"/>
      <c r="DI2006" s="1530"/>
      <c r="DJ2006" s="1530"/>
      <c r="DK2006" s="1530"/>
      <c r="DL2006" s="1530"/>
      <c r="DM2006" s="1530"/>
      <c r="DN2006" s="1571"/>
      <c r="DO2006" s="1530"/>
      <c r="DP2006" s="1530"/>
    </row>
    <row r="2007" spans="1:120">
      <c r="A2007" s="1451"/>
      <c r="C2007" s="1451"/>
      <c r="K2007" s="1451"/>
      <c r="L2007" s="1451"/>
      <c r="U2007" s="1451"/>
      <c r="AD2007" s="1451"/>
      <c r="AM2007" s="1451"/>
      <c r="AV2007" s="1451"/>
      <c r="BE2007" s="1451"/>
      <c r="BN2007" s="1451"/>
      <c r="BV2007" s="1451"/>
      <c r="BW2007" s="1451"/>
      <c r="CF2007" s="1451"/>
      <c r="CN2007" s="1451"/>
      <c r="CO2007" s="1530"/>
      <c r="CP2007" s="1530"/>
      <c r="CQ2007" s="1530"/>
      <c r="CR2007" s="1530"/>
      <c r="CS2007" s="1530"/>
      <c r="CT2007" s="1530"/>
      <c r="CU2007" s="1530"/>
      <c r="CV2007" s="1530"/>
      <c r="CW2007" s="1530"/>
      <c r="CX2007" s="1530"/>
      <c r="CY2007" s="1530"/>
      <c r="CZ2007" s="1530"/>
      <c r="DA2007" s="1530"/>
      <c r="DB2007" s="1530"/>
      <c r="DC2007" s="1530"/>
      <c r="DD2007" s="1530"/>
      <c r="DE2007" s="1530"/>
      <c r="DF2007" s="1530"/>
      <c r="DG2007" s="1530"/>
      <c r="DH2007" s="1530"/>
      <c r="DI2007" s="1530"/>
      <c r="DJ2007" s="1530"/>
      <c r="DK2007" s="1530"/>
      <c r="DL2007" s="1530"/>
      <c r="DM2007" s="1530"/>
      <c r="DN2007" s="1571"/>
      <c r="DO2007" s="1530"/>
      <c r="DP2007" s="1530"/>
    </row>
    <row r="2008" spans="1:120">
      <c r="A2008" s="1451"/>
      <c r="C2008" s="1451"/>
      <c r="K2008" s="1451"/>
      <c r="L2008" s="1451"/>
      <c r="U2008" s="1451"/>
      <c r="AD2008" s="1451"/>
      <c r="AM2008" s="1451"/>
      <c r="AV2008" s="1451"/>
      <c r="BE2008" s="1451"/>
      <c r="BN2008" s="1451"/>
      <c r="BV2008" s="1451"/>
      <c r="BW2008" s="1451"/>
      <c r="CF2008" s="1451"/>
      <c r="CN2008" s="1451"/>
      <c r="CO2008" s="1530"/>
      <c r="CP2008" s="1530"/>
      <c r="CQ2008" s="1530"/>
      <c r="CR2008" s="1530"/>
      <c r="CS2008" s="1530"/>
      <c r="CT2008" s="1530"/>
      <c r="CU2008" s="1530"/>
      <c r="CV2008" s="1530"/>
      <c r="CW2008" s="1530"/>
      <c r="CX2008" s="1530"/>
      <c r="CY2008" s="1530"/>
      <c r="CZ2008" s="1530"/>
      <c r="DA2008" s="1530"/>
      <c r="DB2008" s="1530"/>
      <c r="DC2008" s="1530"/>
      <c r="DD2008" s="1530"/>
      <c r="DE2008" s="1530"/>
      <c r="DF2008" s="1530"/>
      <c r="DG2008" s="1530"/>
      <c r="DH2008" s="1530"/>
      <c r="DI2008" s="1530"/>
      <c r="DJ2008" s="1530"/>
      <c r="DK2008" s="1530"/>
      <c r="DL2008" s="1530"/>
      <c r="DM2008" s="1530"/>
      <c r="DN2008" s="1571"/>
      <c r="DO2008" s="1530"/>
      <c r="DP2008" s="1530"/>
    </row>
    <row r="2009" spans="1:120">
      <c r="A2009" s="1451"/>
      <c r="C2009" s="1451"/>
      <c r="K2009" s="1451"/>
      <c r="L2009" s="1451"/>
      <c r="U2009" s="1451"/>
      <c r="AD2009" s="1451"/>
      <c r="AM2009" s="1451"/>
      <c r="AV2009" s="1451"/>
      <c r="BE2009" s="1451"/>
      <c r="BN2009" s="1451"/>
      <c r="BV2009" s="1451"/>
      <c r="BW2009" s="1451"/>
      <c r="CF2009" s="1451"/>
      <c r="CN2009" s="1451"/>
      <c r="CO2009" s="1530"/>
      <c r="CP2009" s="1530"/>
      <c r="CQ2009" s="1530"/>
      <c r="CR2009" s="1530"/>
      <c r="CS2009" s="1530"/>
      <c r="CT2009" s="1530"/>
      <c r="CU2009" s="1530"/>
      <c r="CV2009" s="1530"/>
      <c r="CW2009" s="1530"/>
      <c r="CX2009" s="1530"/>
      <c r="CY2009" s="1530"/>
      <c r="CZ2009" s="1530"/>
      <c r="DA2009" s="1530"/>
      <c r="DB2009" s="1530"/>
      <c r="DC2009" s="1530"/>
      <c r="DD2009" s="1530"/>
      <c r="DE2009" s="1530"/>
      <c r="DF2009" s="1530"/>
      <c r="DG2009" s="1530"/>
      <c r="DH2009" s="1530"/>
      <c r="DI2009" s="1530"/>
      <c r="DJ2009" s="1530"/>
      <c r="DK2009" s="1530"/>
      <c r="DL2009" s="1530"/>
      <c r="DM2009" s="1530"/>
      <c r="DN2009" s="1571"/>
      <c r="DO2009" s="1530"/>
      <c r="DP2009" s="1530"/>
    </row>
    <row r="2010" spans="1:120">
      <c r="A2010" s="1451"/>
      <c r="C2010" s="1451"/>
      <c r="K2010" s="1451"/>
      <c r="L2010" s="1451"/>
      <c r="U2010" s="1451"/>
      <c r="AD2010" s="1451"/>
      <c r="AM2010" s="1451"/>
      <c r="AV2010" s="1451"/>
      <c r="BE2010" s="1451"/>
      <c r="BN2010" s="1451"/>
      <c r="BV2010" s="1451"/>
      <c r="BW2010" s="1451"/>
      <c r="CF2010" s="1451"/>
      <c r="CN2010" s="1451"/>
      <c r="CO2010" s="1530"/>
      <c r="CP2010" s="1530"/>
      <c r="CQ2010" s="1530"/>
      <c r="CR2010" s="1530"/>
      <c r="CS2010" s="1530"/>
      <c r="CT2010" s="1530"/>
      <c r="CU2010" s="1530"/>
      <c r="CV2010" s="1530"/>
      <c r="CW2010" s="1530"/>
      <c r="CX2010" s="1530"/>
      <c r="CY2010" s="1530"/>
      <c r="CZ2010" s="1530"/>
      <c r="DA2010" s="1530"/>
      <c r="DB2010" s="1530"/>
      <c r="DC2010" s="1530"/>
      <c r="DD2010" s="1530"/>
      <c r="DE2010" s="1530"/>
      <c r="DF2010" s="1530"/>
      <c r="DG2010" s="1530"/>
      <c r="DH2010" s="1530"/>
      <c r="DI2010" s="1530"/>
      <c r="DJ2010" s="1530"/>
      <c r="DK2010" s="1530"/>
      <c r="DL2010" s="1530"/>
      <c r="DM2010" s="1530"/>
      <c r="DN2010" s="1571"/>
      <c r="DO2010" s="1530"/>
      <c r="DP2010" s="1530"/>
    </row>
    <row r="2011" spans="1:120">
      <c r="A2011" s="1451"/>
      <c r="C2011" s="1451"/>
      <c r="K2011" s="1451"/>
      <c r="L2011" s="1451"/>
      <c r="U2011" s="1451"/>
      <c r="AD2011" s="1451"/>
      <c r="AM2011" s="1451"/>
      <c r="AV2011" s="1451"/>
      <c r="BE2011" s="1451"/>
      <c r="BN2011" s="1451"/>
      <c r="BV2011" s="1451"/>
      <c r="BW2011" s="1451"/>
      <c r="CF2011" s="1451"/>
      <c r="CN2011" s="1451"/>
      <c r="CO2011" s="1530"/>
      <c r="CP2011" s="1530"/>
      <c r="CQ2011" s="1530"/>
      <c r="CR2011" s="1530"/>
      <c r="CS2011" s="1530"/>
      <c r="CT2011" s="1530"/>
      <c r="CU2011" s="1530"/>
      <c r="CV2011" s="1530"/>
      <c r="CW2011" s="1530"/>
      <c r="CX2011" s="1530"/>
      <c r="CY2011" s="1530"/>
      <c r="CZ2011" s="1530"/>
      <c r="DA2011" s="1530"/>
      <c r="DB2011" s="1530"/>
      <c r="DC2011" s="1530"/>
      <c r="DD2011" s="1530"/>
      <c r="DE2011" s="1530"/>
      <c r="DF2011" s="1530"/>
      <c r="DG2011" s="1530"/>
      <c r="DH2011" s="1530"/>
      <c r="DI2011" s="1530"/>
      <c r="DJ2011" s="1530"/>
      <c r="DK2011" s="1530"/>
      <c r="DL2011" s="1530"/>
      <c r="DM2011" s="1530"/>
      <c r="DN2011" s="1571"/>
      <c r="DO2011" s="1530"/>
      <c r="DP2011" s="1530"/>
    </row>
    <row r="2012" spans="1:120">
      <c r="A2012" s="1451"/>
      <c r="C2012" s="1451"/>
      <c r="K2012" s="1451"/>
      <c r="L2012" s="1451"/>
      <c r="U2012" s="1451"/>
      <c r="AD2012" s="1451"/>
      <c r="AM2012" s="1451"/>
      <c r="AV2012" s="1451"/>
      <c r="BE2012" s="1451"/>
      <c r="BN2012" s="1451"/>
      <c r="BV2012" s="1451"/>
      <c r="BW2012" s="1451"/>
      <c r="CF2012" s="1451"/>
      <c r="CN2012" s="1451"/>
      <c r="CO2012" s="1530"/>
      <c r="CP2012" s="1530"/>
      <c r="CQ2012" s="1530"/>
      <c r="CR2012" s="1530"/>
      <c r="CS2012" s="1530"/>
      <c r="CT2012" s="1530"/>
      <c r="CU2012" s="1530"/>
      <c r="CV2012" s="1530"/>
      <c r="CW2012" s="1530"/>
      <c r="CX2012" s="1530"/>
      <c r="CY2012" s="1530"/>
      <c r="CZ2012" s="1530"/>
      <c r="DA2012" s="1530"/>
      <c r="DB2012" s="1530"/>
      <c r="DC2012" s="1530"/>
      <c r="DD2012" s="1530"/>
      <c r="DE2012" s="1530"/>
      <c r="DF2012" s="1530"/>
      <c r="DG2012" s="1530"/>
      <c r="DH2012" s="1530"/>
      <c r="DI2012" s="1530"/>
      <c r="DJ2012" s="1530"/>
      <c r="DK2012" s="1530"/>
      <c r="DL2012" s="1530"/>
      <c r="DM2012" s="1530"/>
      <c r="DN2012" s="1571"/>
      <c r="DO2012" s="1530"/>
      <c r="DP2012" s="1530"/>
    </row>
    <row r="2013" spans="1:120">
      <c r="A2013" s="1451"/>
      <c r="C2013" s="1451"/>
      <c r="K2013" s="1451"/>
      <c r="L2013" s="1451"/>
      <c r="U2013" s="1451"/>
      <c r="AD2013" s="1451"/>
      <c r="AM2013" s="1451"/>
      <c r="AV2013" s="1451"/>
      <c r="BE2013" s="1451"/>
      <c r="BN2013" s="1451"/>
      <c r="BV2013" s="1451"/>
      <c r="BW2013" s="1451"/>
      <c r="CF2013" s="1451"/>
      <c r="CN2013" s="1451"/>
      <c r="CO2013" s="1530"/>
      <c r="CP2013" s="1530"/>
      <c r="CQ2013" s="1530"/>
      <c r="CR2013" s="1530"/>
      <c r="CS2013" s="1530"/>
      <c r="CT2013" s="1530"/>
      <c r="CU2013" s="1530"/>
      <c r="CV2013" s="1530"/>
      <c r="CW2013" s="1530"/>
      <c r="CX2013" s="1530"/>
      <c r="CY2013" s="1530"/>
      <c r="CZ2013" s="1530"/>
      <c r="DA2013" s="1530"/>
      <c r="DB2013" s="1530"/>
      <c r="DC2013" s="1530"/>
      <c r="DD2013" s="1530"/>
      <c r="DE2013" s="1530"/>
      <c r="DF2013" s="1530"/>
      <c r="DG2013" s="1530"/>
      <c r="DH2013" s="1530"/>
      <c r="DI2013" s="1530"/>
      <c r="DJ2013" s="1530"/>
      <c r="DK2013" s="1530"/>
      <c r="DL2013" s="1530"/>
      <c r="DM2013" s="1530"/>
      <c r="DN2013" s="1571"/>
      <c r="DO2013" s="1530"/>
      <c r="DP2013" s="1530"/>
    </row>
    <row r="2014" spans="1:120">
      <c r="A2014" s="1451"/>
      <c r="C2014" s="1451"/>
      <c r="K2014" s="1451"/>
      <c r="L2014" s="1451"/>
      <c r="U2014" s="1451"/>
      <c r="AD2014" s="1451"/>
      <c r="AM2014" s="1451"/>
      <c r="AV2014" s="1451"/>
      <c r="BE2014" s="1451"/>
      <c r="BN2014" s="1451"/>
      <c r="BV2014" s="1451"/>
      <c r="BW2014" s="1451"/>
      <c r="CF2014" s="1451"/>
      <c r="CN2014" s="1451"/>
      <c r="CO2014" s="1530"/>
      <c r="CP2014" s="1530"/>
      <c r="CQ2014" s="1530"/>
      <c r="CR2014" s="1530"/>
      <c r="CS2014" s="1530"/>
      <c r="CT2014" s="1530"/>
      <c r="CU2014" s="1530"/>
      <c r="CV2014" s="1530"/>
      <c r="CW2014" s="1530"/>
      <c r="CX2014" s="1530"/>
      <c r="CY2014" s="1530"/>
      <c r="CZ2014" s="1530"/>
      <c r="DA2014" s="1530"/>
      <c r="DB2014" s="1530"/>
      <c r="DC2014" s="1530"/>
      <c r="DD2014" s="1530"/>
      <c r="DE2014" s="1530"/>
      <c r="DF2014" s="1530"/>
      <c r="DG2014" s="1530"/>
      <c r="DH2014" s="1530"/>
      <c r="DI2014" s="1530"/>
      <c r="DJ2014" s="1530"/>
      <c r="DK2014" s="1530"/>
      <c r="DL2014" s="1530"/>
      <c r="DM2014" s="1530"/>
      <c r="DN2014" s="1571"/>
      <c r="DO2014" s="1530"/>
      <c r="DP2014" s="1530"/>
    </row>
    <row r="2015" spans="1:120">
      <c r="A2015" s="1451"/>
      <c r="C2015" s="1451"/>
      <c r="K2015" s="1451"/>
      <c r="L2015" s="1451"/>
      <c r="U2015" s="1451"/>
      <c r="AD2015" s="1451"/>
      <c r="AM2015" s="1451"/>
      <c r="AV2015" s="1451"/>
      <c r="BE2015" s="1451"/>
      <c r="BN2015" s="1451"/>
      <c r="BV2015" s="1451"/>
      <c r="BW2015" s="1451"/>
      <c r="CF2015" s="1451"/>
      <c r="CN2015" s="1451"/>
      <c r="CO2015" s="1530"/>
      <c r="CP2015" s="1530"/>
      <c r="CQ2015" s="1530"/>
      <c r="CR2015" s="1530"/>
      <c r="CS2015" s="1530"/>
      <c r="CT2015" s="1530"/>
      <c r="CU2015" s="1530"/>
      <c r="CV2015" s="1530"/>
      <c r="CW2015" s="1530"/>
      <c r="CX2015" s="1530"/>
      <c r="CY2015" s="1530"/>
      <c r="CZ2015" s="1530"/>
      <c r="DA2015" s="1530"/>
      <c r="DB2015" s="1530"/>
      <c r="DC2015" s="1530"/>
      <c r="DD2015" s="1530"/>
      <c r="DE2015" s="1530"/>
      <c r="DF2015" s="1530"/>
      <c r="DG2015" s="1530"/>
      <c r="DH2015" s="1530"/>
      <c r="DI2015" s="1530"/>
      <c r="DJ2015" s="1530"/>
      <c r="DK2015" s="1530"/>
      <c r="DL2015" s="1530"/>
      <c r="DM2015" s="1530"/>
      <c r="DN2015" s="1571"/>
      <c r="DO2015" s="1530"/>
      <c r="DP2015" s="1530"/>
    </row>
    <row r="2016" spans="1:120">
      <c r="A2016" s="1451"/>
      <c r="C2016" s="1451"/>
      <c r="K2016" s="1451"/>
      <c r="L2016" s="1451"/>
      <c r="U2016" s="1451"/>
      <c r="AD2016" s="1451"/>
      <c r="AM2016" s="1451"/>
      <c r="AV2016" s="1451"/>
      <c r="BE2016" s="1451"/>
      <c r="BN2016" s="1451"/>
      <c r="BV2016" s="1451"/>
      <c r="BW2016" s="1451"/>
      <c r="CF2016" s="1451"/>
      <c r="CN2016" s="1451"/>
      <c r="CO2016" s="1530"/>
      <c r="CP2016" s="1530"/>
      <c r="CQ2016" s="1530"/>
      <c r="CR2016" s="1530"/>
      <c r="CS2016" s="1530"/>
      <c r="CT2016" s="1530"/>
      <c r="CU2016" s="1530"/>
      <c r="CV2016" s="1530"/>
      <c r="CW2016" s="1530"/>
      <c r="CX2016" s="1530"/>
      <c r="CY2016" s="1530"/>
      <c r="CZ2016" s="1530"/>
      <c r="DA2016" s="1530"/>
      <c r="DB2016" s="1530"/>
      <c r="DC2016" s="1530"/>
      <c r="DD2016" s="1530"/>
      <c r="DE2016" s="1530"/>
      <c r="DF2016" s="1530"/>
      <c r="DG2016" s="1530"/>
      <c r="DH2016" s="1530"/>
      <c r="DI2016" s="1530"/>
      <c r="DJ2016" s="1530"/>
      <c r="DK2016" s="1530"/>
      <c r="DL2016" s="1530"/>
      <c r="DM2016" s="1530"/>
      <c r="DN2016" s="1571"/>
      <c r="DO2016" s="1530"/>
      <c r="DP2016" s="1530"/>
    </row>
    <row r="2017" spans="1:120">
      <c r="A2017" s="1451"/>
      <c r="C2017" s="1451"/>
      <c r="K2017" s="1451"/>
      <c r="L2017" s="1451"/>
      <c r="U2017" s="1451"/>
      <c r="AD2017" s="1451"/>
      <c r="AM2017" s="1451"/>
      <c r="AV2017" s="1451"/>
      <c r="BE2017" s="1451"/>
      <c r="BN2017" s="1451"/>
      <c r="BV2017" s="1451"/>
      <c r="BW2017" s="1451"/>
      <c r="CF2017" s="1451"/>
      <c r="CN2017" s="1451"/>
      <c r="CO2017" s="1530"/>
      <c r="CP2017" s="1530"/>
      <c r="CQ2017" s="1530"/>
      <c r="CR2017" s="1530"/>
      <c r="CS2017" s="1530"/>
      <c r="CT2017" s="1530"/>
      <c r="CU2017" s="1530"/>
      <c r="CV2017" s="1530"/>
      <c r="CW2017" s="1530"/>
      <c r="CX2017" s="1530"/>
      <c r="CY2017" s="1530"/>
      <c r="CZ2017" s="1530"/>
      <c r="DA2017" s="1530"/>
      <c r="DB2017" s="1530"/>
      <c r="DC2017" s="1530"/>
      <c r="DD2017" s="1530"/>
      <c r="DE2017" s="1530"/>
      <c r="DF2017" s="1530"/>
      <c r="DG2017" s="1530"/>
      <c r="DH2017" s="1530"/>
      <c r="DI2017" s="1530"/>
      <c r="DJ2017" s="1530"/>
      <c r="DK2017" s="1530"/>
      <c r="DL2017" s="1530"/>
      <c r="DM2017" s="1530"/>
      <c r="DN2017" s="1571"/>
      <c r="DO2017" s="1530"/>
      <c r="DP2017" s="1530"/>
    </row>
    <row r="2018" spans="1:120">
      <c r="A2018" s="1451"/>
      <c r="C2018" s="1451"/>
      <c r="K2018" s="1451"/>
      <c r="L2018" s="1451"/>
      <c r="U2018" s="1451"/>
      <c r="AD2018" s="1451"/>
      <c r="AM2018" s="1451"/>
      <c r="AV2018" s="1451"/>
      <c r="BE2018" s="1451"/>
      <c r="BN2018" s="1451"/>
      <c r="BV2018" s="1451"/>
      <c r="BW2018" s="1451"/>
      <c r="CF2018" s="1451"/>
      <c r="CN2018" s="1451"/>
      <c r="CO2018" s="1530"/>
      <c r="CP2018" s="1530"/>
      <c r="CQ2018" s="1530"/>
      <c r="CR2018" s="1530"/>
      <c r="CS2018" s="1530"/>
      <c r="CT2018" s="1530"/>
      <c r="CU2018" s="1530"/>
      <c r="CV2018" s="1530"/>
      <c r="CW2018" s="1530"/>
      <c r="CX2018" s="1530"/>
      <c r="CY2018" s="1530"/>
      <c r="CZ2018" s="1530"/>
      <c r="DA2018" s="1530"/>
      <c r="DB2018" s="1530"/>
      <c r="DC2018" s="1530"/>
      <c r="DD2018" s="1530"/>
      <c r="DE2018" s="1530"/>
      <c r="DF2018" s="1530"/>
      <c r="DG2018" s="1530"/>
      <c r="DH2018" s="1530"/>
      <c r="DI2018" s="1530"/>
      <c r="DJ2018" s="1530"/>
      <c r="DK2018" s="1530"/>
      <c r="DL2018" s="1530"/>
      <c r="DM2018" s="1530"/>
      <c r="DN2018" s="1571"/>
      <c r="DO2018" s="1530"/>
      <c r="DP2018" s="1530"/>
    </row>
    <row r="2019" spans="1:120">
      <c r="A2019" s="1451"/>
      <c r="C2019" s="1451"/>
      <c r="K2019" s="1451"/>
      <c r="L2019" s="1451"/>
      <c r="U2019" s="1451"/>
      <c r="AD2019" s="1451"/>
      <c r="AM2019" s="1451"/>
      <c r="AV2019" s="1451"/>
      <c r="BE2019" s="1451"/>
      <c r="BN2019" s="1451"/>
      <c r="BV2019" s="1451"/>
      <c r="BW2019" s="1451"/>
      <c r="CF2019" s="1451"/>
      <c r="CN2019" s="1451"/>
      <c r="CO2019" s="1530"/>
      <c r="CP2019" s="1530"/>
      <c r="CQ2019" s="1530"/>
      <c r="CR2019" s="1530"/>
      <c r="CS2019" s="1530"/>
      <c r="CT2019" s="1530"/>
      <c r="CU2019" s="1530"/>
      <c r="CV2019" s="1530"/>
      <c r="CW2019" s="1530"/>
      <c r="CX2019" s="1530"/>
      <c r="CY2019" s="1530"/>
      <c r="CZ2019" s="1530"/>
      <c r="DA2019" s="1530"/>
      <c r="DB2019" s="1530"/>
      <c r="DC2019" s="1530"/>
      <c r="DD2019" s="1530"/>
      <c r="DE2019" s="1530"/>
      <c r="DF2019" s="1530"/>
      <c r="DG2019" s="1530"/>
      <c r="DH2019" s="1530"/>
      <c r="DI2019" s="1530"/>
      <c r="DJ2019" s="1530"/>
      <c r="DK2019" s="1530"/>
      <c r="DL2019" s="1530"/>
      <c r="DM2019" s="1530"/>
      <c r="DN2019" s="1571"/>
      <c r="DO2019" s="1530"/>
      <c r="DP2019" s="1530"/>
    </row>
    <row r="2020" spans="1:120">
      <c r="A2020" s="1451"/>
      <c r="C2020" s="1451"/>
      <c r="K2020" s="1451"/>
      <c r="L2020" s="1451"/>
      <c r="U2020" s="1451"/>
      <c r="AD2020" s="1451"/>
      <c r="AM2020" s="1451"/>
      <c r="AV2020" s="1451"/>
      <c r="BE2020" s="1451"/>
      <c r="BN2020" s="1451"/>
      <c r="BV2020" s="1451"/>
      <c r="BW2020" s="1451"/>
      <c r="CF2020" s="1451"/>
      <c r="CN2020" s="1451"/>
      <c r="CO2020" s="1530"/>
      <c r="CP2020" s="1530"/>
      <c r="CQ2020" s="1530"/>
      <c r="CR2020" s="1530"/>
      <c r="CS2020" s="1530"/>
      <c r="CT2020" s="1530"/>
      <c r="CU2020" s="1530"/>
      <c r="CV2020" s="1530"/>
      <c r="CW2020" s="1530"/>
      <c r="CX2020" s="1530"/>
      <c r="CY2020" s="1530"/>
      <c r="CZ2020" s="1530"/>
      <c r="DA2020" s="1530"/>
      <c r="DB2020" s="1530"/>
      <c r="DC2020" s="1530"/>
      <c r="DD2020" s="1530"/>
      <c r="DE2020" s="1530"/>
      <c r="DF2020" s="1530"/>
      <c r="DG2020" s="1530"/>
      <c r="DH2020" s="1530"/>
      <c r="DI2020" s="1530"/>
      <c r="DJ2020" s="1530"/>
      <c r="DK2020" s="1530"/>
      <c r="DL2020" s="1530"/>
      <c r="DM2020" s="1530"/>
      <c r="DN2020" s="1571"/>
      <c r="DO2020" s="1530"/>
      <c r="DP2020" s="1530"/>
    </row>
    <row r="2021" spans="1:120">
      <c r="A2021" s="1451"/>
      <c r="C2021" s="1451"/>
      <c r="K2021" s="1451"/>
      <c r="L2021" s="1451"/>
      <c r="U2021" s="1451"/>
      <c r="AD2021" s="1451"/>
      <c r="AM2021" s="1451"/>
      <c r="AV2021" s="1451"/>
      <c r="BE2021" s="1451"/>
      <c r="BN2021" s="1451"/>
      <c r="BV2021" s="1451"/>
      <c r="BW2021" s="1451"/>
      <c r="CF2021" s="1451"/>
      <c r="CN2021" s="1451"/>
      <c r="CO2021" s="1530"/>
      <c r="CP2021" s="1530"/>
      <c r="CQ2021" s="1530"/>
      <c r="CR2021" s="1530"/>
      <c r="CS2021" s="1530"/>
      <c r="CT2021" s="1530"/>
      <c r="CU2021" s="1530"/>
      <c r="CV2021" s="1530"/>
      <c r="CW2021" s="1530"/>
      <c r="CX2021" s="1530"/>
      <c r="CY2021" s="1530"/>
      <c r="CZ2021" s="1530"/>
      <c r="DA2021" s="1530"/>
      <c r="DB2021" s="1530"/>
      <c r="DC2021" s="1530"/>
      <c r="DD2021" s="1530"/>
      <c r="DE2021" s="1530"/>
      <c r="DF2021" s="1530"/>
      <c r="DG2021" s="1530"/>
      <c r="DH2021" s="1530"/>
      <c r="DI2021" s="1530"/>
      <c r="DJ2021" s="1530"/>
      <c r="DK2021" s="1530"/>
      <c r="DL2021" s="1530"/>
      <c r="DM2021" s="1530"/>
      <c r="DN2021" s="1571"/>
      <c r="DO2021" s="1530"/>
      <c r="DP2021" s="1530"/>
    </row>
    <row r="2022" spans="1:120">
      <c r="A2022" s="1451"/>
      <c r="C2022" s="1451"/>
      <c r="K2022" s="1451"/>
      <c r="L2022" s="1451"/>
      <c r="U2022" s="1451"/>
      <c r="AD2022" s="1451"/>
      <c r="AM2022" s="1451"/>
      <c r="AV2022" s="1451"/>
      <c r="BE2022" s="1451"/>
      <c r="BN2022" s="1451"/>
      <c r="BV2022" s="1451"/>
      <c r="BW2022" s="1451"/>
      <c r="CF2022" s="1451"/>
      <c r="CN2022" s="1451"/>
      <c r="CO2022" s="1530"/>
      <c r="CP2022" s="1530"/>
      <c r="CQ2022" s="1530"/>
      <c r="CR2022" s="1530"/>
      <c r="CS2022" s="1530"/>
      <c r="CT2022" s="1530"/>
      <c r="CU2022" s="1530"/>
      <c r="CV2022" s="1530"/>
      <c r="CW2022" s="1530"/>
      <c r="CX2022" s="1530"/>
      <c r="CY2022" s="1530"/>
      <c r="CZ2022" s="1530"/>
      <c r="DA2022" s="1530"/>
      <c r="DB2022" s="1530"/>
      <c r="DC2022" s="1530"/>
      <c r="DD2022" s="1530"/>
      <c r="DE2022" s="1530"/>
      <c r="DF2022" s="1530"/>
      <c r="DG2022" s="1530"/>
      <c r="DH2022" s="1530"/>
      <c r="DI2022" s="1530"/>
      <c r="DJ2022" s="1530"/>
      <c r="DK2022" s="1530"/>
      <c r="DL2022" s="1530"/>
      <c r="DM2022" s="1530"/>
      <c r="DN2022" s="1571"/>
      <c r="DO2022" s="1530"/>
      <c r="DP2022" s="1530"/>
    </row>
    <row r="2023" spans="1:120">
      <c r="A2023" s="1451"/>
      <c r="C2023" s="1451"/>
      <c r="K2023" s="1451"/>
      <c r="L2023" s="1451"/>
      <c r="U2023" s="1451"/>
      <c r="AD2023" s="1451"/>
      <c r="AM2023" s="1451"/>
      <c r="AV2023" s="1451"/>
      <c r="BE2023" s="1451"/>
      <c r="BN2023" s="1451"/>
      <c r="BV2023" s="1451"/>
      <c r="BW2023" s="1451"/>
      <c r="CF2023" s="1451"/>
      <c r="CN2023" s="1451"/>
      <c r="CO2023" s="1530"/>
      <c r="CP2023" s="1530"/>
      <c r="CQ2023" s="1530"/>
      <c r="CR2023" s="1530"/>
      <c r="CS2023" s="1530"/>
      <c r="CT2023" s="1530"/>
      <c r="CU2023" s="1530"/>
      <c r="CV2023" s="1530"/>
      <c r="CW2023" s="1530"/>
      <c r="CX2023" s="1530"/>
      <c r="CY2023" s="1530"/>
      <c r="CZ2023" s="1530"/>
      <c r="DA2023" s="1530"/>
      <c r="DB2023" s="1530"/>
      <c r="DC2023" s="1530"/>
      <c r="DD2023" s="1530"/>
      <c r="DE2023" s="1530"/>
      <c r="DF2023" s="1530"/>
      <c r="DG2023" s="1530"/>
      <c r="DH2023" s="1530"/>
      <c r="DI2023" s="1530"/>
      <c r="DJ2023" s="1530"/>
      <c r="DK2023" s="1530"/>
      <c r="DL2023" s="1530"/>
      <c r="DM2023" s="1530"/>
      <c r="DN2023" s="1571"/>
      <c r="DO2023" s="1530"/>
      <c r="DP2023" s="1530"/>
    </row>
    <row r="2024" spans="1:120">
      <c r="A2024" s="1451"/>
      <c r="C2024" s="1451"/>
      <c r="K2024" s="1451"/>
      <c r="L2024" s="1451"/>
      <c r="U2024" s="1451"/>
      <c r="AD2024" s="1451"/>
      <c r="AM2024" s="1451"/>
      <c r="AV2024" s="1451"/>
      <c r="BE2024" s="1451"/>
      <c r="BN2024" s="1451"/>
      <c r="BV2024" s="1451"/>
      <c r="BW2024" s="1451"/>
      <c r="CF2024" s="1451"/>
      <c r="CN2024" s="1451"/>
      <c r="CO2024" s="1530"/>
      <c r="CP2024" s="1530"/>
      <c r="CQ2024" s="1530"/>
      <c r="CR2024" s="1530"/>
      <c r="CS2024" s="1530"/>
      <c r="CT2024" s="1530"/>
      <c r="CU2024" s="1530"/>
      <c r="CV2024" s="1530"/>
      <c r="CW2024" s="1530"/>
      <c r="CX2024" s="1530"/>
      <c r="CY2024" s="1530"/>
      <c r="CZ2024" s="1530"/>
      <c r="DA2024" s="1530"/>
      <c r="DB2024" s="1530"/>
      <c r="DC2024" s="1530"/>
      <c r="DD2024" s="1530"/>
      <c r="DE2024" s="1530"/>
      <c r="DF2024" s="1530"/>
      <c r="DG2024" s="1530"/>
      <c r="DH2024" s="1530"/>
      <c r="DI2024" s="1530"/>
      <c r="DJ2024" s="1530"/>
      <c r="DK2024" s="1530"/>
      <c r="DL2024" s="1530"/>
      <c r="DM2024" s="1530"/>
      <c r="DN2024" s="1571"/>
      <c r="DO2024" s="1530"/>
      <c r="DP2024" s="1530"/>
    </row>
    <row r="2025" spans="1:120">
      <c r="A2025" s="1451"/>
      <c r="C2025" s="1451"/>
      <c r="K2025" s="1451"/>
      <c r="L2025" s="1451"/>
      <c r="U2025" s="1451"/>
      <c r="AD2025" s="1451"/>
      <c r="AM2025" s="1451"/>
      <c r="AV2025" s="1451"/>
      <c r="BE2025" s="1451"/>
      <c r="BN2025" s="1451"/>
      <c r="BV2025" s="1451"/>
      <c r="BW2025" s="1451"/>
      <c r="CF2025" s="1451"/>
      <c r="CN2025" s="1451"/>
      <c r="CO2025" s="1530"/>
      <c r="CP2025" s="1530"/>
      <c r="CQ2025" s="1530"/>
      <c r="CR2025" s="1530"/>
      <c r="CS2025" s="1530"/>
      <c r="CT2025" s="1530"/>
      <c r="CU2025" s="1530"/>
      <c r="CV2025" s="1530"/>
      <c r="CW2025" s="1530"/>
      <c r="CX2025" s="1530"/>
      <c r="CY2025" s="1530"/>
      <c r="CZ2025" s="1530"/>
      <c r="DA2025" s="1530"/>
      <c r="DB2025" s="1530"/>
      <c r="DC2025" s="1530"/>
      <c r="DD2025" s="1530"/>
      <c r="DE2025" s="1530"/>
      <c r="DF2025" s="1530"/>
      <c r="DG2025" s="1530"/>
      <c r="DH2025" s="1530"/>
      <c r="DI2025" s="1530"/>
      <c r="DJ2025" s="1530"/>
      <c r="DK2025" s="1530"/>
      <c r="DL2025" s="1530"/>
      <c r="DM2025" s="1530"/>
      <c r="DN2025" s="1571"/>
      <c r="DO2025" s="1530"/>
      <c r="DP2025" s="1530"/>
    </row>
    <row r="2026" spans="1:120">
      <c r="A2026" s="1451"/>
      <c r="C2026" s="1451"/>
      <c r="K2026" s="1451"/>
      <c r="L2026" s="1451"/>
      <c r="U2026" s="1451"/>
      <c r="AD2026" s="1451"/>
      <c r="AM2026" s="1451"/>
      <c r="AV2026" s="1451"/>
      <c r="BE2026" s="1451"/>
      <c r="BN2026" s="1451"/>
      <c r="BV2026" s="1451"/>
      <c r="BW2026" s="1451"/>
      <c r="CF2026" s="1451"/>
      <c r="CN2026" s="1451"/>
      <c r="CO2026" s="1530"/>
      <c r="CP2026" s="1530"/>
      <c r="CQ2026" s="1530"/>
      <c r="CR2026" s="1530"/>
      <c r="CS2026" s="1530"/>
      <c r="CT2026" s="1530"/>
      <c r="CU2026" s="1530"/>
      <c r="CV2026" s="1530"/>
      <c r="CW2026" s="1530"/>
      <c r="CX2026" s="1530"/>
      <c r="CY2026" s="1530"/>
      <c r="CZ2026" s="1530"/>
      <c r="DA2026" s="1530"/>
      <c r="DB2026" s="1530"/>
      <c r="DC2026" s="1530"/>
      <c r="DD2026" s="1530"/>
      <c r="DE2026" s="1530"/>
      <c r="DF2026" s="1530"/>
      <c r="DG2026" s="1530"/>
      <c r="DH2026" s="1530"/>
      <c r="DI2026" s="1530"/>
      <c r="DJ2026" s="1530"/>
      <c r="DK2026" s="1530"/>
      <c r="DL2026" s="1530"/>
      <c r="DM2026" s="1530"/>
      <c r="DN2026" s="1571"/>
      <c r="DO2026" s="1530"/>
      <c r="DP2026" s="1530"/>
    </row>
    <row r="2027" spans="1:120">
      <c r="A2027" s="1451"/>
      <c r="C2027" s="1451"/>
      <c r="K2027" s="1451"/>
      <c r="L2027" s="1451"/>
      <c r="U2027" s="1451"/>
      <c r="AD2027" s="1451"/>
      <c r="AM2027" s="1451"/>
      <c r="AV2027" s="1451"/>
      <c r="BE2027" s="1451"/>
      <c r="BN2027" s="1451"/>
      <c r="BV2027" s="1451"/>
      <c r="BW2027" s="1451"/>
      <c r="CF2027" s="1451"/>
      <c r="CN2027" s="1451"/>
      <c r="CO2027" s="1530"/>
      <c r="CP2027" s="1530"/>
      <c r="CQ2027" s="1530"/>
      <c r="CR2027" s="1530"/>
      <c r="CS2027" s="1530"/>
      <c r="CT2027" s="1530"/>
      <c r="CU2027" s="1530"/>
      <c r="CV2027" s="1530"/>
      <c r="CW2027" s="1530"/>
      <c r="CX2027" s="1530"/>
      <c r="CY2027" s="1530"/>
      <c r="CZ2027" s="1530"/>
      <c r="DA2027" s="1530"/>
      <c r="DB2027" s="1530"/>
      <c r="DC2027" s="1530"/>
      <c r="DD2027" s="1530"/>
      <c r="DE2027" s="1530"/>
      <c r="DF2027" s="1530"/>
      <c r="DG2027" s="1530"/>
      <c r="DH2027" s="1530"/>
      <c r="DI2027" s="1530"/>
      <c r="DJ2027" s="1530"/>
      <c r="DK2027" s="1530"/>
      <c r="DL2027" s="1530"/>
      <c r="DM2027" s="1530"/>
      <c r="DN2027" s="1571"/>
      <c r="DO2027" s="1530"/>
      <c r="DP2027" s="1530"/>
    </row>
    <row r="2028" spans="1:120">
      <c r="A2028" s="1451"/>
      <c r="C2028" s="1451"/>
      <c r="K2028" s="1451"/>
      <c r="L2028" s="1451"/>
      <c r="U2028" s="1451"/>
      <c r="AD2028" s="1451"/>
      <c r="AM2028" s="1451"/>
      <c r="AV2028" s="1451"/>
      <c r="BE2028" s="1451"/>
      <c r="BN2028" s="1451"/>
      <c r="BV2028" s="1451"/>
      <c r="BW2028" s="1451"/>
      <c r="CF2028" s="1451"/>
      <c r="CN2028" s="1451"/>
      <c r="CO2028" s="1530"/>
      <c r="CP2028" s="1530"/>
      <c r="CQ2028" s="1530"/>
      <c r="CR2028" s="1530"/>
      <c r="CS2028" s="1530"/>
      <c r="CT2028" s="1530"/>
      <c r="CU2028" s="1530"/>
      <c r="CV2028" s="1530"/>
      <c r="CW2028" s="1530"/>
      <c r="CX2028" s="1530"/>
      <c r="CY2028" s="1530"/>
      <c r="CZ2028" s="1530"/>
      <c r="DA2028" s="1530"/>
      <c r="DB2028" s="1530"/>
      <c r="DC2028" s="1530"/>
      <c r="DD2028" s="1530"/>
      <c r="DE2028" s="1530"/>
      <c r="DF2028" s="1530"/>
      <c r="DG2028" s="1530"/>
      <c r="DH2028" s="1530"/>
      <c r="DI2028" s="1530"/>
      <c r="DJ2028" s="1530"/>
      <c r="DK2028" s="1530"/>
      <c r="DL2028" s="1530"/>
      <c r="DM2028" s="1530"/>
      <c r="DN2028" s="1571"/>
      <c r="DO2028" s="1530"/>
      <c r="DP2028" s="1530"/>
    </row>
    <row r="2029" spans="1:120">
      <c r="A2029" s="1451"/>
      <c r="C2029" s="1451"/>
      <c r="K2029" s="1451"/>
      <c r="L2029" s="1451"/>
      <c r="U2029" s="1451"/>
      <c r="AD2029" s="1451"/>
      <c r="AM2029" s="1451"/>
      <c r="AV2029" s="1451"/>
      <c r="BE2029" s="1451"/>
      <c r="BN2029" s="1451"/>
      <c r="BV2029" s="1451"/>
      <c r="BW2029" s="1451"/>
      <c r="CF2029" s="1451"/>
      <c r="CN2029" s="1451"/>
      <c r="CO2029" s="1530"/>
      <c r="CP2029" s="1530"/>
      <c r="CQ2029" s="1530"/>
      <c r="CR2029" s="1530"/>
      <c r="CS2029" s="1530"/>
      <c r="CT2029" s="1530"/>
      <c r="CU2029" s="1530"/>
      <c r="CV2029" s="1530"/>
      <c r="CW2029" s="1530"/>
      <c r="CX2029" s="1530"/>
      <c r="CY2029" s="1530"/>
      <c r="CZ2029" s="1530"/>
      <c r="DA2029" s="1530"/>
      <c r="DB2029" s="1530"/>
      <c r="DC2029" s="1530"/>
      <c r="DD2029" s="1530"/>
      <c r="DE2029" s="1530"/>
      <c r="DF2029" s="1530"/>
      <c r="DG2029" s="1530"/>
      <c r="DH2029" s="1530"/>
      <c r="DI2029" s="1530"/>
      <c r="DJ2029" s="1530"/>
      <c r="DK2029" s="1530"/>
      <c r="DL2029" s="1530"/>
      <c r="DM2029" s="1530"/>
      <c r="DN2029" s="1571"/>
      <c r="DO2029" s="1530"/>
      <c r="DP2029" s="1530"/>
    </row>
    <row r="2030" spans="1:120">
      <c r="A2030" s="1451"/>
      <c r="C2030" s="1451"/>
      <c r="K2030" s="1451"/>
      <c r="L2030" s="1451"/>
      <c r="U2030" s="1451"/>
      <c r="AD2030" s="1451"/>
      <c r="AM2030" s="1451"/>
      <c r="AV2030" s="1451"/>
      <c r="BE2030" s="1451"/>
      <c r="BN2030" s="1451"/>
      <c r="BV2030" s="1451"/>
      <c r="BW2030" s="1451"/>
      <c r="CF2030" s="1451"/>
      <c r="CN2030" s="1451"/>
      <c r="CO2030" s="1530"/>
      <c r="CP2030" s="1530"/>
      <c r="CQ2030" s="1530"/>
      <c r="CR2030" s="1530"/>
      <c r="CS2030" s="1530"/>
      <c r="CT2030" s="1530"/>
      <c r="CU2030" s="1530"/>
      <c r="CV2030" s="1530"/>
      <c r="CW2030" s="1530"/>
      <c r="CX2030" s="1530"/>
      <c r="CY2030" s="1530"/>
      <c r="CZ2030" s="1530"/>
      <c r="DA2030" s="1530"/>
      <c r="DB2030" s="1530"/>
      <c r="DC2030" s="1530"/>
      <c r="DD2030" s="1530"/>
      <c r="DE2030" s="1530"/>
      <c r="DF2030" s="1530"/>
      <c r="DG2030" s="1530"/>
      <c r="DH2030" s="1530"/>
      <c r="DI2030" s="1530"/>
      <c r="DJ2030" s="1530"/>
      <c r="DK2030" s="1530"/>
      <c r="DL2030" s="1530"/>
      <c r="DM2030" s="1530"/>
      <c r="DN2030" s="1571"/>
      <c r="DO2030" s="1530"/>
      <c r="DP2030" s="1530"/>
    </row>
    <row r="2031" spans="1:120">
      <c r="A2031" s="1451"/>
      <c r="C2031" s="1451"/>
      <c r="K2031" s="1451"/>
      <c r="L2031" s="1451"/>
      <c r="U2031" s="1451"/>
      <c r="AD2031" s="1451"/>
      <c r="AM2031" s="1451"/>
      <c r="AV2031" s="1451"/>
      <c r="BE2031" s="1451"/>
      <c r="BN2031" s="1451"/>
      <c r="BV2031" s="1451"/>
      <c r="BW2031" s="1451"/>
      <c r="CF2031" s="1451"/>
      <c r="CN2031" s="1451"/>
      <c r="CO2031" s="1530"/>
      <c r="CP2031" s="1530"/>
      <c r="CQ2031" s="1530"/>
      <c r="CR2031" s="1530"/>
      <c r="CS2031" s="1530"/>
      <c r="CT2031" s="1530"/>
      <c r="CU2031" s="1530"/>
      <c r="CV2031" s="1530"/>
      <c r="CW2031" s="1530"/>
      <c r="CX2031" s="1530"/>
      <c r="CY2031" s="1530"/>
      <c r="CZ2031" s="1530"/>
      <c r="DA2031" s="1530"/>
      <c r="DB2031" s="1530"/>
      <c r="DC2031" s="1530"/>
      <c r="DD2031" s="1530"/>
      <c r="DE2031" s="1530"/>
      <c r="DF2031" s="1530"/>
      <c r="DG2031" s="1530"/>
      <c r="DH2031" s="1530"/>
      <c r="DI2031" s="1530"/>
      <c r="DJ2031" s="1530"/>
      <c r="DK2031" s="1530"/>
      <c r="DL2031" s="1530"/>
      <c r="DM2031" s="1530"/>
      <c r="DN2031" s="1571"/>
      <c r="DO2031" s="1530"/>
      <c r="DP2031" s="1530"/>
    </row>
    <row r="2032" spans="1:120">
      <c r="A2032" s="1451"/>
      <c r="C2032" s="1451"/>
      <c r="K2032" s="1451"/>
      <c r="L2032" s="1451"/>
      <c r="U2032" s="1451"/>
      <c r="AD2032" s="1451"/>
      <c r="AM2032" s="1451"/>
      <c r="AV2032" s="1451"/>
      <c r="BE2032" s="1451"/>
      <c r="BN2032" s="1451"/>
      <c r="BV2032" s="1451"/>
      <c r="BW2032" s="1451"/>
      <c r="CF2032" s="1451"/>
      <c r="CN2032" s="1451"/>
      <c r="CO2032" s="1530"/>
      <c r="CP2032" s="1530"/>
      <c r="CQ2032" s="1530"/>
      <c r="CR2032" s="1530"/>
      <c r="CS2032" s="1530"/>
      <c r="CT2032" s="1530"/>
      <c r="CU2032" s="1530"/>
      <c r="CV2032" s="1530"/>
      <c r="CW2032" s="1530"/>
      <c r="CX2032" s="1530"/>
      <c r="CY2032" s="1530"/>
      <c r="CZ2032" s="1530"/>
      <c r="DA2032" s="1530"/>
      <c r="DB2032" s="1530"/>
      <c r="DC2032" s="1530"/>
      <c r="DD2032" s="1530"/>
      <c r="DE2032" s="1530"/>
      <c r="DF2032" s="1530"/>
      <c r="DG2032" s="1530"/>
      <c r="DH2032" s="1530"/>
      <c r="DI2032" s="1530"/>
      <c r="DJ2032" s="1530"/>
      <c r="DK2032" s="1530"/>
      <c r="DL2032" s="1530"/>
      <c r="DM2032" s="1530"/>
      <c r="DN2032" s="1571"/>
      <c r="DO2032" s="1530"/>
      <c r="DP2032" s="1530"/>
    </row>
    <row r="2033" spans="1:120">
      <c r="A2033" s="1451"/>
      <c r="C2033" s="1451"/>
      <c r="K2033" s="1451"/>
      <c r="L2033" s="1451"/>
      <c r="U2033" s="1451"/>
      <c r="AD2033" s="1451"/>
      <c r="AM2033" s="1451"/>
      <c r="AV2033" s="1451"/>
      <c r="BE2033" s="1451"/>
      <c r="BN2033" s="1451"/>
      <c r="BV2033" s="1451"/>
      <c r="BW2033" s="1451"/>
      <c r="CF2033" s="1451"/>
      <c r="CN2033" s="1451"/>
      <c r="CO2033" s="1530"/>
      <c r="CP2033" s="1530"/>
      <c r="CQ2033" s="1530"/>
      <c r="CR2033" s="1530"/>
      <c r="CS2033" s="1530"/>
      <c r="CT2033" s="1530"/>
      <c r="CU2033" s="1530"/>
      <c r="CV2033" s="1530"/>
      <c r="CW2033" s="1530"/>
      <c r="CX2033" s="1530"/>
      <c r="CY2033" s="1530"/>
      <c r="CZ2033" s="1530"/>
      <c r="DA2033" s="1530"/>
      <c r="DB2033" s="1530"/>
      <c r="DC2033" s="1530"/>
      <c r="DD2033" s="1530"/>
      <c r="DE2033" s="1530"/>
      <c r="DF2033" s="1530"/>
      <c r="DG2033" s="1530"/>
      <c r="DH2033" s="1530"/>
      <c r="DI2033" s="1530"/>
      <c r="DJ2033" s="1530"/>
      <c r="DK2033" s="1530"/>
      <c r="DL2033" s="1530"/>
      <c r="DM2033" s="1530"/>
      <c r="DN2033" s="1571"/>
      <c r="DO2033" s="1530"/>
      <c r="DP2033" s="1530"/>
    </row>
    <row r="2034" spans="1:120">
      <c r="A2034" s="1451"/>
      <c r="C2034" s="1451"/>
      <c r="K2034" s="1451"/>
      <c r="L2034" s="1451"/>
      <c r="U2034" s="1451"/>
      <c r="AD2034" s="1451"/>
      <c r="AM2034" s="1451"/>
      <c r="AV2034" s="1451"/>
      <c r="BE2034" s="1451"/>
      <c r="BN2034" s="1451"/>
      <c r="BV2034" s="1451"/>
      <c r="BW2034" s="1451"/>
      <c r="CF2034" s="1451"/>
      <c r="CN2034" s="1451"/>
      <c r="CO2034" s="1530"/>
      <c r="CP2034" s="1530"/>
      <c r="CQ2034" s="1530"/>
      <c r="CR2034" s="1530"/>
      <c r="CS2034" s="1530"/>
      <c r="CT2034" s="1530"/>
      <c r="CU2034" s="1530"/>
      <c r="CV2034" s="1530"/>
      <c r="CW2034" s="1530"/>
      <c r="CX2034" s="1530"/>
      <c r="CY2034" s="1530"/>
      <c r="CZ2034" s="1530"/>
      <c r="DA2034" s="1530"/>
      <c r="DB2034" s="1530"/>
      <c r="DC2034" s="1530"/>
      <c r="DD2034" s="1530"/>
      <c r="DE2034" s="1530"/>
      <c r="DF2034" s="1530"/>
      <c r="DG2034" s="1530"/>
      <c r="DH2034" s="1530"/>
      <c r="DI2034" s="1530"/>
      <c r="DJ2034" s="1530"/>
      <c r="DK2034" s="1530"/>
      <c r="DL2034" s="1530"/>
      <c r="DM2034" s="1530"/>
      <c r="DN2034" s="1571"/>
      <c r="DO2034" s="1530"/>
      <c r="DP2034" s="1530"/>
    </row>
    <row r="2035" spans="1:120">
      <c r="A2035" s="1451"/>
      <c r="C2035" s="1451"/>
      <c r="K2035" s="1451"/>
      <c r="L2035" s="1451"/>
      <c r="U2035" s="1451"/>
      <c r="AD2035" s="1451"/>
      <c r="AM2035" s="1451"/>
      <c r="AV2035" s="1451"/>
      <c r="BE2035" s="1451"/>
      <c r="BN2035" s="1451"/>
      <c r="BV2035" s="1451"/>
      <c r="BW2035" s="1451"/>
      <c r="CF2035" s="1451"/>
      <c r="CN2035" s="1451"/>
      <c r="CO2035" s="1530"/>
      <c r="CP2035" s="1530"/>
      <c r="CQ2035" s="1530"/>
      <c r="CR2035" s="1530"/>
      <c r="CS2035" s="1530"/>
      <c r="CT2035" s="1530"/>
      <c r="CU2035" s="1530"/>
      <c r="CV2035" s="1530"/>
      <c r="CW2035" s="1530"/>
      <c r="CX2035" s="1530"/>
      <c r="CY2035" s="1530"/>
      <c r="CZ2035" s="1530"/>
      <c r="DA2035" s="1530"/>
      <c r="DB2035" s="1530"/>
      <c r="DC2035" s="1530"/>
      <c r="DD2035" s="1530"/>
      <c r="DE2035" s="1530"/>
      <c r="DF2035" s="1530"/>
      <c r="DG2035" s="1530"/>
      <c r="DH2035" s="1530"/>
      <c r="DI2035" s="1530"/>
      <c r="DJ2035" s="1530"/>
      <c r="DK2035" s="1530"/>
      <c r="DL2035" s="1530"/>
      <c r="DM2035" s="1530"/>
      <c r="DN2035" s="1571"/>
      <c r="DO2035" s="1530"/>
      <c r="DP2035" s="1530"/>
    </row>
    <row r="2036" spans="1:120">
      <c r="A2036" s="1451"/>
      <c r="C2036" s="1451"/>
      <c r="K2036" s="1451"/>
      <c r="L2036" s="1451"/>
      <c r="U2036" s="1451"/>
      <c r="AD2036" s="1451"/>
      <c r="AM2036" s="1451"/>
      <c r="AV2036" s="1451"/>
      <c r="BE2036" s="1451"/>
      <c r="BN2036" s="1451"/>
      <c r="BV2036" s="1451"/>
      <c r="BW2036" s="1451"/>
      <c r="CF2036" s="1451"/>
      <c r="CN2036" s="1451"/>
      <c r="CO2036" s="1530"/>
      <c r="CP2036" s="1530"/>
      <c r="CQ2036" s="1530"/>
      <c r="CR2036" s="1530"/>
      <c r="CS2036" s="1530"/>
      <c r="CT2036" s="1530"/>
      <c r="CU2036" s="1530"/>
      <c r="CV2036" s="1530"/>
      <c r="CW2036" s="1530"/>
      <c r="CX2036" s="1530"/>
      <c r="CY2036" s="1530"/>
      <c r="CZ2036" s="1530"/>
      <c r="DA2036" s="1530"/>
      <c r="DB2036" s="1530"/>
      <c r="DC2036" s="1530"/>
      <c r="DD2036" s="1530"/>
      <c r="DE2036" s="1530"/>
      <c r="DF2036" s="1530"/>
      <c r="DG2036" s="1530"/>
      <c r="DH2036" s="1530"/>
      <c r="DI2036" s="1530"/>
      <c r="DJ2036" s="1530"/>
      <c r="DK2036" s="1530"/>
      <c r="DL2036" s="1530"/>
      <c r="DM2036" s="1530"/>
      <c r="DN2036" s="1571"/>
      <c r="DO2036" s="1530"/>
      <c r="DP2036" s="1530"/>
    </row>
    <row r="2037" spans="1:120">
      <c r="A2037" s="1451"/>
      <c r="C2037" s="1451"/>
      <c r="K2037" s="1451"/>
      <c r="L2037" s="1451"/>
      <c r="U2037" s="1451"/>
      <c r="AD2037" s="1451"/>
      <c r="AM2037" s="1451"/>
      <c r="AV2037" s="1451"/>
      <c r="BE2037" s="1451"/>
      <c r="BN2037" s="1451"/>
      <c r="BV2037" s="1451"/>
      <c r="BW2037" s="1451"/>
      <c r="CF2037" s="1451"/>
      <c r="CN2037" s="1451"/>
      <c r="CO2037" s="1530"/>
      <c r="CP2037" s="1530"/>
      <c r="CQ2037" s="1530"/>
      <c r="CR2037" s="1530"/>
      <c r="CS2037" s="1530"/>
      <c r="CT2037" s="1530"/>
      <c r="CU2037" s="1530"/>
      <c r="CV2037" s="1530"/>
      <c r="CW2037" s="1530"/>
      <c r="CX2037" s="1530"/>
      <c r="CY2037" s="1530"/>
      <c r="CZ2037" s="1530"/>
      <c r="DA2037" s="1530"/>
      <c r="DB2037" s="1530"/>
      <c r="DC2037" s="1530"/>
      <c r="DD2037" s="1530"/>
      <c r="DE2037" s="1530"/>
      <c r="DF2037" s="1530"/>
      <c r="DG2037" s="1530"/>
      <c r="DH2037" s="1530"/>
      <c r="DI2037" s="1530"/>
      <c r="DJ2037" s="1530"/>
      <c r="DK2037" s="1530"/>
      <c r="DL2037" s="1530"/>
      <c r="DM2037" s="1530"/>
      <c r="DN2037" s="1571"/>
      <c r="DO2037" s="1530"/>
      <c r="DP2037" s="1530"/>
    </row>
    <row r="2038" spans="1:120">
      <c r="A2038" s="1451"/>
      <c r="C2038" s="1451"/>
      <c r="K2038" s="1451"/>
      <c r="L2038" s="1451"/>
      <c r="U2038" s="1451"/>
      <c r="AD2038" s="1451"/>
      <c r="AM2038" s="1451"/>
      <c r="AV2038" s="1451"/>
      <c r="BE2038" s="1451"/>
      <c r="BN2038" s="1451"/>
      <c r="BV2038" s="1451"/>
      <c r="BW2038" s="1451"/>
      <c r="CF2038" s="1451"/>
      <c r="CN2038" s="1451"/>
      <c r="CO2038" s="1530"/>
      <c r="CP2038" s="1530"/>
      <c r="CQ2038" s="1530"/>
      <c r="CR2038" s="1530"/>
      <c r="CS2038" s="1530"/>
      <c r="CT2038" s="1530"/>
      <c r="CU2038" s="1530"/>
      <c r="CV2038" s="1530"/>
      <c r="CW2038" s="1530"/>
      <c r="CX2038" s="1530"/>
      <c r="CY2038" s="1530"/>
      <c r="CZ2038" s="1530"/>
      <c r="DA2038" s="1530"/>
      <c r="DB2038" s="1530"/>
      <c r="DC2038" s="1530"/>
      <c r="DD2038" s="1530"/>
      <c r="DE2038" s="1530"/>
      <c r="DF2038" s="1530"/>
      <c r="DG2038" s="1530"/>
      <c r="DH2038" s="1530"/>
      <c r="DI2038" s="1530"/>
      <c r="DJ2038" s="1530"/>
      <c r="DK2038" s="1530"/>
      <c r="DL2038" s="1530"/>
      <c r="DM2038" s="1530"/>
      <c r="DN2038" s="1571"/>
      <c r="DO2038" s="1530"/>
      <c r="DP2038" s="1530"/>
    </row>
    <row r="2039" spans="1:120">
      <c r="A2039" s="1451"/>
      <c r="C2039" s="1451"/>
      <c r="K2039" s="1451"/>
      <c r="L2039" s="1451"/>
      <c r="U2039" s="1451"/>
      <c r="AD2039" s="1451"/>
      <c r="AM2039" s="1451"/>
      <c r="AV2039" s="1451"/>
      <c r="BE2039" s="1451"/>
      <c r="BN2039" s="1451"/>
      <c r="BV2039" s="1451"/>
      <c r="BW2039" s="1451"/>
      <c r="CF2039" s="1451"/>
      <c r="CN2039" s="1451"/>
      <c r="CO2039" s="1530"/>
      <c r="CP2039" s="1530"/>
      <c r="CQ2039" s="1530"/>
      <c r="CR2039" s="1530"/>
      <c r="CS2039" s="1530"/>
      <c r="CT2039" s="1530"/>
      <c r="CU2039" s="1530"/>
      <c r="CV2039" s="1530"/>
      <c r="CW2039" s="1530"/>
      <c r="CX2039" s="1530"/>
      <c r="CY2039" s="1530"/>
      <c r="CZ2039" s="1530"/>
      <c r="DA2039" s="1530"/>
      <c r="DB2039" s="1530"/>
      <c r="DC2039" s="1530"/>
      <c r="DD2039" s="1530"/>
      <c r="DE2039" s="1530"/>
      <c r="DF2039" s="1530"/>
      <c r="DG2039" s="1530"/>
      <c r="DH2039" s="1530"/>
      <c r="DI2039" s="1530"/>
      <c r="DJ2039" s="1530"/>
      <c r="DK2039" s="1530"/>
      <c r="DL2039" s="1530"/>
      <c r="DM2039" s="1530"/>
      <c r="DN2039" s="1571"/>
      <c r="DO2039" s="1530"/>
      <c r="DP2039" s="1530"/>
    </row>
    <row r="2040" spans="1:120">
      <c r="A2040" s="1451"/>
      <c r="C2040" s="1451"/>
      <c r="K2040" s="1451"/>
      <c r="L2040" s="1451"/>
      <c r="U2040" s="1451"/>
      <c r="AD2040" s="1451"/>
      <c r="AM2040" s="1451"/>
      <c r="AV2040" s="1451"/>
      <c r="BE2040" s="1451"/>
      <c r="BN2040" s="1451"/>
      <c r="BV2040" s="1451"/>
      <c r="BW2040" s="1451"/>
      <c r="CF2040" s="1451"/>
      <c r="CN2040" s="1451"/>
      <c r="CO2040" s="1530"/>
      <c r="CP2040" s="1530"/>
      <c r="CQ2040" s="1530"/>
      <c r="CR2040" s="1530"/>
      <c r="CS2040" s="1530"/>
      <c r="CT2040" s="1530"/>
      <c r="CU2040" s="1530"/>
      <c r="CV2040" s="1530"/>
      <c r="CW2040" s="1530"/>
      <c r="CX2040" s="1530"/>
      <c r="CY2040" s="1530"/>
      <c r="CZ2040" s="1530"/>
      <c r="DA2040" s="1530"/>
      <c r="DB2040" s="1530"/>
      <c r="DC2040" s="1530"/>
      <c r="DD2040" s="1530"/>
      <c r="DE2040" s="1530"/>
      <c r="DF2040" s="1530"/>
      <c r="DG2040" s="1530"/>
      <c r="DH2040" s="1530"/>
      <c r="DI2040" s="1530"/>
      <c r="DJ2040" s="1530"/>
      <c r="DK2040" s="1530"/>
      <c r="DL2040" s="1530"/>
      <c r="DM2040" s="1530"/>
      <c r="DN2040" s="1571"/>
      <c r="DO2040" s="1530"/>
      <c r="DP2040" s="1530"/>
    </row>
    <row r="2041" spans="1:120">
      <c r="A2041" s="1451"/>
      <c r="C2041" s="1451"/>
      <c r="K2041" s="1451"/>
      <c r="L2041" s="1451"/>
      <c r="U2041" s="1451"/>
      <c r="AD2041" s="1451"/>
      <c r="AM2041" s="1451"/>
      <c r="AV2041" s="1451"/>
      <c r="BE2041" s="1451"/>
      <c r="BN2041" s="1451"/>
      <c r="BV2041" s="1451"/>
      <c r="BW2041" s="1451"/>
      <c r="CF2041" s="1451"/>
      <c r="CN2041" s="1451"/>
      <c r="CO2041" s="1530"/>
      <c r="CP2041" s="1530"/>
      <c r="CQ2041" s="1530"/>
      <c r="CR2041" s="1530"/>
      <c r="CS2041" s="1530"/>
      <c r="CT2041" s="1530"/>
      <c r="CU2041" s="1530"/>
      <c r="CV2041" s="1530"/>
      <c r="CW2041" s="1530"/>
      <c r="CX2041" s="1530"/>
      <c r="CY2041" s="1530"/>
      <c r="CZ2041" s="1530"/>
      <c r="DA2041" s="1530"/>
      <c r="DB2041" s="1530"/>
      <c r="DC2041" s="1530"/>
      <c r="DD2041" s="1530"/>
      <c r="DE2041" s="1530"/>
      <c r="DF2041" s="1530"/>
      <c r="DG2041" s="1530"/>
      <c r="DH2041" s="1530"/>
      <c r="DI2041" s="1530"/>
      <c r="DJ2041" s="1530"/>
      <c r="DK2041" s="1530"/>
      <c r="DL2041" s="1530"/>
      <c r="DM2041" s="1530"/>
      <c r="DN2041" s="1571"/>
      <c r="DO2041" s="1530"/>
      <c r="DP2041" s="1530"/>
    </row>
    <row r="2042" spans="1:120">
      <c r="A2042" s="1451"/>
      <c r="C2042" s="1451"/>
      <c r="K2042" s="1451"/>
      <c r="L2042" s="1451"/>
      <c r="U2042" s="1451"/>
      <c r="AD2042" s="1451"/>
      <c r="AM2042" s="1451"/>
      <c r="AV2042" s="1451"/>
      <c r="BE2042" s="1451"/>
      <c r="BN2042" s="1451"/>
      <c r="BV2042" s="1451"/>
      <c r="BW2042" s="1451"/>
      <c r="CF2042" s="1451"/>
      <c r="CN2042" s="1451"/>
      <c r="CO2042" s="1530"/>
      <c r="CP2042" s="1530"/>
      <c r="CQ2042" s="1530"/>
      <c r="CR2042" s="1530"/>
      <c r="CS2042" s="1530"/>
      <c r="CT2042" s="1530"/>
      <c r="CU2042" s="1530"/>
      <c r="CV2042" s="1530"/>
      <c r="CW2042" s="1530"/>
      <c r="CX2042" s="1530"/>
      <c r="CY2042" s="1530"/>
      <c r="CZ2042" s="1530"/>
      <c r="DA2042" s="1530"/>
      <c r="DB2042" s="1530"/>
      <c r="DC2042" s="1530"/>
      <c r="DD2042" s="1530"/>
      <c r="DE2042" s="1530"/>
      <c r="DF2042" s="1530"/>
      <c r="DG2042" s="1530"/>
      <c r="DH2042" s="1530"/>
      <c r="DI2042" s="1530"/>
      <c r="DJ2042" s="1530"/>
      <c r="DK2042" s="1530"/>
      <c r="DL2042" s="1530"/>
      <c r="DM2042" s="1530"/>
      <c r="DN2042" s="1571"/>
      <c r="DO2042" s="1530"/>
      <c r="DP2042" s="1530"/>
    </row>
    <row r="2043" spans="1:120">
      <c r="A2043" s="1451"/>
      <c r="C2043" s="1451"/>
      <c r="K2043" s="1451"/>
      <c r="L2043" s="1451"/>
      <c r="U2043" s="1451"/>
      <c r="AD2043" s="1451"/>
      <c r="AM2043" s="1451"/>
      <c r="AV2043" s="1451"/>
      <c r="BE2043" s="1451"/>
      <c r="BN2043" s="1451"/>
      <c r="BV2043" s="1451"/>
      <c r="BW2043" s="1451"/>
      <c r="CF2043" s="1451"/>
      <c r="CN2043" s="1451"/>
      <c r="CO2043" s="1530"/>
      <c r="CP2043" s="1530"/>
      <c r="CQ2043" s="1530"/>
      <c r="CR2043" s="1530"/>
      <c r="CS2043" s="1530"/>
      <c r="CT2043" s="1530"/>
      <c r="CU2043" s="1530"/>
      <c r="CV2043" s="1530"/>
      <c r="CW2043" s="1530"/>
      <c r="CX2043" s="1530"/>
      <c r="CY2043" s="1530"/>
      <c r="CZ2043" s="1530"/>
      <c r="DA2043" s="1530"/>
      <c r="DB2043" s="1530"/>
      <c r="DC2043" s="1530"/>
      <c r="DD2043" s="1530"/>
      <c r="DE2043" s="1530"/>
      <c r="DF2043" s="1530"/>
      <c r="DG2043" s="1530"/>
      <c r="DH2043" s="1530"/>
      <c r="DI2043" s="1530"/>
      <c r="DJ2043" s="1530"/>
      <c r="DK2043" s="1530"/>
      <c r="DL2043" s="1530"/>
      <c r="DM2043" s="1530"/>
      <c r="DN2043" s="1571"/>
      <c r="DO2043" s="1530"/>
      <c r="DP2043" s="1530"/>
    </row>
    <row r="2044" spans="1:120">
      <c r="A2044" s="1451"/>
      <c r="C2044" s="1451"/>
      <c r="K2044" s="1451"/>
      <c r="L2044" s="1451"/>
      <c r="U2044" s="1451"/>
      <c r="AD2044" s="1451"/>
      <c r="AM2044" s="1451"/>
      <c r="AV2044" s="1451"/>
      <c r="BE2044" s="1451"/>
      <c r="BN2044" s="1451"/>
      <c r="BV2044" s="1451"/>
      <c r="BW2044" s="1451"/>
      <c r="CF2044" s="1451"/>
      <c r="CN2044" s="1451"/>
      <c r="CO2044" s="1530"/>
      <c r="CP2044" s="1530"/>
      <c r="CQ2044" s="1530"/>
      <c r="CR2044" s="1530"/>
      <c r="CS2044" s="1530"/>
      <c r="CT2044" s="1530"/>
      <c r="CU2044" s="1530"/>
      <c r="CV2044" s="1530"/>
      <c r="CW2044" s="1530"/>
      <c r="CX2044" s="1530"/>
      <c r="CY2044" s="1530"/>
      <c r="CZ2044" s="1530"/>
      <c r="DA2044" s="1530"/>
      <c r="DB2044" s="1530"/>
      <c r="DC2044" s="1530"/>
      <c r="DD2044" s="1530"/>
      <c r="DE2044" s="1530"/>
      <c r="DF2044" s="1530"/>
      <c r="DG2044" s="1530"/>
      <c r="DH2044" s="1530"/>
      <c r="DI2044" s="1530"/>
      <c r="DJ2044" s="1530"/>
      <c r="DK2044" s="1530"/>
      <c r="DL2044" s="1530"/>
      <c r="DM2044" s="1530"/>
      <c r="DN2044" s="1571"/>
      <c r="DO2044" s="1530"/>
      <c r="DP2044" s="1530"/>
    </row>
    <row r="2045" spans="1:120">
      <c r="A2045" s="1451"/>
      <c r="C2045" s="1451"/>
      <c r="K2045" s="1451"/>
      <c r="L2045" s="1451"/>
      <c r="U2045" s="1451"/>
      <c r="AD2045" s="1451"/>
      <c r="AM2045" s="1451"/>
      <c r="AV2045" s="1451"/>
      <c r="BE2045" s="1451"/>
      <c r="BN2045" s="1451"/>
      <c r="BV2045" s="1451"/>
      <c r="BW2045" s="1451"/>
      <c r="CF2045" s="1451"/>
      <c r="CN2045" s="1451"/>
      <c r="CO2045" s="1530"/>
      <c r="CP2045" s="1530"/>
      <c r="CQ2045" s="1530"/>
      <c r="CR2045" s="1530"/>
      <c r="CS2045" s="1530"/>
      <c r="CT2045" s="1530"/>
      <c r="CU2045" s="1530"/>
      <c r="CV2045" s="1530"/>
      <c r="CW2045" s="1530"/>
      <c r="CX2045" s="1530"/>
      <c r="CY2045" s="1530"/>
      <c r="CZ2045" s="1530"/>
      <c r="DA2045" s="1530"/>
      <c r="DB2045" s="1530"/>
      <c r="DC2045" s="1530"/>
      <c r="DD2045" s="1530"/>
      <c r="DE2045" s="1530"/>
      <c r="DF2045" s="1530"/>
      <c r="DG2045" s="1530"/>
      <c r="DH2045" s="1530"/>
      <c r="DI2045" s="1530"/>
      <c r="DJ2045" s="1530"/>
      <c r="DK2045" s="1530"/>
      <c r="DL2045" s="1530"/>
      <c r="DM2045" s="1530"/>
      <c r="DN2045" s="1571"/>
      <c r="DO2045" s="1530"/>
      <c r="DP2045" s="1530"/>
    </row>
    <row r="2046" spans="1:120">
      <c r="A2046" s="1451"/>
      <c r="C2046" s="1451"/>
      <c r="K2046" s="1451"/>
      <c r="L2046" s="1451"/>
      <c r="U2046" s="1451"/>
      <c r="AD2046" s="1451"/>
      <c r="AM2046" s="1451"/>
      <c r="AV2046" s="1451"/>
      <c r="BE2046" s="1451"/>
      <c r="BN2046" s="1451"/>
      <c r="BV2046" s="1451"/>
      <c r="BW2046" s="1451"/>
      <c r="CF2046" s="1451"/>
      <c r="CN2046" s="1451"/>
      <c r="CO2046" s="1530"/>
      <c r="CP2046" s="1530"/>
      <c r="CQ2046" s="1530"/>
      <c r="CR2046" s="1530"/>
      <c r="CS2046" s="1530"/>
      <c r="CT2046" s="1530"/>
      <c r="CU2046" s="1530"/>
      <c r="CV2046" s="1530"/>
      <c r="CW2046" s="1530"/>
      <c r="CX2046" s="1530"/>
      <c r="CY2046" s="1530"/>
      <c r="CZ2046" s="1530"/>
      <c r="DA2046" s="1530"/>
      <c r="DB2046" s="1530"/>
      <c r="DC2046" s="1530"/>
      <c r="DD2046" s="1530"/>
      <c r="DE2046" s="1530"/>
      <c r="DF2046" s="1530"/>
      <c r="DG2046" s="1530"/>
      <c r="DH2046" s="1530"/>
      <c r="DI2046" s="1530"/>
      <c r="DJ2046" s="1530"/>
      <c r="DK2046" s="1530"/>
      <c r="DL2046" s="1530"/>
      <c r="DM2046" s="1530"/>
      <c r="DN2046" s="1571"/>
      <c r="DO2046" s="1530"/>
      <c r="DP2046" s="1530"/>
    </row>
    <row r="2047" spans="1:120">
      <c r="A2047" s="1451"/>
      <c r="C2047" s="1451"/>
      <c r="K2047" s="1451"/>
      <c r="L2047" s="1451"/>
      <c r="U2047" s="1451"/>
      <c r="AD2047" s="1451"/>
      <c r="AM2047" s="1451"/>
      <c r="AV2047" s="1451"/>
      <c r="BE2047" s="1451"/>
      <c r="BN2047" s="1451"/>
      <c r="BV2047" s="1451"/>
      <c r="BW2047" s="1451"/>
      <c r="CF2047" s="1451"/>
      <c r="CN2047" s="1451"/>
      <c r="CO2047" s="1530"/>
      <c r="CP2047" s="1530"/>
      <c r="CQ2047" s="1530"/>
      <c r="CR2047" s="1530"/>
      <c r="CS2047" s="1530"/>
      <c r="CT2047" s="1530"/>
      <c r="CU2047" s="1530"/>
      <c r="CV2047" s="1530"/>
      <c r="CW2047" s="1530"/>
      <c r="CX2047" s="1530"/>
      <c r="CY2047" s="1530"/>
      <c r="CZ2047" s="1530"/>
      <c r="DA2047" s="1530"/>
      <c r="DB2047" s="1530"/>
      <c r="DC2047" s="1530"/>
      <c r="DD2047" s="1530"/>
      <c r="DE2047" s="1530"/>
      <c r="DF2047" s="1530"/>
      <c r="DG2047" s="1530"/>
      <c r="DH2047" s="1530"/>
      <c r="DI2047" s="1530"/>
      <c r="DJ2047" s="1530"/>
      <c r="DK2047" s="1530"/>
      <c r="DL2047" s="1530"/>
      <c r="DM2047" s="1530"/>
      <c r="DN2047" s="1571"/>
      <c r="DO2047" s="1530"/>
      <c r="DP2047" s="1530"/>
    </row>
    <row r="2048" spans="1:120">
      <c r="A2048" s="1451"/>
      <c r="C2048" s="1451"/>
      <c r="K2048" s="1451"/>
      <c r="L2048" s="1451"/>
      <c r="U2048" s="1451"/>
      <c r="AD2048" s="1451"/>
      <c r="AM2048" s="1451"/>
      <c r="AV2048" s="1451"/>
      <c r="BE2048" s="1451"/>
      <c r="BN2048" s="1451"/>
      <c r="BV2048" s="1451"/>
      <c r="BW2048" s="1451"/>
      <c r="CF2048" s="1451"/>
      <c r="CN2048" s="1451"/>
      <c r="CO2048" s="1530"/>
      <c r="CP2048" s="1530"/>
      <c r="CQ2048" s="1530"/>
      <c r="CR2048" s="1530"/>
      <c r="CS2048" s="1530"/>
      <c r="CT2048" s="1530"/>
      <c r="CU2048" s="1530"/>
      <c r="CV2048" s="1530"/>
      <c r="CW2048" s="1530"/>
      <c r="CX2048" s="1530"/>
      <c r="CY2048" s="1530"/>
      <c r="CZ2048" s="1530"/>
      <c r="DA2048" s="1530"/>
      <c r="DB2048" s="1530"/>
      <c r="DC2048" s="1530"/>
      <c r="DD2048" s="1530"/>
      <c r="DE2048" s="1530"/>
      <c r="DF2048" s="1530"/>
      <c r="DG2048" s="1530"/>
      <c r="DH2048" s="1530"/>
      <c r="DI2048" s="1530"/>
      <c r="DJ2048" s="1530"/>
      <c r="DK2048" s="1530"/>
      <c r="DL2048" s="1530"/>
      <c r="DM2048" s="1530"/>
      <c r="DN2048" s="1571"/>
      <c r="DO2048" s="1530"/>
      <c r="DP2048" s="1530"/>
    </row>
    <row r="2049" spans="1:120">
      <c r="A2049" s="1451"/>
      <c r="C2049" s="1451"/>
      <c r="K2049" s="1451"/>
      <c r="L2049" s="1451"/>
      <c r="U2049" s="1451"/>
      <c r="AD2049" s="1451"/>
      <c r="AM2049" s="1451"/>
      <c r="AV2049" s="1451"/>
      <c r="BE2049" s="1451"/>
      <c r="BN2049" s="1451"/>
      <c r="BV2049" s="1451"/>
      <c r="BW2049" s="1451"/>
      <c r="CF2049" s="1451"/>
      <c r="CN2049" s="1451"/>
      <c r="CO2049" s="1530"/>
      <c r="CP2049" s="1530"/>
      <c r="CQ2049" s="1530"/>
      <c r="CR2049" s="1530"/>
      <c r="CS2049" s="1530"/>
      <c r="CT2049" s="1530"/>
      <c r="CU2049" s="1530"/>
      <c r="CV2049" s="1530"/>
      <c r="CW2049" s="1530"/>
      <c r="CX2049" s="1530"/>
      <c r="CY2049" s="1530"/>
      <c r="CZ2049" s="1530"/>
      <c r="DA2049" s="1530"/>
      <c r="DB2049" s="1530"/>
      <c r="DC2049" s="1530"/>
      <c r="DD2049" s="1530"/>
      <c r="DE2049" s="1530"/>
      <c r="DF2049" s="1530"/>
      <c r="DG2049" s="1530"/>
      <c r="DH2049" s="1530"/>
      <c r="DI2049" s="1530"/>
      <c r="DJ2049" s="1530"/>
      <c r="DK2049" s="1530"/>
      <c r="DL2049" s="1530"/>
      <c r="DM2049" s="1530"/>
      <c r="DN2049" s="1571"/>
      <c r="DO2049" s="1530"/>
      <c r="DP2049" s="1530"/>
    </row>
    <row r="2050" spans="1:120">
      <c r="A2050" s="1451"/>
      <c r="C2050" s="1451"/>
      <c r="K2050" s="1451"/>
      <c r="L2050" s="1451"/>
      <c r="U2050" s="1451"/>
      <c r="AD2050" s="1451"/>
      <c r="AM2050" s="1451"/>
      <c r="AV2050" s="1451"/>
      <c r="BE2050" s="1451"/>
      <c r="BN2050" s="1451"/>
      <c r="BV2050" s="1451"/>
      <c r="BW2050" s="1451"/>
      <c r="CF2050" s="1451"/>
      <c r="CN2050" s="1451"/>
      <c r="CO2050" s="1530"/>
      <c r="CP2050" s="1530"/>
      <c r="CQ2050" s="1530"/>
      <c r="CR2050" s="1530"/>
      <c r="CS2050" s="1530"/>
      <c r="CT2050" s="1530"/>
      <c r="CU2050" s="1530"/>
      <c r="CV2050" s="1530"/>
      <c r="CW2050" s="1530"/>
      <c r="CX2050" s="1530"/>
      <c r="CY2050" s="1530"/>
      <c r="CZ2050" s="1530"/>
      <c r="DA2050" s="1530"/>
      <c r="DB2050" s="1530"/>
      <c r="DC2050" s="1530"/>
      <c r="DD2050" s="1530"/>
      <c r="DE2050" s="1530"/>
      <c r="DF2050" s="1530"/>
      <c r="DG2050" s="1530"/>
      <c r="DH2050" s="1530"/>
      <c r="DI2050" s="1530"/>
      <c r="DJ2050" s="1530"/>
      <c r="DK2050" s="1530"/>
      <c r="DL2050" s="1530"/>
      <c r="DM2050" s="1530"/>
      <c r="DN2050" s="1571"/>
      <c r="DO2050" s="1530"/>
      <c r="DP2050" s="1530"/>
    </row>
    <row r="2051" spans="1:120">
      <c r="A2051" s="1451"/>
      <c r="C2051" s="1451"/>
      <c r="K2051" s="1451"/>
      <c r="L2051" s="1451"/>
      <c r="U2051" s="1451"/>
      <c r="AD2051" s="1451"/>
      <c r="AM2051" s="1451"/>
      <c r="AV2051" s="1451"/>
      <c r="BE2051" s="1451"/>
      <c r="BN2051" s="1451"/>
      <c r="BV2051" s="1451"/>
      <c r="BW2051" s="1451"/>
      <c r="CF2051" s="1451"/>
      <c r="CN2051" s="1451"/>
      <c r="CO2051" s="1530"/>
      <c r="CP2051" s="1530"/>
      <c r="CQ2051" s="1530"/>
      <c r="CR2051" s="1530"/>
      <c r="CS2051" s="1530"/>
      <c r="CT2051" s="1530"/>
      <c r="CU2051" s="1530"/>
      <c r="CV2051" s="1530"/>
      <c r="CW2051" s="1530"/>
      <c r="CX2051" s="1530"/>
      <c r="CY2051" s="1530"/>
      <c r="CZ2051" s="1530"/>
      <c r="DA2051" s="1530"/>
      <c r="DB2051" s="1530"/>
      <c r="DC2051" s="1530"/>
      <c r="DD2051" s="1530"/>
      <c r="DE2051" s="1530"/>
      <c r="DF2051" s="1530"/>
      <c r="DG2051" s="1530"/>
      <c r="DH2051" s="1530"/>
      <c r="DI2051" s="1530"/>
      <c r="DJ2051" s="1530"/>
      <c r="DK2051" s="1530"/>
      <c r="DL2051" s="1530"/>
      <c r="DM2051" s="1530"/>
      <c r="DN2051" s="1571"/>
      <c r="DO2051" s="1530"/>
      <c r="DP2051" s="1530"/>
    </row>
    <row r="2052" spans="1:120">
      <c r="A2052" s="1451"/>
      <c r="C2052" s="1451"/>
      <c r="K2052" s="1451"/>
      <c r="L2052" s="1451"/>
      <c r="U2052" s="1451"/>
      <c r="AD2052" s="1451"/>
      <c r="AM2052" s="1451"/>
      <c r="AV2052" s="1451"/>
      <c r="BE2052" s="1451"/>
      <c r="BN2052" s="1451"/>
      <c r="BV2052" s="1451"/>
      <c r="BW2052" s="1451"/>
      <c r="CF2052" s="1451"/>
      <c r="CN2052" s="1451"/>
      <c r="CO2052" s="1530"/>
      <c r="CP2052" s="1530"/>
      <c r="CQ2052" s="1530"/>
      <c r="CR2052" s="1530"/>
      <c r="CS2052" s="1530"/>
      <c r="CT2052" s="1530"/>
      <c r="CU2052" s="1530"/>
      <c r="CV2052" s="1530"/>
      <c r="CW2052" s="1530"/>
      <c r="CX2052" s="1530"/>
      <c r="CY2052" s="1530"/>
      <c r="CZ2052" s="1530"/>
      <c r="DA2052" s="1530"/>
      <c r="DB2052" s="1530"/>
      <c r="DC2052" s="1530"/>
      <c r="DD2052" s="1530"/>
      <c r="DE2052" s="1530"/>
      <c r="DF2052" s="1530"/>
      <c r="DG2052" s="1530"/>
      <c r="DH2052" s="1530"/>
      <c r="DI2052" s="1530"/>
      <c r="DJ2052" s="1530"/>
      <c r="DK2052" s="1530"/>
      <c r="DL2052" s="1530"/>
      <c r="DM2052" s="1530"/>
      <c r="DN2052" s="1571"/>
      <c r="DO2052" s="1530"/>
      <c r="DP2052" s="1530"/>
    </row>
    <row r="2053" spans="1:120">
      <c r="A2053" s="1451"/>
      <c r="C2053" s="1451"/>
      <c r="K2053" s="1451"/>
      <c r="L2053" s="1451"/>
      <c r="U2053" s="1451"/>
      <c r="AD2053" s="1451"/>
      <c r="AM2053" s="1451"/>
      <c r="AV2053" s="1451"/>
      <c r="BE2053" s="1451"/>
      <c r="BN2053" s="1451"/>
      <c r="BV2053" s="1451"/>
      <c r="BW2053" s="1451"/>
      <c r="CF2053" s="1451"/>
      <c r="CN2053" s="1451"/>
      <c r="CO2053" s="1530"/>
      <c r="CP2053" s="1530"/>
      <c r="CQ2053" s="1530"/>
      <c r="CR2053" s="1530"/>
      <c r="CS2053" s="1530"/>
      <c r="CT2053" s="1530"/>
      <c r="CU2053" s="1530"/>
      <c r="CV2053" s="1530"/>
      <c r="CW2053" s="1530"/>
      <c r="CX2053" s="1530"/>
      <c r="CY2053" s="1530"/>
      <c r="CZ2053" s="1530"/>
      <c r="DA2053" s="1530"/>
      <c r="DB2053" s="1530"/>
      <c r="DC2053" s="1530"/>
      <c r="DD2053" s="1530"/>
      <c r="DE2053" s="1530"/>
      <c r="DF2053" s="1530"/>
      <c r="DG2053" s="1530"/>
      <c r="DH2053" s="1530"/>
      <c r="DI2053" s="1530"/>
      <c r="DJ2053" s="1530"/>
      <c r="DK2053" s="1530"/>
      <c r="DL2053" s="1530"/>
      <c r="DM2053" s="1530"/>
      <c r="DN2053" s="1571"/>
      <c r="DO2053" s="1530"/>
      <c r="DP2053" s="1530"/>
    </row>
    <row r="2054" spans="1:120">
      <c r="A2054" s="1451"/>
      <c r="C2054" s="1451"/>
      <c r="K2054" s="1451"/>
      <c r="L2054" s="1451"/>
      <c r="U2054" s="1451"/>
      <c r="AD2054" s="1451"/>
      <c r="AM2054" s="1451"/>
      <c r="AV2054" s="1451"/>
      <c r="BE2054" s="1451"/>
      <c r="BN2054" s="1451"/>
      <c r="BV2054" s="1451"/>
      <c r="BW2054" s="1451"/>
      <c r="CF2054" s="1451"/>
      <c r="CN2054" s="1451"/>
      <c r="CO2054" s="1530"/>
      <c r="CP2054" s="1530"/>
      <c r="CQ2054" s="1530"/>
      <c r="CR2054" s="1530"/>
      <c r="CS2054" s="1530"/>
      <c r="CT2054" s="1530"/>
      <c r="CU2054" s="1530"/>
      <c r="CV2054" s="1530"/>
      <c r="CW2054" s="1530"/>
      <c r="CX2054" s="1530"/>
      <c r="CY2054" s="1530"/>
      <c r="CZ2054" s="1530"/>
      <c r="DA2054" s="1530"/>
      <c r="DB2054" s="1530"/>
      <c r="DC2054" s="1530"/>
      <c r="DD2054" s="1530"/>
      <c r="DE2054" s="1530"/>
      <c r="DF2054" s="1530"/>
      <c r="DG2054" s="1530"/>
      <c r="DH2054" s="1530"/>
      <c r="DI2054" s="1530"/>
      <c r="DJ2054" s="1530"/>
      <c r="DK2054" s="1530"/>
      <c r="DL2054" s="1530"/>
      <c r="DM2054" s="1530"/>
      <c r="DN2054" s="1571"/>
      <c r="DO2054" s="1530"/>
      <c r="DP2054" s="1530"/>
    </row>
    <row r="2055" spans="1:120">
      <c r="A2055" s="1451"/>
      <c r="C2055" s="1451"/>
      <c r="K2055" s="1451"/>
      <c r="L2055" s="1451"/>
      <c r="U2055" s="1451"/>
      <c r="AD2055" s="1451"/>
      <c r="AM2055" s="1451"/>
      <c r="AV2055" s="1451"/>
      <c r="BE2055" s="1451"/>
      <c r="BN2055" s="1451"/>
      <c r="BV2055" s="1451"/>
      <c r="BW2055" s="1451"/>
      <c r="CF2055" s="1451"/>
      <c r="CN2055" s="1451"/>
      <c r="CO2055" s="1530"/>
      <c r="CP2055" s="1530"/>
      <c r="CQ2055" s="1530"/>
      <c r="CR2055" s="1530"/>
      <c r="CS2055" s="1530"/>
      <c r="CT2055" s="1530"/>
      <c r="CU2055" s="1530"/>
      <c r="CV2055" s="1530"/>
      <c r="CW2055" s="1530"/>
      <c r="CX2055" s="1530"/>
      <c r="CY2055" s="1530"/>
      <c r="CZ2055" s="1530"/>
      <c r="DA2055" s="1530"/>
      <c r="DB2055" s="1530"/>
      <c r="DC2055" s="1530"/>
      <c r="DD2055" s="1530"/>
      <c r="DE2055" s="1530"/>
      <c r="DF2055" s="1530"/>
      <c r="DG2055" s="1530"/>
      <c r="DH2055" s="1530"/>
      <c r="DI2055" s="1530"/>
      <c r="DJ2055" s="1530"/>
      <c r="DK2055" s="1530"/>
      <c r="DL2055" s="1530"/>
      <c r="DM2055" s="1530"/>
      <c r="DN2055" s="1571"/>
      <c r="DO2055" s="1530"/>
      <c r="DP2055" s="1530"/>
    </row>
    <row r="2056" spans="1:120">
      <c r="A2056" s="1451"/>
      <c r="C2056" s="1451"/>
      <c r="K2056" s="1451"/>
      <c r="L2056" s="1451"/>
      <c r="U2056" s="1451"/>
      <c r="AD2056" s="1451"/>
      <c r="AM2056" s="1451"/>
      <c r="AV2056" s="1451"/>
      <c r="BE2056" s="1451"/>
      <c r="BN2056" s="1451"/>
      <c r="BV2056" s="1451"/>
      <c r="BW2056" s="1451"/>
      <c r="CF2056" s="1451"/>
      <c r="CN2056" s="1451"/>
      <c r="CO2056" s="1530"/>
      <c r="CP2056" s="1530"/>
      <c r="CQ2056" s="1530"/>
      <c r="CR2056" s="1530"/>
      <c r="CS2056" s="1530"/>
      <c r="CT2056" s="1530"/>
      <c r="CU2056" s="1530"/>
      <c r="CV2056" s="1530"/>
      <c r="CW2056" s="1530"/>
      <c r="CX2056" s="1530"/>
      <c r="CY2056" s="1530"/>
      <c r="CZ2056" s="1530"/>
      <c r="DA2056" s="1530"/>
      <c r="DB2056" s="1530"/>
      <c r="DC2056" s="1530"/>
      <c r="DD2056" s="1530"/>
      <c r="DE2056" s="1530"/>
      <c r="DF2056" s="1530"/>
      <c r="DG2056" s="1530"/>
      <c r="DH2056" s="1530"/>
      <c r="DI2056" s="1530"/>
      <c r="DJ2056" s="1530"/>
      <c r="DK2056" s="1530"/>
      <c r="DL2056" s="1530"/>
      <c r="DM2056" s="1530"/>
      <c r="DN2056" s="1571"/>
      <c r="DO2056" s="1530"/>
      <c r="DP2056" s="1530"/>
    </row>
    <row r="2057" spans="1:120">
      <c r="A2057" s="1451"/>
      <c r="C2057" s="1451"/>
      <c r="K2057" s="1451"/>
      <c r="L2057" s="1451"/>
      <c r="U2057" s="1451"/>
      <c r="AD2057" s="1451"/>
      <c r="AM2057" s="1451"/>
      <c r="AV2057" s="1451"/>
      <c r="BE2057" s="1451"/>
      <c r="BN2057" s="1451"/>
      <c r="BV2057" s="1451"/>
      <c r="BW2057" s="1451"/>
      <c r="CF2057" s="1451"/>
      <c r="CN2057" s="1451"/>
      <c r="CO2057" s="1530"/>
      <c r="CP2057" s="1530"/>
      <c r="CQ2057" s="1530"/>
      <c r="CR2057" s="1530"/>
      <c r="CS2057" s="1530"/>
      <c r="CT2057" s="1530"/>
      <c r="CU2057" s="1530"/>
      <c r="CV2057" s="1530"/>
      <c r="CW2057" s="1530"/>
      <c r="CX2057" s="1530"/>
      <c r="CY2057" s="1530"/>
      <c r="CZ2057" s="1530"/>
      <c r="DA2057" s="1530"/>
      <c r="DB2057" s="1530"/>
      <c r="DC2057" s="1530"/>
      <c r="DD2057" s="1530"/>
      <c r="DE2057" s="1530"/>
      <c r="DF2057" s="1530"/>
      <c r="DG2057" s="1530"/>
      <c r="DH2057" s="1530"/>
      <c r="DI2057" s="1530"/>
      <c r="DJ2057" s="1530"/>
      <c r="DK2057" s="1530"/>
      <c r="DL2057" s="1530"/>
      <c r="DM2057" s="1530"/>
      <c r="DN2057" s="1571"/>
      <c r="DO2057" s="1530"/>
      <c r="DP2057" s="1530"/>
    </row>
    <row r="2058" spans="1:120">
      <c r="A2058" s="1451"/>
      <c r="C2058" s="1451"/>
      <c r="K2058" s="1451"/>
      <c r="L2058" s="1451"/>
      <c r="U2058" s="1451"/>
      <c r="AD2058" s="1451"/>
      <c r="AM2058" s="1451"/>
      <c r="AV2058" s="1451"/>
      <c r="BE2058" s="1451"/>
      <c r="BN2058" s="1451"/>
      <c r="BV2058" s="1451"/>
      <c r="BW2058" s="1451"/>
      <c r="CF2058" s="1451"/>
      <c r="CN2058" s="1451"/>
      <c r="CO2058" s="1530"/>
      <c r="CP2058" s="1530"/>
      <c r="CQ2058" s="1530"/>
      <c r="CR2058" s="1530"/>
      <c r="CS2058" s="1530"/>
      <c r="CT2058" s="1530"/>
      <c r="CU2058" s="1530"/>
      <c r="CV2058" s="1530"/>
      <c r="CW2058" s="1530"/>
      <c r="CX2058" s="1530"/>
      <c r="CY2058" s="1530"/>
      <c r="CZ2058" s="1530"/>
      <c r="DA2058" s="1530"/>
      <c r="DB2058" s="1530"/>
      <c r="DC2058" s="1530"/>
      <c r="DD2058" s="1530"/>
      <c r="DE2058" s="1530"/>
      <c r="DF2058" s="1530"/>
      <c r="DG2058" s="1530"/>
      <c r="DH2058" s="1530"/>
      <c r="DI2058" s="1530"/>
      <c r="DJ2058" s="1530"/>
      <c r="DK2058" s="1530"/>
      <c r="DL2058" s="1530"/>
      <c r="DM2058" s="1530"/>
      <c r="DN2058" s="1571"/>
      <c r="DO2058" s="1530"/>
      <c r="DP2058" s="1530"/>
    </row>
    <row r="2059" spans="1:120">
      <c r="A2059" s="1451"/>
      <c r="C2059" s="1451"/>
      <c r="K2059" s="1451"/>
      <c r="L2059" s="1451"/>
      <c r="U2059" s="1451"/>
      <c r="AD2059" s="1451"/>
      <c r="AM2059" s="1451"/>
      <c r="AV2059" s="1451"/>
      <c r="BE2059" s="1451"/>
      <c r="BN2059" s="1451"/>
      <c r="BV2059" s="1451"/>
      <c r="BW2059" s="1451"/>
      <c r="CF2059" s="1451"/>
      <c r="CN2059" s="1451"/>
      <c r="CO2059" s="1530"/>
      <c r="CP2059" s="1530"/>
      <c r="CQ2059" s="1530"/>
      <c r="CR2059" s="1530"/>
      <c r="CS2059" s="1530"/>
      <c r="CT2059" s="1530"/>
      <c r="CU2059" s="1530"/>
      <c r="CV2059" s="1530"/>
      <c r="CW2059" s="1530"/>
      <c r="CX2059" s="1530"/>
      <c r="CY2059" s="1530"/>
      <c r="CZ2059" s="1530"/>
      <c r="DA2059" s="1530"/>
      <c r="DB2059" s="1530"/>
      <c r="DC2059" s="1530"/>
      <c r="DD2059" s="1530"/>
      <c r="DE2059" s="1530"/>
      <c r="DF2059" s="1530"/>
      <c r="DG2059" s="1530"/>
      <c r="DH2059" s="1530"/>
      <c r="DI2059" s="1530"/>
      <c r="DJ2059" s="1530"/>
      <c r="DK2059" s="1530"/>
      <c r="DL2059" s="1530"/>
      <c r="DM2059" s="1530"/>
      <c r="DN2059" s="1571"/>
      <c r="DO2059" s="1530"/>
      <c r="DP2059" s="1530"/>
    </row>
    <row r="2060" spans="1:120">
      <c r="A2060" s="1451"/>
      <c r="C2060" s="1451"/>
      <c r="K2060" s="1451"/>
      <c r="L2060" s="1451"/>
      <c r="U2060" s="1451"/>
      <c r="AD2060" s="1451"/>
      <c r="AM2060" s="1451"/>
      <c r="AV2060" s="1451"/>
      <c r="BE2060" s="1451"/>
      <c r="BN2060" s="1451"/>
      <c r="BV2060" s="1451"/>
      <c r="BW2060" s="1451"/>
      <c r="CF2060" s="1451"/>
      <c r="CN2060" s="1451"/>
      <c r="CO2060" s="1530"/>
      <c r="CP2060" s="1530"/>
      <c r="CQ2060" s="1530"/>
      <c r="CR2060" s="1530"/>
      <c r="CS2060" s="1530"/>
      <c r="CT2060" s="1530"/>
      <c r="CU2060" s="1530"/>
      <c r="CV2060" s="1530"/>
      <c r="CW2060" s="1530"/>
      <c r="CX2060" s="1530"/>
      <c r="CY2060" s="1530"/>
      <c r="CZ2060" s="1530"/>
      <c r="DA2060" s="1530"/>
      <c r="DB2060" s="1530"/>
      <c r="DC2060" s="1530"/>
      <c r="DD2060" s="1530"/>
      <c r="DE2060" s="1530"/>
      <c r="DF2060" s="1530"/>
      <c r="DG2060" s="1530"/>
      <c r="DH2060" s="1530"/>
      <c r="DI2060" s="1530"/>
      <c r="DJ2060" s="1530"/>
      <c r="DK2060" s="1530"/>
      <c r="DL2060" s="1530"/>
      <c r="DM2060" s="1530"/>
      <c r="DN2060" s="1571"/>
      <c r="DO2060" s="1530"/>
      <c r="DP2060" s="1530"/>
    </row>
    <row r="2061" spans="1:120">
      <c r="A2061" s="1451"/>
      <c r="C2061" s="1451"/>
      <c r="K2061" s="1451"/>
      <c r="L2061" s="1451"/>
      <c r="U2061" s="1451"/>
      <c r="AD2061" s="1451"/>
      <c r="AM2061" s="1451"/>
      <c r="AV2061" s="1451"/>
      <c r="BE2061" s="1451"/>
      <c r="BN2061" s="1451"/>
      <c r="BV2061" s="1451"/>
      <c r="BW2061" s="1451"/>
      <c r="CF2061" s="1451"/>
      <c r="CN2061" s="1451"/>
      <c r="CO2061" s="1530"/>
      <c r="CP2061" s="1530"/>
      <c r="CQ2061" s="1530"/>
      <c r="CR2061" s="1530"/>
      <c r="CS2061" s="1530"/>
      <c r="CT2061" s="1530"/>
      <c r="CU2061" s="1530"/>
      <c r="CV2061" s="1530"/>
      <c r="CW2061" s="1530"/>
      <c r="CX2061" s="1530"/>
      <c r="CY2061" s="1530"/>
      <c r="CZ2061" s="1530"/>
      <c r="DA2061" s="1530"/>
      <c r="DB2061" s="1530"/>
      <c r="DC2061" s="1530"/>
      <c r="DD2061" s="1530"/>
      <c r="DE2061" s="1530"/>
      <c r="DF2061" s="1530"/>
      <c r="DG2061" s="1530"/>
      <c r="DH2061" s="1530"/>
      <c r="DI2061" s="1530"/>
      <c r="DJ2061" s="1530"/>
      <c r="DK2061" s="1530"/>
      <c r="DL2061" s="1530"/>
      <c r="DM2061" s="1530"/>
      <c r="DN2061" s="1571"/>
      <c r="DO2061" s="1530"/>
      <c r="DP2061" s="1530"/>
    </row>
    <row r="2062" spans="1:120">
      <c r="A2062" s="1451"/>
      <c r="C2062" s="1451"/>
      <c r="K2062" s="1451"/>
      <c r="L2062" s="1451"/>
      <c r="U2062" s="1451"/>
      <c r="AD2062" s="1451"/>
      <c r="AM2062" s="1451"/>
      <c r="AV2062" s="1451"/>
      <c r="BE2062" s="1451"/>
      <c r="BN2062" s="1451"/>
      <c r="BV2062" s="1451"/>
      <c r="BW2062" s="1451"/>
      <c r="CF2062" s="1451"/>
      <c r="CN2062" s="1451"/>
      <c r="CO2062" s="1530"/>
      <c r="CP2062" s="1530"/>
      <c r="CQ2062" s="1530"/>
      <c r="CR2062" s="1530"/>
      <c r="CS2062" s="1530"/>
      <c r="CT2062" s="1530"/>
      <c r="CU2062" s="1530"/>
      <c r="CV2062" s="1530"/>
      <c r="CW2062" s="1530"/>
      <c r="CX2062" s="1530"/>
      <c r="CY2062" s="1530"/>
      <c r="CZ2062" s="1530"/>
      <c r="DA2062" s="1530"/>
      <c r="DB2062" s="1530"/>
      <c r="DC2062" s="1530"/>
      <c r="DD2062" s="1530"/>
      <c r="DE2062" s="1530"/>
      <c r="DF2062" s="1530"/>
      <c r="DG2062" s="1530"/>
      <c r="DH2062" s="1530"/>
      <c r="DI2062" s="1530"/>
      <c r="DJ2062" s="1530"/>
      <c r="DK2062" s="1530"/>
      <c r="DL2062" s="1530"/>
      <c r="DM2062" s="1530"/>
      <c r="DN2062" s="1571"/>
      <c r="DO2062" s="1530"/>
      <c r="DP2062" s="1530"/>
    </row>
    <row r="2063" spans="1:120">
      <c r="A2063" s="1451"/>
      <c r="C2063" s="1451"/>
      <c r="K2063" s="1451"/>
      <c r="L2063" s="1451"/>
      <c r="U2063" s="1451"/>
      <c r="AD2063" s="1451"/>
      <c r="AM2063" s="1451"/>
      <c r="AV2063" s="1451"/>
      <c r="BE2063" s="1451"/>
      <c r="BN2063" s="1451"/>
      <c r="BV2063" s="1451"/>
      <c r="BW2063" s="1451"/>
      <c r="CF2063" s="1451"/>
      <c r="CN2063" s="1451"/>
      <c r="CO2063" s="1530"/>
      <c r="CP2063" s="1530"/>
      <c r="CQ2063" s="1530"/>
      <c r="CR2063" s="1530"/>
      <c r="CS2063" s="1530"/>
      <c r="CT2063" s="1530"/>
      <c r="CU2063" s="1530"/>
      <c r="CV2063" s="1530"/>
      <c r="CW2063" s="1530"/>
      <c r="CX2063" s="1530"/>
      <c r="CY2063" s="1530"/>
      <c r="CZ2063" s="1530"/>
      <c r="DA2063" s="1530"/>
      <c r="DB2063" s="1530"/>
      <c r="DC2063" s="1530"/>
      <c r="DD2063" s="1530"/>
      <c r="DE2063" s="1530"/>
      <c r="DF2063" s="1530"/>
      <c r="DG2063" s="1530"/>
      <c r="DH2063" s="1530"/>
      <c r="DI2063" s="1530"/>
      <c r="DJ2063" s="1530"/>
      <c r="DK2063" s="1530"/>
      <c r="DL2063" s="1530"/>
      <c r="DM2063" s="1530"/>
      <c r="DN2063" s="1571"/>
      <c r="DO2063" s="1530"/>
      <c r="DP2063" s="1530"/>
    </row>
    <row r="2064" spans="1:120">
      <c r="A2064" s="1451"/>
      <c r="C2064" s="1451"/>
      <c r="K2064" s="1451"/>
      <c r="L2064" s="1451"/>
      <c r="U2064" s="1451"/>
      <c r="AD2064" s="1451"/>
      <c r="AM2064" s="1451"/>
      <c r="AV2064" s="1451"/>
      <c r="BE2064" s="1451"/>
      <c r="BN2064" s="1451"/>
      <c r="BV2064" s="1451"/>
      <c r="BW2064" s="1451"/>
      <c r="CF2064" s="1451"/>
      <c r="CN2064" s="1451"/>
      <c r="CO2064" s="1530"/>
      <c r="CP2064" s="1530"/>
      <c r="CQ2064" s="1530"/>
      <c r="CR2064" s="1530"/>
      <c r="CS2064" s="1530"/>
      <c r="CT2064" s="1530"/>
      <c r="CU2064" s="1530"/>
      <c r="CV2064" s="1530"/>
      <c r="CW2064" s="1530"/>
      <c r="CX2064" s="1530"/>
      <c r="CY2064" s="1530"/>
      <c r="CZ2064" s="1530"/>
      <c r="DA2064" s="1530"/>
      <c r="DB2064" s="1530"/>
      <c r="DC2064" s="1530"/>
      <c r="DD2064" s="1530"/>
      <c r="DE2064" s="1530"/>
      <c r="DF2064" s="1530"/>
      <c r="DG2064" s="1530"/>
      <c r="DH2064" s="1530"/>
      <c r="DI2064" s="1530"/>
      <c r="DJ2064" s="1530"/>
      <c r="DK2064" s="1530"/>
      <c r="DL2064" s="1530"/>
      <c r="DM2064" s="1530"/>
      <c r="DN2064" s="1571"/>
      <c r="DO2064" s="1530"/>
      <c r="DP2064" s="1530"/>
    </row>
    <row r="2065" spans="1:120">
      <c r="A2065" s="1451"/>
      <c r="C2065" s="1451"/>
      <c r="K2065" s="1451"/>
      <c r="L2065" s="1451"/>
      <c r="U2065" s="1451"/>
      <c r="AD2065" s="1451"/>
      <c r="AM2065" s="1451"/>
      <c r="AV2065" s="1451"/>
      <c r="BE2065" s="1451"/>
      <c r="BN2065" s="1451"/>
      <c r="BV2065" s="1451"/>
      <c r="BW2065" s="1451"/>
      <c r="CF2065" s="1451"/>
      <c r="CN2065" s="1451"/>
      <c r="CO2065" s="1530"/>
      <c r="CP2065" s="1530"/>
      <c r="CQ2065" s="1530"/>
      <c r="CR2065" s="1530"/>
      <c r="CS2065" s="1530"/>
      <c r="CT2065" s="1530"/>
      <c r="CU2065" s="1530"/>
      <c r="CV2065" s="1530"/>
      <c r="CW2065" s="1530"/>
      <c r="CX2065" s="1530"/>
      <c r="CY2065" s="1530"/>
      <c r="CZ2065" s="1530"/>
      <c r="DA2065" s="1530"/>
      <c r="DB2065" s="1530"/>
      <c r="DC2065" s="1530"/>
      <c r="DD2065" s="1530"/>
      <c r="DE2065" s="1530"/>
      <c r="DF2065" s="1530"/>
      <c r="DG2065" s="1530"/>
      <c r="DH2065" s="1530"/>
      <c r="DI2065" s="1530"/>
      <c r="DJ2065" s="1530"/>
      <c r="DK2065" s="1530"/>
      <c r="DL2065" s="1530"/>
      <c r="DM2065" s="1530"/>
      <c r="DN2065" s="1571"/>
      <c r="DO2065" s="1530"/>
      <c r="DP2065" s="1530"/>
    </row>
    <row r="2066" spans="1:120">
      <c r="A2066" s="1451"/>
      <c r="C2066" s="1451"/>
      <c r="K2066" s="1451"/>
      <c r="L2066" s="1451"/>
      <c r="U2066" s="1451"/>
      <c r="AD2066" s="1451"/>
      <c r="AM2066" s="1451"/>
      <c r="AV2066" s="1451"/>
      <c r="BE2066" s="1451"/>
      <c r="BN2066" s="1451"/>
      <c r="BV2066" s="1451"/>
      <c r="BW2066" s="1451"/>
      <c r="CF2066" s="1451"/>
      <c r="CN2066" s="1451"/>
      <c r="CO2066" s="1530"/>
      <c r="CP2066" s="1530"/>
      <c r="CQ2066" s="1530"/>
      <c r="CR2066" s="1530"/>
      <c r="CS2066" s="1530"/>
      <c r="CT2066" s="1530"/>
      <c r="CU2066" s="1530"/>
      <c r="CV2066" s="1530"/>
      <c r="CW2066" s="1530"/>
      <c r="CX2066" s="1530"/>
      <c r="CY2066" s="1530"/>
      <c r="CZ2066" s="1530"/>
      <c r="DA2066" s="1530"/>
      <c r="DB2066" s="1530"/>
      <c r="DC2066" s="1530"/>
      <c r="DD2066" s="1530"/>
      <c r="DE2066" s="1530"/>
      <c r="DF2066" s="1530"/>
      <c r="DG2066" s="1530"/>
      <c r="DH2066" s="1530"/>
      <c r="DI2066" s="1530"/>
      <c r="DJ2066" s="1530"/>
      <c r="DK2066" s="1530"/>
      <c r="DL2066" s="1530"/>
      <c r="DM2066" s="1530"/>
      <c r="DN2066" s="1571"/>
      <c r="DO2066" s="1530"/>
      <c r="DP2066" s="1530"/>
    </row>
    <row r="2067" spans="1:120">
      <c r="A2067" s="1451"/>
      <c r="C2067" s="1451"/>
      <c r="K2067" s="1451"/>
      <c r="L2067" s="1451"/>
      <c r="U2067" s="1451"/>
      <c r="AD2067" s="1451"/>
      <c r="AM2067" s="1451"/>
      <c r="AV2067" s="1451"/>
      <c r="BE2067" s="1451"/>
      <c r="BN2067" s="1451"/>
      <c r="BV2067" s="1451"/>
      <c r="BW2067" s="1451"/>
      <c r="CF2067" s="1451"/>
      <c r="CN2067" s="1451"/>
      <c r="CO2067" s="1530"/>
      <c r="CP2067" s="1530"/>
      <c r="CQ2067" s="1530"/>
      <c r="CR2067" s="1530"/>
      <c r="CS2067" s="1530"/>
      <c r="CT2067" s="1530"/>
      <c r="CU2067" s="1530"/>
      <c r="CV2067" s="1530"/>
      <c r="CW2067" s="1530"/>
      <c r="CX2067" s="1530"/>
      <c r="CY2067" s="1530"/>
      <c r="CZ2067" s="1530"/>
      <c r="DA2067" s="1530"/>
      <c r="DB2067" s="1530"/>
      <c r="DC2067" s="1530"/>
      <c r="DD2067" s="1530"/>
      <c r="DE2067" s="1530"/>
      <c r="DF2067" s="1530"/>
      <c r="DG2067" s="1530"/>
      <c r="DH2067" s="1530"/>
      <c r="DI2067" s="1530"/>
      <c r="DJ2067" s="1530"/>
      <c r="DK2067" s="1530"/>
      <c r="DL2067" s="1530"/>
      <c r="DM2067" s="1530"/>
      <c r="DN2067" s="1571"/>
      <c r="DO2067" s="1530"/>
      <c r="DP2067" s="1530"/>
    </row>
    <row r="2068" spans="1:120">
      <c r="A2068" s="1451"/>
      <c r="C2068" s="1451"/>
      <c r="K2068" s="1451"/>
      <c r="L2068" s="1451"/>
      <c r="U2068" s="1451"/>
      <c r="AD2068" s="1451"/>
      <c r="AM2068" s="1451"/>
      <c r="AV2068" s="1451"/>
      <c r="BE2068" s="1451"/>
      <c r="BN2068" s="1451"/>
      <c r="BV2068" s="1451"/>
      <c r="BW2068" s="1451"/>
      <c r="CF2068" s="1451"/>
      <c r="CN2068" s="1451"/>
      <c r="CO2068" s="1530"/>
      <c r="CP2068" s="1530"/>
      <c r="CQ2068" s="1530"/>
      <c r="CR2068" s="1530"/>
      <c r="CS2068" s="1530"/>
      <c r="CT2068" s="1530"/>
      <c r="CU2068" s="1530"/>
      <c r="CV2068" s="1530"/>
      <c r="CW2068" s="1530"/>
      <c r="CX2068" s="1530"/>
      <c r="CY2068" s="1530"/>
      <c r="CZ2068" s="1530"/>
      <c r="DA2068" s="1530"/>
      <c r="DB2068" s="1530"/>
      <c r="DC2068" s="1530"/>
      <c r="DD2068" s="1530"/>
      <c r="DE2068" s="1530"/>
      <c r="DF2068" s="1530"/>
      <c r="DG2068" s="1530"/>
      <c r="DH2068" s="1530"/>
      <c r="DI2068" s="1530"/>
      <c r="DJ2068" s="1530"/>
      <c r="DK2068" s="1530"/>
      <c r="DL2068" s="1530"/>
      <c r="DM2068" s="1530"/>
      <c r="DN2068" s="1571"/>
      <c r="DO2068" s="1530"/>
      <c r="DP2068" s="1530"/>
    </row>
    <row r="2069" spans="1:120">
      <c r="A2069" s="1451"/>
      <c r="C2069" s="1451"/>
      <c r="K2069" s="1451"/>
      <c r="L2069" s="1451"/>
      <c r="U2069" s="1451"/>
      <c r="AD2069" s="1451"/>
      <c r="AM2069" s="1451"/>
      <c r="AV2069" s="1451"/>
      <c r="BE2069" s="1451"/>
      <c r="BN2069" s="1451"/>
      <c r="BV2069" s="1451"/>
      <c r="BW2069" s="1451"/>
      <c r="CF2069" s="1451"/>
      <c r="CN2069" s="1451"/>
      <c r="CO2069" s="1530"/>
      <c r="CP2069" s="1530"/>
      <c r="CQ2069" s="1530"/>
      <c r="CR2069" s="1530"/>
      <c r="CS2069" s="1530"/>
      <c r="CT2069" s="1530"/>
      <c r="CU2069" s="1530"/>
      <c r="CV2069" s="1530"/>
      <c r="CW2069" s="1530"/>
      <c r="CX2069" s="1530"/>
      <c r="CY2069" s="1530"/>
      <c r="CZ2069" s="1530"/>
      <c r="DA2069" s="1530"/>
      <c r="DB2069" s="1530"/>
      <c r="DC2069" s="1530"/>
      <c r="DD2069" s="1530"/>
      <c r="DE2069" s="1530"/>
      <c r="DF2069" s="1530"/>
      <c r="DG2069" s="1530"/>
      <c r="DH2069" s="1530"/>
      <c r="DI2069" s="1530"/>
      <c r="DJ2069" s="1530"/>
      <c r="DK2069" s="1530"/>
      <c r="DL2069" s="1530"/>
      <c r="DM2069" s="1530"/>
      <c r="DN2069" s="1571"/>
      <c r="DO2069" s="1530"/>
      <c r="DP2069" s="1530"/>
    </row>
    <row r="2070" spans="1:120">
      <c r="A2070" s="1451"/>
      <c r="C2070" s="1451"/>
      <c r="K2070" s="1451"/>
      <c r="L2070" s="1451"/>
      <c r="U2070" s="1451"/>
      <c r="AD2070" s="1451"/>
      <c r="AM2070" s="1451"/>
      <c r="AV2070" s="1451"/>
      <c r="BE2070" s="1451"/>
      <c r="BN2070" s="1451"/>
      <c r="BV2070" s="1451"/>
      <c r="BW2070" s="1451"/>
      <c r="CF2070" s="1451"/>
      <c r="CN2070" s="1451"/>
      <c r="CO2070" s="1530"/>
      <c r="CP2070" s="1530"/>
      <c r="CQ2070" s="1530"/>
      <c r="CR2070" s="1530"/>
      <c r="CS2070" s="1530"/>
      <c r="CT2070" s="1530"/>
      <c r="CU2070" s="1530"/>
      <c r="CV2070" s="1530"/>
      <c r="CW2070" s="1530"/>
      <c r="CX2070" s="1530"/>
      <c r="CY2070" s="1530"/>
      <c r="CZ2070" s="1530"/>
      <c r="DA2070" s="1530"/>
      <c r="DB2070" s="1530"/>
      <c r="DC2070" s="1530"/>
      <c r="DD2070" s="1530"/>
      <c r="DE2070" s="1530"/>
      <c r="DF2070" s="1530"/>
      <c r="DG2070" s="1530"/>
      <c r="DH2070" s="1530"/>
      <c r="DI2070" s="1530"/>
      <c r="DJ2070" s="1530"/>
      <c r="DK2070" s="1530"/>
      <c r="DL2070" s="1530"/>
      <c r="DM2070" s="1530"/>
      <c r="DN2070" s="1571"/>
      <c r="DO2070" s="1530"/>
      <c r="DP2070" s="1530"/>
    </row>
    <row r="2071" spans="1:120">
      <c r="A2071" s="1451"/>
      <c r="C2071" s="1451"/>
      <c r="K2071" s="1451"/>
      <c r="L2071" s="1451"/>
      <c r="U2071" s="1451"/>
      <c r="AD2071" s="1451"/>
      <c r="AM2071" s="1451"/>
      <c r="AV2071" s="1451"/>
      <c r="BE2071" s="1451"/>
      <c r="BN2071" s="1451"/>
      <c r="BV2071" s="1451"/>
      <c r="BW2071" s="1451"/>
      <c r="CF2071" s="1451"/>
      <c r="CN2071" s="1451"/>
      <c r="CO2071" s="1530"/>
      <c r="CP2071" s="1530"/>
      <c r="CQ2071" s="1530"/>
      <c r="CR2071" s="1530"/>
      <c r="CS2071" s="1530"/>
      <c r="CT2071" s="1530"/>
      <c r="CU2071" s="1530"/>
      <c r="CV2071" s="1530"/>
      <c r="CW2071" s="1530"/>
      <c r="CX2071" s="1530"/>
      <c r="CY2071" s="1530"/>
      <c r="CZ2071" s="1530"/>
      <c r="DA2071" s="1530"/>
      <c r="DB2071" s="1530"/>
      <c r="DC2071" s="1530"/>
      <c r="DD2071" s="1530"/>
      <c r="DE2071" s="1530"/>
      <c r="DF2071" s="1530"/>
      <c r="DG2071" s="1530"/>
      <c r="DH2071" s="1530"/>
      <c r="DI2071" s="1530"/>
      <c r="DJ2071" s="1530"/>
      <c r="DK2071" s="1530"/>
      <c r="DL2071" s="1530"/>
      <c r="DM2071" s="1530"/>
      <c r="DN2071" s="1571"/>
      <c r="DO2071" s="1530"/>
      <c r="DP2071" s="1530"/>
    </row>
    <row r="2072" spans="1:120">
      <c r="A2072" s="1451"/>
      <c r="C2072" s="1451"/>
      <c r="K2072" s="1451"/>
      <c r="L2072" s="1451"/>
      <c r="U2072" s="1451"/>
      <c r="AD2072" s="1451"/>
      <c r="AM2072" s="1451"/>
      <c r="AV2072" s="1451"/>
      <c r="BE2072" s="1451"/>
      <c r="BN2072" s="1451"/>
      <c r="BV2072" s="1451"/>
      <c r="BW2072" s="1451"/>
      <c r="CF2072" s="1451"/>
      <c r="CN2072" s="1451"/>
      <c r="CO2072" s="1530"/>
      <c r="CP2072" s="1530"/>
      <c r="CQ2072" s="1530"/>
      <c r="CR2072" s="1530"/>
      <c r="CS2072" s="1530"/>
      <c r="CT2072" s="1530"/>
      <c r="CU2072" s="1530"/>
      <c r="CV2072" s="1530"/>
      <c r="CW2072" s="1530"/>
      <c r="CX2072" s="1530"/>
      <c r="CY2072" s="1530"/>
      <c r="CZ2072" s="1530"/>
      <c r="DA2072" s="1530"/>
      <c r="DB2072" s="1530"/>
      <c r="DC2072" s="1530"/>
      <c r="DD2072" s="1530"/>
      <c r="DE2072" s="1530"/>
      <c r="DF2072" s="1530"/>
      <c r="DG2072" s="1530"/>
      <c r="DH2072" s="1530"/>
      <c r="DI2072" s="1530"/>
      <c r="DJ2072" s="1530"/>
      <c r="DK2072" s="1530"/>
      <c r="DL2072" s="1530"/>
      <c r="DM2072" s="1530"/>
      <c r="DN2072" s="1571"/>
      <c r="DO2072" s="1530"/>
      <c r="DP2072" s="1530"/>
    </row>
    <row r="2073" spans="1:120">
      <c r="A2073" s="1451"/>
      <c r="C2073" s="1451"/>
      <c r="K2073" s="1451"/>
      <c r="L2073" s="1451"/>
      <c r="U2073" s="1451"/>
      <c r="AD2073" s="1451"/>
      <c r="AM2073" s="1451"/>
      <c r="AV2073" s="1451"/>
      <c r="BE2073" s="1451"/>
      <c r="BN2073" s="1451"/>
      <c r="BV2073" s="1451"/>
      <c r="BW2073" s="1451"/>
      <c r="CF2073" s="1451"/>
      <c r="CN2073" s="1451"/>
      <c r="CO2073" s="1530"/>
      <c r="CP2073" s="1530"/>
      <c r="CQ2073" s="1530"/>
      <c r="CR2073" s="1530"/>
      <c r="CS2073" s="1530"/>
      <c r="CT2073" s="1530"/>
      <c r="CU2073" s="1530"/>
      <c r="CV2073" s="1530"/>
      <c r="CW2073" s="1530"/>
      <c r="CX2073" s="1530"/>
      <c r="CY2073" s="1530"/>
      <c r="CZ2073" s="1530"/>
      <c r="DA2073" s="1530"/>
      <c r="DB2073" s="1530"/>
      <c r="DC2073" s="1530"/>
      <c r="DD2073" s="1530"/>
      <c r="DE2073" s="1530"/>
      <c r="DF2073" s="1530"/>
      <c r="DG2073" s="1530"/>
      <c r="DH2073" s="1530"/>
      <c r="DI2073" s="1530"/>
      <c r="DJ2073" s="1530"/>
      <c r="DK2073" s="1530"/>
      <c r="DL2073" s="1530"/>
      <c r="DM2073" s="1530"/>
      <c r="DN2073" s="1571"/>
      <c r="DO2073" s="1530"/>
      <c r="DP2073" s="1530"/>
    </row>
    <row r="2074" spans="1:120">
      <c r="A2074" s="1451"/>
      <c r="C2074" s="1451"/>
      <c r="K2074" s="1451"/>
      <c r="L2074" s="1451"/>
      <c r="U2074" s="1451"/>
      <c r="AD2074" s="1451"/>
      <c r="AM2074" s="1451"/>
      <c r="AV2074" s="1451"/>
      <c r="BE2074" s="1451"/>
      <c r="BN2074" s="1451"/>
      <c r="BV2074" s="1451"/>
      <c r="BW2074" s="1451"/>
      <c r="CF2074" s="1451"/>
      <c r="CN2074" s="1451"/>
      <c r="CO2074" s="1530"/>
      <c r="CP2074" s="1530"/>
      <c r="CQ2074" s="1530"/>
      <c r="CR2074" s="1530"/>
      <c r="CS2074" s="1530"/>
      <c r="CT2074" s="1530"/>
      <c r="CU2074" s="1530"/>
      <c r="CV2074" s="1530"/>
      <c r="CW2074" s="1530"/>
      <c r="CX2074" s="1530"/>
      <c r="CY2074" s="1530"/>
      <c r="CZ2074" s="1530"/>
      <c r="DA2074" s="1530"/>
      <c r="DB2074" s="1530"/>
      <c r="DC2074" s="1530"/>
      <c r="DD2074" s="1530"/>
      <c r="DE2074" s="1530"/>
      <c r="DF2074" s="1530"/>
      <c r="DG2074" s="1530"/>
      <c r="DH2074" s="1530"/>
      <c r="DI2074" s="1530"/>
      <c r="DJ2074" s="1530"/>
      <c r="DK2074" s="1530"/>
      <c r="DL2074" s="1530"/>
      <c r="DM2074" s="1530"/>
      <c r="DN2074" s="1571"/>
      <c r="DO2074" s="1530"/>
      <c r="DP2074" s="1530"/>
    </row>
    <row r="2075" spans="1:120">
      <c r="A2075" s="1451"/>
      <c r="C2075" s="1451"/>
      <c r="K2075" s="1451"/>
      <c r="L2075" s="1451"/>
      <c r="U2075" s="1451"/>
      <c r="AD2075" s="1451"/>
      <c r="AM2075" s="1451"/>
      <c r="AV2075" s="1451"/>
      <c r="BE2075" s="1451"/>
      <c r="BN2075" s="1451"/>
      <c r="BV2075" s="1451"/>
      <c r="BW2075" s="1451"/>
      <c r="CF2075" s="1451"/>
      <c r="CN2075" s="1451"/>
      <c r="CO2075" s="1530"/>
      <c r="CP2075" s="1530"/>
      <c r="CQ2075" s="1530"/>
      <c r="CR2075" s="1530"/>
      <c r="CS2075" s="1530"/>
      <c r="CT2075" s="1530"/>
      <c r="CU2075" s="1530"/>
      <c r="CV2075" s="1530"/>
      <c r="CW2075" s="1530"/>
      <c r="CX2075" s="1530"/>
      <c r="CY2075" s="1530"/>
      <c r="CZ2075" s="1530"/>
      <c r="DA2075" s="1530"/>
      <c r="DB2075" s="1530"/>
      <c r="DC2075" s="1530"/>
      <c r="DD2075" s="1530"/>
      <c r="DE2075" s="1530"/>
      <c r="DF2075" s="1530"/>
      <c r="DG2075" s="1530"/>
      <c r="DH2075" s="1530"/>
      <c r="DI2075" s="1530"/>
      <c r="DJ2075" s="1530"/>
      <c r="DK2075" s="1530"/>
      <c r="DL2075" s="1530"/>
      <c r="DM2075" s="1530"/>
      <c r="DN2075" s="1571"/>
      <c r="DO2075" s="1530"/>
      <c r="DP2075" s="1530"/>
    </row>
    <row r="2076" spans="1:120">
      <c r="A2076" s="1451"/>
      <c r="C2076" s="1451"/>
      <c r="K2076" s="1451"/>
      <c r="L2076" s="1451"/>
      <c r="U2076" s="1451"/>
      <c r="AD2076" s="1451"/>
      <c r="AM2076" s="1451"/>
      <c r="AV2076" s="1451"/>
      <c r="BE2076" s="1451"/>
      <c r="BN2076" s="1451"/>
      <c r="BV2076" s="1451"/>
      <c r="BW2076" s="1451"/>
      <c r="CF2076" s="1451"/>
      <c r="CN2076" s="1451"/>
      <c r="CO2076" s="1530"/>
      <c r="CP2076" s="1530"/>
      <c r="CQ2076" s="1530"/>
      <c r="CR2076" s="1530"/>
      <c r="CS2076" s="1530"/>
      <c r="CT2076" s="1530"/>
      <c r="CU2076" s="1530"/>
      <c r="CV2076" s="1530"/>
      <c r="CW2076" s="1530"/>
      <c r="CX2076" s="1530"/>
      <c r="CY2076" s="1530"/>
      <c r="CZ2076" s="1530"/>
      <c r="DA2076" s="1530"/>
      <c r="DB2076" s="1530"/>
      <c r="DC2076" s="1530"/>
      <c r="DD2076" s="1530"/>
      <c r="DE2076" s="1530"/>
      <c r="DF2076" s="1530"/>
      <c r="DG2076" s="1530"/>
      <c r="DH2076" s="1530"/>
      <c r="DI2076" s="1530"/>
      <c r="DJ2076" s="1530"/>
      <c r="DK2076" s="1530"/>
      <c r="DL2076" s="1530"/>
      <c r="DM2076" s="1530"/>
      <c r="DN2076" s="1571"/>
      <c r="DO2076" s="1530"/>
      <c r="DP2076" s="1530"/>
    </row>
    <row r="2077" spans="1:120">
      <c r="A2077" s="1451"/>
      <c r="C2077" s="1451"/>
      <c r="K2077" s="1451"/>
      <c r="L2077" s="1451"/>
      <c r="U2077" s="1451"/>
      <c r="AD2077" s="1451"/>
      <c r="AM2077" s="1451"/>
      <c r="AV2077" s="1451"/>
      <c r="BE2077" s="1451"/>
      <c r="BN2077" s="1451"/>
      <c r="BV2077" s="1451"/>
      <c r="BW2077" s="1451"/>
      <c r="CF2077" s="1451"/>
      <c r="CN2077" s="1451"/>
      <c r="CO2077" s="1530"/>
      <c r="CP2077" s="1530"/>
      <c r="CQ2077" s="1530"/>
      <c r="CR2077" s="1530"/>
      <c r="CS2077" s="1530"/>
      <c r="CT2077" s="1530"/>
      <c r="CU2077" s="1530"/>
      <c r="CV2077" s="1530"/>
      <c r="CW2077" s="1530"/>
      <c r="CX2077" s="1530"/>
      <c r="CY2077" s="1530"/>
      <c r="CZ2077" s="1530"/>
      <c r="DA2077" s="1530"/>
      <c r="DB2077" s="1530"/>
      <c r="DC2077" s="1530"/>
      <c r="DD2077" s="1530"/>
      <c r="DE2077" s="1530"/>
      <c r="DF2077" s="1530"/>
      <c r="DG2077" s="1530"/>
      <c r="DH2077" s="1530"/>
      <c r="DI2077" s="1530"/>
      <c r="DJ2077" s="1530"/>
      <c r="DK2077" s="1530"/>
      <c r="DL2077" s="1530"/>
      <c r="DM2077" s="1530"/>
      <c r="DN2077" s="1571"/>
      <c r="DO2077" s="1530"/>
      <c r="DP2077" s="1530"/>
    </row>
    <row r="2078" spans="1:120">
      <c r="A2078" s="1451"/>
      <c r="C2078" s="1451"/>
      <c r="K2078" s="1451"/>
      <c r="L2078" s="1451"/>
      <c r="U2078" s="1451"/>
      <c r="AD2078" s="1451"/>
      <c r="AM2078" s="1451"/>
      <c r="AV2078" s="1451"/>
      <c r="BE2078" s="1451"/>
      <c r="BN2078" s="1451"/>
      <c r="BV2078" s="1451"/>
      <c r="BW2078" s="1451"/>
      <c r="CF2078" s="1451"/>
      <c r="CN2078" s="1451"/>
      <c r="CO2078" s="1530"/>
      <c r="CP2078" s="1530"/>
      <c r="CQ2078" s="1530"/>
      <c r="CR2078" s="1530"/>
      <c r="CS2078" s="1530"/>
      <c r="CT2078" s="1530"/>
      <c r="CU2078" s="1530"/>
      <c r="CV2078" s="1530"/>
      <c r="CW2078" s="1530"/>
      <c r="CX2078" s="1530"/>
      <c r="CY2078" s="1530"/>
      <c r="CZ2078" s="1530"/>
      <c r="DA2078" s="1530"/>
      <c r="DB2078" s="1530"/>
      <c r="DC2078" s="1530"/>
      <c r="DD2078" s="1530"/>
      <c r="DE2078" s="1530"/>
      <c r="DF2078" s="1530"/>
      <c r="DG2078" s="1530"/>
      <c r="DH2078" s="1530"/>
      <c r="DI2078" s="1530"/>
      <c r="DJ2078" s="1530"/>
      <c r="DK2078" s="1530"/>
      <c r="DL2078" s="1530"/>
      <c r="DM2078" s="1530"/>
      <c r="DN2078" s="1571"/>
      <c r="DO2078" s="1530"/>
      <c r="DP2078" s="1530"/>
    </row>
    <row r="2079" spans="1:120">
      <c r="A2079" s="1451"/>
      <c r="C2079" s="1451"/>
      <c r="K2079" s="1451"/>
      <c r="L2079" s="1451"/>
      <c r="U2079" s="1451"/>
      <c r="AD2079" s="1451"/>
      <c r="AM2079" s="1451"/>
      <c r="AV2079" s="1451"/>
      <c r="BE2079" s="1451"/>
      <c r="BN2079" s="1451"/>
      <c r="BV2079" s="1451"/>
      <c r="BW2079" s="1451"/>
      <c r="CF2079" s="1451"/>
      <c r="CN2079" s="1451"/>
      <c r="CO2079" s="1530"/>
      <c r="CP2079" s="1530"/>
      <c r="CQ2079" s="1530"/>
      <c r="CR2079" s="1530"/>
      <c r="CS2079" s="1530"/>
      <c r="CT2079" s="1530"/>
      <c r="CU2079" s="1530"/>
      <c r="CV2079" s="1530"/>
      <c r="CW2079" s="1530"/>
      <c r="CX2079" s="1530"/>
      <c r="CY2079" s="1530"/>
      <c r="CZ2079" s="1530"/>
      <c r="DA2079" s="1530"/>
      <c r="DB2079" s="1530"/>
      <c r="DC2079" s="1530"/>
      <c r="DD2079" s="1530"/>
      <c r="DE2079" s="1530"/>
      <c r="DF2079" s="1530"/>
      <c r="DG2079" s="1530"/>
      <c r="DH2079" s="1530"/>
      <c r="DI2079" s="1530"/>
      <c r="DJ2079" s="1530"/>
      <c r="DK2079" s="1530"/>
      <c r="DL2079" s="1530"/>
      <c r="DM2079" s="1530"/>
      <c r="DN2079" s="1571"/>
      <c r="DO2079" s="1530"/>
      <c r="DP2079" s="1530"/>
    </row>
    <row r="2080" spans="1:120">
      <c r="A2080" s="1451"/>
      <c r="C2080" s="1451"/>
      <c r="K2080" s="1451"/>
      <c r="L2080" s="1451"/>
      <c r="U2080" s="1451"/>
      <c r="AD2080" s="1451"/>
      <c r="AM2080" s="1451"/>
      <c r="AV2080" s="1451"/>
      <c r="BE2080" s="1451"/>
      <c r="BN2080" s="1451"/>
      <c r="BV2080" s="1451"/>
      <c r="BW2080" s="1451"/>
      <c r="CF2080" s="1451"/>
      <c r="CN2080" s="1451"/>
      <c r="CO2080" s="1530"/>
      <c r="CP2080" s="1530"/>
      <c r="CQ2080" s="1530"/>
      <c r="CR2080" s="1530"/>
      <c r="CS2080" s="1530"/>
      <c r="CT2080" s="1530"/>
      <c r="CU2080" s="1530"/>
      <c r="CV2080" s="1530"/>
      <c r="CW2080" s="1530"/>
      <c r="CX2080" s="1530"/>
      <c r="CY2080" s="1530"/>
      <c r="CZ2080" s="1530"/>
      <c r="DA2080" s="1530"/>
      <c r="DB2080" s="1530"/>
      <c r="DC2080" s="1530"/>
      <c r="DD2080" s="1530"/>
      <c r="DE2080" s="1530"/>
      <c r="DF2080" s="1530"/>
      <c r="DG2080" s="1530"/>
      <c r="DH2080" s="1530"/>
      <c r="DI2080" s="1530"/>
      <c r="DJ2080" s="1530"/>
      <c r="DK2080" s="1530"/>
      <c r="DL2080" s="1530"/>
      <c r="DM2080" s="1530"/>
      <c r="DN2080" s="1571"/>
      <c r="DO2080" s="1530"/>
      <c r="DP2080" s="1530"/>
    </row>
    <row r="2081" spans="1:120">
      <c r="A2081" s="1451"/>
      <c r="C2081" s="1451"/>
      <c r="K2081" s="1451"/>
      <c r="L2081" s="1451"/>
      <c r="U2081" s="1451"/>
      <c r="AD2081" s="1451"/>
      <c r="AM2081" s="1451"/>
      <c r="AV2081" s="1451"/>
      <c r="BE2081" s="1451"/>
      <c r="BN2081" s="1451"/>
      <c r="BV2081" s="1451"/>
      <c r="BW2081" s="1451"/>
      <c r="CF2081" s="1451"/>
      <c r="CN2081" s="1451"/>
      <c r="CO2081" s="1530"/>
      <c r="CP2081" s="1530"/>
      <c r="CQ2081" s="1530"/>
      <c r="CR2081" s="1530"/>
      <c r="CS2081" s="1530"/>
      <c r="CT2081" s="1530"/>
      <c r="CU2081" s="1530"/>
      <c r="CV2081" s="1530"/>
      <c r="CW2081" s="1530"/>
      <c r="CX2081" s="1530"/>
      <c r="CY2081" s="1530"/>
      <c r="CZ2081" s="1530"/>
      <c r="DA2081" s="1530"/>
      <c r="DB2081" s="1530"/>
      <c r="DC2081" s="1530"/>
      <c r="DD2081" s="1530"/>
      <c r="DE2081" s="1530"/>
      <c r="DF2081" s="1530"/>
      <c r="DG2081" s="1530"/>
      <c r="DH2081" s="1530"/>
      <c r="DI2081" s="1530"/>
      <c r="DJ2081" s="1530"/>
      <c r="DK2081" s="1530"/>
      <c r="DL2081" s="1530"/>
      <c r="DM2081" s="1530"/>
      <c r="DN2081" s="1571"/>
      <c r="DO2081" s="1530"/>
      <c r="DP2081" s="1530"/>
    </row>
    <row r="2082" spans="1:120">
      <c r="A2082" s="1451"/>
      <c r="C2082" s="1451"/>
      <c r="K2082" s="1451"/>
      <c r="L2082" s="1451"/>
      <c r="U2082" s="1451"/>
      <c r="AD2082" s="1451"/>
      <c r="AM2082" s="1451"/>
      <c r="AV2082" s="1451"/>
      <c r="BE2082" s="1451"/>
      <c r="BN2082" s="1451"/>
      <c r="BV2082" s="1451"/>
      <c r="BW2082" s="1451"/>
      <c r="CF2082" s="1451"/>
      <c r="CN2082" s="1451"/>
      <c r="CO2082" s="1530"/>
      <c r="CP2082" s="1530"/>
      <c r="CQ2082" s="1530"/>
      <c r="CR2082" s="1530"/>
      <c r="CS2082" s="1530"/>
      <c r="CT2082" s="1530"/>
      <c r="CU2082" s="1530"/>
      <c r="CV2082" s="1530"/>
      <c r="CW2082" s="1530"/>
      <c r="CX2082" s="1530"/>
      <c r="CY2082" s="1530"/>
      <c r="CZ2082" s="1530"/>
      <c r="DA2082" s="1530"/>
      <c r="DB2082" s="1530"/>
      <c r="DC2082" s="1530"/>
      <c r="DD2082" s="1530"/>
      <c r="DE2082" s="1530"/>
      <c r="DF2082" s="1530"/>
      <c r="DG2082" s="1530"/>
      <c r="DH2082" s="1530"/>
      <c r="DI2082" s="1530"/>
      <c r="DJ2082" s="1530"/>
      <c r="DK2082" s="1530"/>
      <c r="DL2082" s="1530"/>
      <c r="DM2082" s="1530"/>
      <c r="DN2082" s="1571"/>
      <c r="DO2082" s="1530"/>
      <c r="DP2082" s="1530"/>
    </row>
    <row r="2083" spans="1:120">
      <c r="A2083" s="1451"/>
      <c r="C2083" s="1451"/>
      <c r="K2083" s="1451"/>
      <c r="L2083" s="1451"/>
      <c r="U2083" s="1451"/>
      <c r="AD2083" s="1451"/>
      <c r="AM2083" s="1451"/>
      <c r="AV2083" s="1451"/>
      <c r="BE2083" s="1451"/>
      <c r="BN2083" s="1451"/>
      <c r="BV2083" s="1451"/>
      <c r="BW2083" s="1451"/>
      <c r="CF2083" s="1451"/>
      <c r="CN2083" s="1451"/>
      <c r="CO2083" s="1530"/>
      <c r="CP2083" s="1530"/>
      <c r="CQ2083" s="1530"/>
      <c r="CR2083" s="1530"/>
      <c r="CS2083" s="1530"/>
      <c r="CT2083" s="1530"/>
      <c r="CU2083" s="1530"/>
      <c r="CV2083" s="1530"/>
      <c r="CW2083" s="1530"/>
      <c r="CX2083" s="1530"/>
      <c r="CY2083" s="1530"/>
      <c r="CZ2083" s="1530"/>
      <c r="DA2083" s="1530"/>
      <c r="DB2083" s="1530"/>
      <c r="DC2083" s="1530"/>
      <c r="DD2083" s="1530"/>
      <c r="DE2083" s="1530"/>
      <c r="DF2083" s="1530"/>
      <c r="DG2083" s="1530"/>
      <c r="DH2083" s="1530"/>
      <c r="DI2083" s="1530"/>
      <c r="DJ2083" s="1530"/>
      <c r="DK2083" s="1530"/>
      <c r="DL2083" s="1530"/>
      <c r="DM2083" s="1530"/>
      <c r="DN2083" s="1571"/>
      <c r="DO2083" s="1530"/>
      <c r="DP2083" s="1530"/>
    </row>
    <row r="2084" spans="1:120">
      <c r="A2084" s="1451"/>
      <c r="C2084" s="1451"/>
      <c r="K2084" s="1451"/>
      <c r="L2084" s="1451"/>
      <c r="U2084" s="1451"/>
      <c r="AD2084" s="1451"/>
      <c r="AM2084" s="1451"/>
      <c r="AV2084" s="1451"/>
      <c r="BE2084" s="1451"/>
      <c r="BN2084" s="1451"/>
      <c r="BV2084" s="1451"/>
      <c r="BW2084" s="1451"/>
      <c r="CF2084" s="1451"/>
      <c r="CN2084" s="1451"/>
      <c r="CO2084" s="1530"/>
      <c r="CP2084" s="1530"/>
      <c r="CQ2084" s="1530"/>
      <c r="CR2084" s="1530"/>
      <c r="CS2084" s="1530"/>
      <c r="CT2084" s="1530"/>
      <c r="CU2084" s="1530"/>
      <c r="CV2084" s="1530"/>
      <c r="CW2084" s="1530"/>
      <c r="CX2084" s="1530"/>
      <c r="CY2084" s="1530"/>
      <c r="CZ2084" s="1530"/>
      <c r="DA2084" s="1530"/>
      <c r="DB2084" s="1530"/>
      <c r="DC2084" s="1530"/>
      <c r="DD2084" s="1530"/>
      <c r="DE2084" s="1530"/>
      <c r="DF2084" s="1530"/>
      <c r="DG2084" s="1530"/>
      <c r="DH2084" s="1530"/>
      <c r="DI2084" s="1530"/>
      <c r="DJ2084" s="1530"/>
      <c r="DK2084" s="1530"/>
      <c r="DL2084" s="1530"/>
      <c r="DM2084" s="1530"/>
      <c r="DN2084" s="1571"/>
      <c r="DO2084" s="1530"/>
      <c r="DP2084" s="1530"/>
    </row>
    <row r="2085" spans="1:120">
      <c r="A2085" s="1451"/>
      <c r="C2085" s="1451"/>
      <c r="K2085" s="1451"/>
      <c r="L2085" s="1451"/>
      <c r="U2085" s="1451"/>
      <c r="AD2085" s="1451"/>
      <c r="AM2085" s="1451"/>
      <c r="AV2085" s="1451"/>
      <c r="BE2085" s="1451"/>
      <c r="BN2085" s="1451"/>
      <c r="BV2085" s="1451"/>
      <c r="BW2085" s="1451"/>
      <c r="CF2085" s="1451"/>
      <c r="CN2085" s="1451"/>
      <c r="CO2085" s="1530"/>
      <c r="CP2085" s="1530"/>
      <c r="CQ2085" s="1530"/>
      <c r="CR2085" s="1530"/>
      <c r="CS2085" s="1530"/>
      <c r="CT2085" s="1530"/>
      <c r="CU2085" s="1530"/>
      <c r="CV2085" s="1530"/>
      <c r="CW2085" s="1530"/>
      <c r="CX2085" s="1530"/>
      <c r="CY2085" s="1530"/>
      <c r="CZ2085" s="1530"/>
      <c r="DA2085" s="1530"/>
      <c r="DB2085" s="1530"/>
      <c r="DC2085" s="1530"/>
      <c r="DD2085" s="1530"/>
      <c r="DE2085" s="1530"/>
      <c r="DF2085" s="1530"/>
      <c r="DG2085" s="1530"/>
      <c r="DH2085" s="1530"/>
      <c r="DI2085" s="1530"/>
      <c r="DJ2085" s="1530"/>
      <c r="DK2085" s="1530"/>
      <c r="DL2085" s="1530"/>
      <c r="DM2085" s="1530"/>
      <c r="DN2085" s="1571"/>
      <c r="DO2085" s="1530"/>
      <c r="DP2085" s="1530"/>
    </row>
    <row r="2086" spans="1:120">
      <c r="A2086" s="1451"/>
      <c r="C2086" s="1451"/>
      <c r="K2086" s="1451"/>
      <c r="L2086" s="1451"/>
      <c r="U2086" s="1451"/>
      <c r="AD2086" s="1451"/>
      <c r="AM2086" s="1451"/>
      <c r="AV2086" s="1451"/>
      <c r="BE2086" s="1451"/>
      <c r="BN2086" s="1451"/>
      <c r="BV2086" s="1451"/>
      <c r="BW2086" s="1451"/>
      <c r="CF2086" s="1451"/>
      <c r="CN2086" s="1451"/>
      <c r="CO2086" s="1530"/>
      <c r="CP2086" s="1530"/>
      <c r="CQ2086" s="1530"/>
      <c r="CR2086" s="1530"/>
      <c r="CS2086" s="1530"/>
      <c r="CT2086" s="1530"/>
      <c r="CU2086" s="1530"/>
      <c r="CV2086" s="1530"/>
      <c r="CW2086" s="1530"/>
      <c r="CX2086" s="1530"/>
      <c r="CY2086" s="1530"/>
      <c r="CZ2086" s="1530"/>
      <c r="DA2086" s="1530"/>
      <c r="DB2086" s="1530"/>
      <c r="DC2086" s="1530"/>
      <c r="DD2086" s="1530"/>
      <c r="DE2086" s="1530"/>
      <c r="DF2086" s="1530"/>
      <c r="DG2086" s="1530"/>
      <c r="DH2086" s="1530"/>
      <c r="DI2086" s="1530"/>
      <c r="DJ2086" s="1530"/>
      <c r="DK2086" s="1530"/>
      <c r="DL2086" s="1530"/>
      <c r="DM2086" s="1530"/>
      <c r="DN2086" s="1571"/>
      <c r="DO2086" s="1530"/>
      <c r="DP2086" s="1530"/>
    </row>
    <row r="2087" spans="1:120">
      <c r="A2087" s="1451"/>
      <c r="C2087" s="1451"/>
      <c r="K2087" s="1451"/>
      <c r="L2087" s="1451"/>
      <c r="U2087" s="1451"/>
      <c r="AD2087" s="1451"/>
      <c r="AM2087" s="1451"/>
      <c r="AV2087" s="1451"/>
      <c r="BE2087" s="1451"/>
      <c r="BN2087" s="1451"/>
      <c r="BV2087" s="1451"/>
      <c r="BW2087" s="1451"/>
      <c r="CF2087" s="1451"/>
      <c r="CN2087" s="1451"/>
      <c r="CO2087" s="1530"/>
      <c r="CP2087" s="1530"/>
      <c r="CQ2087" s="1530"/>
      <c r="CR2087" s="1530"/>
      <c r="CS2087" s="1530"/>
      <c r="CT2087" s="1530"/>
      <c r="CU2087" s="1530"/>
      <c r="CV2087" s="1530"/>
      <c r="CW2087" s="1530"/>
      <c r="CX2087" s="1530"/>
      <c r="CY2087" s="1530"/>
      <c r="CZ2087" s="1530"/>
      <c r="DA2087" s="1530"/>
      <c r="DB2087" s="1530"/>
      <c r="DC2087" s="1530"/>
      <c r="DD2087" s="1530"/>
      <c r="DE2087" s="1530"/>
      <c r="DF2087" s="1530"/>
      <c r="DG2087" s="1530"/>
      <c r="DH2087" s="1530"/>
      <c r="DI2087" s="1530"/>
      <c r="DJ2087" s="1530"/>
      <c r="DK2087" s="1530"/>
      <c r="DL2087" s="1530"/>
      <c r="DM2087" s="1530"/>
      <c r="DN2087" s="1571"/>
      <c r="DO2087" s="1530"/>
      <c r="DP2087" s="1530"/>
    </row>
    <row r="2088" spans="1:120">
      <c r="A2088" s="1451"/>
      <c r="C2088" s="1451"/>
      <c r="K2088" s="1451"/>
      <c r="L2088" s="1451"/>
      <c r="U2088" s="1451"/>
      <c r="AD2088" s="1451"/>
      <c r="AM2088" s="1451"/>
      <c r="AV2088" s="1451"/>
      <c r="BE2088" s="1451"/>
      <c r="BN2088" s="1451"/>
      <c r="BV2088" s="1451"/>
      <c r="BW2088" s="1451"/>
      <c r="CF2088" s="1451"/>
      <c r="CN2088" s="1451"/>
      <c r="CO2088" s="1530"/>
      <c r="CP2088" s="1530"/>
      <c r="CQ2088" s="1530"/>
      <c r="CR2088" s="1530"/>
      <c r="CS2088" s="1530"/>
      <c r="CT2088" s="1530"/>
      <c r="CU2088" s="1530"/>
      <c r="CV2088" s="1530"/>
      <c r="CW2088" s="1530"/>
      <c r="CX2088" s="1530"/>
      <c r="CY2088" s="1530"/>
      <c r="CZ2088" s="1530"/>
      <c r="DA2088" s="1530"/>
      <c r="DB2088" s="1530"/>
      <c r="DC2088" s="1530"/>
      <c r="DD2088" s="1530"/>
      <c r="DE2088" s="1530"/>
      <c r="DF2088" s="1530"/>
      <c r="DG2088" s="1530"/>
      <c r="DH2088" s="1530"/>
      <c r="DI2088" s="1530"/>
      <c r="DJ2088" s="1530"/>
      <c r="DK2088" s="1530"/>
      <c r="DL2088" s="1530"/>
      <c r="DM2088" s="1530"/>
      <c r="DN2088" s="1571"/>
      <c r="DO2088" s="1530"/>
      <c r="DP2088" s="1530"/>
    </row>
    <row r="2089" spans="1:120">
      <c r="A2089" s="1451"/>
      <c r="C2089" s="1451"/>
      <c r="K2089" s="1451"/>
      <c r="L2089" s="1451"/>
      <c r="U2089" s="1451"/>
      <c r="AD2089" s="1451"/>
      <c r="AM2089" s="1451"/>
      <c r="AV2089" s="1451"/>
      <c r="BE2089" s="1451"/>
      <c r="BN2089" s="1451"/>
      <c r="BV2089" s="1451"/>
      <c r="BW2089" s="1451"/>
      <c r="CF2089" s="1451"/>
      <c r="CN2089" s="1451"/>
      <c r="CO2089" s="1530"/>
      <c r="CP2089" s="1530"/>
      <c r="CQ2089" s="1530"/>
      <c r="CR2089" s="1530"/>
      <c r="CS2089" s="1530"/>
      <c r="CT2089" s="1530"/>
      <c r="CU2089" s="1530"/>
      <c r="CV2089" s="1530"/>
      <c r="CW2089" s="1530"/>
      <c r="CX2089" s="1530"/>
      <c r="CY2089" s="1530"/>
      <c r="CZ2089" s="1530"/>
      <c r="DA2089" s="1530"/>
      <c r="DB2089" s="1530"/>
      <c r="DC2089" s="1530"/>
      <c r="DD2089" s="1530"/>
      <c r="DE2089" s="1530"/>
      <c r="DF2089" s="1530"/>
      <c r="DG2089" s="1530"/>
      <c r="DH2089" s="1530"/>
      <c r="DI2089" s="1530"/>
      <c r="DJ2089" s="1530"/>
      <c r="DK2089" s="1530"/>
      <c r="DL2089" s="1530"/>
      <c r="DM2089" s="1530"/>
      <c r="DN2089" s="1571"/>
      <c r="DO2089" s="1530"/>
      <c r="DP2089" s="1530"/>
    </row>
    <row r="2090" spans="1:120">
      <c r="A2090" s="1451"/>
      <c r="C2090" s="1451"/>
      <c r="K2090" s="1451"/>
      <c r="L2090" s="1451"/>
      <c r="U2090" s="1451"/>
      <c r="AD2090" s="1451"/>
      <c r="AM2090" s="1451"/>
      <c r="AV2090" s="1451"/>
      <c r="BE2090" s="1451"/>
      <c r="BN2090" s="1451"/>
      <c r="BV2090" s="1451"/>
      <c r="BW2090" s="1451"/>
      <c r="CF2090" s="1451"/>
      <c r="CN2090" s="1451"/>
      <c r="CO2090" s="1530"/>
      <c r="CP2090" s="1530"/>
      <c r="CQ2090" s="1530"/>
      <c r="CR2090" s="1530"/>
      <c r="CS2090" s="1530"/>
      <c r="CT2090" s="1530"/>
      <c r="CU2090" s="1530"/>
      <c r="CV2090" s="1530"/>
      <c r="CW2090" s="1530"/>
      <c r="CX2090" s="1530"/>
      <c r="CY2090" s="1530"/>
      <c r="CZ2090" s="1530"/>
      <c r="DA2090" s="1530"/>
      <c r="DB2090" s="1530"/>
      <c r="DC2090" s="1530"/>
      <c r="DD2090" s="1530"/>
      <c r="DE2090" s="1530"/>
      <c r="DF2090" s="1530"/>
      <c r="DG2090" s="1530"/>
      <c r="DH2090" s="1530"/>
      <c r="DI2090" s="1530"/>
      <c r="DJ2090" s="1530"/>
      <c r="DK2090" s="1530"/>
      <c r="DL2090" s="1530"/>
      <c r="DM2090" s="1530"/>
      <c r="DN2090" s="1571"/>
      <c r="DO2090" s="1530"/>
      <c r="DP2090" s="1530"/>
    </row>
    <row r="2091" spans="1:120">
      <c r="A2091" s="1451"/>
      <c r="C2091" s="1451"/>
      <c r="K2091" s="1451"/>
      <c r="L2091" s="1451"/>
      <c r="U2091" s="1451"/>
      <c r="AD2091" s="1451"/>
      <c r="AM2091" s="1451"/>
      <c r="AV2091" s="1451"/>
      <c r="BE2091" s="1451"/>
      <c r="BN2091" s="1451"/>
      <c r="BV2091" s="1451"/>
      <c r="BW2091" s="1451"/>
      <c r="CF2091" s="1451"/>
      <c r="CN2091" s="1451"/>
      <c r="CO2091" s="1530"/>
      <c r="CP2091" s="1530"/>
      <c r="CQ2091" s="1530"/>
      <c r="CR2091" s="1530"/>
      <c r="CS2091" s="1530"/>
      <c r="CT2091" s="1530"/>
      <c r="CU2091" s="1530"/>
      <c r="CV2091" s="1530"/>
      <c r="CW2091" s="1530"/>
      <c r="CX2091" s="1530"/>
      <c r="CY2091" s="1530"/>
      <c r="CZ2091" s="1530"/>
      <c r="DA2091" s="1530"/>
      <c r="DB2091" s="1530"/>
      <c r="DC2091" s="1530"/>
      <c r="DD2091" s="1530"/>
      <c r="DE2091" s="1530"/>
      <c r="DF2091" s="1530"/>
      <c r="DG2091" s="1530"/>
      <c r="DH2091" s="1530"/>
      <c r="DI2091" s="1530"/>
      <c r="DJ2091" s="1530"/>
      <c r="DK2091" s="1530"/>
      <c r="DL2091" s="1530"/>
      <c r="DM2091" s="1530"/>
      <c r="DN2091" s="1571"/>
      <c r="DO2091" s="1530"/>
      <c r="DP2091" s="1530"/>
    </row>
    <row r="2092" spans="1:120">
      <c r="A2092" s="1451"/>
      <c r="C2092" s="1451"/>
      <c r="K2092" s="1451"/>
      <c r="L2092" s="1451"/>
      <c r="U2092" s="1451"/>
      <c r="AD2092" s="1451"/>
      <c r="AM2092" s="1451"/>
      <c r="AV2092" s="1451"/>
      <c r="BE2092" s="1451"/>
      <c r="BN2092" s="1451"/>
      <c r="BV2092" s="1451"/>
      <c r="BW2092" s="1451"/>
      <c r="CF2092" s="1451"/>
      <c r="CN2092" s="1451"/>
      <c r="CO2092" s="1530"/>
      <c r="CP2092" s="1530"/>
      <c r="CQ2092" s="1530"/>
      <c r="CR2092" s="1530"/>
      <c r="CS2092" s="1530"/>
      <c r="CT2092" s="1530"/>
      <c r="CU2092" s="1530"/>
      <c r="CV2092" s="1530"/>
      <c r="CW2092" s="1530"/>
      <c r="CX2092" s="1530"/>
      <c r="CY2092" s="1530"/>
      <c r="CZ2092" s="1530"/>
      <c r="DA2092" s="1530"/>
      <c r="DB2092" s="1530"/>
      <c r="DC2092" s="1530"/>
      <c r="DD2092" s="1530"/>
      <c r="DE2092" s="1530"/>
      <c r="DF2092" s="1530"/>
      <c r="DG2092" s="1530"/>
      <c r="DH2092" s="1530"/>
      <c r="DI2092" s="1530"/>
      <c r="DJ2092" s="1530"/>
      <c r="DK2092" s="1530"/>
      <c r="DL2092" s="1530"/>
      <c r="DM2092" s="1530"/>
      <c r="DN2092" s="1571"/>
      <c r="DO2092" s="1530"/>
      <c r="DP2092" s="1530"/>
    </row>
    <row r="2093" spans="1:120">
      <c r="A2093" s="1451"/>
      <c r="C2093" s="1451"/>
      <c r="K2093" s="1451"/>
      <c r="L2093" s="1451"/>
      <c r="U2093" s="1451"/>
      <c r="AD2093" s="1451"/>
      <c r="AM2093" s="1451"/>
      <c r="AV2093" s="1451"/>
      <c r="BE2093" s="1451"/>
      <c r="BN2093" s="1451"/>
      <c r="BV2093" s="1451"/>
      <c r="BW2093" s="1451"/>
      <c r="CF2093" s="1451"/>
      <c r="CN2093" s="1451"/>
      <c r="CO2093" s="1530"/>
      <c r="CP2093" s="1530"/>
      <c r="CQ2093" s="1530"/>
      <c r="CR2093" s="1530"/>
      <c r="CS2093" s="1530"/>
      <c r="CT2093" s="1530"/>
      <c r="CU2093" s="1530"/>
      <c r="CV2093" s="1530"/>
      <c r="CW2093" s="1530"/>
      <c r="CX2093" s="1530"/>
      <c r="CY2093" s="1530"/>
      <c r="CZ2093" s="1530"/>
      <c r="DA2093" s="1530"/>
      <c r="DB2093" s="1530"/>
      <c r="DC2093" s="1530"/>
      <c r="DD2093" s="1530"/>
      <c r="DE2093" s="1530"/>
      <c r="DF2093" s="1530"/>
      <c r="DG2093" s="1530"/>
      <c r="DH2093" s="1530"/>
      <c r="DI2093" s="1530"/>
      <c r="DJ2093" s="1530"/>
      <c r="DK2093" s="1530"/>
      <c r="DL2093" s="1530"/>
      <c r="DM2093" s="1530"/>
      <c r="DN2093" s="1571"/>
      <c r="DO2093" s="1530"/>
      <c r="DP2093" s="1530"/>
    </row>
    <row r="2094" spans="1:120">
      <c r="A2094" s="1451"/>
      <c r="C2094" s="1451"/>
      <c r="K2094" s="1451"/>
      <c r="L2094" s="1451"/>
      <c r="U2094" s="1451"/>
      <c r="AD2094" s="1451"/>
      <c r="AM2094" s="1451"/>
      <c r="AV2094" s="1451"/>
      <c r="BE2094" s="1451"/>
      <c r="BN2094" s="1451"/>
      <c r="BV2094" s="1451"/>
      <c r="BW2094" s="1451"/>
      <c r="CF2094" s="1451"/>
      <c r="CN2094" s="1451"/>
      <c r="CO2094" s="1530"/>
      <c r="CP2094" s="1530"/>
      <c r="CQ2094" s="1530"/>
      <c r="CR2094" s="1530"/>
      <c r="CS2094" s="1530"/>
      <c r="CT2094" s="1530"/>
      <c r="CU2094" s="1530"/>
      <c r="CV2094" s="1530"/>
      <c r="CW2094" s="1530"/>
      <c r="CX2094" s="1530"/>
      <c r="CY2094" s="1530"/>
      <c r="CZ2094" s="1530"/>
      <c r="DA2094" s="1530"/>
      <c r="DB2094" s="1530"/>
      <c r="DC2094" s="1530"/>
      <c r="DD2094" s="1530"/>
      <c r="DE2094" s="1530"/>
      <c r="DF2094" s="1530"/>
      <c r="DG2094" s="1530"/>
      <c r="DH2094" s="1530"/>
      <c r="DI2094" s="1530"/>
      <c r="DJ2094" s="1530"/>
      <c r="DK2094" s="1530"/>
      <c r="DL2094" s="1530"/>
      <c r="DM2094" s="1530"/>
      <c r="DN2094" s="1571"/>
      <c r="DO2094" s="1530"/>
      <c r="DP2094" s="1530"/>
    </row>
    <row r="2095" spans="1:120">
      <c r="A2095" s="1451"/>
      <c r="C2095" s="1451"/>
      <c r="K2095" s="1451"/>
      <c r="L2095" s="1451"/>
      <c r="U2095" s="1451"/>
      <c r="AD2095" s="1451"/>
      <c r="AM2095" s="1451"/>
      <c r="AV2095" s="1451"/>
      <c r="BE2095" s="1451"/>
      <c r="BN2095" s="1451"/>
      <c r="BV2095" s="1451"/>
      <c r="BW2095" s="1451"/>
      <c r="CF2095" s="1451"/>
      <c r="CN2095" s="1451"/>
      <c r="CO2095" s="1530"/>
      <c r="CP2095" s="1530"/>
      <c r="CQ2095" s="1530"/>
      <c r="CR2095" s="1530"/>
      <c r="CS2095" s="1530"/>
      <c r="CT2095" s="1530"/>
      <c r="CU2095" s="1530"/>
      <c r="CV2095" s="1530"/>
      <c r="CW2095" s="1530"/>
      <c r="CX2095" s="1530"/>
      <c r="CY2095" s="1530"/>
      <c r="CZ2095" s="1530"/>
      <c r="DA2095" s="1530"/>
      <c r="DB2095" s="1530"/>
      <c r="DC2095" s="1530"/>
      <c r="DD2095" s="1530"/>
      <c r="DE2095" s="1530"/>
      <c r="DF2095" s="1530"/>
      <c r="DG2095" s="1530"/>
      <c r="DH2095" s="1530"/>
      <c r="DI2095" s="1530"/>
      <c r="DJ2095" s="1530"/>
      <c r="DK2095" s="1530"/>
      <c r="DL2095" s="1530"/>
      <c r="DM2095" s="1530"/>
      <c r="DN2095" s="1571"/>
      <c r="DO2095" s="1530"/>
      <c r="DP2095" s="1530"/>
    </row>
    <row r="2096" spans="1:120">
      <c r="A2096" s="1451"/>
      <c r="C2096" s="1451"/>
      <c r="K2096" s="1451"/>
      <c r="L2096" s="1451"/>
      <c r="U2096" s="1451"/>
      <c r="AD2096" s="1451"/>
      <c r="AM2096" s="1451"/>
      <c r="AV2096" s="1451"/>
      <c r="BE2096" s="1451"/>
      <c r="BN2096" s="1451"/>
      <c r="BV2096" s="1451"/>
      <c r="BW2096" s="1451"/>
      <c r="CF2096" s="1451"/>
      <c r="CN2096" s="1451"/>
      <c r="CO2096" s="1530"/>
      <c r="CP2096" s="1530"/>
      <c r="CQ2096" s="1530"/>
      <c r="CR2096" s="1530"/>
      <c r="CS2096" s="1530"/>
      <c r="CT2096" s="1530"/>
      <c r="CU2096" s="1530"/>
      <c r="CV2096" s="1530"/>
      <c r="CW2096" s="1530"/>
      <c r="CX2096" s="1530"/>
      <c r="CY2096" s="1530"/>
      <c r="CZ2096" s="1530"/>
      <c r="DA2096" s="1530"/>
      <c r="DB2096" s="1530"/>
      <c r="DC2096" s="1530"/>
      <c r="DD2096" s="1530"/>
      <c r="DE2096" s="1530"/>
      <c r="DF2096" s="1530"/>
      <c r="DG2096" s="1530"/>
      <c r="DH2096" s="1530"/>
      <c r="DI2096" s="1530"/>
      <c r="DJ2096" s="1530"/>
      <c r="DK2096" s="1530"/>
      <c r="DL2096" s="1530"/>
      <c r="DM2096" s="1530"/>
      <c r="DN2096" s="1571"/>
      <c r="DO2096" s="1530"/>
      <c r="DP2096" s="1530"/>
    </row>
    <row r="2097" spans="1:120">
      <c r="A2097" s="1451"/>
      <c r="C2097" s="1451"/>
      <c r="K2097" s="1451"/>
      <c r="L2097" s="1451"/>
      <c r="U2097" s="1451"/>
      <c r="AD2097" s="1451"/>
      <c r="AM2097" s="1451"/>
      <c r="AV2097" s="1451"/>
      <c r="BE2097" s="1451"/>
      <c r="BN2097" s="1451"/>
      <c r="BV2097" s="1451"/>
      <c r="BW2097" s="1451"/>
      <c r="CF2097" s="1451"/>
      <c r="CN2097" s="1451"/>
      <c r="CO2097" s="1530"/>
      <c r="CP2097" s="1530"/>
      <c r="CQ2097" s="1530"/>
      <c r="CR2097" s="1530"/>
      <c r="CS2097" s="1530"/>
      <c r="CT2097" s="1530"/>
      <c r="CU2097" s="1530"/>
      <c r="CV2097" s="1530"/>
      <c r="CW2097" s="1530"/>
      <c r="CX2097" s="1530"/>
      <c r="CY2097" s="1530"/>
      <c r="CZ2097" s="1530"/>
      <c r="DA2097" s="1530"/>
      <c r="DB2097" s="1530"/>
      <c r="DC2097" s="1530"/>
      <c r="DD2097" s="1530"/>
      <c r="DE2097" s="1530"/>
      <c r="DF2097" s="1530"/>
      <c r="DG2097" s="1530"/>
      <c r="DH2097" s="1530"/>
      <c r="DI2097" s="1530"/>
      <c r="DJ2097" s="1530"/>
      <c r="DK2097" s="1530"/>
      <c r="DL2097" s="1530"/>
      <c r="DM2097" s="1530"/>
      <c r="DN2097" s="1571"/>
      <c r="DO2097" s="1530"/>
      <c r="DP2097" s="1530"/>
    </row>
    <row r="2098" spans="1:120">
      <c r="A2098" s="1451"/>
      <c r="C2098" s="1451"/>
      <c r="K2098" s="1451"/>
      <c r="L2098" s="1451"/>
      <c r="U2098" s="1451"/>
      <c r="AD2098" s="1451"/>
      <c r="AM2098" s="1451"/>
      <c r="AV2098" s="1451"/>
      <c r="BE2098" s="1451"/>
      <c r="BN2098" s="1451"/>
      <c r="BV2098" s="1451"/>
      <c r="BW2098" s="1451"/>
      <c r="CF2098" s="1451"/>
      <c r="CN2098" s="1451"/>
      <c r="CO2098" s="1530"/>
      <c r="CP2098" s="1530"/>
      <c r="CQ2098" s="1530"/>
      <c r="CR2098" s="1530"/>
      <c r="CS2098" s="1530"/>
      <c r="CT2098" s="1530"/>
      <c r="CU2098" s="1530"/>
      <c r="CV2098" s="1530"/>
      <c r="CW2098" s="1530"/>
      <c r="CX2098" s="1530"/>
      <c r="CY2098" s="1530"/>
      <c r="CZ2098" s="1530"/>
      <c r="DA2098" s="1530"/>
      <c r="DB2098" s="1530"/>
      <c r="DC2098" s="1530"/>
      <c r="DD2098" s="1530"/>
      <c r="DE2098" s="1530"/>
      <c r="DF2098" s="1530"/>
      <c r="DG2098" s="1530"/>
      <c r="DH2098" s="1530"/>
      <c r="DI2098" s="1530"/>
      <c r="DJ2098" s="1530"/>
      <c r="DK2098" s="1530"/>
      <c r="DL2098" s="1530"/>
      <c r="DM2098" s="1530"/>
      <c r="DN2098" s="1571"/>
      <c r="DO2098" s="1530"/>
      <c r="DP2098" s="1530"/>
    </row>
    <row r="2099" spans="1:120">
      <c r="A2099" s="1451"/>
      <c r="C2099" s="1451"/>
      <c r="K2099" s="1451"/>
      <c r="L2099" s="1451"/>
      <c r="U2099" s="1451"/>
      <c r="AD2099" s="1451"/>
      <c r="AM2099" s="1451"/>
      <c r="AV2099" s="1451"/>
      <c r="BE2099" s="1451"/>
      <c r="BN2099" s="1451"/>
      <c r="BV2099" s="1451"/>
      <c r="BW2099" s="1451"/>
      <c r="CF2099" s="1451"/>
      <c r="CN2099" s="1451"/>
      <c r="CO2099" s="1530"/>
      <c r="CP2099" s="1530"/>
      <c r="CQ2099" s="1530"/>
      <c r="CR2099" s="1530"/>
      <c r="CS2099" s="1530"/>
      <c r="CT2099" s="1530"/>
      <c r="CU2099" s="1530"/>
      <c r="CV2099" s="1530"/>
      <c r="CW2099" s="1530"/>
      <c r="CX2099" s="1530"/>
      <c r="CY2099" s="1530"/>
      <c r="CZ2099" s="1530"/>
      <c r="DA2099" s="1530"/>
      <c r="DB2099" s="1530"/>
      <c r="DC2099" s="1530"/>
      <c r="DD2099" s="1530"/>
      <c r="DE2099" s="1530"/>
      <c r="DF2099" s="1530"/>
      <c r="DG2099" s="1530"/>
      <c r="DH2099" s="1530"/>
      <c r="DI2099" s="1530"/>
      <c r="DJ2099" s="1530"/>
      <c r="DK2099" s="1530"/>
      <c r="DL2099" s="1530"/>
      <c r="DM2099" s="1530"/>
      <c r="DN2099" s="1571"/>
      <c r="DO2099" s="1530"/>
      <c r="DP2099" s="1530"/>
    </row>
    <row r="2100" spans="1:120">
      <c r="A2100" s="1451"/>
      <c r="C2100" s="1451"/>
      <c r="K2100" s="1451"/>
      <c r="L2100" s="1451"/>
      <c r="U2100" s="1451"/>
      <c r="AD2100" s="1451"/>
      <c r="AM2100" s="1451"/>
      <c r="AV2100" s="1451"/>
      <c r="BE2100" s="1451"/>
      <c r="BN2100" s="1451"/>
      <c r="BV2100" s="1451"/>
      <c r="BW2100" s="1451"/>
      <c r="CF2100" s="1451"/>
      <c r="CN2100" s="1451"/>
      <c r="CO2100" s="1530"/>
      <c r="CP2100" s="1530"/>
      <c r="CQ2100" s="1530"/>
      <c r="CR2100" s="1530"/>
      <c r="CS2100" s="1530"/>
      <c r="CT2100" s="1530"/>
      <c r="CU2100" s="1530"/>
      <c r="CV2100" s="1530"/>
      <c r="CW2100" s="1530"/>
      <c r="CX2100" s="1530"/>
      <c r="CY2100" s="1530"/>
      <c r="CZ2100" s="1530"/>
      <c r="DA2100" s="1530"/>
      <c r="DB2100" s="1530"/>
      <c r="DC2100" s="1530"/>
      <c r="DD2100" s="1530"/>
      <c r="DE2100" s="1530"/>
      <c r="DF2100" s="1530"/>
      <c r="DG2100" s="1530"/>
      <c r="DH2100" s="1530"/>
      <c r="DI2100" s="1530"/>
      <c r="DJ2100" s="1530"/>
      <c r="DK2100" s="1530"/>
      <c r="DL2100" s="1530"/>
      <c r="DM2100" s="1530"/>
      <c r="DN2100" s="1571"/>
      <c r="DO2100" s="1530"/>
      <c r="DP2100" s="1530"/>
    </row>
    <row r="2101" spans="1:120">
      <c r="A2101" s="1451"/>
      <c r="C2101" s="1451"/>
      <c r="K2101" s="1451"/>
      <c r="L2101" s="1451"/>
      <c r="U2101" s="1451"/>
      <c r="AD2101" s="1451"/>
      <c r="AM2101" s="1451"/>
      <c r="AV2101" s="1451"/>
      <c r="BE2101" s="1451"/>
      <c r="BN2101" s="1451"/>
      <c r="BV2101" s="1451"/>
      <c r="BW2101" s="1451"/>
      <c r="CF2101" s="1451"/>
      <c r="CN2101" s="1451"/>
      <c r="CO2101" s="1530"/>
      <c r="CP2101" s="1530"/>
      <c r="CQ2101" s="1530"/>
      <c r="CR2101" s="1530"/>
      <c r="CS2101" s="1530"/>
      <c r="CT2101" s="1530"/>
      <c r="CU2101" s="1530"/>
      <c r="CV2101" s="1530"/>
      <c r="CW2101" s="1530"/>
      <c r="CX2101" s="1530"/>
      <c r="CY2101" s="1530"/>
      <c r="CZ2101" s="1530"/>
      <c r="DA2101" s="1530"/>
      <c r="DB2101" s="1530"/>
      <c r="DC2101" s="1530"/>
      <c r="DD2101" s="1530"/>
      <c r="DE2101" s="1530"/>
      <c r="DF2101" s="1530"/>
      <c r="DG2101" s="1530"/>
      <c r="DH2101" s="1530"/>
      <c r="DI2101" s="1530"/>
      <c r="DJ2101" s="1530"/>
      <c r="DK2101" s="1530"/>
      <c r="DL2101" s="1530"/>
      <c r="DM2101" s="1530"/>
      <c r="DN2101" s="1571"/>
      <c r="DO2101" s="1530"/>
      <c r="DP2101" s="1530"/>
    </row>
    <row r="2102" spans="1:120">
      <c r="A2102" s="1451"/>
      <c r="C2102" s="1451"/>
      <c r="K2102" s="1451"/>
      <c r="L2102" s="1451"/>
      <c r="U2102" s="1451"/>
      <c r="AD2102" s="1451"/>
      <c r="AM2102" s="1451"/>
      <c r="AV2102" s="1451"/>
      <c r="BE2102" s="1451"/>
      <c r="BN2102" s="1451"/>
      <c r="BV2102" s="1451"/>
      <c r="BW2102" s="1451"/>
      <c r="CF2102" s="1451"/>
      <c r="CN2102" s="1451"/>
      <c r="CO2102" s="1530"/>
      <c r="CP2102" s="1530"/>
      <c r="CQ2102" s="1530"/>
      <c r="CR2102" s="1530"/>
      <c r="CS2102" s="1530"/>
      <c r="CT2102" s="1530"/>
      <c r="CU2102" s="1530"/>
      <c r="CV2102" s="1530"/>
      <c r="CW2102" s="1530"/>
      <c r="CX2102" s="1530"/>
      <c r="CY2102" s="1530"/>
      <c r="CZ2102" s="1530"/>
      <c r="DA2102" s="1530"/>
      <c r="DB2102" s="1530"/>
      <c r="DC2102" s="1530"/>
      <c r="DD2102" s="1530"/>
      <c r="DE2102" s="1530"/>
      <c r="DF2102" s="1530"/>
      <c r="DG2102" s="1530"/>
      <c r="DH2102" s="1530"/>
      <c r="DI2102" s="1530"/>
      <c r="DJ2102" s="1530"/>
      <c r="DK2102" s="1530"/>
      <c r="DL2102" s="1530"/>
      <c r="DM2102" s="1530"/>
      <c r="DN2102" s="1571"/>
      <c r="DO2102" s="1530"/>
      <c r="DP2102" s="1530"/>
    </row>
    <row r="2103" spans="1:120">
      <c r="A2103" s="1451"/>
      <c r="C2103" s="1451"/>
      <c r="K2103" s="1451"/>
      <c r="L2103" s="1451"/>
      <c r="U2103" s="1451"/>
      <c r="AD2103" s="1451"/>
      <c r="AM2103" s="1451"/>
      <c r="AV2103" s="1451"/>
      <c r="BE2103" s="1451"/>
      <c r="BN2103" s="1451"/>
      <c r="BV2103" s="1451"/>
      <c r="BW2103" s="1451"/>
      <c r="CF2103" s="1451"/>
      <c r="CN2103" s="1451"/>
      <c r="CO2103" s="1530"/>
      <c r="CP2103" s="1530"/>
      <c r="CQ2103" s="1530"/>
      <c r="CR2103" s="1530"/>
      <c r="CS2103" s="1530"/>
      <c r="CT2103" s="1530"/>
      <c r="CU2103" s="1530"/>
      <c r="CV2103" s="1530"/>
      <c r="CW2103" s="1530"/>
      <c r="CX2103" s="1530"/>
      <c r="CY2103" s="1530"/>
      <c r="CZ2103" s="1530"/>
      <c r="DA2103" s="1530"/>
      <c r="DB2103" s="1530"/>
      <c r="DC2103" s="1530"/>
      <c r="DD2103" s="1530"/>
      <c r="DE2103" s="1530"/>
      <c r="DF2103" s="1530"/>
      <c r="DG2103" s="1530"/>
      <c r="DH2103" s="1530"/>
      <c r="DI2103" s="1530"/>
      <c r="DJ2103" s="1530"/>
      <c r="DK2103" s="1530"/>
      <c r="DL2103" s="1530"/>
      <c r="DM2103" s="1530"/>
      <c r="DN2103" s="1571"/>
      <c r="DO2103" s="1530"/>
      <c r="DP2103" s="1530"/>
    </row>
    <row r="2104" spans="1:120">
      <c r="A2104" s="1451"/>
      <c r="C2104" s="1451"/>
      <c r="K2104" s="1451"/>
      <c r="L2104" s="1451"/>
      <c r="U2104" s="1451"/>
      <c r="AD2104" s="1451"/>
      <c r="AM2104" s="1451"/>
      <c r="AV2104" s="1451"/>
      <c r="BE2104" s="1451"/>
      <c r="BN2104" s="1451"/>
      <c r="BV2104" s="1451"/>
      <c r="BW2104" s="1451"/>
      <c r="CF2104" s="1451"/>
      <c r="CN2104" s="1451"/>
      <c r="CO2104" s="1530"/>
      <c r="CP2104" s="1530"/>
      <c r="CQ2104" s="1530"/>
      <c r="CR2104" s="1530"/>
      <c r="CS2104" s="1530"/>
      <c r="CT2104" s="1530"/>
      <c r="CU2104" s="1530"/>
      <c r="CV2104" s="1530"/>
      <c r="CW2104" s="1530"/>
      <c r="CX2104" s="1530"/>
      <c r="CY2104" s="1530"/>
      <c r="CZ2104" s="1530"/>
      <c r="DA2104" s="1530"/>
      <c r="DB2104" s="1530"/>
      <c r="DC2104" s="1530"/>
      <c r="DD2104" s="1530"/>
      <c r="DE2104" s="1530"/>
      <c r="DF2104" s="1530"/>
      <c r="DG2104" s="1530"/>
      <c r="DH2104" s="1530"/>
      <c r="DI2104" s="1530"/>
      <c r="DJ2104" s="1530"/>
      <c r="DK2104" s="1530"/>
      <c r="DL2104" s="1530"/>
      <c r="DM2104" s="1530"/>
      <c r="DN2104" s="1571"/>
      <c r="DO2104" s="1530"/>
      <c r="DP2104" s="1530"/>
    </row>
    <row r="2105" spans="1:120">
      <c r="A2105" s="1451"/>
      <c r="C2105" s="1451"/>
      <c r="K2105" s="1451"/>
      <c r="L2105" s="1451"/>
      <c r="U2105" s="1451"/>
      <c r="AD2105" s="1451"/>
      <c r="AM2105" s="1451"/>
      <c r="AV2105" s="1451"/>
      <c r="BE2105" s="1451"/>
      <c r="BN2105" s="1451"/>
      <c r="BV2105" s="1451"/>
      <c r="BW2105" s="1451"/>
      <c r="CF2105" s="1451"/>
      <c r="CN2105" s="1451"/>
      <c r="CO2105" s="1530"/>
      <c r="CP2105" s="1530"/>
      <c r="CQ2105" s="1530"/>
      <c r="CR2105" s="1530"/>
      <c r="CS2105" s="1530"/>
      <c r="CT2105" s="1530"/>
      <c r="CU2105" s="1530"/>
      <c r="CV2105" s="1530"/>
      <c r="CW2105" s="1530"/>
      <c r="CX2105" s="1530"/>
      <c r="CY2105" s="1530"/>
      <c r="CZ2105" s="1530"/>
      <c r="DA2105" s="1530"/>
      <c r="DB2105" s="1530"/>
      <c r="DC2105" s="1530"/>
      <c r="DD2105" s="1530"/>
      <c r="DE2105" s="1530"/>
      <c r="DF2105" s="1530"/>
      <c r="DG2105" s="1530"/>
      <c r="DH2105" s="1530"/>
      <c r="DI2105" s="1530"/>
      <c r="DJ2105" s="1530"/>
      <c r="DK2105" s="1530"/>
      <c r="DL2105" s="1530"/>
      <c r="DM2105" s="1530"/>
      <c r="DN2105" s="1571"/>
      <c r="DO2105" s="1530"/>
      <c r="DP2105" s="1530"/>
    </row>
    <row r="2106" spans="1:120">
      <c r="A2106" s="1451"/>
      <c r="C2106" s="1451"/>
      <c r="K2106" s="1451"/>
      <c r="L2106" s="1451"/>
      <c r="U2106" s="1451"/>
      <c r="AD2106" s="1451"/>
      <c r="AM2106" s="1451"/>
      <c r="AV2106" s="1451"/>
      <c r="BE2106" s="1451"/>
      <c r="BN2106" s="1451"/>
      <c r="BV2106" s="1451"/>
      <c r="BW2106" s="1451"/>
      <c r="CF2106" s="1451"/>
      <c r="CN2106" s="1451"/>
      <c r="CO2106" s="1530"/>
      <c r="CP2106" s="1530"/>
      <c r="CQ2106" s="1530"/>
      <c r="CR2106" s="1530"/>
      <c r="CS2106" s="1530"/>
      <c r="CT2106" s="1530"/>
      <c r="CU2106" s="1530"/>
      <c r="CV2106" s="1530"/>
      <c r="CW2106" s="1530"/>
      <c r="CX2106" s="1530"/>
      <c r="CY2106" s="1530"/>
      <c r="CZ2106" s="1530"/>
      <c r="DA2106" s="1530"/>
      <c r="DB2106" s="1530"/>
      <c r="DC2106" s="1530"/>
      <c r="DD2106" s="1530"/>
      <c r="DE2106" s="1530"/>
      <c r="DF2106" s="1530"/>
      <c r="DG2106" s="1530"/>
      <c r="DH2106" s="1530"/>
      <c r="DI2106" s="1530"/>
      <c r="DJ2106" s="1530"/>
      <c r="DK2106" s="1530"/>
      <c r="DL2106" s="1530"/>
      <c r="DM2106" s="1530"/>
      <c r="DN2106" s="1571"/>
      <c r="DO2106" s="1530"/>
      <c r="DP2106" s="1530"/>
    </row>
    <row r="2107" spans="1:120">
      <c r="A2107" s="1451"/>
      <c r="C2107" s="1451"/>
      <c r="K2107" s="1451"/>
      <c r="L2107" s="1451"/>
      <c r="U2107" s="1451"/>
      <c r="AD2107" s="1451"/>
      <c r="AM2107" s="1451"/>
      <c r="AV2107" s="1451"/>
      <c r="BE2107" s="1451"/>
      <c r="BN2107" s="1451"/>
      <c r="BV2107" s="1451"/>
      <c r="BW2107" s="1451"/>
      <c r="CF2107" s="1451"/>
      <c r="CN2107" s="1451"/>
      <c r="CO2107" s="1530"/>
      <c r="CP2107" s="1530"/>
      <c r="CQ2107" s="1530"/>
      <c r="CR2107" s="1530"/>
      <c r="CS2107" s="1530"/>
      <c r="CT2107" s="1530"/>
      <c r="CU2107" s="1530"/>
      <c r="CV2107" s="1530"/>
      <c r="CW2107" s="1530"/>
      <c r="CX2107" s="1530"/>
      <c r="CY2107" s="1530"/>
      <c r="CZ2107" s="1530"/>
      <c r="DA2107" s="1530"/>
      <c r="DB2107" s="1530"/>
      <c r="DC2107" s="1530"/>
      <c r="DD2107" s="1530"/>
      <c r="DE2107" s="1530"/>
      <c r="DF2107" s="1530"/>
      <c r="DG2107" s="1530"/>
      <c r="DH2107" s="1530"/>
      <c r="DI2107" s="1530"/>
      <c r="DJ2107" s="1530"/>
      <c r="DK2107" s="1530"/>
      <c r="DL2107" s="1530"/>
      <c r="DM2107" s="1530"/>
      <c r="DN2107" s="1571"/>
      <c r="DO2107" s="1530"/>
      <c r="DP2107" s="1530"/>
    </row>
    <row r="2108" spans="1:120">
      <c r="A2108" s="1451"/>
      <c r="C2108" s="1451"/>
      <c r="K2108" s="1451"/>
      <c r="L2108" s="1451"/>
      <c r="U2108" s="1451"/>
      <c r="AD2108" s="1451"/>
      <c r="AM2108" s="1451"/>
      <c r="AV2108" s="1451"/>
      <c r="BE2108" s="1451"/>
      <c r="BN2108" s="1451"/>
      <c r="BV2108" s="1451"/>
      <c r="BW2108" s="1451"/>
      <c r="CF2108" s="1451"/>
      <c r="CN2108" s="1451"/>
      <c r="CO2108" s="1530"/>
      <c r="CP2108" s="1530"/>
      <c r="CQ2108" s="1530"/>
      <c r="CR2108" s="1530"/>
      <c r="CS2108" s="1530"/>
      <c r="CT2108" s="1530"/>
      <c r="CU2108" s="1530"/>
      <c r="CV2108" s="1530"/>
      <c r="CW2108" s="1530"/>
      <c r="CX2108" s="1530"/>
      <c r="CY2108" s="1530"/>
      <c r="CZ2108" s="1530"/>
      <c r="DA2108" s="1530"/>
      <c r="DB2108" s="1530"/>
      <c r="DC2108" s="1530"/>
      <c r="DD2108" s="1530"/>
      <c r="DE2108" s="1530"/>
      <c r="DF2108" s="1530"/>
      <c r="DG2108" s="1530"/>
      <c r="DH2108" s="1530"/>
      <c r="DI2108" s="1530"/>
      <c r="DJ2108" s="1530"/>
      <c r="DK2108" s="1530"/>
      <c r="DL2108" s="1530"/>
      <c r="DM2108" s="1530"/>
      <c r="DN2108" s="1571"/>
      <c r="DO2108" s="1530"/>
      <c r="DP2108" s="1530"/>
    </row>
    <row r="2109" spans="1:120">
      <c r="A2109" s="1451"/>
      <c r="C2109" s="1451"/>
      <c r="K2109" s="1451"/>
      <c r="L2109" s="1451"/>
      <c r="U2109" s="1451"/>
      <c r="AD2109" s="1451"/>
      <c r="AM2109" s="1451"/>
      <c r="AV2109" s="1451"/>
      <c r="BE2109" s="1451"/>
      <c r="BN2109" s="1451"/>
      <c r="BV2109" s="1451"/>
      <c r="BW2109" s="1451"/>
      <c r="CF2109" s="1451"/>
      <c r="CN2109" s="1451"/>
      <c r="CO2109" s="1530"/>
      <c r="CP2109" s="1530"/>
      <c r="CQ2109" s="1530"/>
      <c r="CR2109" s="1530"/>
      <c r="CS2109" s="1530"/>
      <c r="CT2109" s="1530"/>
      <c r="CU2109" s="1530"/>
      <c r="CV2109" s="1530"/>
      <c r="CW2109" s="1530"/>
      <c r="CX2109" s="1530"/>
      <c r="CY2109" s="1530"/>
      <c r="CZ2109" s="1530"/>
      <c r="DA2109" s="1530"/>
      <c r="DB2109" s="1530"/>
      <c r="DC2109" s="1530"/>
      <c r="DD2109" s="1530"/>
      <c r="DE2109" s="1530"/>
      <c r="DF2109" s="1530"/>
      <c r="DG2109" s="1530"/>
      <c r="DH2109" s="1530"/>
      <c r="DI2109" s="1530"/>
      <c r="DJ2109" s="1530"/>
      <c r="DK2109" s="1530"/>
      <c r="DL2109" s="1530"/>
      <c r="DM2109" s="1530"/>
      <c r="DN2109" s="1571"/>
      <c r="DO2109" s="1530"/>
      <c r="DP2109" s="1530"/>
    </row>
    <row r="2110" spans="1:120">
      <c r="A2110" s="1451"/>
      <c r="C2110" s="1451"/>
      <c r="K2110" s="1451"/>
      <c r="L2110" s="1451"/>
      <c r="U2110" s="1451"/>
      <c r="AD2110" s="1451"/>
      <c r="AM2110" s="1451"/>
      <c r="AV2110" s="1451"/>
      <c r="BE2110" s="1451"/>
      <c r="BN2110" s="1451"/>
      <c r="BV2110" s="1451"/>
      <c r="BW2110" s="1451"/>
      <c r="CF2110" s="1451"/>
      <c r="CN2110" s="1451"/>
      <c r="CO2110" s="1530"/>
      <c r="CP2110" s="1530"/>
      <c r="CQ2110" s="1530"/>
      <c r="CR2110" s="1530"/>
      <c r="CS2110" s="1530"/>
      <c r="CT2110" s="1530"/>
      <c r="CU2110" s="1530"/>
      <c r="CV2110" s="1530"/>
      <c r="CW2110" s="1530"/>
      <c r="CX2110" s="1530"/>
      <c r="CY2110" s="1530"/>
      <c r="CZ2110" s="1530"/>
      <c r="DA2110" s="1530"/>
      <c r="DB2110" s="1530"/>
      <c r="DC2110" s="1530"/>
      <c r="DD2110" s="1530"/>
      <c r="DE2110" s="1530"/>
      <c r="DF2110" s="1530"/>
      <c r="DG2110" s="1530"/>
      <c r="DH2110" s="1530"/>
      <c r="DI2110" s="1530"/>
      <c r="DJ2110" s="1530"/>
      <c r="DK2110" s="1530"/>
      <c r="DL2110" s="1530"/>
      <c r="DM2110" s="1530"/>
      <c r="DN2110" s="1571"/>
      <c r="DO2110" s="1530"/>
      <c r="DP2110" s="1530"/>
    </row>
    <row r="2111" spans="1:120">
      <c r="A2111" s="1451"/>
      <c r="C2111" s="1451"/>
      <c r="K2111" s="1451"/>
      <c r="L2111" s="1451"/>
      <c r="U2111" s="1451"/>
      <c r="AD2111" s="1451"/>
      <c r="AM2111" s="1451"/>
      <c r="AV2111" s="1451"/>
      <c r="BE2111" s="1451"/>
      <c r="BN2111" s="1451"/>
      <c r="BV2111" s="1451"/>
      <c r="BW2111" s="1451"/>
      <c r="CF2111" s="1451"/>
      <c r="CN2111" s="1451"/>
      <c r="CO2111" s="1530"/>
      <c r="CP2111" s="1530"/>
      <c r="CQ2111" s="1530"/>
      <c r="CR2111" s="1530"/>
      <c r="CS2111" s="1530"/>
      <c r="CT2111" s="1530"/>
      <c r="CU2111" s="1530"/>
      <c r="CV2111" s="1530"/>
      <c r="CW2111" s="1530"/>
      <c r="CX2111" s="1530"/>
      <c r="CY2111" s="1530"/>
      <c r="CZ2111" s="1530"/>
      <c r="DA2111" s="1530"/>
      <c r="DB2111" s="1530"/>
      <c r="DC2111" s="1530"/>
      <c r="DD2111" s="1530"/>
      <c r="DE2111" s="1530"/>
      <c r="DF2111" s="1530"/>
      <c r="DG2111" s="1530"/>
      <c r="DH2111" s="1530"/>
      <c r="DI2111" s="1530"/>
      <c r="DJ2111" s="1530"/>
      <c r="DK2111" s="1530"/>
      <c r="DL2111" s="1530"/>
      <c r="DM2111" s="1530"/>
      <c r="DN2111" s="1571"/>
      <c r="DO2111" s="1530"/>
      <c r="DP2111" s="1530"/>
    </row>
    <row r="2112" spans="1:120">
      <c r="A2112" s="1451"/>
      <c r="C2112" s="1451"/>
      <c r="K2112" s="1451"/>
      <c r="L2112" s="1451"/>
      <c r="U2112" s="1451"/>
      <c r="AD2112" s="1451"/>
      <c r="AM2112" s="1451"/>
      <c r="AV2112" s="1451"/>
      <c r="BE2112" s="1451"/>
      <c r="BN2112" s="1451"/>
      <c r="BV2112" s="1451"/>
      <c r="BW2112" s="1451"/>
      <c r="CF2112" s="1451"/>
      <c r="CN2112" s="1451"/>
      <c r="CO2112" s="1530"/>
      <c r="CP2112" s="1530"/>
      <c r="CQ2112" s="1530"/>
      <c r="CR2112" s="1530"/>
      <c r="CS2112" s="1530"/>
      <c r="CT2112" s="1530"/>
      <c r="CU2112" s="1530"/>
      <c r="CV2112" s="1530"/>
      <c r="CW2112" s="1530"/>
      <c r="CX2112" s="1530"/>
      <c r="CY2112" s="1530"/>
      <c r="CZ2112" s="1530"/>
      <c r="DA2112" s="1530"/>
      <c r="DB2112" s="1530"/>
      <c r="DC2112" s="1530"/>
      <c r="DD2112" s="1530"/>
      <c r="DE2112" s="1530"/>
      <c r="DF2112" s="1530"/>
      <c r="DG2112" s="1530"/>
      <c r="DH2112" s="1530"/>
      <c r="DI2112" s="1530"/>
      <c r="DJ2112" s="1530"/>
      <c r="DK2112" s="1530"/>
      <c r="DL2112" s="1530"/>
      <c r="DM2112" s="1530"/>
      <c r="DN2112" s="1571"/>
      <c r="DO2112" s="1530"/>
      <c r="DP2112" s="1530"/>
    </row>
    <row r="2113" spans="1:120">
      <c r="A2113" s="1451"/>
      <c r="C2113" s="1451"/>
      <c r="K2113" s="1451"/>
      <c r="L2113" s="1451"/>
      <c r="U2113" s="1451"/>
      <c r="AD2113" s="1451"/>
      <c r="AM2113" s="1451"/>
      <c r="AV2113" s="1451"/>
      <c r="BE2113" s="1451"/>
      <c r="BN2113" s="1451"/>
      <c r="BV2113" s="1451"/>
      <c r="BW2113" s="1451"/>
      <c r="CF2113" s="1451"/>
      <c r="CN2113" s="1451"/>
      <c r="CO2113" s="1530"/>
      <c r="CP2113" s="1530"/>
      <c r="CQ2113" s="1530"/>
      <c r="CR2113" s="1530"/>
      <c r="CS2113" s="1530"/>
      <c r="CT2113" s="1530"/>
      <c r="CU2113" s="1530"/>
      <c r="CV2113" s="1530"/>
      <c r="CW2113" s="1530"/>
      <c r="CX2113" s="1530"/>
      <c r="CY2113" s="1530"/>
      <c r="CZ2113" s="1530"/>
      <c r="DA2113" s="1530"/>
      <c r="DB2113" s="1530"/>
      <c r="DC2113" s="1530"/>
      <c r="DD2113" s="1530"/>
      <c r="DE2113" s="1530"/>
      <c r="DF2113" s="1530"/>
      <c r="DG2113" s="1530"/>
      <c r="DH2113" s="1530"/>
      <c r="DI2113" s="1530"/>
      <c r="DJ2113" s="1530"/>
      <c r="DK2113" s="1530"/>
      <c r="DL2113" s="1530"/>
      <c r="DM2113" s="1530"/>
      <c r="DN2113" s="1571"/>
      <c r="DO2113" s="1530"/>
      <c r="DP2113" s="1530"/>
    </row>
    <row r="2114" spans="1:120">
      <c r="A2114" s="1451"/>
      <c r="C2114" s="1451"/>
      <c r="K2114" s="1451"/>
      <c r="L2114" s="1451"/>
      <c r="U2114" s="1451"/>
      <c r="AD2114" s="1451"/>
      <c r="AM2114" s="1451"/>
      <c r="AV2114" s="1451"/>
      <c r="BE2114" s="1451"/>
      <c r="BN2114" s="1451"/>
      <c r="BV2114" s="1451"/>
      <c r="BW2114" s="1451"/>
      <c r="CF2114" s="1451"/>
      <c r="CN2114" s="1451"/>
      <c r="CO2114" s="1530"/>
      <c r="CP2114" s="1530"/>
      <c r="CQ2114" s="1530"/>
      <c r="CR2114" s="1530"/>
      <c r="CS2114" s="1530"/>
      <c r="CT2114" s="1530"/>
      <c r="CU2114" s="1530"/>
      <c r="CV2114" s="1530"/>
      <c r="CW2114" s="1530"/>
      <c r="CX2114" s="1530"/>
      <c r="CY2114" s="1530"/>
      <c r="CZ2114" s="1530"/>
      <c r="DA2114" s="1530"/>
      <c r="DB2114" s="1530"/>
      <c r="DC2114" s="1530"/>
      <c r="DD2114" s="1530"/>
      <c r="DE2114" s="1530"/>
      <c r="DF2114" s="1530"/>
      <c r="DG2114" s="1530"/>
      <c r="DH2114" s="1530"/>
      <c r="DI2114" s="1530"/>
      <c r="DJ2114" s="1530"/>
      <c r="DK2114" s="1530"/>
      <c r="DL2114" s="1530"/>
      <c r="DM2114" s="1530"/>
      <c r="DN2114" s="1571"/>
      <c r="DO2114" s="1530"/>
      <c r="DP2114" s="1530"/>
    </row>
    <row r="2115" spans="1:120">
      <c r="A2115" s="1451"/>
      <c r="C2115" s="1451"/>
      <c r="K2115" s="1451"/>
      <c r="L2115" s="1451"/>
      <c r="U2115" s="1451"/>
      <c r="AD2115" s="1451"/>
      <c r="AM2115" s="1451"/>
      <c r="AV2115" s="1451"/>
      <c r="BE2115" s="1451"/>
      <c r="BN2115" s="1451"/>
      <c r="BV2115" s="1451"/>
      <c r="BW2115" s="1451"/>
      <c r="CF2115" s="1451"/>
      <c r="CN2115" s="1451"/>
      <c r="CO2115" s="1530"/>
      <c r="CP2115" s="1530"/>
      <c r="CQ2115" s="1530"/>
      <c r="CR2115" s="1530"/>
      <c r="CS2115" s="1530"/>
      <c r="CT2115" s="1530"/>
      <c r="CU2115" s="1530"/>
      <c r="CV2115" s="1530"/>
      <c r="CW2115" s="1530"/>
      <c r="CX2115" s="1530"/>
      <c r="CY2115" s="1530"/>
      <c r="CZ2115" s="1530"/>
      <c r="DA2115" s="1530"/>
      <c r="DB2115" s="1530"/>
      <c r="DC2115" s="1530"/>
      <c r="DD2115" s="1530"/>
      <c r="DE2115" s="1530"/>
      <c r="DF2115" s="1530"/>
      <c r="DG2115" s="1530"/>
      <c r="DH2115" s="1530"/>
      <c r="DI2115" s="1530"/>
      <c r="DJ2115" s="1530"/>
      <c r="DK2115" s="1530"/>
      <c r="DL2115" s="1530"/>
      <c r="DM2115" s="1530"/>
      <c r="DN2115" s="1571"/>
      <c r="DO2115" s="1530"/>
      <c r="DP2115" s="1530"/>
    </row>
    <row r="2116" spans="1:120">
      <c r="A2116" s="1451"/>
      <c r="C2116" s="1451"/>
      <c r="K2116" s="1451"/>
      <c r="L2116" s="1451"/>
      <c r="U2116" s="1451"/>
      <c r="AD2116" s="1451"/>
      <c r="AM2116" s="1451"/>
      <c r="AV2116" s="1451"/>
      <c r="BE2116" s="1451"/>
      <c r="BN2116" s="1451"/>
      <c r="BV2116" s="1451"/>
      <c r="BW2116" s="1451"/>
      <c r="CF2116" s="1451"/>
      <c r="CN2116" s="1451"/>
      <c r="CO2116" s="1530"/>
      <c r="CP2116" s="1530"/>
      <c r="CQ2116" s="1530"/>
      <c r="CR2116" s="1530"/>
      <c r="CS2116" s="1530"/>
      <c r="CT2116" s="1530"/>
      <c r="CU2116" s="1530"/>
      <c r="CV2116" s="1530"/>
      <c r="CW2116" s="1530"/>
      <c r="CX2116" s="1530"/>
      <c r="CY2116" s="1530"/>
      <c r="CZ2116" s="1530"/>
      <c r="DA2116" s="1530"/>
      <c r="DB2116" s="1530"/>
      <c r="DC2116" s="1530"/>
      <c r="DD2116" s="1530"/>
      <c r="DE2116" s="1530"/>
      <c r="DF2116" s="1530"/>
      <c r="DG2116" s="1530"/>
      <c r="DH2116" s="1530"/>
      <c r="DI2116" s="1530"/>
      <c r="DJ2116" s="1530"/>
      <c r="DK2116" s="1530"/>
      <c r="DL2116" s="1530"/>
      <c r="DM2116" s="1530"/>
      <c r="DN2116" s="1571"/>
      <c r="DO2116" s="1530"/>
      <c r="DP2116" s="1530"/>
    </row>
    <row r="2117" spans="1:120">
      <c r="A2117" s="1451"/>
      <c r="C2117" s="1451"/>
      <c r="K2117" s="1451"/>
      <c r="L2117" s="1451"/>
      <c r="U2117" s="1451"/>
      <c r="AD2117" s="1451"/>
      <c r="AM2117" s="1451"/>
      <c r="AV2117" s="1451"/>
      <c r="BE2117" s="1451"/>
      <c r="BN2117" s="1451"/>
      <c r="BV2117" s="1451"/>
      <c r="BW2117" s="1451"/>
      <c r="CF2117" s="1451"/>
      <c r="CN2117" s="1451"/>
      <c r="CO2117" s="1530"/>
      <c r="CP2117" s="1530"/>
      <c r="CQ2117" s="1530"/>
      <c r="CR2117" s="1530"/>
      <c r="CS2117" s="1530"/>
      <c r="CT2117" s="1530"/>
      <c r="CU2117" s="1530"/>
      <c r="CV2117" s="1530"/>
      <c r="CW2117" s="1530"/>
      <c r="CX2117" s="1530"/>
      <c r="CY2117" s="1530"/>
      <c r="CZ2117" s="1530"/>
      <c r="DA2117" s="1530"/>
      <c r="DB2117" s="1530"/>
      <c r="DC2117" s="1530"/>
      <c r="DD2117" s="1530"/>
      <c r="DE2117" s="1530"/>
      <c r="DF2117" s="1530"/>
      <c r="DG2117" s="1530"/>
      <c r="DH2117" s="1530"/>
      <c r="DI2117" s="1530"/>
      <c r="DJ2117" s="1530"/>
      <c r="DK2117" s="1530"/>
      <c r="DL2117" s="1530"/>
      <c r="DM2117" s="1530"/>
      <c r="DN2117" s="1571"/>
      <c r="DO2117" s="1530"/>
      <c r="DP2117" s="1530"/>
    </row>
    <row r="2118" spans="1:120">
      <c r="A2118" s="1451"/>
      <c r="C2118" s="1451"/>
      <c r="K2118" s="1451"/>
      <c r="L2118" s="1451"/>
      <c r="U2118" s="1451"/>
      <c r="AD2118" s="1451"/>
      <c r="AM2118" s="1451"/>
      <c r="AV2118" s="1451"/>
      <c r="BE2118" s="1451"/>
      <c r="BN2118" s="1451"/>
      <c r="BV2118" s="1451"/>
      <c r="BW2118" s="1451"/>
      <c r="CF2118" s="1451"/>
      <c r="CN2118" s="1451"/>
      <c r="CO2118" s="1530"/>
      <c r="CP2118" s="1530"/>
      <c r="CQ2118" s="1530"/>
      <c r="CR2118" s="1530"/>
      <c r="CS2118" s="1530"/>
      <c r="CT2118" s="1530"/>
      <c r="CU2118" s="1530"/>
      <c r="CV2118" s="1530"/>
      <c r="CW2118" s="1530"/>
      <c r="CX2118" s="1530"/>
      <c r="CY2118" s="1530"/>
      <c r="CZ2118" s="1530"/>
      <c r="DA2118" s="1530"/>
      <c r="DB2118" s="1530"/>
      <c r="DC2118" s="1530"/>
      <c r="DD2118" s="1530"/>
      <c r="DE2118" s="1530"/>
      <c r="DF2118" s="1530"/>
      <c r="DG2118" s="1530"/>
      <c r="DH2118" s="1530"/>
      <c r="DI2118" s="1530"/>
      <c r="DJ2118" s="1530"/>
      <c r="DK2118" s="1530"/>
      <c r="DL2118" s="1530"/>
      <c r="DM2118" s="1530"/>
      <c r="DN2118" s="1571"/>
      <c r="DO2118" s="1530"/>
      <c r="DP2118" s="1530"/>
    </row>
    <row r="2119" spans="1:120">
      <c r="A2119" s="1451"/>
      <c r="C2119" s="1451"/>
      <c r="K2119" s="1451"/>
      <c r="L2119" s="1451"/>
      <c r="U2119" s="1451"/>
      <c r="AD2119" s="1451"/>
      <c r="AM2119" s="1451"/>
      <c r="AV2119" s="1451"/>
      <c r="BE2119" s="1451"/>
      <c r="BN2119" s="1451"/>
      <c r="BV2119" s="1451"/>
      <c r="BW2119" s="1451"/>
      <c r="CF2119" s="1451"/>
      <c r="CN2119" s="1451"/>
      <c r="CO2119" s="1530"/>
      <c r="CP2119" s="1530"/>
      <c r="CQ2119" s="1530"/>
      <c r="CR2119" s="1530"/>
      <c r="CS2119" s="1530"/>
      <c r="CT2119" s="1530"/>
      <c r="CU2119" s="1530"/>
      <c r="CV2119" s="1530"/>
      <c r="CW2119" s="1530"/>
      <c r="CX2119" s="1530"/>
      <c r="CY2119" s="1530"/>
      <c r="CZ2119" s="1530"/>
      <c r="DA2119" s="1530"/>
      <c r="DB2119" s="1530"/>
      <c r="DC2119" s="1530"/>
      <c r="DD2119" s="1530"/>
      <c r="DE2119" s="1530"/>
      <c r="DF2119" s="1530"/>
      <c r="DG2119" s="1530"/>
      <c r="DH2119" s="1530"/>
      <c r="DI2119" s="1530"/>
      <c r="DJ2119" s="1530"/>
      <c r="DK2119" s="1530"/>
      <c r="DL2119" s="1530"/>
      <c r="DM2119" s="1530"/>
      <c r="DN2119" s="1571"/>
      <c r="DO2119" s="1530"/>
      <c r="DP2119" s="1530"/>
    </row>
    <row r="2120" spans="1:120">
      <c r="A2120" s="1451"/>
      <c r="C2120" s="1451"/>
      <c r="K2120" s="1451"/>
      <c r="L2120" s="1451"/>
      <c r="U2120" s="1451"/>
      <c r="AD2120" s="1451"/>
      <c r="AM2120" s="1451"/>
      <c r="AV2120" s="1451"/>
      <c r="BE2120" s="1451"/>
      <c r="BN2120" s="1451"/>
      <c r="BV2120" s="1451"/>
      <c r="BW2120" s="1451"/>
      <c r="CF2120" s="1451"/>
      <c r="CN2120" s="1451"/>
      <c r="CO2120" s="1530"/>
      <c r="CP2120" s="1530"/>
      <c r="CQ2120" s="1530"/>
      <c r="CR2120" s="1530"/>
      <c r="CS2120" s="1530"/>
      <c r="CT2120" s="1530"/>
      <c r="CU2120" s="1530"/>
      <c r="CV2120" s="1530"/>
      <c r="CW2120" s="1530"/>
      <c r="CX2120" s="1530"/>
      <c r="CY2120" s="1530"/>
      <c r="CZ2120" s="1530"/>
      <c r="DA2120" s="1530"/>
      <c r="DB2120" s="1530"/>
      <c r="DC2120" s="1530"/>
      <c r="DD2120" s="1530"/>
      <c r="DE2120" s="1530"/>
      <c r="DF2120" s="1530"/>
      <c r="DG2120" s="1530"/>
      <c r="DH2120" s="1530"/>
      <c r="DI2120" s="1530"/>
      <c r="DJ2120" s="1530"/>
      <c r="DK2120" s="1530"/>
      <c r="DL2120" s="1530"/>
      <c r="DM2120" s="1530"/>
      <c r="DN2120" s="1571"/>
      <c r="DO2120" s="1530"/>
      <c r="DP2120" s="1530"/>
    </row>
    <row r="2121" spans="1:120">
      <c r="A2121" s="1451"/>
      <c r="C2121" s="1451"/>
      <c r="K2121" s="1451"/>
      <c r="L2121" s="1451"/>
      <c r="U2121" s="1451"/>
      <c r="AD2121" s="1451"/>
      <c r="AM2121" s="1451"/>
      <c r="AV2121" s="1451"/>
      <c r="BE2121" s="1451"/>
      <c r="BN2121" s="1451"/>
      <c r="BV2121" s="1451"/>
      <c r="BW2121" s="1451"/>
      <c r="CF2121" s="1451"/>
      <c r="CN2121" s="1451"/>
      <c r="CO2121" s="1530"/>
      <c r="CP2121" s="1530"/>
      <c r="CQ2121" s="1530"/>
      <c r="CR2121" s="1530"/>
      <c r="CS2121" s="1530"/>
      <c r="CT2121" s="1530"/>
      <c r="CU2121" s="1530"/>
      <c r="CV2121" s="1530"/>
      <c r="CW2121" s="1530"/>
      <c r="CX2121" s="1530"/>
      <c r="CY2121" s="1530"/>
      <c r="CZ2121" s="1530"/>
      <c r="DA2121" s="1530"/>
      <c r="DB2121" s="1530"/>
      <c r="DC2121" s="1530"/>
      <c r="DD2121" s="1530"/>
      <c r="DE2121" s="1530"/>
      <c r="DF2121" s="1530"/>
      <c r="DG2121" s="1530"/>
      <c r="DH2121" s="1530"/>
      <c r="DI2121" s="1530"/>
      <c r="DJ2121" s="1530"/>
      <c r="DK2121" s="1530"/>
      <c r="DL2121" s="1530"/>
      <c r="DM2121" s="1530"/>
      <c r="DN2121" s="1571"/>
      <c r="DO2121" s="1530"/>
      <c r="DP2121" s="1530"/>
    </row>
    <row r="2122" spans="1:120">
      <c r="A2122" s="1451"/>
      <c r="C2122" s="1451"/>
      <c r="K2122" s="1451"/>
      <c r="L2122" s="1451"/>
      <c r="U2122" s="1451"/>
      <c r="AD2122" s="1451"/>
      <c r="AM2122" s="1451"/>
      <c r="AV2122" s="1451"/>
      <c r="BE2122" s="1451"/>
      <c r="BN2122" s="1451"/>
      <c r="BV2122" s="1451"/>
      <c r="BW2122" s="1451"/>
      <c r="CF2122" s="1451"/>
      <c r="CN2122" s="1451"/>
      <c r="CO2122" s="1530"/>
      <c r="CP2122" s="1530"/>
      <c r="CQ2122" s="1530"/>
      <c r="CR2122" s="1530"/>
      <c r="CS2122" s="1530"/>
      <c r="CT2122" s="1530"/>
      <c r="CU2122" s="1530"/>
      <c r="CV2122" s="1530"/>
      <c r="CW2122" s="1530"/>
      <c r="CX2122" s="1530"/>
      <c r="CY2122" s="1530"/>
      <c r="CZ2122" s="1530"/>
      <c r="DA2122" s="1530"/>
      <c r="DB2122" s="1530"/>
      <c r="DC2122" s="1530"/>
      <c r="DD2122" s="1530"/>
      <c r="DE2122" s="1530"/>
      <c r="DF2122" s="1530"/>
      <c r="DG2122" s="1530"/>
      <c r="DH2122" s="1530"/>
      <c r="DI2122" s="1530"/>
      <c r="DJ2122" s="1530"/>
      <c r="DK2122" s="1530"/>
      <c r="DL2122" s="1530"/>
      <c r="DM2122" s="1530"/>
      <c r="DN2122" s="1571"/>
      <c r="DO2122" s="1530"/>
      <c r="DP2122" s="1530"/>
    </row>
    <row r="2123" spans="1:120">
      <c r="A2123" s="1451"/>
      <c r="C2123" s="1451"/>
      <c r="K2123" s="1451"/>
      <c r="L2123" s="1451"/>
      <c r="U2123" s="1451"/>
      <c r="AD2123" s="1451"/>
      <c r="AM2123" s="1451"/>
      <c r="AV2123" s="1451"/>
      <c r="BE2123" s="1451"/>
      <c r="BN2123" s="1451"/>
      <c r="BV2123" s="1451"/>
      <c r="BW2123" s="1451"/>
      <c r="CF2123" s="1451"/>
      <c r="CN2123" s="1451"/>
      <c r="CO2123" s="1530"/>
      <c r="CP2123" s="1530"/>
      <c r="CQ2123" s="1530"/>
      <c r="CR2123" s="1530"/>
      <c r="CS2123" s="1530"/>
      <c r="CT2123" s="1530"/>
      <c r="CU2123" s="1530"/>
      <c r="CV2123" s="1530"/>
      <c r="CW2123" s="1530"/>
      <c r="CX2123" s="1530"/>
      <c r="CY2123" s="1530"/>
      <c r="CZ2123" s="1530"/>
      <c r="DA2123" s="1530"/>
      <c r="DB2123" s="1530"/>
      <c r="DC2123" s="1530"/>
      <c r="DD2123" s="1530"/>
      <c r="DE2123" s="1530"/>
      <c r="DF2123" s="1530"/>
      <c r="DG2123" s="1530"/>
      <c r="DH2123" s="1530"/>
      <c r="DI2123" s="1530"/>
      <c r="DJ2123" s="1530"/>
      <c r="DK2123" s="1530"/>
      <c r="DL2123" s="1530"/>
      <c r="DM2123" s="1530"/>
      <c r="DN2123" s="1571"/>
      <c r="DO2123" s="1530"/>
      <c r="DP2123" s="1530"/>
    </row>
    <row r="2124" spans="1:120">
      <c r="A2124" s="1451"/>
      <c r="C2124" s="1451"/>
      <c r="K2124" s="1451"/>
      <c r="L2124" s="1451"/>
      <c r="U2124" s="1451"/>
      <c r="AD2124" s="1451"/>
      <c r="AM2124" s="1451"/>
      <c r="AV2124" s="1451"/>
      <c r="BE2124" s="1451"/>
      <c r="BN2124" s="1451"/>
      <c r="BV2124" s="1451"/>
      <c r="BW2124" s="1451"/>
      <c r="CF2124" s="1451"/>
      <c r="CN2124" s="1451"/>
      <c r="CO2124" s="1530"/>
      <c r="CP2124" s="1530"/>
      <c r="CQ2124" s="1530"/>
      <c r="CR2124" s="1530"/>
      <c r="CS2124" s="1530"/>
      <c r="CT2124" s="1530"/>
      <c r="CU2124" s="1530"/>
      <c r="CV2124" s="1530"/>
      <c r="CW2124" s="1530"/>
      <c r="CX2124" s="1530"/>
      <c r="CY2124" s="1530"/>
      <c r="CZ2124" s="1530"/>
      <c r="DA2124" s="1530"/>
      <c r="DB2124" s="1530"/>
      <c r="DC2124" s="1530"/>
      <c r="DD2124" s="1530"/>
      <c r="DE2124" s="1530"/>
      <c r="DF2124" s="1530"/>
      <c r="DG2124" s="1530"/>
      <c r="DH2124" s="1530"/>
      <c r="DI2124" s="1530"/>
      <c r="DJ2124" s="1530"/>
      <c r="DK2124" s="1530"/>
      <c r="DL2124" s="1530"/>
      <c r="DM2124" s="1530"/>
      <c r="DN2124" s="1571"/>
      <c r="DO2124" s="1530"/>
      <c r="DP2124" s="1530"/>
    </row>
    <row r="2125" spans="1:120">
      <c r="A2125" s="1451"/>
      <c r="C2125" s="1451"/>
      <c r="K2125" s="1451"/>
      <c r="L2125" s="1451"/>
      <c r="U2125" s="1451"/>
      <c r="AD2125" s="1451"/>
      <c r="AM2125" s="1451"/>
      <c r="AV2125" s="1451"/>
      <c r="BE2125" s="1451"/>
      <c r="BN2125" s="1451"/>
      <c r="BV2125" s="1451"/>
      <c r="BW2125" s="1451"/>
      <c r="CF2125" s="1451"/>
      <c r="CN2125" s="1451"/>
      <c r="CO2125" s="1530"/>
      <c r="CP2125" s="1530"/>
      <c r="CQ2125" s="1530"/>
      <c r="CR2125" s="1530"/>
      <c r="CS2125" s="1530"/>
      <c r="CT2125" s="1530"/>
      <c r="CU2125" s="1530"/>
      <c r="CV2125" s="1530"/>
      <c r="CW2125" s="1530"/>
      <c r="CX2125" s="1530"/>
      <c r="CY2125" s="1530"/>
      <c r="CZ2125" s="1530"/>
      <c r="DA2125" s="1530"/>
      <c r="DB2125" s="1530"/>
      <c r="DC2125" s="1530"/>
      <c r="DD2125" s="1530"/>
      <c r="DE2125" s="1530"/>
      <c r="DF2125" s="1530"/>
      <c r="DG2125" s="1530"/>
      <c r="DH2125" s="1530"/>
      <c r="DI2125" s="1530"/>
      <c r="DJ2125" s="1530"/>
      <c r="DK2125" s="1530"/>
      <c r="DL2125" s="1530"/>
      <c r="DM2125" s="1530"/>
      <c r="DN2125" s="1571"/>
      <c r="DO2125" s="1530"/>
      <c r="DP2125" s="1530"/>
    </row>
    <row r="2126" spans="1:120">
      <c r="A2126" s="1451"/>
      <c r="C2126" s="1451"/>
      <c r="K2126" s="1451"/>
      <c r="L2126" s="1451"/>
      <c r="U2126" s="1451"/>
      <c r="AD2126" s="1451"/>
      <c r="AM2126" s="1451"/>
      <c r="AV2126" s="1451"/>
      <c r="BE2126" s="1451"/>
      <c r="BN2126" s="1451"/>
      <c r="BV2126" s="1451"/>
      <c r="BW2126" s="1451"/>
      <c r="CF2126" s="1451"/>
      <c r="CN2126" s="1451"/>
      <c r="CO2126" s="1530"/>
      <c r="CP2126" s="1530"/>
      <c r="CQ2126" s="1530"/>
      <c r="CR2126" s="1530"/>
      <c r="CS2126" s="1530"/>
      <c r="CT2126" s="1530"/>
      <c r="CU2126" s="1530"/>
      <c r="CV2126" s="1530"/>
      <c r="CW2126" s="1530"/>
      <c r="CX2126" s="1530"/>
      <c r="CY2126" s="1530"/>
      <c r="CZ2126" s="1530"/>
      <c r="DA2126" s="1530"/>
      <c r="DB2126" s="1530"/>
      <c r="DC2126" s="1530"/>
      <c r="DD2126" s="1530"/>
      <c r="DE2126" s="1530"/>
      <c r="DF2126" s="1530"/>
      <c r="DG2126" s="1530"/>
      <c r="DH2126" s="1530"/>
      <c r="DI2126" s="1530"/>
      <c r="DJ2126" s="1530"/>
      <c r="DK2126" s="1530"/>
      <c r="DL2126" s="1530"/>
      <c r="DM2126" s="1530"/>
      <c r="DN2126" s="1571"/>
      <c r="DO2126" s="1530"/>
      <c r="DP2126" s="1530"/>
    </row>
    <row r="2127" spans="1:120">
      <c r="A2127" s="1451"/>
      <c r="C2127" s="1451"/>
      <c r="K2127" s="1451"/>
      <c r="L2127" s="1451"/>
      <c r="U2127" s="1451"/>
      <c r="AD2127" s="1451"/>
      <c r="AM2127" s="1451"/>
      <c r="AV2127" s="1451"/>
      <c r="BE2127" s="1451"/>
      <c r="BN2127" s="1451"/>
      <c r="BV2127" s="1451"/>
      <c r="BW2127" s="1451"/>
      <c r="CF2127" s="1451"/>
      <c r="CN2127" s="1451"/>
      <c r="CO2127" s="1530"/>
      <c r="CP2127" s="1530"/>
      <c r="CQ2127" s="1530"/>
      <c r="CR2127" s="1530"/>
      <c r="CS2127" s="1530"/>
      <c r="CT2127" s="1530"/>
      <c r="CU2127" s="1530"/>
      <c r="CV2127" s="1530"/>
      <c r="CW2127" s="1530"/>
      <c r="CX2127" s="1530"/>
      <c r="CY2127" s="1530"/>
      <c r="CZ2127" s="1530"/>
      <c r="DA2127" s="1530"/>
      <c r="DB2127" s="1530"/>
      <c r="DC2127" s="1530"/>
      <c r="DD2127" s="1530"/>
      <c r="DE2127" s="1530"/>
      <c r="DF2127" s="1530"/>
      <c r="DG2127" s="1530"/>
      <c r="DH2127" s="1530"/>
      <c r="DI2127" s="1530"/>
      <c r="DJ2127" s="1530"/>
      <c r="DK2127" s="1530"/>
      <c r="DL2127" s="1530"/>
      <c r="DM2127" s="1530"/>
      <c r="DN2127" s="1571"/>
      <c r="DO2127" s="1530"/>
      <c r="DP2127" s="1530"/>
    </row>
    <row r="2128" spans="1:120">
      <c r="A2128" s="1451"/>
      <c r="C2128" s="1451"/>
      <c r="K2128" s="1451"/>
      <c r="L2128" s="1451"/>
      <c r="U2128" s="1451"/>
      <c r="AD2128" s="1451"/>
      <c r="AM2128" s="1451"/>
      <c r="AV2128" s="1451"/>
      <c r="BE2128" s="1451"/>
      <c r="BN2128" s="1451"/>
      <c r="BV2128" s="1451"/>
      <c r="BW2128" s="1451"/>
      <c r="CF2128" s="1451"/>
      <c r="CN2128" s="1451"/>
      <c r="CO2128" s="1530"/>
      <c r="CP2128" s="1530"/>
      <c r="CQ2128" s="1530"/>
      <c r="CR2128" s="1530"/>
      <c r="CS2128" s="1530"/>
      <c r="CT2128" s="1530"/>
      <c r="CU2128" s="1530"/>
      <c r="CV2128" s="1530"/>
      <c r="CW2128" s="1530"/>
      <c r="CX2128" s="1530"/>
      <c r="CY2128" s="1530"/>
      <c r="CZ2128" s="1530"/>
      <c r="DA2128" s="1530"/>
      <c r="DB2128" s="1530"/>
      <c r="DC2128" s="1530"/>
      <c r="DD2128" s="1530"/>
      <c r="DE2128" s="1530"/>
      <c r="DF2128" s="1530"/>
      <c r="DG2128" s="1530"/>
      <c r="DH2128" s="1530"/>
      <c r="DI2128" s="1530"/>
      <c r="DJ2128" s="1530"/>
      <c r="DK2128" s="1530"/>
      <c r="DL2128" s="1530"/>
      <c r="DM2128" s="1530"/>
      <c r="DN2128" s="1571"/>
      <c r="DO2128" s="1530"/>
      <c r="DP2128" s="1530"/>
    </row>
    <row r="2129" spans="1:120">
      <c r="A2129" s="1451"/>
      <c r="C2129" s="1451"/>
      <c r="K2129" s="1451"/>
      <c r="L2129" s="1451"/>
      <c r="U2129" s="1451"/>
      <c r="AD2129" s="1451"/>
      <c r="AM2129" s="1451"/>
      <c r="AV2129" s="1451"/>
      <c r="BE2129" s="1451"/>
      <c r="BN2129" s="1451"/>
      <c r="BV2129" s="1451"/>
      <c r="BW2129" s="1451"/>
      <c r="CF2129" s="1451"/>
      <c r="CN2129" s="1451"/>
      <c r="CO2129" s="1530"/>
      <c r="CP2129" s="1530"/>
      <c r="CQ2129" s="1530"/>
      <c r="CR2129" s="1530"/>
      <c r="CS2129" s="1530"/>
      <c r="CT2129" s="1530"/>
      <c r="CU2129" s="1530"/>
      <c r="CV2129" s="1530"/>
      <c r="CW2129" s="1530"/>
      <c r="CX2129" s="1530"/>
      <c r="CY2129" s="1530"/>
      <c r="CZ2129" s="1530"/>
      <c r="DA2129" s="1530"/>
      <c r="DB2129" s="1530"/>
      <c r="DC2129" s="1530"/>
      <c r="DD2129" s="1530"/>
      <c r="DE2129" s="1530"/>
      <c r="DF2129" s="1530"/>
      <c r="DG2129" s="1530"/>
      <c r="DH2129" s="1530"/>
      <c r="DI2129" s="1530"/>
      <c r="DJ2129" s="1530"/>
      <c r="DK2129" s="1530"/>
      <c r="DL2129" s="1530"/>
      <c r="DM2129" s="1530"/>
      <c r="DN2129" s="1571"/>
      <c r="DO2129" s="1530"/>
      <c r="DP2129" s="1530"/>
    </row>
    <row r="2130" spans="1:120">
      <c r="A2130" s="1451"/>
      <c r="C2130" s="1451"/>
      <c r="K2130" s="1451"/>
      <c r="L2130" s="1451"/>
      <c r="U2130" s="1451"/>
      <c r="AD2130" s="1451"/>
      <c r="AM2130" s="1451"/>
      <c r="AV2130" s="1451"/>
      <c r="BE2130" s="1451"/>
      <c r="BN2130" s="1451"/>
      <c r="BV2130" s="1451"/>
      <c r="BW2130" s="1451"/>
      <c r="CF2130" s="1451"/>
      <c r="CN2130" s="1451"/>
      <c r="CO2130" s="1530"/>
      <c r="CP2130" s="1530"/>
      <c r="CQ2130" s="1530"/>
      <c r="CR2130" s="1530"/>
      <c r="CS2130" s="1530"/>
      <c r="CT2130" s="1530"/>
      <c r="CU2130" s="1530"/>
      <c r="CV2130" s="1530"/>
      <c r="CW2130" s="1530"/>
      <c r="CX2130" s="1530"/>
      <c r="CY2130" s="1530"/>
      <c r="CZ2130" s="1530"/>
      <c r="DA2130" s="1530"/>
      <c r="DB2130" s="1530"/>
      <c r="DC2130" s="1530"/>
      <c r="DD2130" s="1530"/>
      <c r="DE2130" s="1530"/>
      <c r="DF2130" s="1530"/>
      <c r="DG2130" s="1530"/>
      <c r="DH2130" s="1530"/>
      <c r="DI2130" s="1530"/>
      <c r="DJ2130" s="1530"/>
      <c r="DK2130" s="1530"/>
      <c r="DL2130" s="1530"/>
      <c r="DM2130" s="1530"/>
      <c r="DN2130" s="1571"/>
      <c r="DO2130" s="1530"/>
      <c r="DP2130" s="1530"/>
    </row>
    <row r="2131" spans="1:120">
      <c r="A2131" s="1451"/>
      <c r="C2131" s="1451"/>
      <c r="K2131" s="1451"/>
      <c r="L2131" s="1451"/>
      <c r="U2131" s="1451"/>
      <c r="AD2131" s="1451"/>
      <c r="AM2131" s="1451"/>
      <c r="AV2131" s="1451"/>
      <c r="BE2131" s="1451"/>
      <c r="BN2131" s="1451"/>
      <c r="BV2131" s="1451"/>
      <c r="BW2131" s="1451"/>
      <c r="CF2131" s="1451"/>
      <c r="CN2131" s="1451"/>
      <c r="CO2131" s="1530"/>
      <c r="CP2131" s="1530"/>
      <c r="CQ2131" s="1530"/>
      <c r="CR2131" s="1530"/>
      <c r="CS2131" s="1530"/>
      <c r="CT2131" s="1530"/>
      <c r="CU2131" s="1530"/>
      <c r="CV2131" s="1530"/>
      <c r="CW2131" s="1530"/>
      <c r="CX2131" s="1530"/>
      <c r="CY2131" s="1530"/>
      <c r="CZ2131" s="1530"/>
      <c r="DA2131" s="1530"/>
      <c r="DB2131" s="1530"/>
      <c r="DC2131" s="1530"/>
      <c r="DD2131" s="1530"/>
      <c r="DE2131" s="1530"/>
      <c r="DF2131" s="1530"/>
      <c r="DG2131" s="1530"/>
      <c r="DH2131" s="1530"/>
      <c r="DI2131" s="1530"/>
      <c r="DJ2131" s="1530"/>
      <c r="DK2131" s="1530"/>
      <c r="DL2131" s="1530"/>
      <c r="DM2131" s="1530"/>
      <c r="DN2131" s="1571"/>
      <c r="DO2131" s="1530"/>
      <c r="DP2131" s="1530"/>
    </row>
    <row r="2132" spans="1:120">
      <c r="A2132" s="1451"/>
      <c r="C2132" s="1451"/>
      <c r="K2132" s="1451"/>
      <c r="L2132" s="1451"/>
      <c r="U2132" s="1451"/>
      <c r="AD2132" s="1451"/>
      <c r="AM2132" s="1451"/>
      <c r="AV2132" s="1451"/>
      <c r="BE2132" s="1451"/>
      <c r="BN2132" s="1451"/>
      <c r="BV2132" s="1451"/>
      <c r="BW2132" s="1451"/>
      <c r="CF2132" s="1451"/>
      <c r="CN2132" s="1451"/>
      <c r="CO2132" s="1530"/>
      <c r="CP2132" s="1530"/>
      <c r="CQ2132" s="1530"/>
      <c r="CR2132" s="1530"/>
      <c r="CS2132" s="1530"/>
      <c r="CT2132" s="1530"/>
      <c r="CU2132" s="1530"/>
      <c r="CV2132" s="1530"/>
      <c r="CW2132" s="1530"/>
      <c r="CX2132" s="1530"/>
      <c r="CY2132" s="1530"/>
      <c r="CZ2132" s="1530"/>
      <c r="DA2132" s="1530"/>
      <c r="DB2132" s="1530"/>
      <c r="DC2132" s="1530"/>
      <c r="DD2132" s="1530"/>
      <c r="DE2132" s="1530"/>
      <c r="DF2132" s="1530"/>
      <c r="DG2132" s="1530"/>
      <c r="DH2132" s="1530"/>
      <c r="DI2132" s="1530"/>
      <c r="DJ2132" s="1530"/>
      <c r="DK2132" s="1530"/>
      <c r="DL2132" s="1530"/>
      <c r="DM2132" s="1530"/>
      <c r="DN2132" s="1571"/>
      <c r="DO2132" s="1530"/>
      <c r="DP2132" s="1530"/>
    </row>
    <row r="2133" spans="1:120">
      <c r="A2133" s="1451"/>
      <c r="C2133" s="1451"/>
      <c r="K2133" s="1451"/>
      <c r="L2133" s="1451"/>
      <c r="U2133" s="1451"/>
      <c r="AD2133" s="1451"/>
      <c r="AM2133" s="1451"/>
      <c r="AV2133" s="1451"/>
      <c r="BE2133" s="1451"/>
      <c r="BN2133" s="1451"/>
      <c r="BV2133" s="1451"/>
      <c r="BW2133" s="1451"/>
      <c r="CF2133" s="1451"/>
      <c r="CN2133" s="1451"/>
      <c r="CO2133" s="1530"/>
      <c r="CP2133" s="1530"/>
      <c r="CQ2133" s="1530"/>
      <c r="CR2133" s="1530"/>
      <c r="CS2133" s="1530"/>
      <c r="CT2133" s="1530"/>
      <c r="CU2133" s="1530"/>
      <c r="CV2133" s="1530"/>
      <c r="CW2133" s="1530"/>
      <c r="CX2133" s="1530"/>
      <c r="CY2133" s="1530"/>
      <c r="CZ2133" s="1530"/>
      <c r="DA2133" s="1530"/>
      <c r="DB2133" s="1530"/>
      <c r="DC2133" s="1530"/>
      <c r="DD2133" s="1530"/>
      <c r="DE2133" s="1530"/>
      <c r="DF2133" s="1530"/>
      <c r="DG2133" s="1530"/>
      <c r="DH2133" s="1530"/>
      <c r="DI2133" s="1530"/>
      <c r="DJ2133" s="1530"/>
      <c r="DK2133" s="1530"/>
      <c r="DL2133" s="1530"/>
      <c r="DM2133" s="1530"/>
      <c r="DN2133" s="1571"/>
      <c r="DO2133" s="1530"/>
      <c r="DP2133" s="1530"/>
    </row>
    <row r="2134" spans="1:120">
      <c r="A2134" s="1451"/>
      <c r="C2134" s="1451"/>
      <c r="K2134" s="1451"/>
      <c r="L2134" s="1451"/>
      <c r="U2134" s="1451"/>
      <c r="AD2134" s="1451"/>
      <c r="AM2134" s="1451"/>
      <c r="AV2134" s="1451"/>
      <c r="BE2134" s="1451"/>
      <c r="BN2134" s="1451"/>
      <c r="BV2134" s="1451"/>
      <c r="BW2134" s="1451"/>
      <c r="CF2134" s="1451"/>
      <c r="CN2134" s="1451"/>
      <c r="CO2134" s="1530"/>
      <c r="CP2134" s="1530"/>
      <c r="CQ2134" s="1530"/>
      <c r="CR2134" s="1530"/>
      <c r="CS2134" s="1530"/>
      <c r="CT2134" s="1530"/>
      <c r="CU2134" s="1530"/>
      <c r="CV2134" s="1530"/>
      <c r="CW2134" s="1530"/>
      <c r="CX2134" s="1530"/>
      <c r="CY2134" s="1530"/>
      <c r="CZ2134" s="1530"/>
      <c r="DA2134" s="1530"/>
      <c r="DB2134" s="1530"/>
      <c r="DC2134" s="1530"/>
      <c r="DD2134" s="1530"/>
      <c r="DE2134" s="1530"/>
      <c r="DF2134" s="1530"/>
      <c r="DG2134" s="1530"/>
      <c r="DH2134" s="1530"/>
      <c r="DI2134" s="1530"/>
      <c r="DJ2134" s="1530"/>
      <c r="DK2134" s="1530"/>
      <c r="DL2134" s="1530"/>
      <c r="DM2134" s="1530"/>
      <c r="DN2134" s="1571"/>
      <c r="DO2134" s="1530"/>
      <c r="DP2134" s="1530"/>
    </row>
    <row r="2135" spans="1:120">
      <c r="A2135" s="1451"/>
      <c r="C2135" s="1451"/>
      <c r="K2135" s="1451"/>
      <c r="L2135" s="1451"/>
      <c r="U2135" s="1451"/>
      <c r="AD2135" s="1451"/>
      <c r="AM2135" s="1451"/>
      <c r="AV2135" s="1451"/>
      <c r="BE2135" s="1451"/>
      <c r="BN2135" s="1451"/>
      <c r="BV2135" s="1451"/>
      <c r="BW2135" s="1451"/>
      <c r="CF2135" s="1451"/>
      <c r="CN2135" s="1451"/>
      <c r="CO2135" s="1530"/>
      <c r="CP2135" s="1530"/>
      <c r="CQ2135" s="1530"/>
      <c r="CR2135" s="1530"/>
      <c r="CS2135" s="1530"/>
      <c r="CT2135" s="1530"/>
      <c r="CU2135" s="1530"/>
      <c r="CV2135" s="1530"/>
      <c r="CW2135" s="1530"/>
      <c r="CX2135" s="1530"/>
      <c r="CY2135" s="1530"/>
      <c r="CZ2135" s="1530"/>
      <c r="DA2135" s="1530"/>
      <c r="DB2135" s="1530"/>
      <c r="DC2135" s="1530"/>
      <c r="DD2135" s="1530"/>
      <c r="DE2135" s="1530"/>
      <c r="DF2135" s="1530"/>
      <c r="DG2135" s="1530"/>
      <c r="DH2135" s="1530"/>
      <c r="DI2135" s="1530"/>
      <c r="DJ2135" s="1530"/>
      <c r="DK2135" s="1530"/>
      <c r="DL2135" s="1530"/>
      <c r="DM2135" s="1530"/>
      <c r="DN2135" s="1571"/>
      <c r="DO2135" s="1530"/>
      <c r="DP2135" s="1530"/>
    </row>
    <row r="2136" spans="1:120">
      <c r="A2136" s="1451"/>
      <c r="C2136" s="1451"/>
      <c r="K2136" s="1451"/>
      <c r="L2136" s="1451"/>
      <c r="U2136" s="1451"/>
      <c r="AD2136" s="1451"/>
      <c r="AM2136" s="1451"/>
      <c r="AV2136" s="1451"/>
      <c r="BE2136" s="1451"/>
      <c r="BN2136" s="1451"/>
      <c r="BV2136" s="1451"/>
      <c r="BW2136" s="1451"/>
      <c r="CF2136" s="1451"/>
      <c r="CN2136" s="1451"/>
      <c r="CO2136" s="1530"/>
      <c r="CP2136" s="1530"/>
      <c r="CQ2136" s="1530"/>
      <c r="CR2136" s="1530"/>
      <c r="CS2136" s="1530"/>
      <c r="CT2136" s="1530"/>
      <c r="CU2136" s="1530"/>
      <c r="CV2136" s="1530"/>
      <c r="CW2136" s="1530"/>
      <c r="CX2136" s="1530"/>
      <c r="CY2136" s="1530"/>
      <c r="CZ2136" s="1530"/>
      <c r="DA2136" s="1530"/>
      <c r="DB2136" s="1530"/>
      <c r="DC2136" s="1530"/>
      <c r="DD2136" s="1530"/>
      <c r="DE2136" s="1530"/>
      <c r="DF2136" s="1530"/>
      <c r="DG2136" s="1530"/>
      <c r="DH2136" s="1530"/>
      <c r="DI2136" s="1530"/>
      <c r="DJ2136" s="1530"/>
      <c r="DK2136" s="1530"/>
      <c r="DL2136" s="1530"/>
      <c r="DM2136" s="1530"/>
      <c r="DN2136" s="1571"/>
      <c r="DO2136" s="1530"/>
      <c r="DP2136" s="1530"/>
    </row>
    <row r="2137" spans="1:120">
      <c r="A2137" s="1451"/>
      <c r="C2137" s="1451"/>
      <c r="K2137" s="1451"/>
      <c r="L2137" s="1451"/>
      <c r="U2137" s="1451"/>
      <c r="AD2137" s="1451"/>
      <c r="AM2137" s="1451"/>
      <c r="AV2137" s="1451"/>
      <c r="BE2137" s="1451"/>
      <c r="BN2137" s="1451"/>
      <c r="BV2137" s="1451"/>
      <c r="BW2137" s="1451"/>
      <c r="CF2137" s="1451"/>
      <c r="CN2137" s="1451"/>
      <c r="CO2137" s="1530"/>
      <c r="CP2137" s="1530"/>
      <c r="CQ2137" s="1530"/>
      <c r="CR2137" s="1530"/>
      <c r="CS2137" s="1530"/>
      <c r="CT2137" s="1530"/>
      <c r="CU2137" s="1530"/>
      <c r="CV2137" s="1530"/>
      <c r="CW2137" s="1530"/>
      <c r="CX2137" s="1530"/>
      <c r="CY2137" s="1530"/>
      <c r="CZ2137" s="1530"/>
      <c r="DA2137" s="1530"/>
      <c r="DB2137" s="1530"/>
      <c r="DC2137" s="1530"/>
      <c r="DD2137" s="1530"/>
      <c r="DE2137" s="1530"/>
      <c r="DF2137" s="1530"/>
      <c r="DG2137" s="1530"/>
      <c r="DH2137" s="1530"/>
      <c r="DI2137" s="1530"/>
      <c r="DJ2137" s="1530"/>
      <c r="DK2137" s="1530"/>
      <c r="DL2137" s="1530"/>
      <c r="DM2137" s="1530"/>
      <c r="DN2137" s="1571"/>
      <c r="DO2137" s="1530"/>
      <c r="DP2137" s="1530"/>
    </row>
    <row r="2138" spans="1:120">
      <c r="A2138" s="1451"/>
      <c r="C2138" s="1451"/>
      <c r="K2138" s="1451"/>
      <c r="L2138" s="1451"/>
      <c r="U2138" s="1451"/>
      <c r="AD2138" s="1451"/>
      <c r="AM2138" s="1451"/>
      <c r="AV2138" s="1451"/>
      <c r="BE2138" s="1451"/>
      <c r="BN2138" s="1451"/>
      <c r="BV2138" s="1451"/>
      <c r="BW2138" s="1451"/>
      <c r="CF2138" s="1451"/>
      <c r="CN2138" s="1451"/>
      <c r="CO2138" s="1530"/>
      <c r="CP2138" s="1530"/>
      <c r="CQ2138" s="1530"/>
      <c r="CR2138" s="1530"/>
      <c r="CS2138" s="1530"/>
      <c r="CT2138" s="1530"/>
      <c r="CU2138" s="1530"/>
      <c r="CV2138" s="1530"/>
      <c r="CW2138" s="1530"/>
      <c r="CX2138" s="1530"/>
      <c r="CY2138" s="1530"/>
      <c r="CZ2138" s="1530"/>
      <c r="DA2138" s="1530"/>
      <c r="DB2138" s="1530"/>
      <c r="DC2138" s="1530"/>
      <c r="DD2138" s="1530"/>
      <c r="DE2138" s="1530"/>
      <c r="DF2138" s="1530"/>
      <c r="DG2138" s="1530"/>
      <c r="DH2138" s="1530"/>
      <c r="DI2138" s="1530"/>
      <c r="DJ2138" s="1530"/>
      <c r="DK2138" s="1530"/>
      <c r="DL2138" s="1530"/>
      <c r="DM2138" s="1530"/>
      <c r="DN2138" s="1571"/>
      <c r="DO2138" s="1530"/>
      <c r="DP2138" s="1530"/>
    </row>
    <row r="2139" spans="1:120">
      <c r="A2139" s="1451"/>
      <c r="C2139" s="1451"/>
      <c r="K2139" s="1451"/>
      <c r="L2139" s="1451"/>
      <c r="U2139" s="1451"/>
      <c r="AD2139" s="1451"/>
      <c r="AM2139" s="1451"/>
      <c r="AV2139" s="1451"/>
      <c r="BE2139" s="1451"/>
      <c r="BN2139" s="1451"/>
      <c r="BV2139" s="1451"/>
      <c r="BW2139" s="1451"/>
      <c r="CF2139" s="1451"/>
      <c r="CN2139" s="1451"/>
      <c r="CO2139" s="1530"/>
      <c r="CP2139" s="1530"/>
      <c r="CQ2139" s="1530"/>
      <c r="CR2139" s="1530"/>
      <c r="CS2139" s="1530"/>
      <c r="CT2139" s="1530"/>
      <c r="CU2139" s="1530"/>
      <c r="CV2139" s="1530"/>
      <c r="CW2139" s="1530"/>
      <c r="CX2139" s="1530"/>
      <c r="CY2139" s="1530"/>
      <c r="CZ2139" s="1530"/>
      <c r="DA2139" s="1530"/>
      <c r="DB2139" s="1530"/>
      <c r="DC2139" s="1530"/>
      <c r="DD2139" s="1530"/>
      <c r="DE2139" s="1530"/>
      <c r="DF2139" s="1530"/>
      <c r="DG2139" s="1530"/>
      <c r="DH2139" s="1530"/>
      <c r="DI2139" s="1530"/>
      <c r="DJ2139" s="1530"/>
      <c r="DK2139" s="1530"/>
      <c r="DL2139" s="1530"/>
      <c r="DM2139" s="1530"/>
      <c r="DN2139" s="1571"/>
      <c r="DO2139" s="1530"/>
      <c r="DP2139" s="1530"/>
    </row>
    <row r="2140" spans="1:120">
      <c r="A2140" s="1451"/>
      <c r="C2140" s="1451"/>
      <c r="K2140" s="1451"/>
      <c r="L2140" s="1451"/>
      <c r="U2140" s="1451"/>
      <c r="AD2140" s="1451"/>
      <c r="AM2140" s="1451"/>
      <c r="AV2140" s="1451"/>
      <c r="BE2140" s="1451"/>
      <c r="BN2140" s="1451"/>
      <c r="BV2140" s="1451"/>
      <c r="BW2140" s="1451"/>
      <c r="CF2140" s="1451"/>
      <c r="CN2140" s="1451"/>
      <c r="CO2140" s="1530"/>
      <c r="CP2140" s="1530"/>
      <c r="CQ2140" s="1530"/>
      <c r="CR2140" s="1530"/>
      <c r="CS2140" s="1530"/>
      <c r="CT2140" s="1530"/>
      <c r="CU2140" s="1530"/>
      <c r="CV2140" s="1530"/>
      <c r="CW2140" s="1530"/>
      <c r="CX2140" s="1530"/>
      <c r="CY2140" s="1530"/>
      <c r="CZ2140" s="1530"/>
      <c r="DA2140" s="1530"/>
      <c r="DB2140" s="1530"/>
      <c r="DC2140" s="1530"/>
      <c r="DD2140" s="1530"/>
      <c r="DE2140" s="1530"/>
      <c r="DF2140" s="1530"/>
      <c r="DG2140" s="1530"/>
      <c r="DH2140" s="1530"/>
      <c r="DI2140" s="1530"/>
      <c r="DJ2140" s="1530"/>
      <c r="DK2140" s="1530"/>
      <c r="DL2140" s="1530"/>
      <c r="DM2140" s="1530"/>
      <c r="DN2140" s="1571"/>
      <c r="DO2140" s="1530"/>
      <c r="DP2140" s="1530"/>
    </row>
    <row r="2141" spans="1:120">
      <c r="A2141" s="1451"/>
      <c r="C2141" s="1451"/>
      <c r="K2141" s="1451"/>
      <c r="L2141" s="1451"/>
      <c r="U2141" s="1451"/>
      <c r="AD2141" s="1451"/>
      <c r="AM2141" s="1451"/>
      <c r="AV2141" s="1451"/>
      <c r="BE2141" s="1451"/>
      <c r="BN2141" s="1451"/>
      <c r="BV2141" s="1451"/>
      <c r="BW2141" s="1451"/>
      <c r="CF2141" s="1451"/>
      <c r="CN2141" s="1451"/>
      <c r="CO2141" s="1530"/>
      <c r="CP2141" s="1530"/>
      <c r="CQ2141" s="1530"/>
      <c r="CR2141" s="1530"/>
      <c r="CS2141" s="1530"/>
      <c r="CT2141" s="1530"/>
      <c r="CU2141" s="1530"/>
      <c r="CV2141" s="1530"/>
      <c r="CW2141" s="1530"/>
      <c r="CX2141" s="1530"/>
      <c r="CY2141" s="1530"/>
      <c r="CZ2141" s="1530"/>
      <c r="DA2141" s="1530"/>
      <c r="DB2141" s="1530"/>
      <c r="DC2141" s="1530"/>
      <c r="DD2141" s="1530"/>
      <c r="DE2141" s="1530"/>
      <c r="DF2141" s="1530"/>
      <c r="DG2141" s="1530"/>
      <c r="DH2141" s="1530"/>
      <c r="DI2141" s="1530"/>
      <c r="DJ2141" s="1530"/>
      <c r="DK2141" s="1530"/>
      <c r="DL2141" s="1530"/>
      <c r="DM2141" s="1530"/>
      <c r="DN2141" s="1571"/>
      <c r="DO2141" s="1530"/>
      <c r="DP2141" s="1530"/>
    </row>
    <row r="2142" spans="1:120">
      <c r="A2142" s="1451"/>
      <c r="C2142" s="1451"/>
      <c r="K2142" s="1451"/>
      <c r="L2142" s="1451"/>
      <c r="U2142" s="1451"/>
      <c r="AD2142" s="1451"/>
      <c r="AM2142" s="1451"/>
      <c r="AV2142" s="1451"/>
      <c r="BE2142" s="1451"/>
      <c r="BN2142" s="1451"/>
      <c r="BV2142" s="1451"/>
      <c r="BW2142" s="1451"/>
      <c r="CF2142" s="1451"/>
      <c r="CN2142" s="1451"/>
      <c r="CO2142" s="1530"/>
      <c r="CP2142" s="1530"/>
      <c r="CQ2142" s="1530"/>
      <c r="CR2142" s="1530"/>
      <c r="CS2142" s="1530"/>
      <c r="CT2142" s="1530"/>
      <c r="CU2142" s="1530"/>
      <c r="CV2142" s="1530"/>
      <c r="CW2142" s="1530"/>
      <c r="CX2142" s="1530"/>
      <c r="CY2142" s="1530"/>
      <c r="CZ2142" s="1530"/>
      <c r="DA2142" s="1530"/>
      <c r="DB2142" s="1530"/>
      <c r="DC2142" s="1530"/>
      <c r="DD2142" s="1530"/>
      <c r="DE2142" s="1530"/>
      <c r="DF2142" s="1530"/>
      <c r="DG2142" s="1530"/>
      <c r="DH2142" s="1530"/>
      <c r="DI2142" s="1530"/>
      <c r="DJ2142" s="1530"/>
      <c r="DK2142" s="1530"/>
      <c r="DL2142" s="1530"/>
      <c r="DM2142" s="1530"/>
      <c r="DN2142" s="1571"/>
      <c r="DO2142" s="1530"/>
      <c r="DP2142" s="1530"/>
    </row>
    <row r="2143" spans="1:120">
      <c r="A2143" s="1451"/>
      <c r="C2143" s="1451"/>
      <c r="K2143" s="1451"/>
      <c r="L2143" s="1451"/>
      <c r="U2143" s="1451"/>
      <c r="AD2143" s="1451"/>
      <c r="AM2143" s="1451"/>
      <c r="AV2143" s="1451"/>
      <c r="BE2143" s="1451"/>
      <c r="BN2143" s="1451"/>
      <c r="BV2143" s="1451"/>
      <c r="BW2143" s="1451"/>
      <c r="CF2143" s="1451"/>
      <c r="CN2143" s="1451"/>
      <c r="CO2143" s="1530"/>
      <c r="CP2143" s="1530"/>
      <c r="CQ2143" s="1530"/>
      <c r="CR2143" s="1530"/>
      <c r="CS2143" s="1530"/>
      <c r="CT2143" s="1530"/>
      <c r="CU2143" s="1530"/>
      <c r="CV2143" s="1530"/>
      <c r="CW2143" s="1530"/>
      <c r="CX2143" s="1530"/>
      <c r="CY2143" s="1530"/>
      <c r="CZ2143" s="1530"/>
      <c r="DA2143" s="1530"/>
      <c r="DB2143" s="1530"/>
      <c r="DC2143" s="1530"/>
      <c r="DD2143" s="1530"/>
      <c r="DE2143" s="1530"/>
      <c r="DF2143" s="1530"/>
      <c r="DG2143" s="1530"/>
      <c r="DH2143" s="1530"/>
      <c r="DI2143" s="1530"/>
      <c r="DJ2143" s="1530"/>
      <c r="DK2143" s="1530"/>
      <c r="DL2143" s="1530"/>
      <c r="DM2143" s="1530"/>
      <c r="DN2143" s="1571"/>
      <c r="DO2143" s="1530"/>
      <c r="DP2143" s="1530"/>
    </row>
    <row r="2144" spans="1:120">
      <c r="A2144" s="1451"/>
      <c r="C2144" s="1451"/>
      <c r="K2144" s="1451"/>
      <c r="L2144" s="1451"/>
      <c r="U2144" s="1451"/>
      <c r="AD2144" s="1451"/>
      <c r="AM2144" s="1451"/>
      <c r="AV2144" s="1451"/>
      <c r="BE2144" s="1451"/>
      <c r="BN2144" s="1451"/>
      <c r="BV2144" s="1451"/>
      <c r="BW2144" s="1451"/>
      <c r="CF2144" s="1451"/>
      <c r="CN2144" s="1451"/>
      <c r="CO2144" s="1530"/>
      <c r="CP2144" s="1530"/>
      <c r="CQ2144" s="1530"/>
      <c r="CR2144" s="1530"/>
      <c r="CS2144" s="1530"/>
      <c r="CT2144" s="1530"/>
      <c r="CU2144" s="1530"/>
      <c r="CV2144" s="1530"/>
      <c r="CW2144" s="1530"/>
      <c r="CX2144" s="1530"/>
      <c r="CY2144" s="1530"/>
      <c r="CZ2144" s="1530"/>
      <c r="DA2144" s="1530"/>
      <c r="DB2144" s="1530"/>
      <c r="DC2144" s="1530"/>
      <c r="DD2144" s="1530"/>
      <c r="DE2144" s="1530"/>
      <c r="DF2144" s="1530"/>
      <c r="DG2144" s="1530"/>
      <c r="DH2144" s="1530"/>
      <c r="DI2144" s="1530"/>
      <c r="DJ2144" s="1530"/>
      <c r="DK2144" s="1530"/>
      <c r="DL2144" s="1530"/>
      <c r="DM2144" s="1530"/>
      <c r="DN2144" s="1571"/>
      <c r="DO2144" s="1530"/>
      <c r="DP2144" s="1530"/>
    </row>
    <row r="2145" spans="1:120">
      <c r="A2145" s="1451"/>
      <c r="C2145" s="1451"/>
      <c r="K2145" s="1451"/>
      <c r="L2145" s="1451"/>
      <c r="U2145" s="1451"/>
      <c r="AD2145" s="1451"/>
      <c r="AM2145" s="1451"/>
      <c r="AV2145" s="1451"/>
      <c r="BE2145" s="1451"/>
      <c r="BN2145" s="1451"/>
      <c r="BV2145" s="1451"/>
      <c r="BW2145" s="1451"/>
      <c r="CF2145" s="1451"/>
      <c r="CN2145" s="1451"/>
      <c r="CO2145" s="1530"/>
      <c r="CP2145" s="1530"/>
      <c r="CQ2145" s="1530"/>
      <c r="CR2145" s="1530"/>
      <c r="CS2145" s="1530"/>
      <c r="CT2145" s="1530"/>
      <c r="CU2145" s="1530"/>
      <c r="CV2145" s="1530"/>
      <c r="CW2145" s="1530"/>
      <c r="CX2145" s="1530"/>
      <c r="CY2145" s="1530"/>
      <c r="CZ2145" s="1530"/>
      <c r="DA2145" s="1530"/>
      <c r="DB2145" s="1530"/>
      <c r="DC2145" s="1530"/>
      <c r="DD2145" s="1530"/>
      <c r="DE2145" s="1530"/>
      <c r="DF2145" s="1530"/>
      <c r="DG2145" s="1530"/>
      <c r="DH2145" s="1530"/>
      <c r="DI2145" s="1530"/>
      <c r="DJ2145" s="1530"/>
      <c r="DK2145" s="1530"/>
      <c r="DL2145" s="1530"/>
      <c r="DM2145" s="1530"/>
      <c r="DN2145" s="1571"/>
      <c r="DO2145" s="1530"/>
      <c r="DP2145" s="1530"/>
    </row>
    <row r="2146" spans="1:120">
      <c r="A2146" s="1451"/>
      <c r="C2146" s="1451"/>
      <c r="K2146" s="1451"/>
      <c r="L2146" s="1451"/>
      <c r="U2146" s="1451"/>
      <c r="AD2146" s="1451"/>
      <c r="AM2146" s="1451"/>
      <c r="AV2146" s="1451"/>
      <c r="BE2146" s="1451"/>
      <c r="BN2146" s="1451"/>
      <c r="BV2146" s="1451"/>
      <c r="BW2146" s="1451"/>
      <c r="CF2146" s="1451"/>
      <c r="CN2146" s="1451"/>
      <c r="CO2146" s="1530"/>
      <c r="CP2146" s="1530"/>
      <c r="CQ2146" s="1530"/>
      <c r="CR2146" s="1530"/>
      <c r="CS2146" s="1530"/>
      <c r="CT2146" s="1530"/>
      <c r="CU2146" s="1530"/>
      <c r="CV2146" s="1530"/>
      <c r="CW2146" s="1530"/>
      <c r="CX2146" s="1530"/>
      <c r="CY2146" s="1530"/>
      <c r="CZ2146" s="1530"/>
      <c r="DA2146" s="1530"/>
      <c r="DB2146" s="1530"/>
      <c r="DC2146" s="1530"/>
      <c r="DD2146" s="1530"/>
      <c r="DE2146" s="1530"/>
      <c r="DF2146" s="1530"/>
      <c r="DG2146" s="1530"/>
      <c r="DH2146" s="1530"/>
      <c r="DI2146" s="1530"/>
      <c r="DJ2146" s="1530"/>
      <c r="DK2146" s="1530"/>
      <c r="DL2146" s="1530"/>
      <c r="DM2146" s="1530"/>
      <c r="DN2146" s="1571"/>
      <c r="DO2146" s="1530"/>
      <c r="DP2146" s="1530"/>
    </row>
    <row r="2147" spans="1:120">
      <c r="A2147" s="1451"/>
      <c r="C2147" s="1451"/>
      <c r="K2147" s="1451"/>
      <c r="L2147" s="1451"/>
      <c r="U2147" s="1451"/>
      <c r="AD2147" s="1451"/>
      <c r="AM2147" s="1451"/>
      <c r="AV2147" s="1451"/>
      <c r="BE2147" s="1451"/>
      <c r="BN2147" s="1451"/>
      <c r="BV2147" s="1451"/>
      <c r="BW2147" s="1451"/>
      <c r="CF2147" s="1451"/>
      <c r="CN2147" s="1451"/>
      <c r="CO2147" s="1530"/>
      <c r="CP2147" s="1530"/>
      <c r="CQ2147" s="1530"/>
      <c r="CR2147" s="1530"/>
      <c r="CS2147" s="1530"/>
      <c r="CT2147" s="1530"/>
      <c r="CU2147" s="1530"/>
      <c r="CV2147" s="1530"/>
      <c r="CW2147" s="1530"/>
      <c r="CX2147" s="1530"/>
      <c r="CY2147" s="1530"/>
      <c r="CZ2147" s="1530"/>
      <c r="DA2147" s="1530"/>
      <c r="DB2147" s="1530"/>
      <c r="DC2147" s="1530"/>
      <c r="DD2147" s="1530"/>
      <c r="DE2147" s="1530"/>
      <c r="DF2147" s="1530"/>
      <c r="DG2147" s="1530"/>
      <c r="DH2147" s="1530"/>
      <c r="DI2147" s="1530"/>
      <c r="DJ2147" s="1530"/>
      <c r="DK2147" s="1530"/>
      <c r="DL2147" s="1530"/>
      <c r="DM2147" s="1530"/>
      <c r="DN2147" s="1571"/>
      <c r="DO2147" s="1530"/>
      <c r="DP2147" s="1530"/>
    </row>
    <row r="2148" spans="1:120">
      <c r="A2148" s="1451"/>
      <c r="C2148" s="1451"/>
      <c r="K2148" s="1451"/>
      <c r="L2148" s="1451"/>
      <c r="U2148" s="1451"/>
      <c r="AD2148" s="1451"/>
      <c r="AM2148" s="1451"/>
      <c r="AV2148" s="1451"/>
      <c r="BE2148" s="1451"/>
      <c r="BN2148" s="1451"/>
      <c r="BV2148" s="1451"/>
      <c r="BW2148" s="1451"/>
      <c r="CF2148" s="1451"/>
      <c r="CN2148" s="1451"/>
      <c r="CO2148" s="1530"/>
      <c r="CP2148" s="1530"/>
      <c r="CQ2148" s="1530"/>
      <c r="CR2148" s="1530"/>
      <c r="CS2148" s="1530"/>
      <c r="CT2148" s="1530"/>
      <c r="CU2148" s="1530"/>
      <c r="CV2148" s="1530"/>
      <c r="CW2148" s="1530"/>
      <c r="CX2148" s="1530"/>
      <c r="CY2148" s="1530"/>
      <c r="CZ2148" s="1530"/>
      <c r="DA2148" s="1530"/>
      <c r="DB2148" s="1530"/>
      <c r="DC2148" s="1530"/>
      <c r="DD2148" s="1530"/>
      <c r="DE2148" s="1530"/>
      <c r="DF2148" s="1530"/>
      <c r="DG2148" s="1530"/>
      <c r="DH2148" s="1530"/>
      <c r="DI2148" s="1530"/>
      <c r="DJ2148" s="1530"/>
      <c r="DK2148" s="1530"/>
      <c r="DL2148" s="1530"/>
      <c r="DM2148" s="1530"/>
      <c r="DN2148" s="1571"/>
      <c r="DO2148" s="1530"/>
      <c r="DP2148" s="1530"/>
    </row>
    <row r="2149" spans="1:120">
      <c r="A2149" s="1451"/>
      <c r="C2149" s="1451"/>
      <c r="K2149" s="1451"/>
      <c r="L2149" s="1451"/>
      <c r="U2149" s="1451"/>
      <c r="AD2149" s="1451"/>
      <c r="AM2149" s="1451"/>
      <c r="AV2149" s="1451"/>
      <c r="BE2149" s="1451"/>
      <c r="BN2149" s="1451"/>
      <c r="BV2149" s="1451"/>
      <c r="BW2149" s="1451"/>
      <c r="CF2149" s="1451"/>
      <c r="CN2149" s="1451"/>
      <c r="CO2149" s="1530"/>
      <c r="CP2149" s="1530"/>
      <c r="CQ2149" s="1530"/>
      <c r="CR2149" s="1530"/>
      <c r="CS2149" s="1530"/>
      <c r="CT2149" s="1530"/>
      <c r="CU2149" s="1530"/>
      <c r="CV2149" s="1530"/>
      <c r="CW2149" s="1530"/>
      <c r="CX2149" s="1530"/>
      <c r="CY2149" s="1530"/>
      <c r="CZ2149" s="1530"/>
      <c r="DA2149" s="1530"/>
      <c r="DB2149" s="1530"/>
      <c r="DC2149" s="1530"/>
      <c r="DD2149" s="1530"/>
      <c r="DE2149" s="1530"/>
      <c r="DF2149" s="1530"/>
      <c r="DG2149" s="1530"/>
      <c r="DH2149" s="1530"/>
      <c r="DI2149" s="1530"/>
      <c r="DJ2149" s="1530"/>
      <c r="DK2149" s="1530"/>
      <c r="DL2149" s="1530"/>
      <c r="DM2149" s="1530"/>
      <c r="DN2149" s="1571"/>
      <c r="DO2149" s="1530"/>
      <c r="DP2149" s="1530"/>
    </row>
    <row r="2150" spans="1:120">
      <c r="A2150" s="1451"/>
      <c r="C2150" s="1451"/>
      <c r="K2150" s="1451"/>
      <c r="L2150" s="1451"/>
      <c r="U2150" s="1451"/>
      <c r="AD2150" s="1451"/>
      <c r="AM2150" s="1451"/>
      <c r="AV2150" s="1451"/>
      <c r="BE2150" s="1451"/>
      <c r="BN2150" s="1451"/>
      <c r="BV2150" s="1451"/>
      <c r="BW2150" s="1451"/>
      <c r="CF2150" s="1451"/>
      <c r="CN2150" s="1451"/>
      <c r="CO2150" s="1530"/>
      <c r="CP2150" s="1530"/>
      <c r="CQ2150" s="1530"/>
      <c r="CR2150" s="1530"/>
      <c r="CS2150" s="1530"/>
      <c r="CT2150" s="1530"/>
      <c r="CU2150" s="1530"/>
      <c r="CV2150" s="1530"/>
      <c r="CW2150" s="1530"/>
      <c r="CX2150" s="1530"/>
      <c r="CY2150" s="1530"/>
      <c r="CZ2150" s="1530"/>
      <c r="DA2150" s="1530"/>
      <c r="DB2150" s="1530"/>
      <c r="DC2150" s="1530"/>
      <c r="DD2150" s="1530"/>
      <c r="DE2150" s="1530"/>
      <c r="DF2150" s="1530"/>
      <c r="DG2150" s="1530"/>
      <c r="DH2150" s="1530"/>
      <c r="DI2150" s="1530"/>
      <c r="DJ2150" s="1530"/>
      <c r="DK2150" s="1530"/>
      <c r="DL2150" s="1530"/>
      <c r="DM2150" s="1530"/>
      <c r="DN2150" s="1571"/>
      <c r="DO2150" s="1530"/>
      <c r="DP2150" s="1530"/>
    </row>
    <row r="2151" spans="1:120">
      <c r="A2151" s="1451"/>
      <c r="C2151" s="1451"/>
      <c r="K2151" s="1451"/>
      <c r="L2151" s="1451"/>
      <c r="U2151" s="1451"/>
      <c r="AD2151" s="1451"/>
      <c r="AM2151" s="1451"/>
      <c r="AV2151" s="1451"/>
      <c r="BE2151" s="1451"/>
      <c r="BN2151" s="1451"/>
      <c r="BV2151" s="1451"/>
      <c r="BW2151" s="1451"/>
      <c r="CF2151" s="1451"/>
      <c r="CN2151" s="1451"/>
      <c r="CO2151" s="1530"/>
      <c r="CP2151" s="1530"/>
      <c r="CQ2151" s="1530"/>
      <c r="CR2151" s="1530"/>
      <c r="CS2151" s="1530"/>
      <c r="CT2151" s="1530"/>
      <c r="CU2151" s="1530"/>
      <c r="CV2151" s="1530"/>
      <c r="CW2151" s="1530"/>
      <c r="CX2151" s="1530"/>
      <c r="CY2151" s="1530"/>
      <c r="CZ2151" s="1530"/>
      <c r="DA2151" s="1530"/>
      <c r="DB2151" s="1530"/>
      <c r="DC2151" s="1530"/>
      <c r="DD2151" s="1530"/>
      <c r="DE2151" s="1530"/>
      <c r="DF2151" s="1530"/>
      <c r="DG2151" s="1530"/>
      <c r="DH2151" s="1530"/>
      <c r="DI2151" s="1530"/>
      <c r="DJ2151" s="1530"/>
      <c r="DK2151" s="1530"/>
      <c r="DL2151" s="1530"/>
      <c r="DM2151" s="1530"/>
      <c r="DN2151" s="1571"/>
      <c r="DO2151" s="1530"/>
      <c r="DP2151" s="1530"/>
    </row>
    <row r="2152" spans="1:120">
      <c r="A2152" s="1451"/>
      <c r="C2152" s="1451"/>
      <c r="K2152" s="1451"/>
      <c r="L2152" s="1451"/>
      <c r="U2152" s="1451"/>
      <c r="AD2152" s="1451"/>
      <c r="AM2152" s="1451"/>
      <c r="AV2152" s="1451"/>
      <c r="BE2152" s="1451"/>
      <c r="BN2152" s="1451"/>
      <c r="BV2152" s="1451"/>
      <c r="BW2152" s="1451"/>
      <c r="CF2152" s="1451"/>
      <c r="CN2152" s="1451"/>
      <c r="CO2152" s="1530"/>
      <c r="CP2152" s="1530"/>
      <c r="CQ2152" s="1530"/>
      <c r="CR2152" s="1530"/>
      <c r="CS2152" s="1530"/>
      <c r="CT2152" s="1530"/>
      <c r="CU2152" s="1530"/>
      <c r="CV2152" s="1530"/>
      <c r="CW2152" s="1530"/>
      <c r="CX2152" s="1530"/>
      <c r="CY2152" s="1530"/>
      <c r="CZ2152" s="1530"/>
      <c r="DA2152" s="1530"/>
      <c r="DB2152" s="1530"/>
      <c r="DC2152" s="1530"/>
      <c r="DD2152" s="1530"/>
      <c r="DE2152" s="1530"/>
      <c r="DF2152" s="1530"/>
      <c r="DG2152" s="1530"/>
      <c r="DH2152" s="1530"/>
      <c r="DI2152" s="1530"/>
      <c r="DJ2152" s="1530"/>
      <c r="DK2152" s="1530"/>
      <c r="DL2152" s="1530"/>
      <c r="DM2152" s="1530"/>
      <c r="DN2152" s="1571"/>
      <c r="DO2152" s="1530"/>
      <c r="DP2152" s="1530"/>
    </row>
    <row r="2153" spans="1:120">
      <c r="A2153" s="1451"/>
      <c r="C2153" s="1451"/>
      <c r="K2153" s="1451"/>
      <c r="L2153" s="1451"/>
      <c r="U2153" s="1451"/>
      <c r="AD2153" s="1451"/>
      <c r="AM2153" s="1451"/>
      <c r="AV2153" s="1451"/>
      <c r="BE2153" s="1451"/>
      <c r="BN2153" s="1451"/>
      <c r="BV2153" s="1451"/>
      <c r="BW2153" s="1451"/>
      <c r="CF2153" s="1451"/>
      <c r="CN2153" s="1451"/>
      <c r="CO2153" s="1530"/>
      <c r="CP2153" s="1530"/>
      <c r="CQ2153" s="1530"/>
      <c r="CR2153" s="1530"/>
      <c r="CS2153" s="1530"/>
      <c r="CT2153" s="1530"/>
      <c r="CU2153" s="1530"/>
      <c r="CV2153" s="1530"/>
      <c r="CW2153" s="1530"/>
      <c r="CX2153" s="1530"/>
      <c r="CY2153" s="1530"/>
      <c r="CZ2153" s="1530"/>
      <c r="DA2153" s="1530"/>
      <c r="DB2153" s="1530"/>
      <c r="DC2153" s="1530"/>
      <c r="DD2153" s="1530"/>
      <c r="DE2153" s="1530"/>
      <c r="DF2153" s="1530"/>
      <c r="DG2153" s="1530"/>
      <c r="DH2153" s="1530"/>
      <c r="DI2153" s="1530"/>
      <c r="DJ2153" s="1530"/>
      <c r="DK2153" s="1530"/>
      <c r="DL2153" s="1530"/>
      <c r="DM2153" s="1530"/>
      <c r="DN2153" s="1571"/>
      <c r="DO2153" s="1530"/>
      <c r="DP2153" s="1530"/>
    </row>
    <row r="2154" spans="1:120">
      <c r="A2154" s="1451"/>
      <c r="C2154" s="1451"/>
      <c r="K2154" s="1451"/>
      <c r="L2154" s="1451"/>
      <c r="U2154" s="1451"/>
      <c r="AD2154" s="1451"/>
      <c r="AM2154" s="1451"/>
      <c r="AV2154" s="1451"/>
      <c r="BE2154" s="1451"/>
      <c r="BN2154" s="1451"/>
      <c r="BV2154" s="1451"/>
      <c r="BW2154" s="1451"/>
      <c r="CF2154" s="1451"/>
      <c r="CN2154" s="1451"/>
      <c r="CO2154" s="1530"/>
      <c r="CP2154" s="1530"/>
      <c r="CQ2154" s="1530"/>
      <c r="CR2154" s="1530"/>
      <c r="CS2154" s="1530"/>
      <c r="CT2154" s="1530"/>
      <c r="CU2154" s="1530"/>
      <c r="CV2154" s="1530"/>
      <c r="CW2154" s="1530"/>
      <c r="CX2154" s="1530"/>
      <c r="CY2154" s="1530"/>
      <c r="CZ2154" s="1530"/>
      <c r="DA2154" s="1530"/>
      <c r="DB2154" s="1530"/>
      <c r="DC2154" s="1530"/>
      <c r="DD2154" s="1530"/>
      <c r="DE2154" s="1530"/>
      <c r="DF2154" s="1530"/>
      <c r="DG2154" s="1530"/>
      <c r="DH2154" s="1530"/>
      <c r="DI2154" s="1530"/>
      <c r="DJ2154" s="1530"/>
      <c r="DK2154" s="1530"/>
      <c r="DL2154" s="1530"/>
      <c r="DM2154" s="1530"/>
      <c r="DN2154" s="1571"/>
      <c r="DO2154" s="1530"/>
      <c r="DP2154" s="1530"/>
    </row>
    <row r="2155" spans="1:120">
      <c r="A2155" s="1451"/>
      <c r="C2155" s="1451"/>
      <c r="K2155" s="1451"/>
      <c r="L2155" s="1451"/>
      <c r="U2155" s="1451"/>
      <c r="AD2155" s="1451"/>
      <c r="AM2155" s="1451"/>
      <c r="AV2155" s="1451"/>
      <c r="BE2155" s="1451"/>
      <c r="BN2155" s="1451"/>
      <c r="BV2155" s="1451"/>
      <c r="BW2155" s="1451"/>
      <c r="CF2155" s="1451"/>
      <c r="CN2155" s="1451"/>
      <c r="CO2155" s="1530"/>
      <c r="CP2155" s="1530"/>
      <c r="CQ2155" s="1530"/>
      <c r="CR2155" s="1530"/>
      <c r="CS2155" s="1530"/>
      <c r="CT2155" s="1530"/>
      <c r="CU2155" s="1530"/>
      <c r="CV2155" s="1530"/>
      <c r="CW2155" s="1530"/>
      <c r="CX2155" s="1530"/>
      <c r="CY2155" s="1530"/>
      <c r="CZ2155" s="1530"/>
      <c r="DA2155" s="1530"/>
      <c r="DB2155" s="1530"/>
      <c r="DC2155" s="1530"/>
      <c r="DD2155" s="1530"/>
      <c r="DE2155" s="1530"/>
      <c r="DF2155" s="1530"/>
      <c r="DG2155" s="1530"/>
      <c r="DH2155" s="1530"/>
      <c r="DI2155" s="1530"/>
      <c r="DJ2155" s="1530"/>
      <c r="DK2155" s="1530"/>
      <c r="DL2155" s="1530"/>
      <c r="DM2155" s="1530"/>
      <c r="DN2155" s="1571"/>
      <c r="DO2155" s="1530"/>
      <c r="DP2155" s="1530"/>
    </row>
    <row r="2156" spans="1:120">
      <c r="A2156" s="1451"/>
      <c r="C2156" s="1451"/>
      <c r="K2156" s="1451"/>
      <c r="L2156" s="1451"/>
      <c r="U2156" s="1451"/>
      <c r="AD2156" s="1451"/>
      <c r="AM2156" s="1451"/>
      <c r="AV2156" s="1451"/>
      <c r="BE2156" s="1451"/>
      <c r="BN2156" s="1451"/>
      <c r="BV2156" s="1451"/>
      <c r="BW2156" s="1451"/>
      <c r="CF2156" s="1451"/>
      <c r="CN2156" s="1451"/>
      <c r="CO2156" s="1530"/>
      <c r="CP2156" s="1530"/>
      <c r="CQ2156" s="1530"/>
      <c r="CR2156" s="1530"/>
      <c r="CS2156" s="1530"/>
      <c r="CT2156" s="1530"/>
      <c r="CU2156" s="1530"/>
      <c r="CV2156" s="1530"/>
      <c r="CW2156" s="1530"/>
      <c r="CX2156" s="1530"/>
      <c r="CY2156" s="1530"/>
      <c r="CZ2156" s="1530"/>
      <c r="DA2156" s="1530"/>
      <c r="DB2156" s="1530"/>
      <c r="DC2156" s="1530"/>
      <c r="DD2156" s="1530"/>
      <c r="DE2156" s="1530"/>
      <c r="DF2156" s="1530"/>
      <c r="DG2156" s="1530"/>
      <c r="DH2156" s="1530"/>
      <c r="DI2156" s="1530"/>
      <c r="DJ2156" s="1530"/>
      <c r="DK2156" s="1530"/>
      <c r="DL2156" s="1530"/>
      <c r="DM2156" s="1530"/>
      <c r="DN2156" s="1571"/>
      <c r="DO2156" s="1530"/>
      <c r="DP2156" s="1530"/>
    </row>
    <row r="2157" spans="1:120">
      <c r="A2157" s="1451"/>
      <c r="C2157" s="1451"/>
      <c r="K2157" s="1451"/>
      <c r="L2157" s="1451"/>
      <c r="U2157" s="1451"/>
      <c r="AD2157" s="1451"/>
      <c r="AM2157" s="1451"/>
      <c r="AV2157" s="1451"/>
      <c r="BE2157" s="1451"/>
      <c r="BN2157" s="1451"/>
      <c r="BV2157" s="1451"/>
      <c r="BW2157" s="1451"/>
      <c r="CF2157" s="1451"/>
      <c r="CN2157" s="1451"/>
      <c r="CO2157" s="1530"/>
      <c r="CP2157" s="1530"/>
      <c r="CQ2157" s="1530"/>
      <c r="CR2157" s="1530"/>
      <c r="CS2157" s="1530"/>
      <c r="CT2157" s="1530"/>
      <c r="CU2157" s="1530"/>
      <c r="CV2157" s="1530"/>
      <c r="CW2157" s="1530"/>
      <c r="CX2157" s="1530"/>
      <c r="CY2157" s="1530"/>
      <c r="CZ2157" s="1530"/>
      <c r="DA2157" s="1530"/>
      <c r="DB2157" s="1530"/>
      <c r="DC2157" s="1530"/>
      <c r="DD2157" s="1530"/>
      <c r="DE2157" s="1530"/>
      <c r="DF2157" s="1530"/>
      <c r="DG2157" s="1530"/>
      <c r="DH2157" s="1530"/>
      <c r="DI2157" s="1530"/>
      <c r="DJ2157" s="1530"/>
      <c r="DK2157" s="1530"/>
      <c r="DL2157" s="1530"/>
      <c r="DM2157" s="1530"/>
      <c r="DN2157" s="1571"/>
      <c r="DO2157" s="1530"/>
      <c r="DP2157" s="1530"/>
    </row>
    <row r="2158" spans="1:120">
      <c r="A2158" s="1451"/>
      <c r="C2158" s="1451"/>
      <c r="K2158" s="1451"/>
      <c r="L2158" s="1451"/>
      <c r="U2158" s="1451"/>
      <c r="AD2158" s="1451"/>
      <c r="AM2158" s="1451"/>
      <c r="AV2158" s="1451"/>
      <c r="BE2158" s="1451"/>
      <c r="BN2158" s="1451"/>
      <c r="BV2158" s="1451"/>
      <c r="BW2158" s="1451"/>
      <c r="CF2158" s="1451"/>
      <c r="CN2158" s="1451"/>
      <c r="CO2158" s="1530"/>
      <c r="CP2158" s="1530"/>
      <c r="CQ2158" s="1530"/>
      <c r="CR2158" s="1530"/>
      <c r="CS2158" s="1530"/>
      <c r="CT2158" s="1530"/>
      <c r="CU2158" s="1530"/>
      <c r="CV2158" s="1530"/>
      <c r="CW2158" s="1530"/>
      <c r="CX2158" s="1530"/>
      <c r="CY2158" s="1530"/>
      <c r="CZ2158" s="1530"/>
      <c r="DA2158" s="1530"/>
      <c r="DB2158" s="1530"/>
      <c r="DC2158" s="1530"/>
      <c r="DD2158" s="1530"/>
      <c r="DE2158" s="1530"/>
      <c r="DF2158" s="1530"/>
      <c r="DG2158" s="1530"/>
      <c r="DH2158" s="1530"/>
      <c r="DI2158" s="1530"/>
      <c r="DJ2158" s="1530"/>
      <c r="DK2158" s="1530"/>
      <c r="DL2158" s="1530"/>
      <c r="DM2158" s="1530"/>
      <c r="DN2158" s="1571"/>
      <c r="DO2158" s="1530"/>
      <c r="DP2158" s="1530"/>
    </row>
    <row r="2159" spans="1:120">
      <c r="A2159" s="1451"/>
      <c r="C2159" s="1451"/>
      <c r="K2159" s="1451"/>
      <c r="L2159" s="1451"/>
      <c r="U2159" s="1451"/>
      <c r="AD2159" s="1451"/>
      <c r="AM2159" s="1451"/>
      <c r="AV2159" s="1451"/>
      <c r="BE2159" s="1451"/>
      <c r="BN2159" s="1451"/>
      <c r="BV2159" s="1451"/>
      <c r="BW2159" s="1451"/>
      <c r="CF2159" s="1451"/>
      <c r="CN2159" s="1451"/>
      <c r="CO2159" s="1530"/>
      <c r="CP2159" s="1530"/>
      <c r="CQ2159" s="1530"/>
      <c r="CR2159" s="1530"/>
      <c r="CS2159" s="1530"/>
      <c r="CT2159" s="1530"/>
      <c r="CU2159" s="1530"/>
      <c r="CV2159" s="1530"/>
      <c r="CW2159" s="1530"/>
      <c r="CX2159" s="1530"/>
      <c r="CY2159" s="1530"/>
      <c r="CZ2159" s="1530"/>
      <c r="DA2159" s="1530"/>
      <c r="DB2159" s="1530"/>
      <c r="DC2159" s="1530"/>
      <c r="DD2159" s="1530"/>
      <c r="DE2159" s="1530"/>
      <c r="DF2159" s="1530"/>
      <c r="DG2159" s="1530"/>
      <c r="DH2159" s="1530"/>
      <c r="DI2159" s="1530"/>
      <c r="DJ2159" s="1530"/>
      <c r="DK2159" s="1530"/>
      <c r="DL2159" s="1530"/>
      <c r="DM2159" s="1530"/>
      <c r="DN2159" s="1571"/>
      <c r="DO2159" s="1530"/>
      <c r="DP2159" s="1530"/>
    </row>
    <row r="2160" spans="1:120">
      <c r="A2160" s="1451"/>
      <c r="C2160" s="1451"/>
      <c r="K2160" s="1451"/>
      <c r="L2160" s="1451"/>
      <c r="U2160" s="1451"/>
      <c r="AD2160" s="1451"/>
      <c r="AM2160" s="1451"/>
      <c r="AV2160" s="1451"/>
      <c r="BE2160" s="1451"/>
      <c r="BN2160" s="1451"/>
      <c r="BV2160" s="1451"/>
      <c r="BW2160" s="1451"/>
      <c r="CF2160" s="1451"/>
      <c r="CN2160" s="1451"/>
      <c r="CO2160" s="1530"/>
      <c r="CP2160" s="1530"/>
      <c r="CQ2160" s="1530"/>
      <c r="CR2160" s="1530"/>
      <c r="CS2160" s="1530"/>
      <c r="CT2160" s="1530"/>
      <c r="CU2160" s="1530"/>
      <c r="CV2160" s="1530"/>
      <c r="CW2160" s="1530"/>
      <c r="CX2160" s="1530"/>
      <c r="CY2160" s="1530"/>
      <c r="CZ2160" s="1530"/>
      <c r="DA2160" s="1530"/>
      <c r="DB2160" s="1530"/>
      <c r="DC2160" s="1530"/>
      <c r="DD2160" s="1530"/>
      <c r="DE2160" s="1530"/>
      <c r="DF2160" s="1530"/>
      <c r="DG2160" s="1530"/>
      <c r="DH2160" s="1530"/>
      <c r="DI2160" s="1530"/>
      <c r="DJ2160" s="1530"/>
      <c r="DK2160" s="1530"/>
      <c r="DL2160" s="1530"/>
      <c r="DM2160" s="1530"/>
      <c r="DN2160" s="1571"/>
      <c r="DO2160" s="1530"/>
      <c r="DP2160" s="1530"/>
    </row>
    <row r="2161" spans="1:120">
      <c r="A2161" s="1451"/>
      <c r="C2161" s="1451"/>
      <c r="K2161" s="1451"/>
      <c r="L2161" s="1451"/>
      <c r="U2161" s="1451"/>
      <c r="AD2161" s="1451"/>
      <c r="AM2161" s="1451"/>
      <c r="AV2161" s="1451"/>
      <c r="BE2161" s="1451"/>
      <c r="BN2161" s="1451"/>
      <c r="BV2161" s="1451"/>
      <c r="BW2161" s="1451"/>
      <c r="CF2161" s="1451"/>
      <c r="CN2161" s="1451"/>
      <c r="CO2161" s="1530"/>
      <c r="CP2161" s="1530"/>
      <c r="CQ2161" s="1530"/>
      <c r="CR2161" s="1530"/>
      <c r="CS2161" s="1530"/>
      <c r="CT2161" s="1530"/>
      <c r="CU2161" s="1530"/>
      <c r="CV2161" s="1530"/>
      <c r="CW2161" s="1530"/>
      <c r="CX2161" s="1530"/>
      <c r="CY2161" s="1530"/>
      <c r="CZ2161" s="1530"/>
      <c r="DA2161" s="1530"/>
      <c r="DB2161" s="1530"/>
      <c r="DC2161" s="1530"/>
      <c r="DD2161" s="1530"/>
      <c r="DE2161" s="1530"/>
      <c r="DF2161" s="1530"/>
      <c r="DG2161" s="1530"/>
      <c r="DH2161" s="1530"/>
      <c r="DI2161" s="1530"/>
      <c r="DJ2161" s="1530"/>
      <c r="DK2161" s="1530"/>
      <c r="DL2161" s="1530"/>
      <c r="DM2161" s="1530"/>
      <c r="DN2161" s="1571"/>
      <c r="DO2161" s="1530"/>
      <c r="DP2161" s="1530"/>
    </row>
    <row r="2162" spans="1:120">
      <c r="A2162" s="1451"/>
      <c r="C2162" s="1451"/>
      <c r="K2162" s="1451"/>
      <c r="L2162" s="1451"/>
      <c r="U2162" s="1451"/>
      <c r="AD2162" s="1451"/>
      <c r="AM2162" s="1451"/>
      <c r="AV2162" s="1451"/>
      <c r="BE2162" s="1451"/>
      <c r="BN2162" s="1451"/>
      <c r="BV2162" s="1451"/>
      <c r="BW2162" s="1451"/>
      <c r="CF2162" s="1451"/>
      <c r="CN2162" s="1451"/>
      <c r="CO2162" s="1530"/>
      <c r="CP2162" s="1530"/>
      <c r="CQ2162" s="1530"/>
      <c r="CR2162" s="1530"/>
      <c r="CS2162" s="1530"/>
      <c r="CT2162" s="1530"/>
      <c r="CU2162" s="1530"/>
      <c r="CV2162" s="1530"/>
      <c r="CW2162" s="1530"/>
      <c r="CX2162" s="1530"/>
      <c r="CY2162" s="1530"/>
      <c r="CZ2162" s="1530"/>
      <c r="DA2162" s="1530"/>
      <c r="DB2162" s="1530"/>
      <c r="DC2162" s="1530"/>
      <c r="DD2162" s="1530"/>
      <c r="DE2162" s="1530"/>
      <c r="DF2162" s="1530"/>
      <c r="DG2162" s="1530"/>
      <c r="DH2162" s="1530"/>
      <c r="DI2162" s="1530"/>
      <c r="DJ2162" s="1530"/>
      <c r="DK2162" s="1530"/>
      <c r="DL2162" s="1530"/>
      <c r="DM2162" s="1530"/>
      <c r="DN2162" s="1571"/>
      <c r="DO2162" s="1530"/>
      <c r="DP2162" s="1530"/>
    </row>
    <row r="2163" spans="1:120">
      <c r="A2163" s="1451"/>
      <c r="C2163" s="1451"/>
      <c r="K2163" s="1451"/>
      <c r="L2163" s="1451"/>
      <c r="U2163" s="1451"/>
      <c r="AD2163" s="1451"/>
      <c r="AM2163" s="1451"/>
      <c r="AV2163" s="1451"/>
      <c r="BE2163" s="1451"/>
      <c r="BN2163" s="1451"/>
      <c r="BV2163" s="1451"/>
      <c r="BW2163" s="1451"/>
      <c r="CF2163" s="1451"/>
      <c r="CN2163" s="1451"/>
      <c r="CO2163" s="1530"/>
      <c r="CP2163" s="1530"/>
      <c r="CQ2163" s="1530"/>
      <c r="CR2163" s="1530"/>
      <c r="CS2163" s="1530"/>
      <c r="CT2163" s="1530"/>
      <c r="CU2163" s="1530"/>
      <c r="CV2163" s="1530"/>
      <c r="CW2163" s="1530"/>
      <c r="CX2163" s="1530"/>
      <c r="CY2163" s="1530"/>
      <c r="CZ2163" s="1530"/>
      <c r="DA2163" s="1530"/>
      <c r="DB2163" s="1530"/>
      <c r="DC2163" s="1530"/>
      <c r="DD2163" s="1530"/>
      <c r="DE2163" s="1530"/>
      <c r="DF2163" s="1530"/>
      <c r="DG2163" s="1530"/>
      <c r="DH2163" s="1530"/>
      <c r="DI2163" s="1530"/>
      <c r="DJ2163" s="1530"/>
      <c r="DK2163" s="1530"/>
      <c r="DL2163" s="1530"/>
      <c r="DM2163" s="1530"/>
      <c r="DN2163" s="1571"/>
      <c r="DO2163" s="1530"/>
      <c r="DP2163" s="1530"/>
    </row>
    <row r="2164" spans="1:120">
      <c r="A2164" s="1451"/>
      <c r="C2164" s="1451"/>
      <c r="K2164" s="1451"/>
      <c r="L2164" s="1451"/>
      <c r="U2164" s="1451"/>
      <c r="AD2164" s="1451"/>
      <c r="AM2164" s="1451"/>
      <c r="AV2164" s="1451"/>
      <c r="BE2164" s="1451"/>
      <c r="BN2164" s="1451"/>
      <c r="BV2164" s="1451"/>
      <c r="BW2164" s="1451"/>
      <c r="CF2164" s="1451"/>
      <c r="CN2164" s="1451"/>
      <c r="CO2164" s="1530"/>
      <c r="CP2164" s="1530"/>
      <c r="CQ2164" s="1530"/>
      <c r="CR2164" s="1530"/>
      <c r="CS2164" s="1530"/>
      <c r="CT2164" s="1530"/>
      <c r="CU2164" s="1530"/>
      <c r="CV2164" s="1530"/>
      <c r="CW2164" s="1530"/>
      <c r="CX2164" s="1530"/>
      <c r="CY2164" s="1530"/>
      <c r="CZ2164" s="1530"/>
      <c r="DA2164" s="1530"/>
      <c r="DB2164" s="1530"/>
      <c r="DC2164" s="1530"/>
      <c r="DD2164" s="1530"/>
      <c r="DE2164" s="1530"/>
      <c r="DF2164" s="1530"/>
      <c r="DG2164" s="1530"/>
      <c r="DH2164" s="1530"/>
      <c r="DI2164" s="1530"/>
      <c r="DJ2164" s="1530"/>
      <c r="DK2164" s="1530"/>
      <c r="DL2164" s="1530"/>
      <c r="DM2164" s="1530"/>
      <c r="DN2164" s="1571"/>
      <c r="DO2164" s="1530"/>
      <c r="DP2164" s="1530"/>
    </row>
    <row r="2165" spans="1:120">
      <c r="A2165" s="1451"/>
      <c r="C2165" s="1451"/>
      <c r="K2165" s="1451"/>
      <c r="L2165" s="1451"/>
      <c r="U2165" s="1451"/>
      <c r="AD2165" s="1451"/>
      <c r="AM2165" s="1451"/>
      <c r="AV2165" s="1451"/>
      <c r="BE2165" s="1451"/>
      <c r="BN2165" s="1451"/>
      <c r="BV2165" s="1451"/>
      <c r="BW2165" s="1451"/>
      <c r="CF2165" s="1451"/>
      <c r="CN2165" s="1451"/>
      <c r="CO2165" s="1530"/>
      <c r="CP2165" s="1530"/>
      <c r="CQ2165" s="1530"/>
      <c r="CR2165" s="1530"/>
      <c r="CS2165" s="1530"/>
      <c r="CT2165" s="1530"/>
      <c r="CU2165" s="1530"/>
      <c r="CV2165" s="1530"/>
      <c r="CW2165" s="1530"/>
      <c r="CX2165" s="1530"/>
      <c r="CY2165" s="1530"/>
      <c r="CZ2165" s="1530"/>
      <c r="DA2165" s="1530"/>
      <c r="DB2165" s="1530"/>
      <c r="DC2165" s="1530"/>
      <c r="DD2165" s="1530"/>
      <c r="DE2165" s="1530"/>
      <c r="DF2165" s="1530"/>
      <c r="DG2165" s="1530"/>
      <c r="DH2165" s="1530"/>
      <c r="DI2165" s="1530"/>
      <c r="DJ2165" s="1530"/>
      <c r="DK2165" s="1530"/>
      <c r="DL2165" s="1530"/>
      <c r="DM2165" s="1530"/>
      <c r="DN2165" s="1571"/>
      <c r="DO2165" s="1530"/>
      <c r="DP2165" s="1530"/>
    </row>
    <row r="2166" spans="1:120">
      <c r="A2166" s="1451"/>
      <c r="C2166" s="1451"/>
      <c r="K2166" s="1451"/>
      <c r="L2166" s="1451"/>
      <c r="U2166" s="1451"/>
      <c r="AD2166" s="1451"/>
      <c r="AM2166" s="1451"/>
      <c r="AV2166" s="1451"/>
      <c r="BE2166" s="1451"/>
      <c r="BN2166" s="1451"/>
      <c r="BV2166" s="1451"/>
      <c r="BW2166" s="1451"/>
      <c r="CF2166" s="1451"/>
      <c r="CN2166" s="1451"/>
      <c r="CO2166" s="1530"/>
      <c r="CP2166" s="1530"/>
      <c r="CQ2166" s="1530"/>
      <c r="CR2166" s="1530"/>
      <c r="CS2166" s="1530"/>
      <c r="CT2166" s="1530"/>
      <c r="CU2166" s="1530"/>
      <c r="CV2166" s="1530"/>
      <c r="CW2166" s="1530"/>
      <c r="CX2166" s="1530"/>
      <c r="CY2166" s="1530"/>
      <c r="CZ2166" s="1530"/>
      <c r="DA2166" s="1530"/>
      <c r="DB2166" s="1530"/>
      <c r="DC2166" s="1530"/>
      <c r="DD2166" s="1530"/>
      <c r="DE2166" s="1530"/>
      <c r="DF2166" s="1530"/>
      <c r="DG2166" s="1530"/>
      <c r="DH2166" s="1530"/>
      <c r="DI2166" s="1530"/>
      <c r="DJ2166" s="1530"/>
      <c r="DK2166" s="1530"/>
      <c r="DL2166" s="1530"/>
      <c r="DM2166" s="1530"/>
      <c r="DN2166" s="1571"/>
      <c r="DO2166" s="1530"/>
      <c r="DP2166" s="1530"/>
    </row>
    <row r="2167" spans="1:120">
      <c r="A2167" s="1451"/>
      <c r="C2167" s="1451"/>
      <c r="K2167" s="1451"/>
      <c r="L2167" s="1451"/>
      <c r="U2167" s="1451"/>
      <c r="AD2167" s="1451"/>
      <c r="AM2167" s="1451"/>
      <c r="AV2167" s="1451"/>
      <c r="BE2167" s="1451"/>
      <c r="BN2167" s="1451"/>
      <c r="BV2167" s="1451"/>
      <c r="BW2167" s="1451"/>
      <c r="CF2167" s="1451"/>
      <c r="CN2167" s="1451"/>
      <c r="CO2167" s="1530"/>
      <c r="CP2167" s="1530"/>
      <c r="CQ2167" s="1530"/>
      <c r="CR2167" s="1530"/>
      <c r="CS2167" s="1530"/>
      <c r="CT2167" s="1530"/>
      <c r="CU2167" s="1530"/>
      <c r="CV2167" s="1530"/>
      <c r="CW2167" s="1530"/>
      <c r="CX2167" s="1530"/>
      <c r="CY2167" s="1530"/>
      <c r="CZ2167" s="1530"/>
      <c r="DA2167" s="1530"/>
      <c r="DB2167" s="1530"/>
      <c r="DC2167" s="1530"/>
      <c r="DD2167" s="1530"/>
      <c r="DE2167" s="1530"/>
      <c r="DF2167" s="1530"/>
      <c r="DG2167" s="1530"/>
      <c r="DH2167" s="1530"/>
      <c r="DI2167" s="1530"/>
      <c r="DJ2167" s="1530"/>
      <c r="DK2167" s="1530"/>
      <c r="DL2167" s="1530"/>
      <c r="DM2167" s="1530"/>
      <c r="DN2167" s="1571"/>
      <c r="DO2167" s="1530"/>
      <c r="DP2167" s="1530"/>
    </row>
    <row r="2168" spans="1:120">
      <c r="A2168" s="1451"/>
      <c r="C2168" s="1451"/>
      <c r="K2168" s="1451"/>
      <c r="L2168" s="1451"/>
      <c r="U2168" s="1451"/>
      <c r="AD2168" s="1451"/>
      <c r="AM2168" s="1451"/>
      <c r="AV2168" s="1451"/>
      <c r="BE2168" s="1451"/>
      <c r="BN2168" s="1451"/>
      <c r="BV2168" s="1451"/>
      <c r="BW2168" s="1451"/>
      <c r="CF2168" s="1451"/>
      <c r="CN2168" s="1451"/>
      <c r="CO2168" s="1530"/>
      <c r="CP2168" s="1530"/>
      <c r="CQ2168" s="1530"/>
      <c r="CR2168" s="1530"/>
      <c r="CS2168" s="1530"/>
      <c r="CT2168" s="1530"/>
      <c r="CU2168" s="1530"/>
      <c r="CV2168" s="1530"/>
      <c r="CW2168" s="1530"/>
      <c r="CX2168" s="1530"/>
      <c r="CY2168" s="1530"/>
      <c r="CZ2168" s="1530"/>
      <c r="DA2168" s="1530"/>
      <c r="DB2168" s="1530"/>
      <c r="DC2168" s="1530"/>
      <c r="DD2168" s="1530"/>
      <c r="DE2168" s="1530"/>
      <c r="DF2168" s="1530"/>
      <c r="DG2168" s="1530"/>
      <c r="DH2168" s="1530"/>
      <c r="DI2168" s="1530"/>
      <c r="DJ2168" s="1530"/>
      <c r="DK2168" s="1530"/>
      <c r="DL2168" s="1530"/>
      <c r="DM2168" s="1530"/>
      <c r="DN2168" s="1571"/>
      <c r="DO2168" s="1530"/>
      <c r="DP2168" s="1530"/>
    </row>
    <row r="2169" spans="1:120">
      <c r="A2169" s="1451"/>
      <c r="C2169" s="1451"/>
      <c r="K2169" s="1451"/>
      <c r="L2169" s="1451"/>
      <c r="U2169" s="1451"/>
      <c r="AD2169" s="1451"/>
      <c r="AM2169" s="1451"/>
      <c r="AV2169" s="1451"/>
      <c r="BE2169" s="1451"/>
      <c r="BN2169" s="1451"/>
      <c r="BV2169" s="1451"/>
      <c r="BW2169" s="1451"/>
      <c r="CF2169" s="1451"/>
      <c r="CN2169" s="1451"/>
      <c r="CO2169" s="1530"/>
      <c r="CP2169" s="1530"/>
      <c r="CQ2169" s="1530"/>
      <c r="CR2169" s="1530"/>
      <c r="CS2169" s="1530"/>
      <c r="CT2169" s="1530"/>
      <c r="CU2169" s="1530"/>
      <c r="CV2169" s="1530"/>
      <c r="CW2169" s="1530"/>
      <c r="CX2169" s="1530"/>
      <c r="CY2169" s="1530"/>
      <c r="CZ2169" s="1530"/>
      <c r="DA2169" s="1530"/>
      <c r="DB2169" s="1530"/>
      <c r="DC2169" s="1530"/>
      <c r="DD2169" s="1530"/>
      <c r="DE2169" s="1530"/>
      <c r="DF2169" s="1530"/>
      <c r="DG2169" s="1530"/>
      <c r="DH2169" s="1530"/>
      <c r="DI2169" s="1530"/>
      <c r="DJ2169" s="1530"/>
      <c r="DK2169" s="1530"/>
      <c r="DL2169" s="1530"/>
      <c r="DM2169" s="1530"/>
      <c r="DN2169" s="1571"/>
      <c r="DO2169" s="1530"/>
      <c r="DP2169" s="1530"/>
    </row>
    <row r="2170" spans="1:120">
      <c r="A2170" s="1451"/>
      <c r="C2170" s="1451"/>
      <c r="K2170" s="1451"/>
      <c r="L2170" s="1451"/>
      <c r="U2170" s="1451"/>
      <c r="AD2170" s="1451"/>
      <c r="AM2170" s="1451"/>
      <c r="AV2170" s="1451"/>
      <c r="BE2170" s="1451"/>
      <c r="BN2170" s="1451"/>
      <c r="BV2170" s="1451"/>
      <c r="BW2170" s="1451"/>
      <c r="CF2170" s="1451"/>
      <c r="CN2170" s="1451"/>
      <c r="CO2170" s="1530"/>
      <c r="CP2170" s="1530"/>
      <c r="CQ2170" s="1530"/>
      <c r="CR2170" s="1530"/>
      <c r="CS2170" s="1530"/>
      <c r="CT2170" s="1530"/>
      <c r="CU2170" s="1530"/>
      <c r="CV2170" s="1530"/>
      <c r="CW2170" s="1530"/>
      <c r="CX2170" s="1530"/>
      <c r="CY2170" s="1530"/>
      <c r="CZ2170" s="1530"/>
      <c r="DA2170" s="1530"/>
      <c r="DB2170" s="1530"/>
      <c r="DC2170" s="1530"/>
      <c r="DD2170" s="1530"/>
      <c r="DE2170" s="1530"/>
      <c r="DF2170" s="1530"/>
      <c r="DG2170" s="1530"/>
      <c r="DH2170" s="1530"/>
      <c r="DI2170" s="1530"/>
      <c r="DJ2170" s="1530"/>
      <c r="DK2170" s="1530"/>
      <c r="DL2170" s="1530"/>
      <c r="DM2170" s="1530"/>
      <c r="DN2170" s="1571"/>
      <c r="DO2170" s="1530"/>
      <c r="DP2170" s="1530"/>
    </row>
    <row r="2171" spans="1:120">
      <c r="A2171" s="1451"/>
      <c r="C2171" s="1451"/>
      <c r="K2171" s="1451"/>
      <c r="L2171" s="1451"/>
      <c r="U2171" s="1451"/>
      <c r="AD2171" s="1451"/>
      <c r="AM2171" s="1451"/>
      <c r="AV2171" s="1451"/>
      <c r="BE2171" s="1451"/>
      <c r="BN2171" s="1451"/>
      <c r="BV2171" s="1451"/>
      <c r="BW2171" s="1451"/>
      <c r="CF2171" s="1451"/>
      <c r="CN2171" s="1451"/>
      <c r="CO2171" s="1530"/>
      <c r="CP2171" s="1530"/>
      <c r="CQ2171" s="1530"/>
      <c r="CR2171" s="1530"/>
      <c r="CS2171" s="1530"/>
      <c r="CT2171" s="1530"/>
      <c r="CU2171" s="1530"/>
      <c r="CV2171" s="1530"/>
      <c r="CW2171" s="1530"/>
      <c r="CX2171" s="1530"/>
      <c r="CY2171" s="1530"/>
      <c r="CZ2171" s="1530"/>
      <c r="DA2171" s="1530"/>
      <c r="DB2171" s="1530"/>
      <c r="DC2171" s="1530"/>
      <c r="DD2171" s="1530"/>
      <c r="DE2171" s="1530"/>
      <c r="DF2171" s="1530"/>
      <c r="DG2171" s="1530"/>
      <c r="DH2171" s="1530"/>
      <c r="DI2171" s="1530"/>
      <c r="DJ2171" s="1530"/>
      <c r="DK2171" s="1530"/>
      <c r="DL2171" s="1530"/>
      <c r="DM2171" s="1530"/>
      <c r="DN2171" s="1571"/>
      <c r="DO2171" s="1530"/>
      <c r="DP2171" s="1530"/>
    </row>
    <row r="2172" spans="1:120">
      <c r="A2172" s="1451"/>
      <c r="C2172" s="1451"/>
      <c r="K2172" s="1451"/>
      <c r="L2172" s="1451"/>
      <c r="U2172" s="1451"/>
      <c r="AD2172" s="1451"/>
      <c r="AM2172" s="1451"/>
      <c r="AV2172" s="1451"/>
      <c r="BE2172" s="1451"/>
      <c r="BN2172" s="1451"/>
      <c r="BV2172" s="1451"/>
      <c r="BW2172" s="1451"/>
      <c r="CF2172" s="1451"/>
      <c r="CN2172" s="1451"/>
      <c r="CO2172" s="1530"/>
      <c r="CP2172" s="1530"/>
      <c r="CQ2172" s="1530"/>
      <c r="CR2172" s="1530"/>
      <c r="CS2172" s="1530"/>
      <c r="CT2172" s="1530"/>
      <c r="CU2172" s="1530"/>
      <c r="CV2172" s="1530"/>
      <c r="CW2172" s="1530"/>
      <c r="CX2172" s="1530"/>
      <c r="CY2172" s="1530"/>
      <c r="CZ2172" s="1530"/>
      <c r="DA2172" s="1530"/>
      <c r="DB2172" s="1530"/>
      <c r="DC2172" s="1530"/>
      <c r="DD2172" s="1530"/>
      <c r="DE2172" s="1530"/>
      <c r="DF2172" s="1530"/>
      <c r="DG2172" s="1530"/>
      <c r="DH2172" s="1530"/>
      <c r="DI2172" s="1530"/>
      <c r="DJ2172" s="1530"/>
      <c r="DK2172" s="1530"/>
      <c r="DL2172" s="1530"/>
      <c r="DM2172" s="1530"/>
      <c r="DN2172" s="1571"/>
      <c r="DO2172" s="1530"/>
      <c r="DP2172" s="1530"/>
    </row>
    <row r="2173" spans="1:120">
      <c r="A2173" s="1451"/>
      <c r="C2173" s="1451"/>
      <c r="K2173" s="1451"/>
      <c r="L2173" s="1451"/>
      <c r="U2173" s="1451"/>
      <c r="AD2173" s="1451"/>
      <c r="AM2173" s="1451"/>
      <c r="AV2173" s="1451"/>
      <c r="BE2173" s="1451"/>
      <c r="BN2173" s="1451"/>
      <c r="BV2173" s="1451"/>
      <c r="BW2173" s="1451"/>
      <c r="CF2173" s="1451"/>
      <c r="CN2173" s="1451"/>
      <c r="CO2173" s="1530"/>
      <c r="CP2173" s="1530"/>
      <c r="CQ2173" s="1530"/>
      <c r="CR2173" s="1530"/>
      <c r="CS2173" s="1530"/>
      <c r="CT2173" s="1530"/>
      <c r="CU2173" s="1530"/>
      <c r="CV2173" s="1530"/>
      <c r="CW2173" s="1530"/>
      <c r="CX2173" s="1530"/>
      <c r="CY2173" s="1530"/>
      <c r="CZ2173" s="1530"/>
      <c r="DA2173" s="1530"/>
      <c r="DB2173" s="1530"/>
      <c r="DC2173" s="1530"/>
      <c r="DD2173" s="1530"/>
      <c r="DE2173" s="1530"/>
      <c r="DF2173" s="1530"/>
      <c r="DG2173" s="1530"/>
      <c r="DH2173" s="1530"/>
      <c r="DI2173" s="1530"/>
      <c r="DJ2173" s="1530"/>
      <c r="DK2173" s="1530"/>
      <c r="DL2173" s="1530"/>
      <c r="DM2173" s="1530"/>
      <c r="DN2173" s="1571"/>
      <c r="DO2173" s="1530"/>
      <c r="DP2173" s="1530"/>
    </row>
    <row r="2174" spans="1:120">
      <c r="A2174" s="1451"/>
      <c r="C2174" s="1451"/>
      <c r="K2174" s="1451"/>
      <c r="L2174" s="1451"/>
      <c r="U2174" s="1451"/>
      <c r="AD2174" s="1451"/>
      <c r="AM2174" s="1451"/>
      <c r="AV2174" s="1451"/>
      <c r="BE2174" s="1451"/>
      <c r="BN2174" s="1451"/>
      <c r="BV2174" s="1451"/>
      <c r="BW2174" s="1451"/>
      <c r="CF2174" s="1451"/>
      <c r="CN2174" s="1451"/>
      <c r="CO2174" s="1530"/>
      <c r="CP2174" s="1530"/>
      <c r="CQ2174" s="1530"/>
      <c r="CR2174" s="1530"/>
      <c r="CS2174" s="1530"/>
      <c r="CT2174" s="1530"/>
      <c r="CU2174" s="1530"/>
      <c r="CV2174" s="1530"/>
      <c r="CW2174" s="1530"/>
      <c r="CX2174" s="1530"/>
      <c r="CY2174" s="1530"/>
      <c r="CZ2174" s="1530"/>
      <c r="DA2174" s="1530"/>
      <c r="DB2174" s="1530"/>
      <c r="DC2174" s="1530"/>
      <c r="DD2174" s="1530"/>
      <c r="DE2174" s="1530"/>
      <c r="DF2174" s="1530"/>
      <c r="DG2174" s="1530"/>
      <c r="DH2174" s="1530"/>
      <c r="DI2174" s="1530"/>
      <c r="DJ2174" s="1530"/>
      <c r="DK2174" s="1530"/>
      <c r="DL2174" s="1530"/>
      <c r="DM2174" s="1530"/>
      <c r="DN2174" s="1571"/>
      <c r="DO2174" s="1530"/>
      <c r="DP2174" s="1530"/>
    </row>
    <row r="2175" spans="1:120">
      <c r="A2175" s="1451"/>
      <c r="C2175" s="1451"/>
      <c r="K2175" s="1451"/>
      <c r="L2175" s="1451"/>
      <c r="U2175" s="1451"/>
      <c r="AD2175" s="1451"/>
      <c r="AM2175" s="1451"/>
      <c r="AV2175" s="1451"/>
      <c r="BE2175" s="1451"/>
      <c r="BN2175" s="1451"/>
      <c r="BV2175" s="1451"/>
      <c r="BW2175" s="1451"/>
      <c r="CF2175" s="1451"/>
      <c r="CN2175" s="1451"/>
      <c r="CO2175" s="1530"/>
      <c r="CP2175" s="1530"/>
      <c r="CQ2175" s="1530"/>
      <c r="CR2175" s="1530"/>
      <c r="CS2175" s="1530"/>
      <c r="CT2175" s="1530"/>
      <c r="CU2175" s="1530"/>
      <c r="CV2175" s="1530"/>
      <c r="CW2175" s="1530"/>
      <c r="CX2175" s="1530"/>
      <c r="CY2175" s="1530"/>
      <c r="CZ2175" s="1530"/>
      <c r="DA2175" s="1530"/>
      <c r="DB2175" s="1530"/>
      <c r="DC2175" s="1530"/>
      <c r="DD2175" s="1530"/>
      <c r="DE2175" s="1530"/>
      <c r="DF2175" s="1530"/>
      <c r="DG2175" s="1530"/>
      <c r="DH2175" s="1530"/>
      <c r="DI2175" s="1530"/>
      <c r="DJ2175" s="1530"/>
      <c r="DK2175" s="1530"/>
      <c r="DL2175" s="1530"/>
      <c r="DM2175" s="1530"/>
      <c r="DN2175" s="1571"/>
      <c r="DO2175" s="1530"/>
      <c r="DP2175" s="1530"/>
    </row>
    <row r="2176" spans="1:120">
      <c r="A2176" s="1451"/>
      <c r="C2176" s="1451"/>
      <c r="K2176" s="1451"/>
      <c r="L2176" s="1451"/>
      <c r="U2176" s="1451"/>
      <c r="AD2176" s="1451"/>
      <c r="AM2176" s="1451"/>
      <c r="AV2176" s="1451"/>
      <c r="BE2176" s="1451"/>
      <c r="BN2176" s="1451"/>
      <c r="BV2176" s="1451"/>
      <c r="BW2176" s="1451"/>
      <c r="CF2176" s="1451"/>
      <c r="CN2176" s="1451"/>
      <c r="CO2176" s="1530"/>
      <c r="CP2176" s="1530"/>
      <c r="CQ2176" s="1530"/>
      <c r="CR2176" s="1530"/>
      <c r="CS2176" s="1530"/>
      <c r="CT2176" s="1530"/>
      <c r="CU2176" s="1530"/>
      <c r="CV2176" s="1530"/>
      <c r="CW2176" s="1530"/>
      <c r="CX2176" s="1530"/>
      <c r="CY2176" s="1530"/>
      <c r="CZ2176" s="1530"/>
      <c r="DA2176" s="1530"/>
      <c r="DB2176" s="1530"/>
      <c r="DC2176" s="1530"/>
      <c r="DD2176" s="1530"/>
      <c r="DE2176" s="1530"/>
      <c r="DF2176" s="1530"/>
      <c r="DG2176" s="1530"/>
      <c r="DH2176" s="1530"/>
      <c r="DI2176" s="1530"/>
      <c r="DJ2176" s="1530"/>
      <c r="DK2176" s="1530"/>
      <c r="DL2176" s="1530"/>
      <c r="DM2176" s="1530"/>
      <c r="DN2176" s="1571"/>
      <c r="DO2176" s="1530"/>
      <c r="DP2176" s="1530"/>
    </row>
    <row r="2177" spans="1:120">
      <c r="A2177" s="1451"/>
      <c r="C2177" s="1451"/>
      <c r="K2177" s="1451"/>
      <c r="L2177" s="1451"/>
      <c r="U2177" s="1451"/>
      <c r="AD2177" s="1451"/>
      <c r="AM2177" s="1451"/>
      <c r="AV2177" s="1451"/>
      <c r="BE2177" s="1451"/>
      <c r="BN2177" s="1451"/>
      <c r="BV2177" s="1451"/>
      <c r="BW2177" s="1451"/>
      <c r="CF2177" s="1451"/>
      <c r="CN2177" s="1451"/>
      <c r="CO2177" s="1530"/>
      <c r="CP2177" s="1530"/>
      <c r="CQ2177" s="1530"/>
      <c r="CR2177" s="1530"/>
      <c r="CS2177" s="1530"/>
      <c r="CT2177" s="1530"/>
      <c r="CU2177" s="1530"/>
      <c r="CV2177" s="1530"/>
      <c r="CW2177" s="1530"/>
      <c r="CX2177" s="1530"/>
      <c r="CY2177" s="1530"/>
      <c r="CZ2177" s="1530"/>
      <c r="DA2177" s="1530"/>
      <c r="DB2177" s="1530"/>
      <c r="DC2177" s="1530"/>
      <c r="DD2177" s="1530"/>
      <c r="DE2177" s="1530"/>
      <c r="DF2177" s="1530"/>
      <c r="DG2177" s="1530"/>
      <c r="DH2177" s="1530"/>
      <c r="DI2177" s="1530"/>
      <c r="DJ2177" s="1530"/>
      <c r="DK2177" s="1530"/>
      <c r="DL2177" s="1530"/>
      <c r="DM2177" s="1530"/>
      <c r="DN2177" s="1571"/>
      <c r="DO2177" s="1530"/>
      <c r="DP2177" s="1530"/>
    </row>
    <row r="2178" spans="1:120">
      <c r="A2178" s="1451"/>
      <c r="C2178" s="1451"/>
      <c r="K2178" s="1451"/>
      <c r="L2178" s="1451"/>
      <c r="U2178" s="1451"/>
      <c r="AD2178" s="1451"/>
      <c r="AM2178" s="1451"/>
      <c r="AV2178" s="1451"/>
      <c r="BE2178" s="1451"/>
      <c r="BN2178" s="1451"/>
      <c r="BV2178" s="1451"/>
      <c r="BW2178" s="1451"/>
      <c r="CF2178" s="1451"/>
      <c r="CN2178" s="1451"/>
      <c r="CO2178" s="1530"/>
      <c r="CP2178" s="1530"/>
      <c r="CQ2178" s="1530"/>
      <c r="CR2178" s="1530"/>
      <c r="CS2178" s="1530"/>
      <c r="CT2178" s="1530"/>
      <c r="CU2178" s="1530"/>
      <c r="CV2178" s="1530"/>
      <c r="CW2178" s="1530"/>
      <c r="CX2178" s="1530"/>
      <c r="CY2178" s="1530"/>
      <c r="CZ2178" s="1530"/>
      <c r="DA2178" s="1530"/>
      <c r="DB2178" s="1530"/>
      <c r="DC2178" s="1530"/>
      <c r="DD2178" s="1530"/>
      <c r="DE2178" s="1530"/>
      <c r="DF2178" s="1530"/>
      <c r="DG2178" s="1530"/>
      <c r="DH2178" s="1530"/>
      <c r="DI2178" s="1530"/>
      <c r="DJ2178" s="1530"/>
      <c r="DK2178" s="1530"/>
      <c r="DL2178" s="1530"/>
      <c r="DM2178" s="1530"/>
      <c r="DN2178" s="1571"/>
      <c r="DO2178" s="1530"/>
      <c r="DP2178" s="1530"/>
    </row>
    <row r="2179" spans="1:120">
      <c r="A2179" s="1451"/>
      <c r="C2179" s="1451"/>
      <c r="K2179" s="1451"/>
      <c r="L2179" s="1451"/>
      <c r="U2179" s="1451"/>
      <c r="AD2179" s="1451"/>
      <c r="AM2179" s="1451"/>
      <c r="AV2179" s="1451"/>
      <c r="BE2179" s="1451"/>
      <c r="BN2179" s="1451"/>
      <c r="BV2179" s="1451"/>
      <c r="BW2179" s="1451"/>
      <c r="CF2179" s="1451"/>
      <c r="CN2179" s="1451"/>
      <c r="CO2179" s="1530"/>
      <c r="CP2179" s="1530"/>
      <c r="CQ2179" s="1530"/>
      <c r="CR2179" s="1530"/>
      <c r="CS2179" s="1530"/>
      <c r="CT2179" s="1530"/>
      <c r="CU2179" s="1530"/>
      <c r="CV2179" s="1530"/>
      <c r="CW2179" s="1530"/>
      <c r="CX2179" s="1530"/>
      <c r="CY2179" s="1530"/>
      <c r="CZ2179" s="1530"/>
      <c r="DA2179" s="1530"/>
      <c r="DB2179" s="1530"/>
      <c r="DC2179" s="1530"/>
      <c r="DD2179" s="1530"/>
      <c r="DE2179" s="1530"/>
      <c r="DF2179" s="1530"/>
      <c r="DG2179" s="1530"/>
      <c r="DH2179" s="1530"/>
      <c r="DI2179" s="1530"/>
      <c r="DJ2179" s="1530"/>
      <c r="DK2179" s="1530"/>
      <c r="DL2179" s="1530"/>
      <c r="DM2179" s="1530"/>
      <c r="DN2179" s="1571"/>
      <c r="DO2179" s="1530"/>
      <c r="DP2179" s="1530"/>
    </row>
    <row r="2180" spans="1:120">
      <c r="A2180" s="1451"/>
      <c r="C2180" s="1451"/>
      <c r="K2180" s="1451"/>
      <c r="L2180" s="1451"/>
      <c r="U2180" s="1451"/>
      <c r="AD2180" s="1451"/>
      <c r="AM2180" s="1451"/>
      <c r="AV2180" s="1451"/>
      <c r="BE2180" s="1451"/>
      <c r="BN2180" s="1451"/>
      <c r="BV2180" s="1451"/>
      <c r="BW2180" s="1451"/>
      <c r="CF2180" s="1451"/>
      <c r="CN2180" s="1451"/>
      <c r="CO2180" s="1530"/>
      <c r="CP2180" s="1530"/>
      <c r="CQ2180" s="1530"/>
      <c r="CR2180" s="1530"/>
      <c r="CS2180" s="1530"/>
      <c r="CT2180" s="1530"/>
      <c r="CU2180" s="1530"/>
      <c r="CV2180" s="1530"/>
      <c r="CW2180" s="1530"/>
      <c r="CX2180" s="1530"/>
      <c r="CY2180" s="1530"/>
      <c r="CZ2180" s="1530"/>
      <c r="DA2180" s="1530"/>
      <c r="DB2180" s="1530"/>
      <c r="DC2180" s="1530"/>
      <c r="DD2180" s="1530"/>
      <c r="DE2180" s="1530"/>
      <c r="DF2180" s="1530"/>
      <c r="DG2180" s="1530"/>
      <c r="DH2180" s="1530"/>
      <c r="DI2180" s="1530"/>
      <c r="DJ2180" s="1530"/>
      <c r="DK2180" s="1530"/>
      <c r="DL2180" s="1530"/>
      <c r="DM2180" s="1530"/>
      <c r="DN2180" s="1571"/>
      <c r="DO2180" s="1530"/>
      <c r="DP2180" s="1530"/>
    </row>
    <row r="2181" spans="1:120">
      <c r="A2181" s="1451"/>
      <c r="C2181" s="1451"/>
      <c r="K2181" s="1451"/>
      <c r="L2181" s="1451"/>
      <c r="U2181" s="1451"/>
      <c r="AD2181" s="1451"/>
      <c r="AM2181" s="1451"/>
      <c r="AV2181" s="1451"/>
      <c r="BE2181" s="1451"/>
      <c r="BN2181" s="1451"/>
      <c r="BV2181" s="1451"/>
      <c r="BW2181" s="1451"/>
      <c r="CF2181" s="1451"/>
      <c r="CN2181" s="1451"/>
      <c r="CO2181" s="1530"/>
      <c r="CP2181" s="1530"/>
      <c r="CQ2181" s="1530"/>
      <c r="CR2181" s="1530"/>
      <c r="CS2181" s="1530"/>
      <c r="CT2181" s="1530"/>
      <c r="CU2181" s="1530"/>
      <c r="CV2181" s="1530"/>
      <c r="CW2181" s="1530"/>
      <c r="CX2181" s="1530"/>
      <c r="CY2181" s="1530"/>
      <c r="CZ2181" s="1530"/>
      <c r="DA2181" s="1530"/>
      <c r="DB2181" s="1530"/>
      <c r="DC2181" s="1530"/>
      <c r="DD2181" s="1530"/>
      <c r="DE2181" s="1530"/>
      <c r="DF2181" s="1530"/>
      <c r="DG2181" s="1530"/>
      <c r="DH2181" s="1530"/>
      <c r="DI2181" s="1530"/>
      <c r="DJ2181" s="1530"/>
      <c r="DK2181" s="1530"/>
      <c r="DL2181" s="1530"/>
      <c r="DM2181" s="1530"/>
      <c r="DN2181" s="1571"/>
      <c r="DO2181" s="1530"/>
      <c r="DP2181" s="1530"/>
    </row>
    <row r="2182" spans="1:120">
      <c r="A2182" s="1451"/>
      <c r="C2182" s="1451"/>
      <c r="K2182" s="1451"/>
      <c r="L2182" s="1451"/>
      <c r="U2182" s="1451"/>
      <c r="AD2182" s="1451"/>
      <c r="AM2182" s="1451"/>
      <c r="AV2182" s="1451"/>
      <c r="BE2182" s="1451"/>
      <c r="BN2182" s="1451"/>
      <c r="BV2182" s="1451"/>
      <c r="BW2182" s="1451"/>
      <c r="CF2182" s="1451"/>
      <c r="CN2182" s="1451"/>
      <c r="CO2182" s="1530"/>
      <c r="CP2182" s="1530"/>
      <c r="CQ2182" s="1530"/>
      <c r="CR2182" s="1530"/>
      <c r="CS2182" s="1530"/>
      <c r="CT2182" s="1530"/>
      <c r="CU2182" s="1530"/>
      <c r="CV2182" s="1530"/>
      <c r="CW2182" s="1530"/>
      <c r="CX2182" s="1530"/>
      <c r="CY2182" s="1530"/>
      <c r="CZ2182" s="1530"/>
      <c r="DA2182" s="1530"/>
      <c r="DB2182" s="1530"/>
      <c r="DC2182" s="1530"/>
      <c r="DD2182" s="1530"/>
      <c r="DE2182" s="1530"/>
      <c r="DF2182" s="1530"/>
      <c r="DG2182" s="1530"/>
      <c r="DH2182" s="1530"/>
      <c r="DI2182" s="1530"/>
      <c r="DJ2182" s="1530"/>
      <c r="DK2182" s="1530"/>
      <c r="DL2182" s="1530"/>
      <c r="DM2182" s="1530"/>
      <c r="DN2182" s="1571"/>
      <c r="DO2182" s="1530"/>
      <c r="DP2182" s="1530"/>
    </row>
    <row r="2183" spans="1:120">
      <c r="A2183" s="1451"/>
      <c r="C2183" s="1451"/>
      <c r="K2183" s="1451"/>
      <c r="L2183" s="1451"/>
      <c r="U2183" s="1451"/>
      <c r="AD2183" s="1451"/>
      <c r="AM2183" s="1451"/>
      <c r="AV2183" s="1451"/>
      <c r="BE2183" s="1451"/>
      <c r="BN2183" s="1451"/>
      <c r="BV2183" s="1451"/>
      <c r="BW2183" s="1451"/>
      <c r="CF2183" s="1451"/>
      <c r="CN2183" s="1451"/>
      <c r="CO2183" s="1530"/>
      <c r="CP2183" s="1530"/>
      <c r="CQ2183" s="1530"/>
      <c r="CR2183" s="1530"/>
      <c r="CS2183" s="1530"/>
      <c r="CT2183" s="1530"/>
      <c r="CU2183" s="1530"/>
      <c r="CV2183" s="1530"/>
      <c r="CW2183" s="1530"/>
      <c r="CX2183" s="1530"/>
      <c r="CY2183" s="1530"/>
      <c r="CZ2183" s="1530"/>
      <c r="DA2183" s="1530"/>
      <c r="DB2183" s="1530"/>
      <c r="DC2183" s="1530"/>
      <c r="DD2183" s="1530"/>
      <c r="DE2183" s="1530"/>
      <c r="DF2183" s="1530"/>
      <c r="DG2183" s="1530"/>
      <c r="DH2183" s="1530"/>
      <c r="DI2183" s="1530"/>
      <c r="DJ2183" s="1530"/>
      <c r="DK2183" s="1530"/>
      <c r="DL2183" s="1530"/>
      <c r="DM2183" s="1530"/>
      <c r="DN2183" s="1571"/>
      <c r="DO2183" s="1530"/>
      <c r="DP2183" s="1530"/>
    </row>
    <row r="2184" spans="1:120">
      <c r="A2184" s="1451"/>
      <c r="C2184" s="1451"/>
      <c r="K2184" s="1451"/>
      <c r="L2184" s="1451"/>
      <c r="U2184" s="1451"/>
      <c r="AD2184" s="1451"/>
      <c r="AM2184" s="1451"/>
      <c r="AV2184" s="1451"/>
      <c r="BE2184" s="1451"/>
      <c r="BN2184" s="1451"/>
      <c r="BV2184" s="1451"/>
      <c r="BW2184" s="1451"/>
      <c r="CF2184" s="1451"/>
      <c r="CN2184" s="1451"/>
      <c r="CO2184" s="1530"/>
      <c r="CP2184" s="1530"/>
      <c r="CQ2184" s="1530"/>
      <c r="CR2184" s="1530"/>
      <c r="CS2184" s="1530"/>
      <c r="CT2184" s="1530"/>
      <c r="CU2184" s="1530"/>
      <c r="CV2184" s="1530"/>
      <c r="CW2184" s="1530"/>
      <c r="CX2184" s="1530"/>
      <c r="CY2184" s="1530"/>
      <c r="CZ2184" s="1530"/>
      <c r="DA2184" s="1530"/>
      <c r="DB2184" s="1530"/>
      <c r="DC2184" s="1530"/>
      <c r="DD2184" s="1530"/>
      <c r="DE2184" s="1530"/>
      <c r="DF2184" s="1530"/>
      <c r="DG2184" s="1530"/>
      <c r="DH2184" s="1530"/>
      <c r="DI2184" s="1530"/>
      <c r="DJ2184" s="1530"/>
      <c r="DK2184" s="1530"/>
      <c r="DL2184" s="1530"/>
      <c r="DM2184" s="1530"/>
      <c r="DN2184" s="1571"/>
      <c r="DO2184" s="1530"/>
      <c r="DP2184" s="1530"/>
    </row>
    <row r="2185" spans="1:120">
      <c r="A2185" s="1451"/>
      <c r="C2185" s="1451"/>
      <c r="K2185" s="1451"/>
      <c r="L2185" s="1451"/>
      <c r="U2185" s="1451"/>
      <c r="AD2185" s="1451"/>
      <c r="AM2185" s="1451"/>
      <c r="AV2185" s="1451"/>
      <c r="BE2185" s="1451"/>
      <c r="BN2185" s="1451"/>
      <c r="BV2185" s="1451"/>
      <c r="BW2185" s="1451"/>
      <c r="CF2185" s="1451"/>
      <c r="CN2185" s="1451"/>
      <c r="CO2185" s="1530"/>
      <c r="CP2185" s="1530"/>
      <c r="CQ2185" s="1530"/>
      <c r="CR2185" s="1530"/>
      <c r="CS2185" s="1530"/>
      <c r="CT2185" s="1530"/>
      <c r="CU2185" s="1530"/>
      <c r="CV2185" s="1530"/>
      <c r="CW2185" s="1530"/>
      <c r="CX2185" s="1530"/>
      <c r="CY2185" s="1530"/>
      <c r="CZ2185" s="1530"/>
      <c r="DA2185" s="1530"/>
      <c r="DB2185" s="1530"/>
      <c r="DC2185" s="1530"/>
      <c r="DD2185" s="1530"/>
      <c r="DE2185" s="1530"/>
      <c r="DF2185" s="1530"/>
      <c r="DG2185" s="1530"/>
      <c r="DH2185" s="1530"/>
      <c r="DI2185" s="1530"/>
      <c r="DJ2185" s="1530"/>
      <c r="DK2185" s="1530"/>
      <c r="DL2185" s="1530"/>
      <c r="DM2185" s="1530"/>
      <c r="DN2185" s="1571"/>
      <c r="DO2185" s="1530"/>
      <c r="DP2185" s="1530"/>
    </row>
    <row r="2186" spans="1:120">
      <c r="A2186" s="1451"/>
      <c r="C2186" s="1451"/>
      <c r="K2186" s="1451"/>
      <c r="L2186" s="1451"/>
      <c r="U2186" s="1451"/>
      <c r="AD2186" s="1451"/>
      <c r="AM2186" s="1451"/>
      <c r="AV2186" s="1451"/>
      <c r="BE2186" s="1451"/>
      <c r="BN2186" s="1451"/>
      <c r="BV2186" s="1451"/>
      <c r="BW2186" s="1451"/>
      <c r="CF2186" s="1451"/>
      <c r="CN2186" s="1451"/>
      <c r="CO2186" s="1530"/>
      <c r="CP2186" s="1530"/>
      <c r="CQ2186" s="1530"/>
      <c r="CR2186" s="1530"/>
      <c r="CS2186" s="1530"/>
      <c r="CT2186" s="1530"/>
      <c r="CU2186" s="1530"/>
      <c r="CV2186" s="1530"/>
      <c r="CW2186" s="1530"/>
      <c r="CX2186" s="1530"/>
      <c r="CY2186" s="1530"/>
      <c r="CZ2186" s="1530"/>
      <c r="DA2186" s="1530"/>
      <c r="DB2186" s="1530"/>
      <c r="DC2186" s="1530"/>
      <c r="DD2186" s="1530"/>
      <c r="DE2186" s="1530"/>
      <c r="DF2186" s="1530"/>
      <c r="DG2186" s="1530"/>
      <c r="DH2186" s="1530"/>
      <c r="DI2186" s="1530"/>
      <c r="DJ2186" s="1530"/>
      <c r="DK2186" s="1530"/>
      <c r="DL2186" s="1530"/>
      <c r="DM2186" s="1530"/>
      <c r="DN2186" s="1571"/>
      <c r="DO2186" s="1530"/>
      <c r="DP2186" s="1530"/>
    </row>
    <row r="2187" spans="1:120">
      <c r="A2187" s="1451"/>
      <c r="C2187" s="1451"/>
      <c r="K2187" s="1451"/>
      <c r="L2187" s="1451"/>
      <c r="U2187" s="1451"/>
      <c r="AD2187" s="1451"/>
      <c r="AM2187" s="1451"/>
      <c r="AV2187" s="1451"/>
      <c r="BE2187" s="1451"/>
      <c r="BN2187" s="1451"/>
      <c r="BV2187" s="1451"/>
      <c r="BW2187" s="1451"/>
      <c r="CF2187" s="1451"/>
      <c r="CN2187" s="1451"/>
      <c r="CO2187" s="1530"/>
      <c r="CP2187" s="1530"/>
      <c r="CQ2187" s="1530"/>
      <c r="CR2187" s="1530"/>
      <c r="CS2187" s="1530"/>
      <c r="CT2187" s="1530"/>
      <c r="CU2187" s="1530"/>
      <c r="CV2187" s="1530"/>
      <c r="CW2187" s="1530"/>
      <c r="CX2187" s="1530"/>
      <c r="CY2187" s="1530"/>
      <c r="CZ2187" s="1530"/>
      <c r="DA2187" s="1530"/>
      <c r="DB2187" s="1530"/>
      <c r="DC2187" s="1530"/>
      <c r="DD2187" s="1530"/>
      <c r="DE2187" s="1530"/>
      <c r="DF2187" s="1530"/>
      <c r="DG2187" s="1530"/>
      <c r="DH2187" s="1530"/>
      <c r="DI2187" s="1530"/>
      <c r="DJ2187" s="1530"/>
      <c r="DK2187" s="1530"/>
      <c r="DL2187" s="1530"/>
      <c r="DM2187" s="1530"/>
      <c r="DN2187" s="1571"/>
      <c r="DO2187" s="1530"/>
      <c r="DP2187" s="1530"/>
    </row>
    <row r="2188" spans="1:120">
      <c r="A2188" s="1451"/>
      <c r="C2188" s="1451"/>
      <c r="K2188" s="1451"/>
      <c r="L2188" s="1451"/>
      <c r="U2188" s="1451"/>
      <c r="AD2188" s="1451"/>
      <c r="AM2188" s="1451"/>
      <c r="AV2188" s="1451"/>
      <c r="BE2188" s="1451"/>
      <c r="BN2188" s="1451"/>
      <c r="BV2188" s="1451"/>
      <c r="BW2188" s="1451"/>
      <c r="CF2188" s="1451"/>
      <c r="CN2188" s="1451"/>
      <c r="CO2188" s="1530"/>
      <c r="CP2188" s="1530"/>
      <c r="CQ2188" s="1530"/>
      <c r="CR2188" s="1530"/>
      <c r="CS2188" s="1530"/>
      <c r="CT2188" s="1530"/>
      <c r="CU2188" s="1530"/>
      <c r="CV2188" s="1530"/>
      <c r="CW2188" s="1530"/>
      <c r="CX2188" s="1530"/>
      <c r="CY2188" s="1530"/>
      <c r="CZ2188" s="1530"/>
      <c r="DA2188" s="1530"/>
      <c r="DB2188" s="1530"/>
      <c r="DC2188" s="1530"/>
      <c r="DD2188" s="1530"/>
      <c r="DE2188" s="1530"/>
      <c r="DF2188" s="1530"/>
      <c r="DG2188" s="1530"/>
      <c r="DH2188" s="1530"/>
      <c r="DI2188" s="1530"/>
      <c r="DJ2188" s="1530"/>
      <c r="DK2188" s="1530"/>
      <c r="DL2188" s="1530"/>
      <c r="DM2188" s="1530"/>
      <c r="DN2188" s="1571"/>
      <c r="DO2188" s="1530"/>
      <c r="DP2188" s="1530"/>
    </row>
    <row r="2189" spans="1:120">
      <c r="A2189" s="1451"/>
      <c r="C2189" s="1451"/>
      <c r="K2189" s="1451"/>
      <c r="L2189" s="1451"/>
      <c r="U2189" s="1451"/>
      <c r="AD2189" s="1451"/>
      <c r="AM2189" s="1451"/>
      <c r="AV2189" s="1451"/>
      <c r="BE2189" s="1451"/>
      <c r="BN2189" s="1451"/>
      <c r="BV2189" s="1451"/>
      <c r="BW2189" s="1451"/>
      <c r="CF2189" s="1451"/>
      <c r="CN2189" s="1451"/>
      <c r="CO2189" s="1530"/>
      <c r="CP2189" s="1530"/>
      <c r="CQ2189" s="1530"/>
      <c r="CR2189" s="1530"/>
      <c r="CS2189" s="1530"/>
      <c r="CT2189" s="1530"/>
      <c r="CU2189" s="1530"/>
      <c r="CV2189" s="1530"/>
      <c r="CW2189" s="1530"/>
      <c r="CX2189" s="1530"/>
      <c r="CY2189" s="1530"/>
      <c r="CZ2189" s="1530"/>
      <c r="DA2189" s="1530"/>
      <c r="DB2189" s="1530"/>
      <c r="DC2189" s="1530"/>
      <c r="DD2189" s="1530"/>
      <c r="DE2189" s="1530"/>
      <c r="DF2189" s="1530"/>
      <c r="DG2189" s="1530"/>
      <c r="DH2189" s="1530"/>
      <c r="DI2189" s="1530"/>
      <c r="DJ2189" s="1530"/>
      <c r="DK2189" s="1530"/>
      <c r="DL2189" s="1530"/>
      <c r="DM2189" s="1530"/>
      <c r="DN2189" s="1571"/>
      <c r="DO2189" s="1530"/>
      <c r="DP2189" s="1530"/>
    </row>
    <row r="2190" spans="1:120">
      <c r="A2190" s="1451"/>
      <c r="C2190" s="1451"/>
      <c r="K2190" s="1451"/>
      <c r="L2190" s="1451"/>
      <c r="U2190" s="1451"/>
      <c r="AD2190" s="1451"/>
      <c r="AM2190" s="1451"/>
      <c r="AV2190" s="1451"/>
      <c r="BE2190" s="1451"/>
      <c r="BN2190" s="1451"/>
      <c r="BV2190" s="1451"/>
      <c r="BW2190" s="1451"/>
      <c r="CF2190" s="1451"/>
      <c r="CN2190" s="1451"/>
      <c r="CO2190" s="1530"/>
      <c r="CP2190" s="1530"/>
      <c r="CQ2190" s="1530"/>
      <c r="CR2190" s="1530"/>
      <c r="CS2190" s="1530"/>
      <c r="CT2190" s="1530"/>
      <c r="CU2190" s="1530"/>
      <c r="CV2190" s="1530"/>
      <c r="CW2190" s="1530"/>
      <c r="CX2190" s="1530"/>
      <c r="CY2190" s="1530"/>
      <c r="CZ2190" s="1530"/>
      <c r="DA2190" s="1530"/>
      <c r="DB2190" s="1530"/>
      <c r="DC2190" s="1530"/>
      <c r="DD2190" s="1530"/>
      <c r="DE2190" s="1530"/>
      <c r="DF2190" s="1530"/>
      <c r="DG2190" s="1530"/>
      <c r="DH2190" s="1530"/>
      <c r="DI2190" s="1530"/>
      <c r="DJ2190" s="1530"/>
      <c r="DK2190" s="1530"/>
      <c r="DL2190" s="1530"/>
      <c r="DM2190" s="1530"/>
      <c r="DN2190" s="1571"/>
      <c r="DO2190" s="1530"/>
      <c r="DP2190" s="1530"/>
    </row>
    <row r="2191" spans="1:120">
      <c r="A2191" s="1451"/>
      <c r="C2191" s="1451"/>
      <c r="K2191" s="1451"/>
      <c r="L2191" s="1451"/>
      <c r="U2191" s="1451"/>
      <c r="AD2191" s="1451"/>
      <c r="AM2191" s="1451"/>
      <c r="AV2191" s="1451"/>
      <c r="BE2191" s="1451"/>
      <c r="BN2191" s="1451"/>
      <c r="BV2191" s="1451"/>
      <c r="BW2191" s="1451"/>
      <c r="CF2191" s="1451"/>
      <c r="CN2191" s="1451"/>
      <c r="CO2191" s="1530"/>
      <c r="CP2191" s="1530"/>
      <c r="CQ2191" s="1530"/>
      <c r="CR2191" s="1530"/>
      <c r="CS2191" s="1530"/>
      <c r="CT2191" s="1530"/>
      <c r="CU2191" s="1530"/>
      <c r="CV2191" s="1530"/>
      <c r="CW2191" s="1530"/>
      <c r="CX2191" s="1530"/>
      <c r="CY2191" s="1530"/>
      <c r="CZ2191" s="1530"/>
      <c r="DA2191" s="1530"/>
      <c r="DB2191" s="1530"/>
      <c r="DC2191" s="1530"/>
      <c r="DD2191" s="1530"/>
      <c r="DE2191" s="1530"/>
      <c r="DF2191" s="1530"/>
      <c r="DG2191" s="1530"/>
      <c r="DH2191" s="1530"/>
      <c r="DI2191" s="1530"/>
      <c r="DJ2191" s="1530"/>
      <c r="DK2191" s="1530"/>
      <c r="DL2191" s="1530"/>
      <c r="DM2191" s="1530"/>
      <c r="DN2191" s="1571"/>
      <c r="DO2191" s="1530"/>
      <c r="DP2191" s="1530"/>
    </row>
    <row r="2192" spans="1:120">
      <c r="A2192" s="1451"/>
      <c r="C2192" s="1451"/>
      <c r="K2192" s="1451"/>
      <c r="L2192" s="1451"/>
      <c r="U2192" s="1451"/>
      <c r="AD2192" s="1451"/>
      <c r="AM2192" s="1451"/>
      <c r="AV2192" s="1451"/>
      <c r="BE2192" s="1451"/>
      <c r="BN2192" s="1451"/>
      <c r="BV2192" s="1451"/>
      <c r="BW2192" s="1451"/>
      <c r="CF2192" s="1451"/>
      <c r="CN2192" s="1451"/>
      <c r="CO2192" s="1530"/>
      <c r="CP2192" s="1530"/>
      <c r="CQ2192" s="1530"/>
      <c r="CR2192" s="1530"/>
      <c r="CS2192" s="1530"/>
      <c r="CT2192" s="1530"/>
      <c r="CU2192" s="1530"/>
      <c r="CV2192" s="1530"/>
      <c r="CW2192" s="1530"/>
      <c r="CX2192" s="1530"/>
      <c r="CY2192" s="1530"/>
      <c r="CZ2192" s="1530"/>
      <c r="DA2192" s="1530"/>
      <c r="DB2192" s="1530"/>
      <c r="DC2192" s="1530"/>
      <c r="DD2192" s="1530"/>
      <c r="DE2192" s="1530"/>
      <c r="DF2192" s="1530"/>
      <c r="DG2192" s="1530"/>
      <c r="DH2192" s="1530"/>
      <c r="DI2192" s="1530"/>
      <c r="DJ2192" s="1530"/>
      <c r="DK2192" s="1530"/>
      <c r="DL2192" s="1530"/>
      <c r="DM2192" s="1530"/>
      <c r="DN2192" s="1571"/>
      <c r="DO2192" s="1530"/>
      <c r="DP2192" s="1530"/>
    </row>
    <row r="2193" spans="1:120">
      <c r="A2193" s="1451"/>
      <c r="C2193" s="1451"/>
      <c r="K2193" s="1451"/>
      <c r="L2193" s="1451"/>
      <c r="U2193" s="1451"/>
      <c r="AD2193" s="1451"/>
      <c r="AM2193" s="1451"/>
      <c r="AV2193" s="1451"/>
      <c r="BE2193" s="1451"/>
      <c r="BN2193" s="1451"/>
      <c r="BV2193" s="1451"/>
      <c r="BW2193" s="1451"/>
      <c r="CF2193" s="1451"/>
      <c r="CN2193" s="1451"/>
      <c r="CO2193" s="1530"/>
      <c r="CP2193" s="1530"/>
      <c r="CQ2193" s="1530"/>
      <c r="CR2193" s="1530"/>
      <c r="CS2193" s="1530"/>
      <c r="CT2193" s="1530"/>
      <c r="CU2193" s="1530"/>
      <c r="CV2193" s="1530"/>
      <c r="CW2193" s="1530"/>
      <c r="CX2193" s="1530"/>
      <c r="CY2193" s="1530"/>
      <c r="CZ2193" s="1530"/>
      <c r="DA2193" s="1530"/>
      <c r="DB2193" s="1530"/>
      <c r="DC2193" s="1530"/>
      <c r="DD2193" s="1530"/>
      <c r="DE2193" s="1530"/>
      <c r="DF2193" s="1530"/>
      <c r="DG2193" s="1530"/>
      <c r="DH2193" s="1530"/>
      <c r="DI2193" s="1530"/>
      <c r="DJ2193" s="1530"/>
      <c r="DK2193" s="1530"/>
      <c r="DL2193" s="1530"/>
      <c r="DM2193" s="1530"/>
      <c r="DN2193" s="1571"/>
      <c r="DO2193" s="1530"/>
      <c r="DP2193" s="1530"/>
    </row>
    <row r="2194" spans="1:120">
      <c r="A2194" s="1451"/>
      <c r="C2194" s="1451"/>
      <c r="K2194" s="1451"/>
      <c r="L2194" s="1451"/>
      <c r="U2194" s="1451"/>
      <c r="AD2194" s="1451"/>
      <c r="AM2194" s="1451"/>
      <c r="AV2194" s="1451"/>
      <c r="BE2194" s="1451"/>
      <c r="BN2194" s="1451"/>
      <c r="BV2194" s="1451"/>
      <c r="BW2194" s="1451"/>
      <c r="CF2194" s="1451"/>
      <c r="CN2194" s="1451"/>
      <c r="CO2194" s="1530"/>
      <c r="CP2194" s="1530"/>
      <c r="CQ2194" s="1530"/>
      <c r="CR2194" s="1530"/>
      <c r="CS2194" s="1530"/>
      <c r="CT2194" s="1530"/>
      <c r="CU2194" s="1530"/>
      <c r="CV2194" s="1530"/>
      <c r="CW2194" s="1530"/>
      <c r="CX2194" s="1530"/>
      <c r="CY2194" s="1530"/>
      <c r="CZ2194" s="1530"/>
      <c r="DA2194" s="1530"/>
      <c r="DB2194" s="1530"/>
      <c r="DC2194" s="1530"/>
      <c r="DD2194" s="1530"/>
      <c r="DE2194" s="1530"/>
      <c r="DF2194" s="1530"/>
      <c r="DG2194" s="1530"/>
      <c r="DH2194" s="1530"/>
      <c r="DI2194" s="1530"/>
      <c r="DJ2194" s="1530"/>
      <c r="DK2194" s="1530"/>
      <c r="DL2194" s="1530"/>
      <c r="DM2194" s="1530"/>
      <c r="DN2194" s="1571"/>
      <c r="DO2194" s="1530"/>
      <c r="DP2194" s="1530"/>
    </row>
    <row r="2195" spans="1:120">
      <c r="A2195" s="1451"/>
      <c r="C2195" s="1451"/>
      <c r="K2195" s="1451"/>
      <c r="L2195" s="1451"/>
      <c r="U2195" s="1451"/>
      <c r="AD2195" s="1451"/>
      <c r="AM2195" s="1451"/>
      <c r="AV2195" s="1451"/>
      <c r="BE2195" s="1451"/>
      <c r="BN2195" s="1451"/>
      <c r="BV2195" s="1451"/>
      <c r="BW2195" s="1451"/>
      <c r="CF2195" s="1451"/>
      <c r="CN2195" s="1451"/>
      <c r="CO2195" s="1530"/>
      <c r="CP2195" s="1530"/>
      <c r="CQ2195" s="1530"/>
      <c r="CR2195" s="1530"/>
      <c r="CS2195" s="1530"/>
      <c r="CT2195" s="1530"/>
      <c r="CU2195" s="1530"/>
      <c r="CV2195" s="1530"/>
      <c r="CW2195" s="1530"/>
      <c r="CX2195" s="1530"/>
      <c r="CY2195" s="1530"/>
      <c r="CZ2195" s="1530"/>
      <c r="DA2195" s="1530"/>
      <c r="DB2195" s="1530"/>
      <c r="DC2195" s="1530"/>
      <c r="DD2195" s="1530"/>
      <c r="DE2195" s="1530"/>
      <c r="DF2195" s="1530"/>
      <c r="DG2195" s="1530"/>
      <c r="DH2195" s="1530"/>
      <c r="DI2195" s="1530"/>
      <c r="DJ2195" s="1530"/>
      <c r="DK2195" s="1530"/>
      <c r="DL2195" s="1530"/>
      <c r="DM2195" s="1530"/>
      <c r="DN2195" s="1571"/>
      <c r="DO2195" s="1530"/>
      <c r="DP2195" s="1530"/>
    </row>
    <row r="2196" spans="1:120">
      <c r="A2196" s="1451"/>
      <c r="C2196" s="1451"/>
      <c r="K2196" s="1451"/>
      <c r="L2196" s="1451"/>
      <c r="U2196" s="1451"/>
      <c r="AD2196" s="1451"/>
      <c r="AM2196" s="1451"/>
      <c r="AV2196" s="1451"/>
      <c r="BE2196" s="1451"/>
      <c r="BN2196" s="1451"/>
      <c r="BV2196" s="1451"/>
      <c r="BW2196" s="1451"/>
      <c r="CF2196" s="1451"/>
      <c r="CN2196" s="1451"/>
      <c r="CO2196" s="1530"/>
      <c r="CP2196" s="1530"/>
      <c r="CQ2196" s="1530"/>
      <c r="CR2196" s="1530"/>
      <c r="CS2196" s="1530"/>
      <c r="CT2196" s="1530"/>
      <c r="CU2196" s="1530"/>
      <c r="CV2196" s="1530"/>
      <c r="CW2196" s="1530"/>
      <c r="CX2196" s="1530"/>
      <c r="CY2196" s="1530"/>
      <c r="CZ2196" s="1530"/>
      <c r="DA2196" s="1530"/>
      <c r="DB2196" s="1530"/>
      <c r="DC2196" s="1530"/>
      <c r="DD2196" s="1530"/>
      <c r="DE2196" s="1530"/>
      <c r="DF2196" s="1530"/>
      <c r="DG2196" s="1530"/>
      <c r="DH2196" s="1530"/>
      <c r="DI2196" s="1530"/>
      <c r="DJ2196" s="1530"/>
      <c r="DK2196" s="1530"/>
      <c r="DL2196" s="1530"/>
      <c r="DM2196" s="1530"/>
      <c r="DN2196" s="1571"/>
      <c r="DO2196" s="1530"/>
      <c r="DP2196" s="1530"/>
    </row>
    <row r="2197" spans="1:120">
      <c r="A2197" s="1451"/>
      <c r="C2197" s="1451"/>
      <c r="K2197" s="1451"/>
      <c r="L2197" s="1451"/>
      <c r="U2197" s="1451"/>
      <c r="AD2197" s="1451"/>
      <c r="AM2197" s="1451"/>
      <c r="AV2197" s="1451"/>
      <c r="BE2197" s="1451"/>
      <c r="BN2197" s="1451"/>
      <c r="BV2197" s="1451"/>
      <c r="BW2197" s="1451"/>
      <c r="CF2197" s="1451"/>
      <c r="CN2197" s="1451"/>
      <c r="CO2197" s="1530"/>
      <c r="CP2197" s="1530"/>
      <c r="CQ2197" s="1530"/>
      <c r="CR2197" s="1530"/>
      <c r="CS2197" s="1530"/>
      <c r="CT2197" s="1530"/>
      <c r="CU2197" s="1530"/>
      <c r="CV2197" s="1530"/>
      <c r="CW2197" s="1530"/>
      <c r="CX2197" s="1530"/>
      <c r="CY2197" s="1530"/>
      <c r="CZ2197" s="1530"/>
      <c r="DA2197" s="1530"/>
      <c r="DB2197" s="1530"/>
      <c r="DC2197" s="1530"/>
      <c r="DD2197" s="1530"/>
      <c r="DE2197" s="1530"/>
      <c r="DF2197" s="1530"/>
      <c r="DG2197" s="1530"/>
      <c r="DH2197" s="1530"/>
      <c r="DI2197" s="1530"/>
      <c r="DJ2197" s="1530"/>
      <c r="DK2197" s="1530"/>
      <c r="DL2197" s="1530"/>
      <c r="DM2197" s="1530"/>
      <c r="DN2197" s="1571"/>
      <c r="DO2197" s="1530"/>
      <c r="DP2197" s="1530"/>
    </row>
    <row r="2198" spans="1:120">
      <c r="A2198" s="1451"/>
      <c r="C2198" s="1451"/>
      <c r="K2198" s="1451"/>
      <c r="L2198" s="1451"/>
      <c r="U2198" s="1451"/>
      <c r="AD2198" s="1451"/>
      <c r="AM2198" s="1451"/>
      <c r="AV2198" s="1451"/>
      <c r="BE2198" s="1451"/>
      <c r="BN2198" s="1451"/>
      <c r="BV2198" s="1451"/>
      <c r="BW2198" s="1451"/>
      <c r="CF2198" s="1451"/>
      <c r="CN2198" s="1451"/>
      <c r="CO2198" s="1530"/>
      <c r="CP2198" s="1530"/>
      <c r="CQ2198" s="1530"/>
      <c r="CR2198" s="1530"/>
      <c r="CS2198" s="1530"/>
      <c r="CT2198" s="1530"/>
      <c r="CU2198" s="1530"/>
      <c r="CV2198" s="1530"/>
      <c r="CW2198" s="1530"/>
      <c r="CX2198" s="1530"/>
      <c r="CY2198" s="1530"/>
      <c r="CZ2198" s="1530"/>
      <c r="DA2198" s="1530"/>
      <c r="DB2198" s="1530"/>
      <c r="DC2198" s="1530"/>
      <c r="DD2198" s="1530"/>
      <c r="DE2198" s="1530"/>
      <c r="DF2198" s="1530"/>
      <c r="DG2198" s="1530"/>
      <c r="DH2198" s="1530"/>
      <c r="DI2198" s="1530"/>
      <c r="DJ2198" s="1530"/>
      <c r="DK2198" s="1530"/>
      <c r="DL2198" s="1530"/>
      <c r="DM2198" s="1530"/>
      <c r="DN2198" s="1571"/>
      <c r="DO2198" s="1530"/>
      <c r="DP2198" s="1530"/>
    </row>
    <row r="2199" spans="1:120">
      <c r="A2199" s="1451"/>
      <c r="C2199" s="1451"/>
      <c r="K2199" s="1451"/>
      <c r="L2199" s="1451"/>
      <c r="U2199" s="1451"/>
      <c r="AD2199" s="1451"/>
      <c r="AM2199" s="1451"/>
      <c r="AV2199" s="1451"/>
      <c r="BE2199" s="1451"/>
      <c r="BN2199" s="1451"/>
      <c r="BV2199" s="1451"/>
      <c r="BW2199" s="1451"/>
      <c r="CF2199" s="1451"/>
      <c r="CN2199" s="1451"/>
      <c r="CO2199" s="1530"/>
      <c r="CP2199" s="1530"/>
      <c r="CQ2199" s="1530"/>
      <c r="CR2199" s="1530"/>
      <c r="CS2199" s="1530"/>
      <c r="CT2199" s="1530"/>
      <c r="CU2199" s="1530"/>
      <c r="CV2199" s="1530"/>
      <c r="CW2199" s="1530"/>
      <c r="CX2199" s="1530"/>
      <c r="CY2199" s="1530"/>
      <c r="CZ2199" s="1530"/>
      <c r="DA2199" s="1530"/>
      <c r="DB2199" s="1530"/>
      <c r="DC2199" s="1530"/>
      <c r="DD2199" s="1530"/>
      <c r="DE2199" s="1530"/>
      <c r="DF2199" s="1530"/>
      <c r="DG2199" s="1530"/>
      <c r="DH2199" s="1530"/>
      <c r="DI2199" s="1530"/>
      <c r="DJ2199" s="1530"/>
      <c r="DK2199" s="1530"/>
      <c r="DL2199" s="1530"/>
      <c r="DM2199" s="1530"/>
      <c r="DN2199" s="1571"/>
      <c r="DO2199" s="1530"/>
      <c r="DP2199" s="1530"/>
    </row>
    <row r="2200" spans="1:120">
      <c r="A2200" s="1451"/>
      <c r="C2200" s="1451"/>
      <c r="K2200" s="1451"/>
      <c r="L2200" s="1451"/>
      <c r="U2200" s="1451"/>
      <c r="AD2200" s="1451"/>
      <c r="AM2200" s="1451"/>
      <c r="AV2200" s="1451"/>
      <c r="BE2200" s="1451"/>
      <c r="BN2200" s="1451"/>
      <c r="BV2200" s="1451"/>
      <c r="BW2200" s="1451"/>
      <c r="CF2200" s="1451"/>
      <c r="CN2200" s="1451"/>
      <c r="CO2200" s="1530"/>
      <c r="CP2200" s="1530"/>
      <c r="CQ2200" s="1530"/>
      <c r="CR2200" s="1530"/>
      <c r="CS2200" s="1530"/>
      <c r="CT2200" s="1530"/>
      <c r="CU2200" s="1530"/>
      <c r="CV2200" s="1530"/>
      <c r="CW2200" s="1530"/>
      <c r="CX2200" s="1530"/>
      <c r="CY2200" s="1530"/>
      <c r="CZ2200" s="1530"/>
      <c r="DA2200" s="1530"/>
      <c r="DB2200" s="1530"/>
      <c r="DC2200" s="1530"/>
      <c r="DD2200" s="1530"/>
      <c r="DE2200" s="1530"/>
      <c r="DF2200" s="1530"/>
      <c r="DG2200" s="1530"/>
      <c r="DH2200" s="1530"/>
      <c r="DI2200" s="1530"/>
      <c r="DJ2200" s="1530"/>
      <c r="DK2200" s="1530"/>
      <c r="DL2200" s="1530"/>
      <c r="DM2200" s="1530"/>
      <c r="DN2200" s="1571"/>
      <c r="DO2200" s="1530"/>
      <c r="DP2200" s="1530"/>
    </row>
    <row r="2201" spans="1:120">
      <c r="A2201" s="1451"/>
      <c r="C2201" s="1451"/>
      <c r="K2201" s="1451"/>
      <c r="L2201" s="1451"/>
      <c r="U2201" s="1451"/>
      <c r="AD2201" s="1451"/>
      <c r="AM2201" s="1451"/>
      <c r="AV2201" s="1451"/>
      <c r="BE2201" s="1451"/>
      <c r="BN2201" s="1451"/>
      <c r="BV2201" s="1451"/>
      <c r="BW2201" s="1451"/>
      <c r="CF2201" s="1451"/>
      <c r="CN2201" s="1451"/>
      <c r="CO2201" s="1530"/>
      <c r="CP2201" s="1530"/>
      <c r="CQ2201" s="1530"/>
      <c r="CR2201" s="1530"/>
      <c r="CS2201" s="1530"/>
      <c r="CT2201" s="1530"/>
      <c r="CU2201" s="1530"/>
      <c r="CV2201" s="1530"/>
      <c r="CW2201" s="1530"/>
      <c r="CX2201" s="1530"/>
      <c r="CY2201" s="1530"/>
      <c r="CZ2201" s="1530"/>
      <c r="DA2201" s="1530"/>
      <c r="DB2201" s="1530"/>
      <c r="DC2201" s="1530"/>
      <c r="DD2201" s="1530"/>
      <c r="DE2201" s="1530"/>
      <c r="DF2201" s="1530"/>
      <c r="DG2201" s="1530"/>
      <c r="DH2201" s="1530"/>
      <c r="DI2201" s="1530"/>
      <c r="DJ2201" s="1530"/>
      <c r="DK2201" s="1530"/>
      <c r="DL2201" s="1530"/>
      <c r="DM2201" s="1530"/>
      <c r="DN2201" s="1571"/>
      <c r="DO2201" s="1530"/>
      <c r="DP2201" s="1530"/>
    </row>
    <row r="2202" spans="1:120">
      <c r="A2202" s="1451"/>
      <c r="C2202" s="1451"/>
      <c r="K2202" s="1451"/>
      <c r="L2202" s="1451"/>
      <c r="U2202" s="1451"/>
      <c r="AD2202" s="1451"/>
      <c r="AM2202" s="1451"/>
      <c r="AV2202" s="1451"/>
      <c r="BE2202" s="1451"/>
      <c r="BN2202" s="1451"/>
      <c r="BV2202" s="1451"/>
      <c r="BW2202" s="1451"/>
      <c r="CF2202" s="1451"/>
      <c r="CN2202" s="1451"/>
      <c r="CO2202" s="1530"/>
      <c r="CP2202" s="1530"/>
      <c r="CQ2202" s="1530"/>
      <c r="CR2202" s="1530"/>
      <c r="CS2202" s="1530"/>
      <c r="CT2202" s="1530"/>
      <c r="CU2202" s="1530"/>
      <c r="CV2202" s="1530"/>
      <c r="CW2202" s="1530"/>
      <c r="CX2202" s="1530"/>
      <c r="CY2202" s="1530"/>
      <c r="CZ2202" s="1530"/>
      <c r="DA2202" s="1530"/>
      <c r="DB2202" s="1530"/>
      <c r="DC2202" s="1530"/>
      <c r="DD2202" s="1530"/>
      <c r="DE2202" s="1530"/>
      <c r="DF2202" s="1530"/>
      <c r="DG2202" s="1530"/>
      <c r="DH2202" s="1530"/>
      <c r="DI2202" s="1530"/>
      <c r="DJ2202" s="1530"/>
      <c r="DK2202" s="1530"/>
      <c r="DL2202" s="1530"/>
      <c r="DM2202" s="1530"/>
      <c r="DN2202" s="1571"/>
      <c r="DO2202" s="1530"/>
      <c r="DP2202" s="1530"/>
    </row>
    <row r="2203" spans="1:120">
      <c r="A2203" s="1451"/>
      <c r="C2203" s="1451"/>
      <c r="K2203" s="1451"/>
      <c r="L2203" s="1451"/>
      <c r="U2203" s="1451"/>
      <c r="AD2203" s="1451"/>
      <c r="AM2203" s="1451"/>
      <c r="AV2203" s="1451"/>
      <c r="BE2203" s="1451"/>
      <c r="BN2203" s="1451"/>
      <c r="BV2203" s="1451"/>
      <c r="BW2203" s="1451"/>
      <c r="CF2203" s="1451"/>
      <c r="CN2203" s="1451"/>
      <c r="CO2203" s="1530"/>
      <c r="CP2203" s="1530"/>
      <c r="CQ2203" s="1530"/>
      <c r="CR2203" s="1530"/>
      <c r="CS2203" s="1530"/>
      <c r="CT2203" s="1530"/>
      <c r="CU2203" s="1530"/>
      <c r="CV2203" s="1530"/>
      <c r="CW2203" s="1530"/>
      <c r="CX2203" s="1530"/>
      <c r="CY2203" s="1530"/>
      <c r="CZ2203" s="1530"/>
      <c r="DA2203" s="1530"/>
      <c r="DB2203" s="1530"/>
      <c r="DC2203" s="1530"/>
      <c r="DD2203" s="1530"/>
      <c r="DE2203" s="1530"/>
      <c r="DF2203" s="1530"/>
      <c r="DG2203" s="1530"/>
      <c r="DH2203" s="1530"/>
      <c r="DI2203" s="1530"/>
      <c r="DJ2203" s="1530"/>
      <c r="DK2203" s="1530"/>
      <c r="DL2203" s="1530"/>
      <c r="DM2203" s="1530"/>
      <c r="DN2203" s="1571"/>
      <c r="DO2203" s="1530"/>
      <c r="DP2203" s="1530"/>
    </row>
    <row r="2204" spans="1:120">
      <c r="A2204" s="1451"/>
      <c r="C2204" s="1451"/>
      <c r="K2204" s="1451"/>
      <c r="L2204" s="1451"/>
      <c r="U2204" s="1451"/>
      <c r="AD2204" s="1451"/>
      <c r="AM2204" s="1451"/>
      <c r="AV2204" s="1451"/>
      <c r="BE2204" s="1451"/>
      <c r="BN2204" s="1451"/>
      <c r="BV2204" s="1451"/>
      <c r="BW2204" s="1451"/>
      <c r="CF2204" s="1451"/>
      <c r="CN2204" s="1451"/>
      <c r="CO2204" s="1530"/>
      <c r="CP2204" s="1530"/>
      <c r="CQ2204" s="1530"/>
      <c r="CR2204" s="1530"/>
      <c r="CS2204" s="1530"/>
      <c r="CT2204" s="1530"/>
      <c r="CU2204" s="1530"/>
      <c r="CV2204" s="1530"/>
      <c r="CW2204" s="1530"/>
      <c r="CX2204" s="1530"/>
      <c r="CY2204" s="1530"/>
      <c r="CZ2204" s="1530"/>
      <c r="DA2204" s="1530"/>
      <c r="DB2204" s="1530"/>
      <c r="DC2204" s="1530"/>
      <c r="DD2204" s="1530"/>
      <c r="DE2204" s="1530"/>
      <c r="DF2204" s="1530"/>
      <c r="DG2204" s="1530"/>
      <c r="DH2204" s="1530"/>
      <c r="DI2204" s="1530"/>
      <c r="DJ2204" s="1530"/>
      <c r="DK2204" s="1530"/>
      <c r="DL2204" s="1530"/>
      <c r="DM2204" s="1530"/>
      <c r="DN2204" s="1571"/>
      <c r="DO2204" s="1530"/>
      <c r="DP2204" s="1530"/>
    </row>
    <row r="2205" spans="1:120">
      <c r="A2205" s="1451"/>
      <c r="C2205" s="1451"/>
      <c r="K2205" s="1451"/>
      <c r="L2205" s="1451"/>
      <c r="U2205" s="1451"/>
      <c r="AD2205" s="1451"/>
      <c r="AM2205" s="1451"/>
      <c r="AV2205" s="1451"/>
      <c r="BE2205" s="1451"/>
      <c r="BN2205" s="1451"/>
      <c r="BV2205" s="1451"/>
      <c r="BW2205" s="1451"/>
      <c r="CF2205" s="1451"/>
      <c r="CN2205" s="1451"/>
      <c r="CO2205" s="1530"/>
      <c r="CP2205" s="1530"/>
      <c r="CQ2205" s="1530"/>
      <c r="CR2205" s="1530"/>
      <c r="CS2205" s="1530"/>
      <c r="CT2205" s="1530"/>
      <c r="CU2205" s="1530"/>
      <c r="CV2205" s="1530"/>
      <c r="CW2205" s="1530"/>
      <c r="CX2205" s="1530"/>
      <c r="CY2205" s="1530"/>
      <c r="CZ2205" s="1530"/>
      <c r="DA2205" s="1530"/>
      <c r="DB2205" s="1530"/>
      <c r="DC2205" s="1530"/>
      <c r="DD2205" s="1530"/>
      <c r="DE2205" s="1530"/>
      <c r="DF2205" s="1530"/>
      <c r="DG2205" s="1530"/>
      <c r="DH2205" s="1530"/>
      <c r="DI2205" s="1530"/>
      <c r="DJ2205" s="1530"/>
      <c r="DK2205" s="1530"/>
      <c r="DL2205" s="1530"/>
      <c r="DM2205" s="1530"/>
      <c r="DN2205" s="1571"/>
      <c r="DO2205" s="1530"/>
      <c r="DP2205" s="1530"/>
    </row>
    <row r="2206" spans="1:120">
      <c r="A2206" s="1451"/>
      <c r="C2206" s="1451"/>
      <c r="K2206" s="1451"/>
      <c r="L2206" s="1451"/>
      <c r="U2206" s="1451"/>
      <c r="AD2206" s="1451"/>
      <c r="AM2206" s="1451"/>
      <c r="AV2206" s="1451"/>
      <c r="BE2206" s="1451"/>
      <c r="BN2206" s="1451"/>
      <c r="BV2206" s="1451"/>
      <c r="BW2206" s="1451"/>
      <c r="CF2206" s="1451"/>
      <c r="CN2206" s="1451"/>
      <c r="CO2206" s="1530"/>
      <c r="CP2206" s="1530"/>
      <c r="CQ2206" s="1530"/>
      <c r="CR2206" s="1530"/>
      <c r="CS2206" s="1530"/>
      <c r="CT2206" s="1530"/>
      <c r="CU2206" s="1530"/>
      <c r="CV2206" s="1530"/>
      <c r="CW2206" s="1530"/>
      <c r="CX2206" s="1530"/>
      <c r="CY2206" s="1530"/>
      <c r="CZ2206" s="1530"/>
      <c r="DA2206" s="1530"/>
      <c r="DB2206" s="1530"/>
      <c r="DC2206" s="1530"/>
      <c r="DD2206" s="1530"/>
      <c r="DE2206" s="1530"/>
      <c r="DF2206" s="1530"/>
      <c r="DG2206" s="1530"/>
      <c r="DH2206" s="1530"/>
      <c r="DI2206" s="1530"/>
      <c r="DJ2206" s="1530"/>
      <c r="DK2206" s="1530"/>
      <c r="DL2206" s="1530"/>
      <c r="DM2206" s="1530"/>
      <c r="DN2206" s="1571"/>
      <c r="DO2206" s="1530"/>
      <c r="DP2206" s="1530"/>
    </row>
    <row r="2207" spans="1:120">
      <c r="A2207" s="1451"/>
      <c r="C2207" s="1451"/>
      <c r="K2207" s="1451"/>
      <c r="L2207" s="1451"/>
      <c r="U2207" s="1451"/>
      <c r="AD2207" s="1451"/>
      <c r="AM2207" s="1451"/>
      <c r="AV2207" s="1451"/>
      <c r="BE2207" s="1451"/>
      <c r="BN2207" s="1451"/>
      <c r="BV2207" s="1451"/>
      <c r="BW2207" s="1451"/>
      <c r="CF2207" s="1451"/>
      <c r="CN2207" s="1451"/>
      <c r="CO2207" s="1530"/>
      <c r="CP2207" s="1530"/>
      <c r="CQ2207" s="1530"/>
      <c r="CR2207" s="1530"/>
      <c r="CS2207" s="1530"/>
      <c r="CT2207" s="1530"/>
      <c r="CU2207" s="1530"/>
      <c r="CV2207" s="1530"/>
      <c r="CW2207" s="1530"/>
      <c r="CX2207" s="1530"/>
      <c r="CY2207" s="1530"/>
      <c r="CZ2207" s="1530"/>
      <c r="DA2207" s="1530"/>
      <c r="DB2207" s="1530"/>
      <c r="DC2207" s="1530"/>
      <c r="DD2207" s="1530"/>
      <c r="DE2207" s="1530"/>
      <c r="DF2207" s="1530"/>
      <c r="DG2207" s="1530"/>
      <c r="DH2207" s="1530"/>
      <c r="DI2207" s="1530"/>
      <c r="DJ2207" s="1530"/>
      <c r="DK2207" s="1530"/>
      <c r="DL2207" s="1530"/>
      <c r="DM2207" s="1530"/>
      <c r="DN2207" s="1571"/>
      <c r="DO2207" s="1530"/>
      <c r="DP2207" s="1530"/>
    </row>
    <row r="2208" spans="1:120">
      <c r="A2208" s="1451"/>
      <c r="C2208" s="1451"/>
      <c r="K2208" s="1451"/>
      <c r="L2208" s="1451"/>
      <c r="U2208" s="1451"/>
      <c r="AD2208" s="1451"/>
      <c r="AM2208" s="1451"/>
      <c r="AV2208" s="1451"/>
      <c r="BE2208" s="1451"/>
      <c r="BN2208" s="1451"/>
      <c r="BV2208" s="1451"/>
      <c r="BW2208" s="1451"/>
      <c r="CF2208" s="1451"/>
      <c r="CN2208" s="1451"/>
      <c r="CO2208" s="1530"/>
      <c r="CP2208" s="1530"/>
      <c r="CQ2208" s="1530"/>
      <c r="CR2208" s="1530"/>
      <c r="CS2208" s="1530"/>
      <c r="CT2208" s="1530"/>
      <c r="CU2208" s="1530"/>
      <c r="CV2208" s="1530"/>
      <c r="CW2208" s="1530"/>
      <c r="CX2208" s="1530"/>
      <c r="CY2208" s="1530"/>
      <c r="CZ2208" s="1530"/>
      <c r="DA2208" s="1530"/>
      <c r="DB2208" s="1530"/>
      <c r="DC2208" s="1530"/>
      <c r="DD2208" s="1530"/>
      <c r="DE2208" s="1530"/>
      <c r="DF2208" s="1530"/>
      <c r="DG2208" s="1530"/>
      <c r="DH2208" s="1530"/>
      <c r="DI2208" s="1530"/>
      <c r="DJ2208" s="1530"/>
      <c r="DK2208" s="1530"/>
      <c r="DL2208" s="1530"/>
      <c r="DM2208" s="1530"/>
      <c r="DN2208" s="1571"/>
      <c r="DO2208" s="1530"/>
      <c r="DP2208" s="1530"/>
    </row>
    <row r="2209" spans="1:120">
      <c r="A2209" s="1451"/>
      <c r="C2209" s="1451"/>
      <c r="K2209" s="1451"/>
      <c r="L2209" s="1451"/>
      <c r="U2209" s="1451"/>
      <c r="AD2209" s="1451"/>
      <c r="AM2209" s="1451"/>
      <c r="AV2209" s="1451"/>
      <c r="BE2209" s="1451"/>
      <c r="BN2209" s="1451"/>
      <c r="BV2209" s="1451"/>
      <c r="BW2209" s="1451"/>
      <c r="CF2209" s="1451"/>
      <c r="CN2209" s="1451"/>
      <c r="CO2209" s="1530"/>
      <c r="CP2209" s="1530"/>
      <c r="CQ2209" s="1530"/>
      <c r="CR2209" s="1530"/>
      <c r="CS2209" s="1530"/>
      <c r="CT2209" s="1530"/>
      <c r="CU2209" s="1530"/>
      <c r="CV2209" s="1530"/>
      <c r="CW2209" s="1530"/>
      <c r="CX2209" s="1530"/>
      <c r="CY2209" s="1530"/>
      <c r="CZ2209" s="1530"/>
      <c r="DA2209" s="1530"/>
      <c r="DB2209" s="1530"/>
      <c r="DC2209" s="1530"/>
      <c r="DD2209" s="1530"/>
      <c r="DE2209" s="1530"/>
      <c r="DF2209" s="1530"/>
      <c r="DG2209" s="1530"/>
      <c r="DH2209" s="1530"/>
      <c r="DI2209" s="1530"/>
      <c r="DJ2209" s="1530"/>
      <c r="DK2209" s="1530"/>
      <c r="DL2209" s="1530"/>
      <c r="DM2209" s="1530"/>
      <c r="DN2209" s="1571"/>
      <c r="DO2209" s="1530"/>
      <c r="DP2209" s="1530"/>
    </row>
    <row r="2210" spans="1:120">
      <c r="A2210" s="1451"/>
      <c r="C2210" s="1451"/>
      <c r="K2210" s="1451"/>
      <c r="L2210" s="1451"/>
      <c r="U2210" s="1451"/>
      <c r="AD2210" s="1451"/>
      <c r="AM2210" s="1451"/>
      <c r="AV2210" s="1451"/>
      <c r="BE2210" s="1451"/>
      <c r="BN2210" s="1451"/>
      <c r="BV2210" s="1451"/>
      <c r="BW2210" s="1451"/>
      <c r="CF2210" s="1451"/>
      <c r="CN2210" s="1451"/>
      <c r="CO2210" s="1530"/>
      <c r="CP2210" s="1530"/>
      <c r="CQ2210" s="1530"/>
      <c r="CR2210" s="1530"/>
      <c r="CS2210" s="1530"/>
      <c r="CT2210" s="1530"/>
      <c r="CU2210" s="1530"/>
      <c r="CV2210" s="1530"/>
      <c r="CW2210" s="1530"/>
      <c r="CX2210" s="1530"/>
      <c r="CY2210" s="1530"/>
      <c r="CZ2210" s="1530"/>
      <c r="DA2210" s="1530"/>
      <c r="DB2210" s="1530"/>
      <c r="DC2210" s="1530"/>
      <c r="DD2210" s="1530"/>
      <c r="DE2210" s="1530"/>
      <c r="DF2210" s="1530"/>
      <c r="DG2210" s="1530"/>
      <c r="DH2210" s="1530"/>
      <c r="DI2210" s="1530"/>
      <c r="DJ2210" s="1530"/>
      <c r="DK2210" s="1530"/>
      <c r="DL2210" s="1530"/>
      <c r="DM2210" s="1530"/>
      <c r="DN2210" s="1571"/>
      <c r="DO2210" s="1530"/>
      <c r="DP2210" s="1530"/>
    </row>
    <row r="2211" spans="1:120">
      <c r="A2211" s="1451"/>
      <c r="C2211" s="1451"/>
      <c r="K2211" s="1451"/>
      <c r="L2211" s="1451"/>
      <c r="U2211" s="1451"/>
      <c r="AD2211" s="1451"/>
      <c r="AM2211" s="1451"/>
      <c r="AV2211" s="1451"/>
      <c r="BE2211" s="1451"/>
      <c r="BN2211" s="1451"/>
      <c r="BV2211" s="1451"/>
      <c r="BW2211" s="1451"/>
      <c r="CF2211" s="1451"/>
      <c r="CN2211" s="1451"/>
      <c r="CO2211" s="1530"/>
      <c r="CP2211" s="1530"/>
      <c r="CQ2211" s="1530"/>
      <c r="CR2211" s="1530"/>
      <c r="CS2211" s="1530"/>
      <c r="CT2211" s="1530"/>
      <c r="CU2211" s="1530"/>
      <c r="CV2211" s="1530"/>
      <c r="CW2211" s="1530"/>
      <c r="CX2211" s="1530"/>
      <c r="CY2211" s="1530"/>
      <c r="CZ2211" s="1530"/>
      <c r="DA2211" s="1530"/>
      <c r="DB2211" s="1530"/>
      <c r="DC2211" s="1530"/>
      <c r="DD2211" s="1530"/>
      <c r="DE2211" s="1530"/>
      <c r="DF2211" s="1530"/>
      <c r="DG2211" s="1530"/>
      <c r="DH2211" s="1530"/>
      <c r="DI2211" s="1530"/>
      <c r="DJ2211" s="1530"/>
      <c r="DK2211" s="1530"/>
      <c r="DL2211" s="1530"/>
      <c r="DM2211" s="1530"/>
      <c r="DN2211" s="1571"/>
      <c r="DO2211" s="1530"/>
      <c r="DP2211" s="1530"/>
    </row>
    <row r="2212" spans="1:120">
      <c r="A2212" s="1451"/>
      <c r="C2212" s="1451"/>
      <c r="K2212" s="1451"/>
      <c r="L2212" s="1451"/>
      <c r="U2212" s="1451"/>
      <c r="AD2212" s="1451"/>
      <c r="AM2212" s="1451"/>
      <c r="AV2212" s="1451"/>
      <c r="BE2212" s="1451"/>
      <c r="BN2212" s="1451"/>
      <c r="BV2212" s="1451"/>
      <c r="BW2212" s="1451"/>
      <c r="CF2212" s="1451"/>
      <c r="CN2212" s="1451"/>
      <c r="CO2212" s="1530"/>
      <c r="CP2212" s="1530"/>
      <c r="CQ2212" s="1530"/>
      <c r="CR2212" s="1530"/>
      <c r="CS2212" s="1530"/>
      <c r="CT2212" s="1530"/>
      <c r="CU2212" s="1530"/>
      <c r="CV2212" s="1530"/>
      <c r="CW2212" s="1530"/>
      <c r="CX2212" s="1530"/>
      <c r="CY2212" s="1530"/>
      <c r="CZ2212" s="1530"/>
      <c r="DA2212" s="1530"/>
      <c r="DB2212" s="1530"/>
      <c r="DC2212" s="1530"/>
      <c r="DD2212" s="1530"/>
      <c r="DE2212" s="1530"/>
      <c r="DF2212" s="1530"/>
      <c r="DG2212" s="1530"/>
      <c r="DH2212" s="1530"/>
      <c r="DI2212" s="1530"/>
      <c r="DJ2212" s="1530"/>
      <c r="DK2212" s="1530"/>
      <c r="DL2212" s="1530"/>
      <c r="DM2212" s="1530"/>
      <c r="DN2212" s="1571"/>
      <c r="DO2212" s="1530"/>
      <c r="DP2212" s="1530"/>
    </row>
    <row r="2213" spans="1:120">
      <c r="A2213" s="1451"/>
      <c r="C2213" s="1451"/>
      <c r="K2213" s="1451"/>
      <c r="L2213" s="1451"/>
      <c r="U2213" s="1451"/>
      <c r="AD2213" s="1451"/>
      <c r="AM2213" s="1451"/>
      <c r="AV2213" s="1451"/>
      <c r="BE2213" s="1451"/>
      <c r="BN2213" s="1451"/>
      <c r="BV2213" s="1451"/>
      <c r="BW2213" s="1451"/>
      <c r="CF2213" s="1451"/>
      <c r="CN2213" s="1451"/>
      <c r="CO2213" s="1530"/>
      <c r="CP2213" s="1530"/>
      <c r="CQ2213" s="1530"/>
      <c r="CR2213" s="1530"/>
      <c r="CS2213" s="1530"/>
      <c r="CT2213" s="1530"/>
      <c r="CU2213" s="1530"/>
      <c r="CV2213" s="1530"/>
      <c r="CW2213" s="1530"/>
      <c r="CX2213" s="1530"/>
      <c r="CY2213" s="1530"/>
      <c r="CZ2213" s="1530"/>
      <c r="DA2213" s="1530"/>
      <c r="DB2213" s="1530"/>
      <c r="DC2213" s="1530"/>
      <c r="DD2213" s="1530"/>
      <c r="DE2213" s="1530"/>
      <c r="DF2213" s="1530"/>
      <c r="DG2213" s="1530"/>
      <c r="DH2213" s="1530"/>
      <c r="DI2213" s="1530"/>
      <c r="DJ2213" s="1530"/>
      <c r="DK2213" s="1530"/>
      <c r="DL2213" s="1530"/>
      <c r="DM2213" s="1530"/>
      <c r="DN2213" s="1571"/>
      <c r="DO2213" s="1530"/>
      <c r="DP2213" s="1530"/>
    </row>
    <row r="2214" spans="1:120">
      <c r="A2214" s="1451"/>
      <c r="C2214" s="1451"/>
      <c r="K2214" s="1451"/>
      <c r="L2214" s="1451"/>
      <c r="U2214" s="1451"/>
      <c r="AD2214" s="1451"/>
      <c r="AM2214" s="1451"/>
      <c r="AV2214" s="1451"/>
      <c r="BE2214" s="1451"/>
      <c r="BN2214" s="1451"/>
      <c r="BV2214" s="1451"/>
      <c r="BW2214" s="1451"/>
      <c r="CF2214" s="1451"/>
      <c r="CN2214" s="1451"/>
      <c r="CO2214" s="1530"/>
      <c r="CP2214" s="1530"/>
      <c r="CQ2214" s="1530"/>
      <c r="CR2214" s="1530"/>
      <c r="CS2214" s="1530"/>
      <c r="CT2214" s="1530"/>
      <c r="CU2214" s="1530"/>
      <c r="CV2214" s="1530"/>
      <c r="CW2214" s="1530"/>
      <c r="CX2214" s="1530"/>
      <c r="CY2214" s="1530"/>
      <c r="CZ2214" s="1530"/>
      <c r="DA2214" s="1530"/>
      <c r="DB2214" s="1530"/>
      <c r="DC2214" s="1530"/>
      <c r="DD2214" s="1530"/>
      <c r="DE2214" s="1530"/>
      <c r="DF2214" s="1530"/>
      <c r="DG2214" s="1530"/>
      <c r="DH2214" s="1530"/>
      <c r="DI2214" s="1530"/>
      <c r="DJ2214" s="1530"/>
      <c r="DK2214" s="1530"/>
      <c r="DL2214" s="1530"/>
      <c r="DM2214" s="1530"/>
      <c r="DN2214" s="1571"/>
      <c r="DO2214" s="1530"/>
      <c r="DP2214" s="1530"/>
    </row>
    <row r="2215" spans="1:120">
      <c r="A2215" s="1451"/>
      <c r="C2215" s="1451"/>
      <c r="K2215" s="1451"/>
      <c r="L2215" s="1451"/>
      <c r="U2215" s="1451"/>
      <c r="AD2215" s="1451"/>
      <c r="AM2215" s="1451"/>
      <c r="AV2215" s="1451"/>
      <c r="BE2215" s="1451"/>
      <c r="BN2215" s="1451"/>
      <c r="BV2215" s="1451"/>
      <c r="BW2215" s="1451"/>
      <c r="CF2215" s="1451"/>
      <c r="CN2215" s="1451"/>
      <c r="CO2215" s="1530"/>
      <c r="CP2215" s="1530"/>
      <c r="CQ2215" s="1530"/>
      <c r="CR2215" s="1530"/>
      <c r="CS2215" s="1530"/>
      <c r="CT2215" s="1530"/>
      <c r="CU2215" s="1530"/>
      <c r="CV2215" s="1530"/>
      <c r="CW2215" s="1530"/>
      <c r="CX2215" s="1530"/>
      <c r="CY2215" s="1530"/>
      <c r="CZ2215" s="1530"/>
      <c r="DA2215" s="1530"/>
      <c r="DB2215" s="1530"/>
      <c r="DC2215" s="1530"/>
      <c r="DD2215" s="1530"/>
      <c r="DE2215" s="1530"/>
      <c r="DF2215" s="1530"/>
      <c r="DG2215" s="1530"/>
      <c r="DH2215" s="1530"/>
      <c r="DI2215" s="1530"/>
      <c r="DJ2215" s="1530"/>
      <c r="DK2215" s="1530"/>
      <c r="DL2215" s="1530"/>
      <c r="DM2215" s="1530"/>
      <c r="DN2215" s="1571"/>
      <c r="DO2215" s="1530"/>
      <c r="DP2215" s="1530"/>
    </row>
    <row r="2216" spans="1:120">
      <c r="A2216" s="1451"/>
      <c r="C2216" s="1451"/>
      <c r="K2216" s="1451"/>
      <c r="L2216" s="1451"/>
      <c r="U2216" s="1451"/>
      <c r="AD2216" s="1451"/>
      <c r="AM2216" s="1451"/>
      <c r="AV2216" s="1451"/>
      <c r="BE2216" s="1451"/>
      <c r="BN2216" s="1451"/>
      <c r="BV2216" s="1451"/>
      <c r="BW2216" s="1451"/>
      <c r="CF2216" s="1451"/>
      <c r="CN2216" s="1451"/>
      <c r="CO2216" s="1530"/>
      <c r="CP2216" s="1530"/>
      <c r="CQ2216" s="1530"/>
      <c r="CR2216" s="1530"/>
      <c r="CS2216" s="1530"/>
      <c r="CT2216" s="1530"/>
      <c r="CU2216" s="1530"/>
      <c r="CV2216" s="1530"/>
      <c r="CW2216" s="1530"/>
      <c r="CX2216" s="1530"/>
      <c r="CY2216" s="1530"/>
      <c r="CZ2216" s="1530"/>
      <c r="DA2216" s="1530"/>
      <c r="DB2216" s="1530"/>
      <c r="DC2216" s="1530"/>
      <c r="DD2216" s="1530"/>
      <c r="DE2216" s="1530"/>
      <c r="DF2216" s="1530"/>
      <c r="DG2216" s="1530"/>
      <c r="DH2216" s="1530"/>
      <c r="DI2216" s="1530"/>
      <c r="DJ2216" s="1530"/>
      <c r="DK2216" s="1530"/>
      <c r="DL2216" s="1530"/>
      <c r="DM2216" s="1530"/>
      <c r="DN2216" s="1571"/>
      <c r="DO2216" s="1530"/>
      <c r="DP2216" s="1530"/>
    </row>
    <row r="2217" spans="1:120">
      <c r="A2217" s="1451"/>
      <c r="C2217" s="1451"/>
      <c r="K2217" s="1451"/>
      <c r="L2217" s="1451"/>
      <c r="U2217" s="1451"/>
      <c r="AD2217" s="1451"/>
      <c r="AM2217" s="1451"/>
      <c r="AV2217" s="1451"/>
      <c r="BE2217" s="1451"/>
      <c r="BN2217" s="1451"/>
      <c r="BV2217" s="1451"/>
      <c r="BW2217" s="1451"/>
      <c r="CF2217" s="1451"/>
      <c r="CN2217" s="1451"/>
      <c r="CO2217" s="1530"/>
      <c r="CP2217" s="1530"/>
      <c r="CQ2217" s="1530"/>
      <c r="CR2217" s="1530"/>
      <c r="CS2217" s="1530"/>
      <c r="CT2217" s="1530"/>
      <c r="CU2217" s="1530"/>
      <c r="CV2217" s="1530"/>
      <c r="CW2217" s="1530"/>
      <c r="CX2217" s="1530"/>
      <c r="CY2217" s="1530"/>
      <c r="CZ2217" s="1530"/>
      <c r="DA2217" s="1530"/>
      <c r="DB2217" s="1530"/>
      <c r="DC2217" s="1530"/>
      <c r="DD2217" s="1530"/>
      <c r="DE2217" s="1530"/>
      <c r="DF2217" s="1530"/>
      <c r="DG2217" s="1530"/>
      <c r="DH2217" s="1530"/>
      <c r="DI2217" s="1530"/>
      <c r="DJ2217" s="1530"/>
      <c r="DK2217" s="1530"/>
      <c r="DL2217" s="1530"/>
      <c r="DM2217" s="1530"/>
      <c r="DN2217" s="1571"/>
      <c r="DO2217" s="1530"/>
      <c r="DP2217" s="1530"/>
    </row>
    <row r="2218" spans="1:120">
      <c r="A2218" s="1451"/>
      <c r="C2218" s="1451"/>
      <c r="K2218" s="1451"/>
      <c r="L2218" s="1451"/>
      <c r="U2218" s="1451"/>
      <c r="AD2218" s="1451"/>
      <c r="AM2218" s="1451"/>
      <c r="AV2218" s="1451"/>
      <c r="BE2218" s="1451"/>
      <c r="BN2218" s="1451"/>
      <c r="BV2218" s="1451"/>
      <c r="BW2218" s="1451"/>
      <c r="CF2218" s="1451"/>
      <c r="CN2218" s="1451"/>
      <c r="CO2218" s="1530"/>
      <c r="CP2218" s="1530"/>
      <c r="CQ2218" s="1530"/>
      <c r="CR2218" s="1530"/>
      <c r="CS2218" s="1530"/>
      <c r="CT2218" s="1530"/>
      <c r="CU2218" s="1530"/>
      <c r="CV2218" s="1530"/>
      <c r="CW2218" s="1530"/>
      <c r="CX2218" s="1530"/>
      <c r="CY2218" s="1530"/>
      <c r="CZ2218" s="1530"/>
      <c r="DA2218" s="1530"/>
      <c r="DB2218" s="1530"/>
      <c r="DC2218" s="1530"/>
      <c r="DD2218" s="1530"/>
      <c r="DE2218" s="1530"/>
      <c r="DF2218" s="1530"/>
      <c r="DG2218" s="1530"/>
      <c r="DH2218" s="1530"/>
      <c r="DI2218" s="1530"/>
      <c r="DJ2218" s="1530"/>
      <c r="DK2218" s="1530"/>
      <c r="DL2218" s="1530"/>
      <c r="DM2218" s="1530"/>
      <c r="DN2218" s="1571"/>
      <c r="DO2218" s="1530"/>
      <c r="DP2218" s="1530"/>
    </row>
    <row r="2219" spans="1:120">
      <c r="A2219" s="1451"/>
      <c r="C2219" s="1451"/>
      <c r="K2219" s="1451"/>
      <c r="L2219" s="1451"/>
      <c r="U2219" s="1451"/>
      <c r="AD2219" s="1451"/>
      <c r="AM2219" s="1451"/>
      <c r="AV2219" s="1451"/>
      <c r="BE2219" s="1451"/>
      <c r="BN2219" s="1451"/>
      <c r="BV2219" s="1451"/>
      <c r="BW2219" s="1451"/>
      <c r="CF2219" s="1451"/>
      <c r="CN2219" s="1451"/>
      <c r="CO2219" s="1530"/>
      <c r="CP2219" s="1530"/>
      <c r="CQ2219" s="1530"/>
      <c r="CR2219" s="1530"/>
      <c r="CS2219" s="1530"/>
      <c r="CT2219" s="1530"/>
      <c r="CU2219" s="1530"/>
      <c r="CV2219" s="1530"/>
      <c r="CW2219" s="1530"/>
      <c r="CX2219" s="1530"/>
      <c r="CY2219" s="1530"/>
      <c r="CZ2219" s="1530"/>
      <c r="DA2219" s="1530"/>
      <c r="DB2219" s="1530"/>
      <c r="DC2219" s="1530"/>
      <c r="DD2219" s="1530"/>
      <c r="DE2219" s="1530"/>
      <c r="DF2219" s="1530"/>
      <c r="DG2219" s="1530"/>
      <c r="DH2219" s="1530"/>
      <c r="DI2219" s="1530"/>
      <c r="DJ2219" s="1530"/>
      <c r="DK2219" s="1530"/>
      <c r="DL2219" s="1530"/>
      <c r="DM2219" s="1530"/>
      <c r="DN2219" s="1571"/>
      <c r="DO2219" s="1530"/>
      <c r="DP2219" s="1530"/>
    </row>
    <row r="2220" spans="1:120">
      <c r="A2220" s="1451"/>
      <c r="C2220" s="1451"/>
      <c r="K2220" s="1451"/>
      <c r="L2220" s="1451"/>
      <c r="U2220" s="1451"/>
      <c r="AD2220" s="1451"/>
      <c r="AM2220" s="1451"/>
      <c r="AV2220" s="1451"/>
      <c r="BE2220" s="1451"/>
      <c r="BN2220" s="1451"/>
      <c r="BV2220" s="1451"/>
      <c r="BW2220" s="1451"/>
      <c r="CF2220" s="1451"/>
      <c r="CN2220" s="1451"/>
      <c r="CO2220" s="1530"/>
      <c r="CP2220" s="1530"/>
      <c r="CQ2220" s="1530"/>
      <c r="CR2220" s="1530"/>
      <c r="CS2220" s="1530"/>
      <c r="CT2220" s="1530"/>
      <c r="CU2220" s="1530"/>
      <c r="CV2220" s="1530"/>
      <c r="CW2220" s="1530"/>
      <c r="CX2220" s="1530"/>
      <c r="CY2220" s="1530"/>
      <c r="CZ2220" s="1530"/>
      <c r="DA2220" s="1530"/>
      <c r="DB2220" s="1530"/>
      <c r="DC2220" s="1530"/>
      <c r="DD2220" s="1530"/>
      <c r="DE2220" s="1530"/>
      <c r="DF2220" s="1530"/>
      <c r="DG2220" s="1530"/>
      <c r="DH2220" s="1530"/>
      <c r="DI2220" s="1530"/>
      <c r="DJ2220" s="1530"/>
      <c r="DK2220" s="1530"/>
      <c r="DL2220" s="1530"/>
      <c r="DM2220" s="1530"/>
      <c r="DN2220" s="1571"/>
      <c r="DO2220" s="1530"/>
      <c r="DP2220" s="1530"/>
    </row>
    <row r="2221" spans="1:120">
      <c r="A2221" s="1451"/>
      <c r="C2221" s="1451"/>
      <c r="K2221" s="1451"/>
      <c r="L2221" s="1451"/>
      <c r="U2221" s="1451"/>
      <c r="AD2221" s="1451"/>
      <c r="AM2221" s="1451"/>
      <c r="AV2221" s="1451"/>
      <c r="BE2221" s="1451"/>
      <c r="BN2221" s="1451"/>
      <c r="BV2221" s="1451"/>
      <c r="BW2221" s="1451"/>
      <c r="CF2221" s="1451"/>
      <c r="CN2221" s="1451"/>
      <c r="CO2221" s="1530"/>
      <c r="CP2221" s="1530"/>
      <c r="CQ2221" s="1530"/>
      <c r="CR2221" s="1530"/>
      <c r="CS2221" s="1530"/>
      <c r="CT2221" s="1530"/>
      <c r="CU2221" s="1530"/>
      <c r="CV2221" s="1530"/>
      <c r="CW2221" s="1530"/>
      <c r="CX2221" s="1530"/>
      <c r="CY2221" s="1530"/>
      <c r="CZ2221" s="1530"/>
      <c r="DA2221" s="1530"/>
      <c r="DB2221" s="1530"/>
      <c r="DC2221" s="1530"/>
      <c r="DD2221" s="1530"/>
      <c r="DE2221" s="1530"/>
      <c r="DF2221" s="1530"/>
      <c r="DG2221" s="1530"/>
      <c r="DH2221" s="1530"/>
      <c r="DI2221" s="1530"/>
      <c r="DJ2221" s="1530"/>
      <c r="DK2221" s="1530"/>
      <c r="DL2221" s="1530"/>
      <c r="DM2221" s="1530"/>
      <c r="DN2221" s="1571"/>
      <c r="DO2221" s="1530"/>
      <c r="DP2221" s="1530"/>
    </row>
    <row r="2222" spans="1:120">
      <c r="A2222" s="1451"/>
      <c r="C2222" s="1451"/>
      <c r="K2222" s="1451"/>
      <c r="L2222" s="1451"/>
      <c r="U2222" s="1451"/>
      <c r="AD2222" s="1451"/>
      <c r="AM2222" s="1451"/>
      <c r="AV2222" s="1451"/>
      <c r="BE2222" s="1451"/>
      <c r="BN2222" s="1451"/>
      <c r="BV2222" s="1451"/>
      <c r="BW2222" s="1451"/>
      <c r="CF2222" s="1451"/>
      <c r="CN2222" s="1451"/>
      <c r="CO2222" s="1530"/>
      <c r="CP2222" s="1530"/>
      <c r="CQ2222" s="1530"/>
      <c r="CR2222" s="1530"/>
      <c r="CS2222" s="1530"/>
      <c r="CT2222" s="1530"/>
      <c r="CU2222" s="1530"/>
      <c r="CV2222" s="1530"/>
      <c r="CW2222" s="1530"/>
      <c r="CX2222" s="1530"/>
      <c r="CY2222" s="1530"/>
      <c r="CZ2222" s="1530"/>
      <c r="DA2222" s="1530"/>
      <c r="DB2222" s="1530"/>
      <c r="DC2222" s="1530"/>
      <c r="DD2222" s="1530"/>
      <c r="DE2222" s="1530"/>
      <c r="DF2222" s="1530"/>
      <c r="DG2222" s="1530"/>
      <c r="DH2222" s="1530"/>
      <c r="DI2222" s="1530"/>
      <c r="DJ2222" s="1530"/>
      <c r="DK2222" s="1530"/>
      <c r="DL2222" s="1530"/>
      <c r="DM2222" s="1530"/>
      <c r="DN2222" s="1571"/>
      <c r="DO2222" s="1530"/>
      <c r="DP2222" s="1530"/>
    </row>
    <row r="2223" spans="1:120">
      <c r="A2223" s="1451"/>
      <c r="C2223" s="1451"/>
      <c r="K2223" s="1451"/>
      <c r="L2223" s="1451"/>
      <c r="U2223" s="1451"/>
      <c r="AD2223" s="1451"/>
      <c r="AM2223" s="1451"/>
      <c r="AV2223" s="1451"/>
      <c r="BE2223" s="1451"/>
      <c r="BN2223" s="1451"/>
      <c r="BV2223" s="1451"/>
      <c r="BW2223" s="1451"/>
      <c r="CF2223" s="1451"/>
      <c r="CN2223" s="1451"/>
      <c r="CO2223" s="1530"/>
      <c r="CP2223" s="1530"/>
      <c r="CQ2223" s="1530"/>
      <c r="CR2223" s="1530"/>
      <c r="CS2223" s="1530"/>
      <c r="CT2223" s="1530"/>
      <c r="CU2223" s="1530"/>
      <c r="CV2223" s="1530"/>
      <c r="CW2223" s="1530"/>
      <c r="CX2223" s="1530"/>
      <c r="CY2223" s="1530"/>
      <c r="CZ2223" s="1530"/>
      <c r="DA2223" s="1530"/>
      <c r="DB2223" s="1530"/>
      <c r="DC2223" s="1530"/>
      <c r="DD2223" s="1530"/>
      <c r="DE2223" s="1530"/>
      <c r="DF2223" s="1530"/>
      <c r="DG2223" s="1530"/>
      <c r="DH2223" s="1530"/>
      <c r="DI2223" s="1530"/>
      <c r="DJ2223" s="1530"/>
      <c r="DK2223" s="1530"/>
      <c r="DL2223" s="1530"/>
      <c r="DM2223" s="1530"/>
      <c r="DN2223" s="1571"/>
      <c r="DO2223" s="1530"/>
      <c r="DP2223" s="1530"/>
    </row>
    <row r="2224" spans="1:120">
      <c r="A2224" s="1451"/>
      <c r="C2224" s="1451"/>
      <c r="K2224" s="1451"/>
      <c r="L2224" s="1451"/>
      <c r="U2224" s="1451"/>
      <c r="AD2224" s="1451"/>
      <c r="AM2224" s="1451"/>
      <c r="AV2224" s="1451"/>
      <c r="BE2224" s="1451"/>
      <c r="BN2224" s="1451"/>
      <c r="BV2224" s="1451"/>
      <c r="BW2224" s="1451"/>
      <c r="CF2224" s="1451"/>
      <c r="CN2224" s="1451"/>
      <c r="CO2224" s="1530"/>
      <c r="CP2224" s="1530"/>
      <c r="CQ2224" s="1530"/>
      <c r="CR2224" s="1530"/>
      <c r="CS2224" s="1530"/>
      <c r="CT2224" s="1530"/>
      <c r="CU2224" s="1530"/>
      <c r="CV2224" s="1530"/>
      <c r="CW2224" s="1530"/>
      <c r="CX2224" s="1530"/>
      <c r="CY2224" s="1530"/>
      <c r="CZ2224" s="1530"/>
      <c r="DA2224" s="1530"/>
      <c r="DB2224" s="1530"/>
      <c r="DC2224" s="1530"/>
      <c r="DD2224" s="1530"/>
      <c r="DE2224" s="1530"/>
      <c r="DF2224" s="1530"/>
      <c r="DG2224" s="1530"/>
      <c r="DH2224" s="1530"/>
      <c r="DI2224" s="1530"/>
      <c r="DJ2224" s="1530"/>
      <c r="DK2224" s="1530"/>
      <c r="DL2224" s="1530"/>
      <c r="DM2224" s="1530"/>
      <c r="DN2224" s="1571"/>
      <c r="DO2224" s="1530"/>
      <c r="DP2224" s="1530"/>
    </row>
    <row r="2225" spans="1:120">
      <c r="A2225" s="1451"/>
      <c r="C2225" s="1451"/>
      <c r="K2225" s="1451"/>
      <c r="L2225" s="1451"/>
      <c r="U2225" s="1451"/>
      <c r="AD2225" s="1451"/>
      <c r="AM2225" s="1451"/>
      <c r="AV2225" s="1451"/>
      <c r="BE2225" s="1451"/>
      <c r="BN2225" s="1451"/>
      <c r="BV2225" s="1451"/>
      <c r="BW2225" s="1451"/>
      <c r="CF2225" s="1451"/>
      <c r="CN2225" s="1451"/>
      <c r="CO2225" s="1530"/>
      <c r="CP2225" s="1530"/>
      <c r="CQ2225" s="1530"/>
      <c r="CR2225" s="1530"/>
      <c r="CS2225" s="1530"/>
      <c r="CT2225" s="1530"/>
      <c r="CU2225" s="1530"/>
      <c r="CV2225" s="1530"/>
      <c r="CW2225" s="1530"/>
      <c r="CX2225" s="1530"/>
      <c r="CY2225" s="1530"/>
      <c r="CZ2225" s="1530"/>
      <c r="DA2225" s="1530"/>
      <c r="DB2225" s="1530"/>
      <c r="DC2225" s="1530"/>
      <c r="DD2225" s="1530"/>
      <c r="DE2225" s="1530"/>
      <c r="DF2225" s="1530"/>
      <c r="DG2225" s="1530"/>
      <c r="DH2225" s="1530"/>
      <c r="DI2225" s="1530"/>
      <c r="DJ2225" s="1530"/>
      <c r="DK2225" s="1530"/>
      <c r="DL2225" s="1530"/>
      <c r="DM2225" s="1530"/>
      <c r="DN2225" s="1571"/>
      <c r="DO2225" s="1530"/>
      <c r="DP2225" s="1530"/>
    </row>
    <row r="2226" spans="1:120">
      <c r="A2226" s="1451"/>
      <c r="C2226" s="1451"/>
      <c r="K2226" s="1451"/>
      <c r="L2226" s="1451"/>
      <c r="U2226" s="1451"/>
      <c r="AD2226" s="1451"/>
      <c r="AM2226" s="1451"/>
      <c r="AV2226" s="1451"/>
      <c r="BE2226" s="1451"/>
      <c r="BN2226" s="1451"/>
      <c r="BV2226" s="1451"/>
      <c r="BW2226" s="1451"/>
      <c r="CF2226" s="1451"/>
      <c r="CN2226" s="1451"/>
      <c r="CO2226" s="1530"/>
      <c r="CP2226" s="1530"/>
      <c r="CQ2226" s="1530"/>
      <c r="CR2226" s="1530"/>
      <c r="CS2226" s="1530"/>
      <c r="CT2226" s="1530"/>
      <c r="CU2226" s="1530"/>
      <c r="CV2226" s="1530"/>
      <c r="CW2226" s="1530"/>
      <c r="CX2226" s="1530"/>
      <c r="CY2226" s="1530"/>
      <c r="CZ2226" s="1530"/>
      <c r="DA2226" s="1530"/>
      <c r="DB2226" s="1530"/>
      <c r="DC2226" s="1530"/>
      <c r="DD2226" s="1530"/>
      <c r="DE2226" s="1530"/>
      <c r="DF2226" s="1530"/>
      <c r="DG2226" s="1530"/>
      <c r="DH2226" s="1530"/>
      <c r="DI2226" s="1530"/>
      <c r="DJ2226" s="1530"/>
      <c r="DK2226" s="1530"/>
      <c r="DL2226" s="1530"/>
      <c r="DM2226" s="1530"/>
      <c r="DN2226" s="1571"/>
      <c r="DO2226" s="1530"/>
      <c r="DP2226" s="1530"/>
    </row>
    <row r="2227" spans="1:120">
      <c r="A2227" s="1451"/>
      <c r="C2227" s="1451"/>
      <c r="K2227" s="1451"/>
      <c r="L2227" s="1451"/>
      <c r="U2227" s="1451"/>
      <c r="AD2227" s="1451"/>
      <c r="AM2227" s="1451"/>
      <c r="AV2227" s="1451"/>
      <c r="BE2227" s="1451"/>
      <c r="BN2227" s="1451"/>
      <c r="BV2227" s="1451"/>
      <c r="BW2227" s="1451"/>
      <c r="CF2227" s="1451"/>
      <c r="CN2227" s="1451"/>
      <c r="CO2227" s="1530"/>
      <c r="CP2227" s="1530"/>
      <c r="CQ2227" s="1530"/>
      <c r="CR2227" s="1530"/>
      <c r="CS2227" s="1530"/>
      <c r="CT2227" s="1530"/>
      <c r="CU2227" s="1530"/>
      <c r="CV2227" s="1530"/>
      <c r="CW2227" s="1530"/>
      <c r="CX2227" s="1530"/>
      <c r="CY2227" s="1530"/>
      <c r="CZ2227" s="1530"/>
      <c r="DA2227" s="1530"/>
      <c r="DB2227" s="1530"/>
      <c r="DC2227" s="1530"/>
      <c r="DD2227" s="1530"/>
      <c r="DE2227" s="1530"/>
      <c r="DF2227" s="1530"/>
      <c r="DG2227" s="1530"/>
      <c r="DH2227" s="1530"/>
      <c r="DI2227" s="1530"/>
      <c r="DJ2227" s="1530"/>
      <c r="DK2227" s="1530"/>
      <c r="DL2227" s="1530"/>
      <c r="DM2227" s="1530"/>
      <c r="DN2227" s="1571"/>
      <c r="DO2227" s="1530"/>
      <c r="DP2227" s="1530"/>
    </row>
    <row r="2228" spans="1:120">
      <c r="A2228" s="1451"/>
      <c r="C2228" s="1451"/>
      <c r="K2228" s="1451"/>
      <c r="L2228" s="1451"/>
      <c r="U2228" s="1451"/>
      <c r="AD2228" s="1451"/>
      <c r="AM2228" s="1451"/>
      <c r="AV2228" s="1451"/>
      <c r="BE2228" s="1451"/>
      <c r="BN2228" s="1451"/>
      <c r="BV2228" s="1451"/>
      <c r="BW2228" s="1451"/>
      <c r="CF2228" s="1451"/>
      <c r="CN2228" s="1451"/>
      <c r="CO2228" s="1530"/>
      <c r="CP2228" s="1530"/>
      <c r="CQ2228" s="1530"/>
      <c r="CR2228" s="1530"/>
      <c r="CS2228" s="1530"/>
      <c r="CT2228" s="1530"/>
      <c r="CU2228" s="1530"/>
      <c r="CV2228" s="1530"/>
      <c r="CW2228" s="1530"/>
      <c r="CX2228" s="1530"/>
      <c r="CY2228" s="1530"/>
      <c r="CZ2228" s="1530"/>
      <c r="DA2228" s="1530"/>
      <c r="DB2228" s="1530"/>
      <c r="DC2228" s="1530"/>
      <c r="DD2228" s="1530"/>
      <c r="DE2228" s="1530"/>
      <c r="DF2228" s="1530"/>
      <c r="DG2228" s="1530"/>
      <c r="DH2228" s="1530"/>
      <c r="DI2228" s="1530"/>
      <c r="DJ2228" s="1530"/>
      <c r="DK2228" s="1530"/>
      <c r="DL2228" s="1530"/>
      <c r="DM2228" s="1530"/>
      <c r="DN2228" s="1571"/>
      <c r="DO2228" s="1530"/>
      <c r="DP2228" s="1530"/>
    </row>
    <row r="2229" spans="1:120">
      <c r="A2229" s="1451"/>
      <c r="C2229" s="1451"/>
      <c r="K2229" s="1451"/>
      <c r="L2229" s="1451"/>
      <c r="U2229" s="1451"/>
      <c r="AD2229" s="1451"/>
      <c r="AM2229" s="1451"/>
      <c r="AV2229" s="1451"/>
      <c r="BE2229" s="1451"/>
      <c r="BN2229" s="1451"/>
      <c r="BV2229" s="1451"/>
      <c r="BW2229" s="1451"/>
      <c r="CF2229" s="1451"/>
      <c r="CN2229" s="1451"/>
      <c r="CO2229" s="1530"/>
      <c r="CP2229" s="1530"/>
      <c r="CQ2229" s="1530"/>
      <c r="CR2229" s="1530"/>
      <c r="CS2229" s="1530"/>
      <c r="CT2229" s="1530"/>
      <c r="CU2229" s="1530"/>
      <c r="CV2229" s="1530"/>
      <c r="CW2229" s="1530"/>
      <c r="CX2229" s="1530"/>
      <c r="CY2229" s="1530"/>
      <c r="CZ2229" s="1530"/>
      <c r="DA2229" s="1530"/>
      <c r="DB2229" s="1530"/>
      <c r="DC2229" s="1530"/>
      <c r="DD2229" s="1530"/>
      <c r="DE2229" s="1530"/>
      <c r="DF2229" s="1530"/>
      <c r="DG2229" s="1530"/>
      <c r="DH2229" s="1530"/>
      <c r="DI2229" s="1530"/>
      <c r="DJ2229" s="1530"/>
      <c r="DK2229" s="1530"/>
      <c r="DL2229" s="1530"/>
      <c r="DM2229" s="1530"/>
      <c r="DN2229" s="1571"/>
      <c r="DO2229" s="1530"/>
      <c r="DP2229" s="1530"/>
    </row>
    <row r="2230" spans="1:120">
      <c r="A2230" s="1451"/>
      <c r="C2230" s="1451"/>
      <c r="K2230" s="1451"/>
      <c r="L2230" s="1451"/>
      <c r="U2230" s="1451"/>
      <c r="AD2230" s="1451"/>
      <c r="AM2230" s="1451"/>
      <c r="AV2230" s="1451"/>
      <c r="BE2230" s="1451"/>
      <c r="BN2230" s="1451"/>
      <c r="BV2230" s="1451"/>
      <c r="BW2230" s="1451"/>
      <c r="CF2230" s="1451"/>
      <c r="CN2230" s="1451"/>
      <c r="CO2230" s="1530"/>
      <c r="CP2230" s="1530"/>
      <c r="CQ2230" s="1530"/>
      <c r="CR2230" s="1530"/>
      <c r="CS2230" s="1530"/>
      <c r="CT2230" s="1530"/>
      <c r="CU2230" s="1530"/>
      <c r="CV2230" s="1530"/>
      <c r="CW2230" s="1530"/>
      <c r="CX2230" s="1530"/>
      <c r="CY2230" s="1530"/>
      <c r="CZ2230" s="1530"/>
      <c r="DA2230" s="1530"/>
      <c r="DB2230" s="1530"/>
      <c r="DC2230" s="1530"/>
      <c r="DD2230" s="1530"/>
      <c r="DE2230" s="1530"/>
      <c r="DF2230" s="1530"/>
      <c r="DG2230" s="1530"/>
      <c r="DH2230" s="1530"/>
      <c r="DI2230" s="1530"/>
      <c r="DJ2230" s="1530"/>
      <c r="DK2230" s="1530"/>
      <c r="DL2230" s="1530"/>
      <c r="DM2230" s="1530"/>
      <c r="DN2230" s="1571"/>
      <c r="DO2230" s="1530"/>
      <c r="DP2230" s="1530"/>
    </row>
    <row r="2231" spans="1:120">
      <c r="A2231" s="1451"/>
      <c r="C2231" s="1451"/>
      <c r="K2231" s="1451"/>
      <c r="L2231" s="1451"/>
      <c r="U2231" s="1451"/>
      <c r="AD2231" s="1451"/>
      <c r="AM2231" s="1451"/>
      <c r="AV2231" s="1451"/>
      <c r="BE2231" s="1451"/>
      <c r="BN2231" s="1451"/>
      <c r="BV2231" s="1451"/>
      <c r="BW2231" s="1451"/>
      <c r="CF2231" s="1451"/>
      <c r="CN2231" s="1451"/>
      <c r="CO2231" s="1530"/>
      <c r="CP2231" s="1530"/>
      <c r="CQ2231" s="1530"/>
      <c r="CR2231" s="1530"/>
      <c r="CS2231" s="1530"/>
      <c r="CT2231" s="1530"/>
      <c r="CU2231" s="1530"/>
      <c r="CV2231" s="1530"/>
      <c r="CW2231" s="1530"/>
      <c r="CX2231" s="1530"/>
      <c r="CY2231" s="1530"/>
      <c r="CZ2231" s="1530"/>
      <c r="DA2231" s="1530"/>
      <c r="DB2231" s="1530"/>
      <c r="DC2231" s="1530"/>
      <c r="DD2231" s="1530"/>
      <c r="DE2231" s="1530"/>
      <c r="DF2231" s="1530"/>
      <c r="DG2231" s="1530"/>
      <c r="DH2231" s="1530"/>
      <c r="DI2231" s="1530"/>
      <c r="DJ2231" s="1530"/>
      <c r="DK2231" s="1530"/>
      <c r="DL2231" s="1530"/>
      <c r="DM2231" s="1530"/>
      <c r="DN2231" s="1571"/>
      <c r="DO2231" s="1530"/>
      <c r="DP2231" s="1530"/>
    </row>
    <row r="2232" spans="1:120">
      <c r="A2232" s="1451"/>
      <c r="C2232" s="1451"/>
      <c r="K2232" s="1451"/>
      <c r="L2232" s="1451"/>
      <c r="U2232" s="1451"/>
      <c r="AD2232" s="1451"/>
      <c r="AM2232" s="1451"/>
      <c r="AV2232" s="1451"/>
      <c r="BE2232" s="1451"/>
      <c r="BN2232" s="1451"/>
      <c r="BV2232" s="1451"/>
      <c r="BW2232" s="1451"/>
      <c r="CF2232" s="1451"/>
      <c r="CN2232" s="1451"/>
      <c r="CO2232" s="1530"/>
      <c r="CP2232" s="1530"/>
      <c r="CQ2232" s="1530"/>
      <c r="CR2232" s="1530"/>
      <c r="CS2232" s="1530"/>
      <c r="CT2232" s="1530"/>
      <c r="CU2232" s="1530"/>
      <c r="CV2232" s="1530"/>
      <c r="CW2232" s="1530"/>
      <c r="CX2232" s="1530"/>
      <c r="CY2232" s="1530"/>
      <c r="CZ2232" s="1530"/>
      <c r="DA2232" s="1530"/>
      <c r="DB2232" s="1530"/>
      <c r="DC2232" s="1530"/>
      <c r="DD2232" s="1530"/>
      <c r="DE2232" s="1530"/>
      <c r="DF2232" s="1530"/>
      <c r="DG2232" s="1530"/>
      <c r="DH2232" s="1530"/>
      <c r="DI2232" s="1530"/>
      <c r="DJ2232" s="1530"/>
      <c r="DK2232" s="1530"/>
      <c r="DL2232" s="1530"/>
      <c r="DM2232" s="1530"/>
      <c r="DN2232" s="1571"/>
      <c r="DO2232" s="1530"/>
      <c r="DP2232" s="1530"/>
    </row>
    <row r="2233" spans="1:120">
      <c r="A2233" s="1451"/>
      <c r="C2233" s="1451"/>
      <c r="K2233" s="1451"/>
      <c r="L2233" s="1451"/>
      <c r="U2233" s="1451"/>
      <c r="AD2233" s="1451"/>
      <c r="AM2233" s="1451"/>
      <c r="AV2233" s="1451"/>
      <c r="BE2233" s="1451"/>
      <c r="BN2233" s="1451"/>
      <c r="BV2233" s="1451"/>
      <c r="BW2233" s="1451"/>
      <c r="CF2233" s="1451"/>
      <c r="CN2233" s="1451"/>
      <c r="CO2233" s="1530"/>
      <c r="CP2233" s="1530"/>
      <c r="CQ2233" s="1530"/>
      <c r="CR2233" s="1530"/>
      <c r="CS2233" s="1530"/>
      <c r="CT2233" s="1530"/>
      <c r="CU2233" s="1530"/>
      <c r="CV2233" s="1530"/>
      <c r="CW2233" s="1530"/>
      <c r="CX2233" s="1530"/>
      <c r="CY2233" s="1530"/>
      <c r="CZ2233" s="1530"/>
      <c r="DA2233" s="1530"/>
      <c r="DB2233" s="1530"/>
      <c r="DC2233" s="1530"/>
      <c r="DD2233" s="1530"/>
      <c r="DE2233" s="1530"/>
      <c r="DF2233" s="1530"/>
      <c r="DG2233" s="1530"/>
      <c r="DH2233" s="1530"/>
      <c r="DI2233" s="1530"/>
      <c r="DJ2233" s="1530"/>
      <c r="DK2233" s="1530"/>
      <c r="DL2233" s="1530"/>
      <c r="DM2233" s="1530"/>
      <c r="DN2233" s="1571"/>
      <c r="DO2233" s="1530"/>
      <c r="DP2233" s="1530"/>
    </row>
    <row r="2234" spans="1:120">
      <c r="A2234" s="1451"/>
      <c r="C2234" s="1451"/>
      <c r="K2234" s="1451"/>
      <c r="L2234" s="1451"/>
      <c r="U2234" s="1451"/>
      <c r="AD2234" s="1451"/>
      <c r="AM2234" s="1451"/>
      <c r="AV2234" s="1451"/>
      <c r="BE2234" s="1451"/>
      <c r="BN2234" s="1451"/>
      <c r="BV2234" s="1451"/>
      <c r="BW2234" s="1451"/>
      <c r="CF2234" s="1451"/>
      <c r="CN2234" s="1451"/>
      <c r="CO2234" s="1530"/>
      <c r="CP2234" s="1530"/>
      <c r="CQ2234" s="1530"/>
      <c r="CR2234" s="1530"/>
      <c r="CS2234" s="1530"/>
      <c r="CT2234" s="1530"/>
      <c r="CU2234" s="1530"/>
      <c r="CV2234" s="1530"/>
      <c r="CW2234" s="1530"/>
      <c r="CX2234" s="1530"/>
      <c r="CY2234" s="1530"/>
      <c r="CZ2234" s="1530"/>
      <c r="DA2234" s="1530"/>
      <c r="DB2234" s="1530"/>
      <c r="DC2234" s="1530"/>
      <c r="DD2234" s="1530"/>
      <c r="DE2234" s="1530"/>
      <c r="DF2234" s="1530"/>
      <c r="DG2234" s="1530"/>
      <c r="DH2234" s="1530"/>
      <c r="DI2234" s="1530"/>
      <c r="DJ2234" s="1530"/>
      <c r="DK2234" s="1530"/>
      <c r="DL2234" s="1530"/>
      <c r="DM2234" s="1530"/>
      <c r="DN2234" s="1571"/>
      <c r="DO2234" s="1530"/>
      <c r="DP2234" s="1530"/>
    </row>
    <row r="2235" spans="1:120">
      <c r="A2235" s="1451"/>
      <c r="C2235" s="1451"/>
      <c r="K2235" s="1451"/>
      <c r="L2235" s="1451"/>
      <c r="U2235" s="1451"/>
      <c r="AD2235" s="1451"/>
      <c r="AM2235" s="1451"/>
      <c r="AV2235" s="1451"/>
      <c r="BE2235" s="1451"/>
      <c r="BN2235" s="1451"/>
      <c r="BV2235" s="1451"/>
      <c r="BW2235" s="1451"/>
      <c r="CF2235" s="1451"/>
      <c r="CN2235" s="1451"/>
      <c r="CO2235" s="1530"/>
      <c r="CP2235" s="1530"/>
      <c r="CQ2235" s="1530"/>
      <c r="CR2235" s="1530"/>
      <c r="CS2235" s="1530"/>
      <c r="CT2235" s="1530"/>
      <c r="CU2235" s="1530"/>
      <c r="CV2235" s="1530"/>
      <c r="CW2235" s="1530"/>
      <c r="CX2235" s="1530"/>
      <c r="CY2235" s="1530"/>
      <c r="CZ2235" s="1530"/>
      <c r="DA2235" s="1530"/>
      <c r="DB2235" s="1530"/>
      <c r="DC2235" s="1530"/>
      <c r="DD2235" s="1530"/>
      <c r="DE2235" s="1530"/>
      <c r="DF2235" s="1530"/>
      <c r="DG2235" s="1530"/>
      <c r="DH2235" s="1530"/>
      <c r="DI2235" s="1530"/>
      <c r="DJ2235" s="1530"/>
      <c r="DK2235" s="1530"/>
      <c r="DL2235" s="1530"/>
      <c r="DM2235" s="1530"/>
      <c r="DN2235" s="1571"/>
      <c r="DO2235" s="1530"/>
      <c r="DP2235" s="1530"/>
    </row>
    <row r="2236" spans="1:120">
      <c r="A2236" s="1451"/>
      <c r="C2236" s="1451"/>
      <c r="K2236" s="1451"/>
      <c r="L2236" s="1451"/>
      <c r="U2236" s="1451"/>
      <c r="AD2236" s="1451"/>
      <c r="AM2236" s="1451"/>
      <c r="AV2236" s="1451"/>
      <c r="BE2236" s="1451"/>
      <c r="BN2236" s="1451"/>
      <c r="BV2236" s="1451"/>
      <c r="BW2236" s="1451"/>
      <c r="CF2236" s="1451"/>
      <c r="CN2236" s="1451"/>
      <c r="CO2236" s="1530"/>
      <c r="CP2236" s="1530"/>
      <c r="CQ2236" s="1530"/>
      <c r="CR2236" s="1530"/>
      <c r="CS2236" s="1530"/>
      <c r="CT2236" s="1530"/>
      <c r="CU2236" s="1530"/>
      <c r="CV2236" s="1530"/>
      <c r="CW2236" s="1530"/>
      <c r="CX2236" s="1530"/>
      <c r="CY2236" s="1530"/>
      <c r="CZ2236" s="1530"/>
      <c r="DA2236" s="1530"/>
      <c r="DB2236" s="1530"/>
      <c r="DC2236" s="1530"/>
      <c r="DD2236" s="1530"/>
      <c r="DE2236" s="1530"/>
      <c r="DF2236" s="1530"/>
      <c r="DG2236" s="1530"/>
      <c r="DH2236" s="1530"/>
      <c r="DI2236" s="1530"/>
      <c r="DJ2236" s="1530"/>
      <c r="DK2236" s="1530"/>
      <c r="DL2236" s="1530"/>
      <c r="DM2236" s="1530"/>
      <c r="DN2236" s="1571"/>
      <c r="DO2236" s="1530"/>
      <c r="DP2236" s="1530"/>
    </row>
    <row r="2237" spans="1:120">
      <c r="A2237" s="1451"/>
      <c r="C2237" s="1451"/>
      <c r="K2237" s="1451"/>
      <c r="L2237" s="1451"/>
      <c r="U2237" s="1451"/>
      <c r="AD2237" s="1451"/>
      <c r="AM2237" s="1451"/>
      <c r="AV2237" s="1451"/>
      <c r="BE2237" s="1451"/>
      <c r="BN2237" s="1451"/>
      <c r="BV2237" s="1451"/>
      <c r="BW2237" s="1451"/>
      <c r="CF2237" s="1451"/>
      <c r="CN2237" s="1451"/>
      <c r="CO2237" s="1530"/>
      <c r="CP2237" s="1530"/>
      <c r="CQ2237" s="1530"/>
      <c r="CR2237" s="1530"/>
      <c r="CS2237" s="1530"/>
      <c r="CT2237" s="1530"/>
      <c r="CU2237" s="1530"/>
      <c r="CV2237" s="1530"/>
      <c r="CW2237" s="1530"/>
      <c r="CX2237" s="1530"/>
      <c r="CY2237" s="1530"/>
      <c r="CZ2237" s="1530"/>
      <c r="DA2237" s="1530"/>
      <c r="DB2237" s="1530"/>
      <c r="DC2237" s="1530"/>
      <c r="DD2237" s="1530"/>
      <c r="DE2237" s="1530"/>
      <c r="DF2237" s="1530"/>
      <c r="DG2237" s="1530"/>
      <c r="DH2237" s="1530"/>
      <c r="DI2237" s="1530"/>
      <c r="DJ2237" s="1530"/>
      <c r="DK2237" s="1530"/>
      <c r="DL2237" s="1530"/>
      <c r="DM2237" s="1530"/>
      <c r="DN2237" s="1571"/>
      <c r="DO2237" s="1530"/>
      <c r="DP2237" s="1530"/>
    </row>
    <row r="2238" spans="1:120">
      <c r="A2238" s="1451"/>
      <c r="C2238" s="1451"/>
      <c r="K2238" s="1451"/>
      <c r="L2238" s="1451"/>
      <c r="U2238" s="1451"/>
      <c r="AD2238" s="1451"/>
      <c r="AM2238" s="1451"/>
      <c r="AV2238" s="1451"/>
      <c r="BE2238" s="1451"/>
      <c r="BN2238" s="1451"/>
      <c r="BV2238" s="1451"/>
      <c r="BW2238" s="1451"/>
      <c r="CF2238" s="1451"/>
      <c r="CN2238" s="1451"/>
      <c r="CO2238" s="1530"/>
      <c r="CP2238" s="1530"/>
      <c r="CQ2238" s="1530"/>
      <c r="CR2238" s="1530"/>
      <c r="CS2238" s="1530"/>
      <c r="CT2238" s="1530"/>
      <c r="CU2238" s="1530"/>
      <c r="CV2238" s="1530"/>
      <c r="CW2238" s="1530"/>
      <c r="CX2238" s="1530"/>
      <c r="CY2238" s="1530"/>
      <c r="CZ2238" s="1530"/>
      <c r="DA2238" s="1530"/>
      <c r="DB2238" s="1530"/>
      <c r="DC2238" s="1530"/>
      <c r="DD2238" s="1530"/>
      <c r="DE2238" s="1530"/>
      <c r="DF2238" s="1530"/>
      <c r="DG2238" s="1530"/>
      <c r="DH2238" s="1530"/>
      <c r="DI2238" s="1530"/>
      <c r="DJ2238" s="1530"/>
      <c r="DK2238" s="1530"/>
      <c r="DL2238" s="1530"/>
      <c r="DM2238" s="1530"/>
      <c r="DN2238" s="1571"/>
      <c r="DO2238" s="1530"/>
      <c r="DP2238" s="1530"/>
    </row>
    <row r="2239" spans="1:120">
      <c r="A2239" s="1451"/>
      <c r="C2239" s="1451"/>
      <c r="K2239" s="1451"/>
      <c r="L2239" s="1451"/>
      <c r="U2239" s="1451"/>
      <c r="AD2239" s="1451"/>
      <c r="AM2239" s="1451"/>
      <c r="AV2239" s="1451"/>
      <c r="BE2239" s="1451"/>
      <c r="BN2239" s="1451"/>
      <c r="BV2239" s="1451"/>
      <c r="BW2239" s="1451"/>
      <c r="CF2239" s="1451"/>
      <c r="CN2239" s="1451"/>
      <c r="CO2239" s="1530"/>
      <c r="CP2239" s="1530"/>
      <c r="CQ2239" s="1530"/>
      <c r="CR2239" s="1530"/>
      <c r="CS2239" s="1530"/>
      <c r="CT2239" s="1530"/>
      <c r="CU2239" s="1530"/>
      <c r="CV2239" s="1530"/>
      <c r="CW2239" s="1530"/>
      <c r="CX2239" s="1530"/>
      <c r="CY2239" s="1530"/>
      <c r="CZ2239" s="1530"/>
      <c r="DA2239" s="1530"/>
      <c r="DB2239" s="1530"/>
      <c r="DC2239" s="1530"/>
      <c r="DD2239" s="1530"/>
      <c r="DE2239" s="1530"/>
      <c r="DF2239" s="1530"/>
      <c r="DG2239" s="1530"/>
      <c r="DH2239" s="1530"/>
      <c r="DI2239" s="1530"/>
      <c r="DJ2239" s="1530"/>
      <c r="DK2239" s="1530"/>
      <c r="DL2239" s="1530"/>
      <c r="DM2239" s="1530"/>
      <c r="DN2239" s="1571"/>
      <c r="DO2239" s="1530"/>
      <c r="DP2239" s="1530"/>
    </row>
    <row r="2240" spans="1:120">
      <c r="A2240" s="1451"/>
      <c r="C2240" s="1451"/>
      <c r="K2240" s="1451"/>
      <c r="L2240" s="1451"/>
      <c r="U2240" s="1451"/>
      <c r="AD2240" s="1451"/>
      <c r="AM2240" s="1451"/>
      <c r="AV2240" s="1451"/>
      <c r="BE2240" s="1451"/>
      <c r="BN2240" s="1451"/>
      <c r="BV2240" s="1451"/>
      <c r="BW2240" s="1451"/>
      <c r="CF2240" s="1451"/>
      <c r="CN2240" s="1451"/>
      <c r="CO2240" s="1530"/>
      <c r="CP2240" s="1530"/>
      <c r="CQ2240" s="1530"/>
      <c r="CR2240" s="1530"/>
      <c r="CS2240" s="1530"/>
      <c r="CT2240" s="1530"/>
      <c r="CU2240" s="1530"/>
      <c r="CV2240" s="1530"/>
      <c r="CW2240" s="1530"/>
      <c r="CX2240" s="1530"/>
      <c r="CY2240" s="1530"/>
      <c r="CZ2240" s="1530"/>
      <c r="DA2240" s="1530"/>
      <c r="DB2240" s="1530"/>
      <c r="DC2240" s="1530"/>
      <c r="DD2240" s="1530"/>
      <c r="DE2240" s="1530"/>
      <c r="DF2240" s="1530"/>
      <c r="DG2240" s="1530"/>
      <c r="DH2240" s="1530"/>
      <c r="DI2240" s="1530"/>
      <c r="DJ2240" s="1530"/>
      <c r="DK2240" s="1530"/>
      <c r="DL2240" s="1530"/>
      <c r="DM2240" s="1530"/>
      <c r="DN2240" s="1571"/>
      <c r="DO2240" s="1530"/>
      <c r="DP2240" s="1530"/>
    </row>
    <row r="2241" spans="1:120">
      <c r="A2241" s="1451"/>
      <c r="C2241" s="1451"/>
      <c r="K2241" s="1451"/>
      <c r="L2241" s="1451"/>
      <c r="U2241" s="1451"/>
      <c r="AD2241" s="1451"/>
      <c r="AM2241" s="1451"/>
      <c r="AV2241" s="1451"/>
      <c r="BE2241" s="1451"/>
      <c r="BN2241" s="1451"/>
      <c r="BV2241" s="1451"/>
      <c r="BW2241" s="1451"/>
      <c r="CF2241" s="1451"/>
      <c r="CN2241" s="1451"/>
      <c r="CO2241" s="1530"/>
      <c r="CP2241" s="1530"/>
      <c r="CQ2241" s="1530"/>
      <c r="CR2241" s="1530"/>
      <c r="CS2241" s="1530"/>
      <c r="CT2241" s="1530"/>
      <c r="CU2241" s="1530"/>
      <c r="CV2241" s="1530"/>
      <c r="CW2241" s="1530"/>
      <c r="CX2241" s="1530"/>
      <c r="CY2241" s="1530"/>
      <c r="CZ2241" s="1530"/>
      <c r="DA2241" s="1530"/>
      <c r="DB2241" s="1530"/>
      <c r="DC2241" s="1530"/>
      <c r="DD2241" s="1530"/>
      <c r="DE2241" s="1530"/>
      <c r="DF2241" s="1530"/>
      <c r="DG2241" s="1530"/>
      <c r="DH2241" s="1530"/>
      <c r="DI2241" s="1530"/>
      <c r="DJ2241" s="1530"/>
      <c r="DK2241" s="1530"/>
      <c r="DL2241" s="1530"/>
      <c r="DM2241" s="1530"/>
      <c r="DN2241" s="1571"/>
      <c r="DO2241" s="1530"/>
      <c r="DP2241" s="1530"/>
    </row>
    <row r="2242" spans="1:120">
      <c r="A2242" s="1451"/>
      <c r="C2242" s="1451"/>
      <c r="K2242" s="1451"/>
      <c r="L2242" s="1451"/>
      <c r="U2242" s="1451"/>
      <c r="AD2242" s="1451"/>
      <c r="AM2242" s="1451"/>
      <c r="AV2242" s="1451"/>
      <c r="BE2242" s="1451"/>
      <c r="BN2242" s="1451"/>
      <c r="BV2242" s="1451"/>
      <c r="BW2242" s="1451"/>
      <c r="CF2242" s="1451"/>
      <c r="CN2242" s="1451"/>
      <c r="CO2242" s="1530"/>
      <c r="CP2242" s="1530"/>
      <c r="CQ2242" s="1530"/>
      <c r="CR2242" s="1530"/>
      <c r="CS2242" s="1530"/>
      <c r="CT2242" s="1530"/>
      <c r="CU2242" s="1530"/>
      <c r="CV2242" s="1530"/>
      <c r="CW2242" s="1530"/>
      <c r="CX2242" s="1530"/>
      <c r="CY2242" s="1530"/>
      <c r="CZ2242" s="1530"/>
      <c r="DA2242" s="1530"/>
      <c r="DB2242" s="1530"/>
      <c r="DC2242" s="1530"/>
      <c r="DD2242" s="1530"/>
      <c r="DE2242" s="1530"/>
      <c r="DF2242" s="1530"/>
      <c r="DG2242" s="1530"/>
      <c r="DH2242" s="1530"/>
      <c r="DI2242" s="1530"/>
      <c r="DJ2242" s="1530"/>
      <c r="DK2242" s="1530"/>
      <c r="DL2242" s="1530"/>
      <c r="DM2242" s="1530"/>
      <c r="DN2242" s="1571"/>
      <c r="DO2242" s="1530"/>
      <c r="DP2242" s="1530"/>
    </row>
    <row r="2243" spans="1:120">
      <c r="A2243" s="1451"/>
      <c r="C2243" s="1451"/>
      <c r="K2243" s="1451"/>
      <c r="L2243" s="1451"/>
      <c r="U2243" s="1451"/>
      <c r="AD2243" s="1451"/>
      <c r="AM2243" s="1451"/>
      <c r="AV2243" s="1451"/>
      <c r="BE2243" s="1451"/>
      <c r="BN2243" s="1451"/>
      <c r="BV2243" s="1451"/>
      <c r="BW2243" s="1451"/>
      <c r="CF2243" s="1451"/>
      <c r="CN2243" s="1451"/>
      <c r="CO2243" s="1530"/>
      <c r="CP2243" s="1530"/>
      <c r="CQ2243" s="1530"/>
      <c r="CR2243" s="1530"/>
      <c r="CS2243" s="1530"/>
      <c r="CT2243" s="1530"/>
      <c r="CU2243" s="1530"/>
      <c r="CV2243" s="1530"/>
      <c r="CW2243" s="1530"/>
      <c r="CX2243" s="1530"/>
      <c r="CY2243" s="1530"/>
      <c r="CZ2243" s="1530"/>
      <c r="DA2243" s="1530"/>
      <c r="DB2243" s="1530"/>
      <c r="DC2243" s="1530"/>
      <c r="DD2243" s="1530"/>
      <c r="DE2243" s="1530"/>
      <c r="DF2243" s="1530"/>
      <c r="DG2243" s="1530"/>
      <c r="DH2243" s="1530"/>
      <c r="DI2243" s="1530"/>
      <c r="DJ2243" s="1530"/>
      <c r="DK2243" s="1530"/>
      <c r="DL2243" s="1530"/>
      <c r="DM2243" s="1530"/>
      <c r="DN2243" s="1571"/>
      <c r="DO2243" s="1530"/>
      <c r="DP2243" s="1530"/>
    </row>
    <row r="2244" spans="1:120">
      <c r="A2244" s="1451"/>
      <c r="C2244" s="1451"/>
      <c r="K2244" s="1451"/>
      <c r="L2244" s="1451"/>
      <c r="U2244" s="1451"/>
      <c r="AD2244" s="1451"/>
      <c r="AM2244" s="1451"/>
      <c r="AV2244" s="1451"/>
      <c r="BE2244" s="1451"/>
      <c r="BN2244" s="1451"/>
      <c r="BV2244" s="1451"/>
      <c r="BW2244" s="1451"/>
      <c r="CF2244" s="1451"/>
      <c r="CN2244" s="1451"/>
      <c r="CO2244" s="1530"/>
      <c r="CP2244" s="1530"/>
      <c r="CQ2244" s="1530"/>
      <c r="CR2244" s="1530"/>
      <c r="CS2244" s="1530"/>
      <c r="CT2244" s="1530"/>
      <c r="CU2244" s="1530"/>
      <c r="CV2244" s="1530"/>
      <c r="CW2244" s="1530"/>
      <c r="CX2244" s="1530"/>
      <c r="CY2244" s="1530"/>
      <c r="CZ2244" s="1530"/>
      <c r="DA2244" s="1530"/>
      <c r="DB2244" s="1530"/>
      <c r="DC2244" s="1530"/>
      <c r="DD2244" s="1530"/>
      <c r="DE2244" s="1530"/>
      <c r="DF2244" s="1530"/>
      <c r="DG2244" s="1530"/>
      <c r="DH2244" s="1530"/>
      <c r="DI2244" s="1530"/>
      <c r="DJ2244" s="1530"/>
      <c r="DK2244" s="1530"/>
      <c r="DL2244" s="1530"/>
      <c r="DM2244" s="1530"/>
      <c r="DN2244" s="1571"/>
      <c r="DO2244" s="1530"/>
      <c r="DP2244" s="1530"/>
    </row>
    <row r="2245" spans="1:120">
      <c r="A2245" s="1451"/>
      <c r="C2245" s="1451"/>
      <c r="K2245" s="1451"/>
      <c r="L2245" s="1451"/>
      <c r="U2245" s="1451"/>
      <c r="AD2245" s="1451"/>
      <c r="AM2245" s="1451"/>
      <c r="AV2245" s="1451"/>
      <c r="BE2245" s="1451"/>
      <c r="BN2245" s="1451"/>
      <c r="BV2245" s="1451"/>
      <c r="BW2245" s="1451"/>
      <c r="CF2245" s="1451"/>
      <c r="CN2245" s="1451"/>
      <c r="CO2245" s="1530"/>
      <c r="CP2245" s="1530"/>
      <c r="CQ2245" s="1530"/>
      <c r="CR2245" s="1530"/>
      <c r="CS2245" s="1530"/>
      <c r="CT2245" s="1530"/>
      <c r="CU2245" s="1530"/>
      <c r="CV2245" s="1530"/>
      <c r="CW2245" s="1530"/>
      <c r="CX2245" s="1530"/>
      <c r="CY2245" s="1530"/>
      <c r="CZ2245" s="1530"/>
      <c r="DA2245" s="1530"/>
      <c r="DB2245" s="1530"/>
      <c r="DC2245" s="1530"/>
      <c r="DD2245" s="1530"/>
      <c r="DE2245" s="1530"/>
      <c r="DF2245" s="1530"/>
      <c r="DG2245" s="1530"/>
      <c r="DH2245" s="1530"/>
      <c r="DI2245" s="1530"/>
      <c r="DJ2245" s="1530"/>
      <c r="DK2245" s="1530"/>
      <c r="DL2245" s="1530"/>
      <c r="DM2245" s="1530"/>
      <c r="DN2245" s="1571"/>
      <c r="DO2245" s="1530"/>
      <c r="DP2245" s="1530"/>
    </row>
    <row r="2246" spans="1:120">
      <c r="A2246" s="1451"/>
      <c r="C2246" s="1451"/>
      <c r="K2246" s="1451"/>
      <c r="L2246" s="1451"/>
      <c r="U2246" s="1451"/>
      <c r="AD2246" s="1451"/>
      <c r="AM2246" s="1451"/>
      <c r="AV2246" s="1451"/>
      <c r="BE2246" s="1451"/>
      <c r="BN2246" s="1451"/>
      <c r="BV2246" s="1451"/>
      <c r="BW2246" s="1451"/>
      <c r="CF2246" s="1451"/>
      <c r="CN2246" s="1451"/>
      <c r="CO2246" s="1530"/>
      <c r="CP2246" s="1530"/>
      <c r="CQ2246" s="1530"/>
      <c r="CR2246" s="1530"/>
      <c r="CS2246" s="1530"/>
      <c r="CT2246" s="1530"/>
      <c r="CU2246" s="1530"/>
      <c r="CV2246" s="1530"/>
      <c r="CW2246" s="1530"/>
      <c r="CX2246" s="1530"/>
      <c r="CY2246" s="1530"/>
      <c r="CZ2246" s="1530"/>
      <c r="DA2246" s="1530"/>
      <c r="DB2246" s="1530"/>
      <c r="DC2246" s="1530"/>
      <c r="DD2246" s="1530"/>
      <c r="DE2246" s="1530"/>
      <c r="DF2246" s="1530"/>
      <c r="DG2246" s="1530"/>
      <c r="DH2246" s="1530"/>
      <c r="DI2246" s="1530"/>
      <c r="DJ2246" s="1530"/>
      <c r="DK2246" s="1530"/>
      <c r="DL2246" s="1530"/>
      <c r="DM2246" s="1530"/>
      <c r="DN2246" s="1571"/>
      <c r="DO2246" s="1530"/>
      <c r="DP2246" s="1530"/>
    </row>
    <row r="2247" spans="1:120">
      <c r="A2247" s="1451"/>
      <c r="C2247" s="1451"/>
      <c r="K2247" s="1451"/>
      <c r="L2247" s="1451"/>
      <c r="U2247" s="1451"/>
      <c r="AD2247" s="1451"/>
      <c r="AM2247" s="1451"/>
      <c r="AV2247" s="1451"/>
      <c r="BE2247" s="1451"/>
      <c r="BN2247" s="1451"/>
      <c r="BV2247" s="1451"/>
      <c r="BW2247" s="1451"/>
      <c r="CF2247" s="1451"/>
      <c r="CN2247" s="1451"/>
      <c r="CO2247" s="1530"/>
      <c r="CP2247" s="1530"/>
      <c r="CQ2247" s="1530"/>
      <c r="CR2247" s="1530"/>
      <c r="CS2247" s="1530"/>
      <c r="CT2247" s="1530"/>
      <c r="CU2247" s="1530"/>
      <c r="CV2247" s="1530"/>
      <c r="CW2247" s="1530"/>
      <c r="CX2247" s="1530"/>
      <c r="CY2247" s="1530"/>
      <c r="CZ2247" s="1530"/>
      <c r="DA2247" s="1530"/>
      <c r="DB2247" s="1530"/>
      <c r="DC2247" s="1530"/>
      <c r="DD2247" s="1530"/>
      <c r="DE2247" s="1530"/>
      <c r="DF2247" s="1530"/>
      <c r="DG2247" s="1530"/>
      <c r="DH2247" s="1530"/>
      <c r="DI2247" s="1530"/>
      <c r="DJ2247" s="1530"/>
      <c r="DK2247" s="1530"/>
      <c r="DL2247" s="1530"/>
      <c r="DM2247" s="1530"/>
      <c r="DN2247" s="1571"/>
      <c r="DO2247" s="1530"/>
      <c r="DP2247" s="1530"/>
    </row>
    <row r="2248" spans="1:120">
      <c r="A2248" s="1451"/>
      <c r="C2248" s="1451"/>
      <c r="K2248" s="1451"/>
      <c r="L2248" s="1451"/>
      <c r="U2248" s="1451"/>
      <c r="AD2248" s="1451"/>
      <c r="AM2248" s="1451"/>
      <c r="AV2248" s="1451"/>
      <c r="BE2248" s="1451"/>
      <c r="BN2248" s="1451"/>
      <c r="BV2248" s="1451"/>
      <c r="BW2248" s="1451"/>
      <c r="CF2248" s="1451"/>
      <c r="CN2248" s="1451"/>
      <c r="CO2248" s="1530"/>
      <c r="CP2248" s="1530"/>
      <c r="CQ2248" s="1530"/>
      <c r="CR2248" s="1530"/>
      <c r="CS2248" s="1530"/>
      <c r="CT2248" s="1530"/>
      <c r="CU2248" s="1530"/>
      <c r="CV2248" s="1530"/>
      <c r="CW2248" s="1530"/>
      <c r="CX2248" s="1530"/>
      <c r="CY2248" s="1530"/>
      <c r="CZ2248" s="1530"/>
      <c r="DA2248" s="1530"/>
      <c r="DB2248" s="1530"/>
      <c r="DC2248" s="1530"/>
      <c r="DD2248" s="1530"/>
      <c r="DE2248" s="1530"/>
      <c r="DF2248" s="1530"/>
      <c r="DG2248" s="1530"/>
      <c r="DH2248" s="1530"/>
      <c r="DI2248" s="1530"/>
      <c r="DJ2248" s="1530"/>
      <c r="DK2248" s="1530"/>
      <c r="DL2248" s="1530"/>
      <c r="DM2248" s="1530"/>
      <c r="DN2248" s="1571"/>
      <c r="DO2248" s="1530"/>
      <c r="DP2248" s="1530"/>
    </row>
    <row r="2249" spans="1:120">
      <c r="A2249" s="1451"/>
      <c r="C2249" s="1451"/>
      <c r="K2249" s="1451"/>
      <c r="L2249" s="1451"/>
      <c r="U2249" s="1451"/>
      <c r="AD2249" s="1451"/>
      <c r="AM2249" s="1451"/>
      <c r="AV2249" s="1451"/>
      <c r="BE2249" s="1451"/>
      <c r="BN2249" s="1451"/>
      <c r="BV2249" s="1451"/>
      <c r="BW2249" s="1451"/>
      <c r="CF2249" s="1451"/>
      <c r="CN2249" s="1451"/>
      <c r="CO2249" s="1530"/>
      <c r="CP2249" s="1530"/>
      <c r="CQ2249" s="1530"/>
      <c r="CR2249" s="1530"/>
      <c r="CS2249" s="1530"/>
      <c r="CT2249" s="1530"/>
      <c r="CU2249" s="1530"/>
      <c r="CV2249" s="1530"/>
      <c r="CW2249" s="1530"/>
      <c r="CX2249" s="1530"/>
      <c r="CY2249" s="1530"/>
      <c r="CZ2249" s="1530"/>
      <c r="DA2249" s="1530"/>
      <c r="DB2249" s="1530"/>
      <c r="DC2249" s="1530"/>
      <c r="DD2249" s="1530"/>
      <c r="DE2249" s="1530"/>
      <c r="DF2249" s="1530"/>
      <c r="DG2249" s="1530"/>
      <c r="DH2249" s="1530"/>
      <c r="DI2249" s="1530"/>
      <c r="DJ2249" s="1530"/>
      <c r="DK2249" s="1530"/>
      <c r="DL2249" s="1530"/>
      <c r="DM2249" s="1530"/>
      <c r="DN2249" s="1571"/>
      <c r="DO2249" s="1530"/>
      <c r="DP2249" s="1530"/>
    </row>
    <row r="2250" spans="1:120">
      <c r="A2250" s="1451"/>
      <c r="C2250" s="1451"/>
      <c r="K2250" s="1451"/>
      <c r="L2250" s="1451"/>
      <c r="U2250" s="1451"/>
      <c r="AD2250" s="1451"/>
      <c r="AM2250" s="1451"/>
      <c r="AV2250" s="1451"/>
      <c r="BE2250" s="1451"/>
      <c r="BN2250" s="1451"/>
      <c r="BV2250" s="1451"/>
      <c r="BW2250" s="1451"/>
      <c r="CF2250" s="1451"/>
      <c r="CN2250" s="1451"/>
      <c r="CO2250" s="1530"/>
      <c r="CP2250" s="1530"/>
      <c r="CQ2250" s="1530"/>
      <c r="CR2250" s="1530"/>
      <c r="CS2250" s="1530"/>
      <c r="CT2250" s="1530"/>
      <c r="CU2250" s="1530"/>
      <c r="CV2250" s="1530"/>
      <c r="CW2250" s="1530"/>
      <c r="CX2250" s="1530"/>
      <c r="CY2250" s="1530"/>
      <c r="CZ2250" s="1530"/>
      <c r="DA2250" s="1530"/>
      <c r="DB2250" s="1530"/>
      <c r="DC2250" s="1530"/>
      <c r="DD2250" s="1530"/>
      <c r="DE2250" s="1530"/>
      <c r="DF2250" s="1530"/>
      <c r="DG2250" s="1530"/>
      <c r="DH2250" s="1530"/>
      <c r="DI2250" s="1530"/>
      <c r="DJ2250" s="1530"/>
      <c r="DK2250" s="1530"/>
      <c r="DL2250" s="1530"/>
      <c r="DM2250" s="1530"/>
      <c r="DN2250" s="1571"/>
      <c r="DO2250" s="1530"/>
      <c r="DP2250" s="1530"/>
    </row>
    <row r="2251" spans="1:120">
      <c r="A2251" s="1451"/>
      <c r="C2251" s="1451"/>
      <c r="K2251" s="1451"/>
      <c r="L2251" s="1451"/>
      <c r="U2251" s="1451"/>
      <c r="AD2251" s="1451"/>
      <c r="AM2251" s="1451"/>
      <c r="AV2251" s="1451"/>
      <c r="BE2251" s="1451"/>
      <c r="BN2251" s="1451"/>
      <c r="BV2251" s="1451"/>
      <c r="BW2251" s="1451"/>
      <c r="CF2251" s="1451"/>
      <c r="CN2251" s="1451"/>
      <c r="CO2251" s="1530"/>
      <c r="CP2251" s="1530"/>
      <c r="CQ2251" s="1530"/>
      <c r="CR2251" s="1530"/>
      <c r="CS2251" s="1530"/>
      <c r="CT2251" s="1530"/>
      <c r="CU2251" s="1530"/>
      <c r="CV2251" s="1530"/>
      <c r="CW2251" s="1530"/>
      <c r="CX2251" s="1530"/>
      <c r="CY2251" s="1530"/>
      <c r="CZ2251" s="1530"/>
      <c r="DA2251" s="1530"/>
      <c r="DB2251" s="1530"/>
      <c r="DC2251" s="1530"/>
      <c r="DD2251" s="1530"/>
      <c r="DE2251" s="1530"/>
      <c r="DF2251" s="1530"/>
      <c r="DG2251" s="1530"/>
      <c r="DH2251" s="1530"/>
      <c r="DI2251" s="1530"/>
      <c r="DJ2251" s="1530"/>
      <c r="DK2251" s="1530"/>
      <c r="DL2251" s="1530"/>
      <c r="DM2251" s="1530"/>
      <c r="DN2251" s="1571"/>
      <c r="DO2251" s="1530"/>
      <c r="DP2251" s="1530"/>
    </row>
    <row r="2252" spans="1:120">
      <c r="A2252" s="1451"/>
      <c r="C2252" s="1451"/>
      <c r="K2252" s="1451"/>
      <c r="L2252" s="1451"/>
      <c r="U2252" s="1451"/>
      <c r="AD2252" s="1451"/>
      <c r="AM2252" s="1451"/>
      <c r="AV2252" s="1451"/>
      <c r="BE2252" s="1451"/>
      <c r="BN2252" s="1451"/>
      <c r="BV2252" s="1451"/>
      <c r="BW2252" s="1451"/>
      <c r="CF2252" s="1451"/>
      <c r="CN2252" s="1451"/>
      <c r="CO2252" s="1530"/>
      <c r="CP2252" s="1530"/>
      <c r="CQ2252" s="1530"/>
      <c r="CR2252" s="1530"/>
      <c r="CS2252" s="1530"/>
      <c r="CT2252" s="1530"/>
      <c r="CU2252" s="1530"/>
      <c r="CV2252" s="1530"/>
      <c r="CW2252" s="1530"/>
      <c r="CX2252" s="1530"/>
      <c r="CY2252" s="1530"/>
      <c r="CZ2252" s="1530"/>
      <c r="DA2252" s="1530"/>
      <c r="DB2252" s="1530"/>
      <c r="DC2252" s="1530"/>
      <c r="DD2252" s="1530"/>
      <c r="DE2252" s="1530"/>
      <c r="DF2252" s="1530"/>
      <c r="DG2252" s="1530"/>
      <c r="DH2252" s="1530"/>
      <c r="DI2252" s="1530"/>
      <c r="DJ2252" s="1530"/>
      <c r="DK2252" s="1530"/>
      <c r="DL2252" s="1530"/>
      <c r="DM2252" s="1530"/>
      <c r="DN2252" s="1571"/>
      <c r="DO2252" s="1530"/>
      <c r="DP2252" s="1530"/>
    </row>
    <row r="2253" spans="1:120">
      <c r="A2253" s="1451"/>
      <c r="C2253" s="1451"/>
      <c r="K2253" s="1451"/>
      <c r="L2253" s="1451"/>
      <c r="U2253" s="1451"/>
      <c r="AD2253" s="1451"/>
      <c r="AM2253" s="1451"/>
      <c r="AV2253" s="1451"/>
      <c r="BE2253" s="1451"/>
      <c r="BN2253" s="1451"/>
      <c r="BV2253" s="1451"/>
      <c r="BW2253" s="1451"/>
      <c r="CF2253" s="1451"/>
      <c r="CN2253" s="1451"/>
      <c r="CO2253" s="1530"/>
      <c r="CP2253" s="1530"/>
      <c r="CQ2253" s="1530"/>
      <c r="CR2253" s="1530"/>
      <c r="CS2253" s="1530"/>
      <c r="CT2253" s="1530"/>
      <c r="CU2253" s="1530"/>
      <c r="CV2253" s="1530"/>
      <c r="CW2253" s="1530"/>
      <c r="CX2253" s="1530"/>
      <c r="CY2253" s="1530"/>
      <c r="CZ2253" s="1530"/>
      <c r="DA2253" s="1530"/>
      <c r="DB2253" s="1530"/>
      <c r="DC2253" s="1530"/>
      <c r="DD2253" s="1530"/>
      <c r="DE2253" s="1530"/>
      <c r="DF2253" s="1530"/>
      <c r="DG2253" s="1530"/>
      <c r="DH2253" s="1530"/>
      <c r="DI2253" s="1530"/>
      <c r="DJ2253" s="1530"/>
      <c r="DK2253" s="1530"/>
      <c r="DL2253" s="1530"/>
      <c r="DM2253" s="1530"/>
      <c r="DN2253" s="1571"/>
      <c r="DO2253" s="1530"/>
      <c r="DP2253" s="1530"/>
    </row>
    <row r="2254" spans="1:120">
      <c r="A2254" s="1451"/>
      <c r="C2254" s="1451"/>
      <c r="K2254" s="1451"/>
      <c r="L2254" s="1451"/>
      <c r="U2254" s="1451"/>
      <c r="AD2254" s="1451"/>
      <c r="AM2254" s="1451"/>
      <c r="AV2254" s="1451"/>
      <c r="BE2254" s="1451"/>
      <c r="BN2254" s="1451"/>
      <c r="BV2254" s="1451"/>
      <c r="BW2254" s="1451"/>
      <c r="CF2254" s="1451"/>
      <c r="CN2254" s="1451"/>
      <c r="CO2254" s="1530"/>
      <c r="CP2254" s="1530"/>
      <c r="CQ2254" s="1530"/>
      <c r="CR2254" s="1530"/>
      <c r="CS2254" s="1530"/>
      <c r="CT2254" s="1530"/>
      <c r="CU2254" s="1530"/>
      <c r="CV2254" s="1530"/>
      <c r="CW2254" s="1530"/>
      <c r="CX2254" s="1530"/>
      <c r="CY2254" s="1530"/>
      <c r="CZ2254" s="1530"/>
      <c r="DA2254" s="1530"/>
      <c r="DB2254" s="1530"/>
      <c r="DC2254" s="1530"/>
      <c r="DD2254" s="1530"/>
      <c r="DE2254" s="1530"/>
      <c r="DF2254" s="1530"/>
      <c r="DG2254" s="1530"/>
      <c r="DH2254" s="1530"/>
      <c r="DI2254" s="1530"/>
      <c r="DJ2254" s="1530"/>
      <c r="DK2254" s="1530"/>
      <c r="DL2254" s="1530"/>
      <c r="DM2254" s="1530"/>
      <c r="DN2254" s="1571"/>
      <c r="DO2254" s="1530"/>
      <c r="DP2254" s="1530"/>
    </row>
    <row r="2255" spans="1:120">
      <c r="A2255" s="1451"/>
      <c r="C2255" s="1451"/>
      <c r="K2255" s="1451"/>
      <c r="L2255" s="1451"/>
      <c r="U2255" s="1451"/>
      <c r="AD2255" s="1451"/>
      <c r="AM2255" s="1451"/>
      <c r="AV2255" s="1451"/>
      <c r="BE2255" s="1451"/>
      <c r="BN2255" s="1451"/>
      <c r="BV2255" s="1451"/>
      <c r="BW2255" s="1451"/>
      <c r="CF2255" s="1451"/>
      <c r="CN2255" s="1451"/>
      <c r="CO2255" s="1530"/>
      <c r="CP2255" s="1530"/>
      <c r="CQ2255" s="1530"/>
      <c r="CR2255" s="1530"/>
      <c r="CS2255" s="1530"/>
      <c r="CT2255" s="1530"/>
      <c r="CU2255" s="1530"/>
      <c r="CV2255" s="1530"/>
      <c r="CW2255" s="1530"/>
      <c r="CX2255" s="1530"/>
      <c r="CY2255" s="1530"/>
      <c r="CZ2255" s="1530"/>
      <c r="DA2255" s="1530"/>
      <c r="DB2255" s="1530"/>
      <c r="DC2255" s="1530"/>
      <c r="DD2255" s="1530"/>
      <c r="DE2255" s="1530"/>
      <c r="DF2255" s="1530"/>
      <c r="DG2255" s="1530"/>
      <c r="DH2255" s="1530"/>
      <c r="DI2255" s="1530"/>
      <c r="DJ2255" s="1530"/>
      <c r="DK2255" s="1530"/>
      <c r="DL2255" s="1530"/>
      <c r="DM2255" s="1530"/>
      <c r="DN2255" s="1571"/>
      <c r="DO2255" s="1530"/>
      <c r="DP2255" s="1530"/>
    </row>
    <row r="2256" spans="1:120">
      <c r="A2256" s="1451"/>
      <c r="C2256" s="1451"/>
      <c r="K2256" s="1451"/>
      <c r="L2256" s="1451"/>
      <c r="U2256" s="1451"/>
      <c r="AD2256" s="1451"/>
      <c r="AM2256" s="1451"/>
      <c r="AV2256" s="1451"/>
      <c r="BE2256" s="1451"/>
      <c r="BN2256" s="1451"/>
      <c r="BV2256" s="1451"/>
      <c r="BW2256" s="1451"/>
      <c r="CF2256" s="1451"/>
      <c r="CN2256" s="1451"/>
      <c r="CO2256" s="1530"/>
      <c r="CP2256" s="1530"/>
      <c r="CQ2256" s="1530"/>
      <c r="CR2256" s="1530"/>
      <c r="CS2256" s="1530"/>
      <c r="CT2256" s="1530"/>
      <c r="CU2256" s="1530"/>
      <c r="CV2256" s="1530"/>
      <c r="CW2256" s="1530"/>
      <c r="CX2256" s="1530"/>
      <c r="CY2256" s="1530"/>
      <c r="CZ2256" s="1530"/>
      <c r="DA2256" s="1530"/>
      <c r="DB2256" s="1530"/>
      <c r="DC2256" s="1530"/>
      <c r="DD2256" s="1530"/>
      <c r="DE2256" s="1530"/>
      <c r="DF2256" s="1530"/>
      <c r="DG2256" s="1530"/>
      <c r="DH2256" s="1530"/>
      <c r="DI2256" s="1530"/>
      <c r="DJ2256" s="1530"/>
      <c r="DK2256" s="1530"/>
      <c r="DL2256" s="1530"/>
      <c r="DM2256" s="1530"/>
      <c r="DN2256" s="1571"/>
      <c r="DO2256" s="1530"/>
      <c r="DP2256" s="1530"/>
    </row>
    <row r="2257" spans="1:120">
      <c r="A2257" s="1451"/>
      <c r="C2257" s="1451"/>
      <c r="K2257" s="1451"/>
      <c r="L2257" s="1451"/>
      <c r="U2257" s="1451"/>
      <c r="AD2257" s="1451"/>
      <c r="AM2257" s="1451"/>
      <c r="AV2257" s="1451"/>
      <c r="BE2257" s="1451"/>
      <c r="BN2257" s="1451"/>
      <c r="BV2257" s="1451"/>
      <c r="BW2257" s="1451"/>
      <c r="CF2257" s="1451"/>
      <c r="CN2257" s="1451"/>
      <c r="CO2257" s="1530"/>
      <c r="CP2257" s="1530"/>
      <c r="CQ2257" s="1530"/>
      <c r="CR2257" s="1530"/>
      <c r="CS2257" s="1530"/>
      <c r="CT2257" s="1530"/>
      <c r="CU2257" s="1530"/>
      <c r="CV2257" s="1530"/>
      <c r="CW2257" s="1530"/>
      <c r="CX2257" s="1530"/>
      <c r="CY2257" s="1530"/>
      <c r="CZ2257" s="1530"/>
      <c r="DA2257" s="1530"/>
      <c r="DB2257" s="1530"/>
      <c r="DC2257" s="1530"/>
      <c r="DD2257" s="1530"/>
      <c r="DE2257" s="1530"/>
      <c r="DF2257" s="1530"/>
      <c r="DG2257" s="1530"/>
      <c r="DH2257" s="1530"/>
      <c r="DI2257" s="1530"/>
      <c r="DJ2257" s="1530"/>
      <c r="DK2257" s="1530"/>
      <c r="DL2257" s="1530"/>
      <c r="DM2257" s="1530"/>
      <c r="DN2257" s="1571"/>
      <c r="DO2257" s="1530"/>
      <c r="DP2257" s="1530"/>
    </row>
    <row r="2258" spans="1:120">
      <c r="A2258" s="1451"/>
      <c r="C2258" s="1451"/>
      <c r="K2258" s="1451"/>
      <c r="L2258" s="1451"/>
      <c r="U2258" s="1451"/>
      <c r="AD2258" s="1451"/>
      <c r="AM2258" s="1451"/>
      <c r="AV2258" s="1451"/>
      <c r="BE2258" s="1451"/>
      <c r="BN2258" s="1451"/>
      <c r="BV2258" s="1451"/>
      <c r="BW2258" s="1451"/>
      <c r="CF2258" s="1451"/>
      <c r="CN2258" s="1451"/>
      <c r="CO2258" s="1530"/>
      <c r="CP2258" s="1530"/>
      <c r="CQ2258" s="1530"/>
      <c r="CR2258" s="1530"/>
      <c r="CS2258" s="1530"/>
      <c r="CT2258" s="1530"/>
      <c r="CU2258" s="1530"/>
      <c r="CV2258" s="1530"/>
      <c r="CW2258" s="1530"/>
      <c r="CX2258" s="1530"/>
      <c r="CY2258" s="1530"/>
      <c r="CZ2258" s="1530"/>
      <c r="DA2258" s="1530"/>
      <c r="DB2258" s="1530"/>
      <c r="DC2258" s="1530"/>
      <c r="DD2258" s="1530"/>
      <c r="DE2258" s="1530"/>
      <c r="DF2258" s="1530"/>
      <c r="DG2258" s="1530"/>
      <c r="DH2258" s="1530"/>
      <c r="DI2258" s="1530"/>
      <c r="DJ2258" s="1530"/>
      <c r="DK2258" s="1530"/>
      <c r="DL2258" s="1530"/>
      <c r="DM2258" s="1530"/>
      <c r="DN2258" s="1571"/>
      <c r="DO2258" s="1530"/>
      <c r="DP2258" s="1530"/>
    </row>
    <row r="2259" spans="1:120">
      <c r="A2259" s="1451"/>
      <c r="C2259" s="1451"/>
      <c r="K2259" s="1451"/>
      <c r="L2259" s="1451"/>
      <c r="U2259" s="1451"/>
      <c r="AD2259" s="1451"/>
      <c r="AM2259" s="1451"/>
      <c r="AV2259" s="1451"/>
      <c r="BE2259" s="1451"/>
      <c r="BN2259" s="1451"/>
      <c r="BV2259" s="1451"/>
      <c r="BW2259" s="1451"/>
      <c r="CF2259" s="1451"/>
      <c r="CN2259" s="1451"/>
      <c r="CO2259" s="1530"/>
      <c r="CP2259" s="1530"/>
      <c r="CQ2259" s="1530"/>
      <c r="CR2259" s="1530"/>
      <c r="CS2259" s="1530"/>
      <c r="CT2259" s="1530"/>
      <c r="CU2259" s="1530"/>
      <c r="CV2259" s="1530"/>
      <c r="CW2259" s="1530"/>
      <c r="CX2259" s="1530"/>
      <c r="CY2259" s="1530"/>
      <c r="CZ2259" s="1530"/>
      <c r="DA2259" s="1530"/>
      <c r="DB2259" s="1530"/>
      <c r="DC2259" s="1530"/>
      <c r="DD2259" s="1530"/>
      <c r="DE2259" s="1530"/>
      <c r="DF2259" s="1530"/>
      <c r="DG2259" s="1530"/>
      <c r="DH2259" s="1530"/>
      <c r="DI2259" s="1530"/>
      <c r="DJ2259" s="1530"/>
      <c r="DK2259" s="1530"/>
      <c r="DL2259" s="1530"/>
      <c r="DM2259" s="1530"/>
      <c r="DN2259" s="1571"/>
      <c r="DO2259" s="1530"/>
      <c r="DP2259" s="1530"/>
    </row>
    <row r="2260" spans="1:120">
      <c r="A2260" s="1451"/>
      <c r="C2260" s="1451"/>
      <c r="K2260" s="1451"/>
      <c r="L2260" s="1451"/>
      <c r="U2260" s="1451"/>
      <c r="AD2260" s="1451"/>
      <c r="AM2260" s="1451"/>
      <c r="AV2260" s="1451"/>
      <c r="BE2260" s="1451"/>
      <c r="BN2260" s="1451"/>
      <c r="BV2260" s="1451"/>
      <c r="BW2260" s="1451"/>
      <c r="CF2260" s="1451"/>
      <c r="CN2260" s="1451"/>
      <c r="CO2260" s="1530"/>
      <c r="CP2260" s="1530"/>
      <c r="CQ2260" s="1530"/>
      <c r="CR2260" s="1530"/>
      <c r="CS2260" s="1530"/>
      <c r="CT2260" s="1530"/>
      <c r="CU2260" s="1530"/>
      <c r="CV2260" s="1530"/>
      <c r="CW2260" s="1530"/>
      <c r="CX2260" s="1530"/>
      <c r="CY2260" s="1530"/>
      <c r="CZ2260" s="1530"/>
      <c r="DA2260" s="1530"/>
      <c r="DB2260" s="1530"/>
      <c r="DC2260" s="1530"/>
      <c r="DD2260" s="1530"/>
      <c r="DE2260" s="1530"/>
      <c r="DF2260" s="1530"/>
      <c r="DG2260" s="1530"/>
      <c r="DH2260" s="1530"/>
      <c r="DI2260" s="1530"/>
      <c r="DJ2260" s="1530"/>
      <c r="DK2260" s="1530"/>
      <c r="DL2260" s="1530"/>
      <c r="DM2260" s="1530"/>
      <c r="DN2260" s="1571"/>
      <c r="DO2260" s="1530"/>
      <c r="DP2260" s="1530"/>
    </row>
    <row r="2261" spans="1:120">
      <c r="A2261" s="1451"/>
      <c r="C2261" s="1451"/>
      <c r="K2261" s="1451"/>
      <c r="L2261" s="1451"/>
      <c r="U2261" s="1451"/>
      <c r="AD2261" s="1451"/>
      <c r="AM2261" s="1451"/>
      <c r="AV2261" s="1451"/>
      <c r="BE2261" s="1451"/>
      <c r="BN2261" s="1451"/>
      <c r="BV2261" s="1451"/>
      <c r="BW2261" s="1451"/>
      <c r="CF2261" s="1451"/>
      <c r="CN2261" s="1451"/>
      <c r="CO2261" s="1530"/>
      <c r="CP2261" s="1530"/>
      <c r="CQ2261" s="1530"/>
      <c r="CR2261" s="1530"/>
      <c r="CS2261" s="1530"/>
      <c r="CT2261" s="1530"/>
      <c r="CU2261" s="1530"/>
      <c r="CV2261" s="1530"/>
      <c r="CW2261" s="1530"/>
      <c r="CX2261" s="1530"/>
      <c r="CY2261" s="1530"/>
      <c r="CZ2261" s="1530"/>
      <c r="DA2261" s="1530"/>
      <c r="DB2261" s="1530"/>
      <c r="DC2261" s="1530"/>
      <c r="DD2261" s="1530"/>
      <c r="DE2261" s="1530"/>
      <c r="DF2261" s="1530"/>
      <c r="DG2261" s="1530"/>
      <c r="DH2261" s="1530"/>
      <c r="DI2261" s="1530"/>
      <c r="DJ2261" s="1530"/>
      <c r="DK2261" s="1530"/>
      <c r="DL2261" s="1530"/>
      <c r="DM2261" s="1530"/>
      <c r="DN2261" s="1571"/>
      <c r="DO2261" s="1530"/>
      <c r="DP2261" s="1530"/>
    </row>
    <row r="2262" spans="1:120">
      <c r="A2262" s="1451"/>
      <c r="C2262" s="1451"/>
      <c r="K2262" s="1451"/>
      <c r="L2262" s="1451"/>
      <c r="U2262" s="1451"/>
      <c r="AD2262" s="1451"/>
      <c r="AM2262" s="1451"/>
      <c r="AV2262" s="1451"/>
      <c r="BE2262" s="1451"/>
      <c r="BN2262" s="1451"/>
      <c r="BV2262" s="1451"/>
      <c r="BW2262" s="1451"/>
      <c r="CF2262" s="1451"/>
      <c r="CN2262" s="1451"/>
      <c r="CO2262" s="1530"/>
      <c r="CP2262" s="1530"/>
      <c r="CQ2262" s="1530"/>
      <c r="CR2262" s="1530"/>
      <c r="CS2262" s="1530"/>
      <c r="CT2262" s="1530"/>
      <c r="CU2262" s="1530"/>
      <c r="CV2262" s="1530"/>
      <c r="CW2262" s="1530"/>
      <c r="CX2262" s="1530"/>
      <c r="CY2262" s="1530"/>
      <c r="CZ2262" s="1530"/>
      <c r="DA2262" s="1530"/>
      <c r="DB2262" s="1530"/>
      <c r="DC2262" s="1530"/>
      <c r="DD2262" s="1530"/>
      <c r="DE2262" s="1530"/>
      <c r="DF2262" s="1530"/>
      <c r="DG2262" s="1530"/>
      <c r="DH2262" s="1530"/>
      <c r="DI2262" s="1530"/>
      <c r="DJ2262" s="1530"/>
      <c r="DK2262" s="1530"/>
      <c r="DL2262" s="1530"/>
      <c r="DM2262" s="1530"/>
      <c r="DN2262" s="1571"/>
      <c r="DO2262" s="1530"/>
      <c r="DP2262" s="1530"/>
    </row>
    <row r="2263" spans="1:120">
      <c r="A2263" s="1451"/>
      <c r="C2263" s="1451"/>
      <c r="K2263" s="1451"/>
      <c r="L2263" s="1451"/>
      <c r="U2263" s="1451"/>
      <c r="AD2263" s="1451"/>
      <c r="AM2263" s="1451"/>
      <c r="AV2263" s="1451"/>
      <c r="BE2263" s="1451"/>
      <c r="BN2263" s="1451"/>
      <c r="BV2263" s="1451"/>
      <c r="BW2263" s="1451"/>
      <c r="CF2263" s="1451"/>
      <c r="CN2263" s="1451"/>
      <c r="CO2263" s="1530"/>
      <c r="CP2263" s="1530"/>
      <c r="CQ2263" s="1530"/>
      <c r="CR2263" s="1530"/>
      <c r="CS2263" s="1530"/>
      <c r="CT2263" s="1530"/>
      <c r="CU2263" s="1530"/>
      <c r="CV2263" s="1530"/>
      <c r="CW2263" s="1530"/>
      <c r="CX2263" s="1530"/>
      <c r="CY2263" s="1530"/>
      <c r="CZ2263" s="1530"/>
      <c r="DA2263" s="1530"/>
      <c r="DB2263" s="1530"/>
      <c r="DC2263" s="1530"/>
      <c r="DD2263" s="1530"/>
      <c r="DE2263" s="1530"/>
      <c r="DF2263" s="1530"/>
      <c r="DG2263" s="1530"/>
      <c r="DH2263" s="1530"/>
      <c r="DI2263" s="1530"/>
      <c r="DJ2263" s="1530"/>
      <c r="DK2263" s="1530"/>
      <c r="DL2263" s="1530"/>
      <c r="DM2263" s="1530"/>
      <c r="DN2263" s="1571"/>
      <c r="DO2263" s="1530"/>
      <c r="DP2263" s="1530"/>
    </row>
    <row r="2264" spans="1:120">
      <c r="A2264" s="1451"/>
      <c r="C2264" s="1451"/>
      <c r="K2264" s="1451"/>
      <c r="L2264" s="1451"/>
      <c r="U2264" s="1451"/>
      <c r="AD2264" s="1451"/>
      <c r="AM2264" s="1451"/>
      <c r="AV2264" s="1451"/>
      <c r="BE2264" s="1451"/>
      <c r="BN2264" s="1451"/>
      <c r="BV2264" s="1451"/>
      <c r="BW2264" s="1451"/>
      <c r="CF2264" s="1451"/>
      <c r="CN2264" s="1451"/>
      <c r="CO2264" s="1530"/>
      <c r="CP2264" s="1530"/>
      <c r="CQ2264" s="1530"/>
      <c r="CR2264" s="1530"/>
      <c r="CS2264" s="1530"/>
      <c r="CT2264" s="1530"/>
      <c r="CU2264" s="1530"/>
      <c r="CV2264" s="1530"/>
      <c r="CW2264" s="1530"/>
      <c r="CX2264" s="1530"/>
      <c r="CY2264" s="1530"/>
      <c r="CZ2264" s="1530"/>
      <c r="DA2264" s="1530"/>
      <c r="DB2264" s="1530"/>
      <c r="DC2264" s="1530"/>
      <c r="DD2264" s="1530"/>
      <c r="DE2264" s="1530"/>
      <c r="DF2264" s="1530"/>
      <c r="DG2264" s="1530"/>
      <c r="DH2264" s="1530"/>
      <c r="DI2264" s="1530"/>
      <c r="DJ2264" s="1530"/>
      <c r="DK2264" s="1530"/>
      <c r="DL2264" s="1530"/>
      <c r="DM2264" s="1530"/>
      <c r="DN2264" s="1571"/>
      <c r="DO2264" s="1530"/>
      <c r="DP2264" s="1530"/>
    </row>
    <row r="2265" spans="1:120">
      <c r="A2265" s="1451"/>
      <c r="C2265" s="1451"/>
      <c r="K2265" s="1451"/>
      <c r="L2265" s="1451"/>
      <c r="U2265" s="1451"/>
      <c r="AD2265" s="1451"/>
      <c r="AM2265" s="1451"/>
      <c r="AV2265" s="1451"/>
      <c r="BE2265" s="1451"/>
      <c r="BN2265" s="1451"/>
      <c r="BV2265" s="1451"/>
      <c r="BW2265" s="1451"/>
      <c r="CF2265" s="1451"/>
      <c r="CN2265" s="1451"/>
      <c r="CO2265" s="1530"/>
      <c r="CP2265" s="1530"/>
      <c r="CQ2265" s="1530"/>
      <c r="CR2265" s="1530"/>
      <c r="CS2265" s="1530"/>
      <c r="CT2265" s="1530"/>
      <c r="CU2265" s="1530"/>
      <c r="CV2265" s="1530"/>
      <c r="CW2265" s="1530"/>
      <c r="CX2265" s="1530"/>
      <c r="CY2265" s="1530"/>
      <c r="CZ2265" s="1530"/>
      <c r="DA2265" s="1530"/>
      <c r="DB2265" s="1530"/>
      <c r="DC2265" s="1530"/>
      <c r="DD2265" s="1530"/>
      <c r="DE2265" s="1530"/>
      <c r="DF2265" s="1530"/>
      <c r="DG2265" s="1530"/>
      <c r="DH2265" s="1530"/>
      <c r="DI2265" s="1530"/>
      <c r="DJ2265" s="1530"/>
      <c r="DK2265" s="1530"/>
      <c r="DL2265" s="1530"/>
      <c r="DM2265" s="1530"/>
      <c r="DN2265" s="1571"/>
      <c r="DO2265" s="1530"/>
      <c r="DP2265" s="1530"/>
    </row>
    <row r="2266" spans="1:120">
      <c r="A2266" s="1451"/>
      <c r="C2266" s="1451"/>
      <c r="K2266" s="1451"/>
      <c r="L2266" s="1451"/>
      <c r="U2266" s="1451"/>
      <c r="AD2266" s="1451"/>
      <c r="AM2266" s="1451"/>
      <c r="AV2266" s="1451"/>
      <c r="BE2266" s="1451"/>
      <c r="BN2266" s="1451"/>
      <c r="BV2266" s="1451"/>
      <c r="BW2266" s="1451"/>
      <c r="CF2266" s="1451"/>
      <c r="CN2266" s="1451"/>
      <c r="CO2266" s="1530"/>
      <c r="CP2266" s="1530"/>
      <c r="CQ2266" s="1530"/>
      <c r="CR2266" s="1530"/>
      <c r="CS2266" s="1530"/>
      <c r="CT2266" s="1530"/>
      <c r="CU2266" s="1530"/>
      <c r="CV2266" s="1530"/>
      <c r="CW2266" s="1530"/>
      <c r="CX2266" s="1530"/>
      <c r="CY2266" s="1530"/>
      <c r="CZ2266" s="1530"/>
      <c r="DA2266" s="1530"/>
      <c r="DB2266" s="1530"/>
      <c r="DC2266" s="1530"/>
      <c r="DD2266" s="1530"/>
      <c r="DE2266" s="1530"/>
      <c r="DF2266" s="1530"/>
      <c r="DG2266" s="1530"/>
      <c r="DH2266" s="1530"/>
      <c r="DI2266" s="1530"/>
      <c r="DJ2266" s="1530"/>
      <c r="DK2266" s="1530"/>
      <c r="DL2266" s="1530"/>
      <c r="DM2266" s="1530"/>
      <c r="DN2266" s="1571"/>
      <c r="DO2266" s="1530"/>
      <c r="DP2266" s="1530"/>
    </row>
    <row r="2267" spans="1:120">
      <c r="A2267" s="1451"/>
      <c r="C2267" s="1451"/>
      <c r="K2267" s="1451"/>
      <c r="L2267" s="1451"/>
      <c r="U2267" s="1451"/>
      <c r="AD2267" s="1451"/>
      <c r="AM2267" s="1451"/>
      <c r="AV2267" s="1451"/>
      <c r="BE2267" s="1451"/>
      <c r="BN2267" s="1451"/>
      <c r="BV2267" s="1451"/>
      <c r="BW2267" s="1451"/>
      <c r="CF2267" s="1451"/>
      <c r="CN2267" s="1451"/>
      <c r="CO2267" s="1530"/>
      <c r="CP2267" s="1530"/>
      <c r="CQ2267" s="1530"/>
      <c r="CR2267" s="1530"/>
      <c r="CS2267" s="1530"/>
      <c r="CT2267" s="1530"/>
      <c r="CU2267" s="1530"/>
      <c r="CV2267" s="1530"/>
      <c r="CW2267" s="1530"/>
      <c r="CX2267" s="1530"/>
      <c r="CY2267" s="1530"/>
      <c r="CZ2267" s="1530"/>
      <c r="DA2267" s="1530"/>
      <c r="DB2267" s="1530"/>
      <c r="DC2267" s="1530"/>
      <c r="DD2267" s="1530"/>
      <c r="DE2267" s="1530"/>
      <c r="DF2267" s="1530"/>
      <c r="DG2267" s="1530"/>
      <c r="DH2267" s="1530"/>
      <c r="DI2267" s="1530"/>
      <c r="DJ2267" s="1530"/>
      <c r="DK2267" s="1530"/>
      <c r="DL2267" s="1530"/>
      <c r="DM2267" s="1530"/>
      <c r="DN2267" s="1571"/>
      <c r="DO2267" s="1530"/>
      <c r="DP2267" s="1530"/>
    </row>
    <row r="2268" spans="1:120">
      <c r="A2268" s="1451"/>
      <c r="C2268" s="1451"/>
      <c r="K2268" s="1451"/>
      <c r="L2268" s="1451"/>
      <c r="U2268" s="1451"/>
      <c r="AD2268" s="1451"/>
      <c r="AM2268" s="1451"/>
      <c r="AV2268" s="1451"/>
      <c r="BE2268" s="1451"/>
      <c r="BN2268" s="1451"/>
      <c r="BV2268" s="1451"/>
      <c r="BW2268" s="1451"/>
      <c r="CF2268" s="1451"/>
      <c r="CN2268" s="1451"/>
      <c r="CO2268" s="1530"/>
      <c r="CP2268" s="1530"/>
      <c r="CQ2268" s="1530"/>
      <c r="CR2268" s="1530"/>
      <c r="CS2268" s="1530"/>
      <c r="CT2268" s="1530"/>
      <c r="CU2268" s="1530"/>
      <c r="CV2268" s="1530"/>
      <c r="CW2268" s="1530"/>
      <c r="CX2268" s="1530"/>
      <c r="CY2268" s="1530"/>
      <c r="CZ2268" s="1530"/>
      <c r="DA2268" s="1530"/>
      <c r="DB2268" s="1530"/>
      <c r="DC2268" s="1530"/>
      <c r="DD2268" s="1530"/>
      <c r="DE2268" s="1530"/>
      <c r="DF2268" s="1530"/>
      <c r="DG2268" s="1530"/>
      <c r="DH2268" s="1530"/>
      <c r="DI2268" s="1530"/>
      <c r="DJ2268" s="1530"/>
      <c r="DK2268" s="1530"/>
      <c r="DL2268" s="1530"/>
      <c r="DM2268" s="1530"/>
      <c r="DN2268" s="1571"/>
      <c r="DO2268" s="1530"/>
      <c r="DP2268" s="1530"/>
    </row>
    <row r="2269" spans="1:120">
      <c r="A2269" s="1451"/>
      <c r="C2269" s="1451"/>
      <c r="K2269" s="1451"/>
      <c r="L2269" s="1451"/>
      <c r="U2269" s="1451"/>
      <c r="AD2269" s="1451"/>
      <c r="AM2269" s="1451"/>
      <c r="AV2269" s="1451"/>
      <c r="BE2269" s="1451"/>
      <c r="BN2269" s="1451"/>
      <c r="BV2269" s="1451"/>
      <c r="BW2269" s="1451"/>
      <c r="CF2269" s="1451"/>
      <c r="CN2269" s="1451"/>
      <c r="CO2269" s="1530"/>
      <c r="CP2269" s="1530"/>
      <c r="CQ2269" s="1530"/>
      <c r="CR2269" s="1530"/>
      <c r="CS2269" s="1530"/>
      <c r="CT2269" s="1530"/>
      <c r="CU2269" s="1530"/>
      <c r="CV2269" s="1530"/>
      <c r="CW2269" s="1530"/>
      <c r="CX2269" s="1530"/>
      <c r="CY2269" s="1530"/>
      <c r="CZ2269" s="1530"/>
      <c r="DA2269" s="1530"/>
      <c r="DB2269" s="1530"/>
      <c r="DC2269" s="1530"/>
      <c r="DD2269" s="1530"/>
      <c r="DE2269" s="1530"/>
      <c r="DF2269" s="1530"/>
      <c r="DG2269" s="1530"/>
      <c r="DH2269" s="1530"/>
      <c r="DI2269" s="1530"/>
      <c r="DJ2269" s="1530"/>
      <c r="DK2269" s="1530"/>
      <c r="DL2269" s="1530"/>
      <c r="DM2269" s="1530"/>
      <c r="DN2269" s="1571"/>
      <c r="DO2269" s="1530"/>
      <c r="DP2269" s="1530"/>
    </row>
    <row r="2270" spans="1:120">
      <c r="A2270" s="1451"/>
      <c r="C2270" s="1451"/>
      <c r="K2270" s="1451"/>
      <c r="L2270" s="1451"/>
      <c r="U2270" s="1451"/>
      <c r="AD2270" s="1451"/>
      <c r="AM2270" s="1451"/>
      <c r="AV2270" s="1451"/>
      <c r="BE2270" s="1451"/>
      <c r="BN2270" s="1451"/>
      <c r="BV2270" s="1451"/>
      <c r="BW2270" s="1451"/>
      <c r="CF2270" s="1451"/>
      <c r="CN2270" s="1451"/>
      <c r="CO2270" s="1530"/>
      <c r="CP2270" s="1530"/>
      <c r="CQ2270" s="1530"/>
      <c r="CR2270" s="1530"/>
      <c r="CS2270" s="1530"/>
      <c r="CT2270" s="1530"/>
      <c r="CU2270" s="1530"/>
      <c r="CV2270" s="1530"/>
      <c r="CW2270" s="1530"/>
      <c r="CX2270" s="1530"/>
      <c r="CY2270" s="1530"/>
      <c r="CZ2270" s="1530"/>
      <c r="DA2270" s="1530"/>
      <c r="DB2270" s="1530"/>
      <c r="DC2270" s="1530"/>
      <c r="DD2270" s="1530"/>
      <c r="DE2270" s="1530"/>
      <c r="DF2270" s="1530"/>
      <c r="DG2270" s="1530"/>
      <c r="DH2270" s="1530"/>
      <c r="DI2270" s="1530"/>
      <c r="DJ2270" s="1530"/>
      <c r="DK2270" s="1530"/>
      <c r="DL2270" s="1530"/>
      <c r="DM2270" s="1530"/>
      <c r="DN2270" s="1571"/>
      <c r="DO2270" s="1530"/>
      <c r="DP2270" s="1530"/>
    </row>
    <row r="2271" spans="1:120">
      <c r="A2271" s="1451"/>
      <c r="C2271" s="1451"/>
      <c r="K2271" s="1451"/>
      <c r="L2271" s="1451"/>
      <c r="U2271" s="1451"/>
      <c r="AD2271" s="1451"/>
      <c r="AM2271" s="1451"/>
      <c r="AV2271" s="1451"/>
      <c r="BE2271" s="1451"/>
      <c r="BN2271" s="1451"/>
      <c r="BV2271" s="1451"/>
      <c r="BW2271" s="1451"/>
      <c r="CF2271" s="1451"/>
      <c r="CN2271" s="1451"/>
      <c r="CO2271" s="1530"/>
      <c r="CP2271" s="1530"/>
      <c r="CQ2271" s="1530"/>
      <c r="CR2271" s="1530"/>
      <c r="CS2271" s="1530"/>
      <c r="CT2271" s="1530"/>
      <c r="CU2271" s="1530"/>
      <c r="CV2271" s="1530"/>
      <c r="CW2271" s="1530"/>
      <c r="CX2271" s="1530"/>
      <c r="CY2271" s="1530"/>
      <c r="CZ2271" s="1530"/>
      <c r="DA2271" s="1530"/>
      <c r="DB2271" s="1530"/>
      <c r="DC2271" s="1530"/>
      <c r="DD2271" s="1530"/>
      <c r="DE2271" s="1530"/>
      <c r="DF2271" s="1530"/>
      <c r="DG2271" s="1530"/>
      <c r="DH2271" s="1530"/>
      <c r="DI2271" s="1530"/>
      <c r="DJ2271" s="1530"/>
      <c r="DK2271" s="1530"/>
      <c r="DL2271" s="1530"/>
      <c r="DM2271" s="1530"/>
      <c r="DN2271" s="1571"/>
      <c r="DO2271" s="1530"/>
      <c r="DP2271" s="1530"/>
    </row>
    <row r="2272" spans="1:120">
      <c r="A2272" s="1451"/>
      <c r="C2272" s="1451"/>
      <c r="K2272" s="1451"/>
      <c r="L2272" s="1451"/>
      <c r="U2272" s="1451"/>
      <c r="AD2272" s="1451"/>
      <c r="AM2272" s="1451"/>
      <c r="AV2272" s="1451"/>
      <c r="BE2272" s="1451"/>
      <c r="BN2272" s="1451"/>
      <c r="BV2272" s="1451"/>
      <c r="BW2272" s="1451"/>
      <c r="CF2272" s="1451"/>
      <c r="CN2272" s="1451"/>
      <c r="CO2272" s="1530"/>
      <c r="CP2272" s="1530"/>
      <c r="CQ2272" s="1530"/>
      <c r="CR2272" s="1530"/>
      <c r="CS2272" s="1530"/>
      <c r="CT2272" s="1530"/>
      <c r="CU2272" s="1530"/>
      <c r="CV2272" s="1530"/>
      <c r="CW2272" s="1530"/>
      <c r="CX2272" s="1530"/>
      <c r="CY2272" s="1530"/>
      <c r="CZ2272" s="1530"/>
      <c r="DA2272" s="1530"/>
      <c r="DB2272" s="1530"/>
      <c r="DC2272" s="1530"/>
      <c r="DD2272" s="1530"/>
      <c r="DE2272" s="1530"/>
      <c r="DF2272" s="1530"/>
      <c r="DG2272" s="1530"/>
      <c r="DH2272" s="1530"/>
      <c r="DI2272" s="1530"/>
      <c r="DJ2272" s="1530"/>
      <c r="DK2272" s="1530"/>
      <c r="DL2272" s="1530"/>
      <c r="DM2272" s="1530"/>
      <c r="DN2272" s="1571"/>
      <c r="DO2272" s="1530"/>
      <c r="DP2272" s="1530"/>
    </row>
    <row r="2273" spans="1:120">
      <c r="A2273" s="1451"/>
      <c r="C2273" s="1451"/>
      <c r="K2273" s="1451"/>
      <c r="L2273" s="1451"/>
      <c r="U2273" s="1451"/>
      <c r="AD2273" s="1451"/>
      <c r="AM2273" s="1451"/>
      <c r="AV2273" s="1451"/>
      <c r="BE2273" s="1451"/>
      <c r="BN2273" s="1451"/>
      <c r="BV2273" s="1451"/>
      <c r="BW2273" s="1451"/>
      <c r="CF2273" s="1451"/>
      <c r="CN2273" s="1451"/>
      <c r="CO2273" s="1530"/>
      <c r="CP2273" s="1530"/>
      <c r="CQ2273" s="1530"/>
      <c r="CR2273" s="1530"/>
      <c r="CS2273" s="1530"/>
      <c r="CT2273" s="1530"/>
      <c r="CU2273" s="1530"/>
      <c r="CV2273" s="1530"/>
      <c r="CW2273" s="1530"/>
      <c r="CX2273" s="1530"/>
      <c r="CY2273" s="1530"/>
      <c r="CZ2273" s="1530"/>
      <c r="DA2273" s="1530"/>
      <c r="DB2273" s="1530"/>
      <c r="DC2273" s="1530"/>
      <c r="DD2273" s="1530"/>
      <c r="DE2273" s="1530"/>
      <c r="DF2273" s="1530"/>
      <c r="DG2273" s="1530"/>
      <c r="DH2273" s="1530"/>
      <c r="DI2273" s="1530"/>
      <c r="DJ2273" s="1530"/>
      <c r="DK2273" s="1530"/>
      <c r="DL2273" s="1530"/>
      <c r="DM2273" s="1530"/>
      <c r="DN2273" s="1571"/>
      <c r="DO2273" s="1530"/>
      <c r="DP2273" s="1530"/>
    </row>
    <row r="2274" spans="1:120">
      <c r="A2274" s="1451"/>
      <c r="C2274" s="1451"/>
      <c r="K2274" s="1451"/>
      <c r="L2274" s="1451"/>
      <c r="U2274" s="1451"/>
      <c r="AD2274" s="1451"/>
      <c r="AM2274" s="1451"/>
      <c r="AV2274" s="1451"/>
      <c r="BE2274" s="1451"/>
      <c r="BN2274" s="1451"/>
      <c r="BV2274" s="1451"/>
      <c r="BW2274" s="1451"/>
      <c r="CF2274" s="1451"/>
      <c r="CN2274" s="1451"/>
      <c r="CO2274" s="1530"/>
      <c r="CP2274" s="1530"/>
      <c r="CQ2274" s="1530"/>
      <c r="CR2274" s="1530"/>
      <c r="CS2274" s="1530"/>
      <c r="CT2274" s="1530"/>
      <c r="CU2274" s="1530"/>
      <c r="CV2274" s="1530"/>
      <c r="CW2274" s="1530"/>
      <c r="CX2274" s="1530"/>
      <c r="CY2274" s="1530"/>
      <c r="CZ2274" s="1530"/>
      <c r="DA2274" s="1530"/>
      <c r="DB2274" s="1530"/>
      <c r="DC2274" s="1530"/>
      <c r="DD2274" s="1530"/>
      <c r="DE2274" s="1530"/>
      <c r="DF2274" s="1530"/>
      <c r="DG2274" s="1530"/>
      <c r="DH2274" s="1530"/>
      <c r="DI2274" s="1530"/>
      <c r="DJ2274" s="1530"/>
      <c r="DK2274" s="1530"/>
      <c r="DL2274" s="1530"/>
      <c r="DM2274" s="1530"/>
      <c r="DN2274" s="1571"/>
      <c r="DO2274" s="1530"/>
      <c r="DP2274" s="1530"/>
    </row>
    <row r="2275" spans="1:120">
      <c r="A2275" s="1451"/>
      <c r="C2275" s="1451"/>
      <c r="K2275" s="1451"/>
      <c r="L2275" s="1451"/>
      <c r="U2275" s="1451"/>
      <c r="AD2275" s="1451"/>
      <c r="AM2275" s="1451"/>
      <c r="AV2275" s="1451"/>
      <c r="BE2275" s="1451"/>
      <c r="BN2275" s="1451"/>
      <c r="BV2275" s="1451"/>
      <c r="BW2275" s="1451"/>
      <c r="CF2275" s="1451"/>
      <c r="CN2275" s="1451"/>
      <c r="CO2275" s="1530"/>
      <c r="CP2275" s="1530"/>
      <c r="CQ2275" s="1530"/>
      <c r="CR2275" s="1530"/>
      <c r="CS2275" s="1530"/>
      <c r="CT2275" s="1530"/>
      <c r="CU2275" s="1530"/>
      <c r="CV2275" s="1530"/>
      <c r="CW2275" s="1530"/>
      <c r="CX2275" s="1530"/>
      <c r="CY2275" s="1530"/>
      <c r="CZ2275" s="1530"/>
      <c r="DA2275" s="1530"/>
      <c r="DB2275" s="1530"/>
      <c r="DC2275" s="1530"/>
      <c r="DD2275" s="1530"/>
      <c r="DE2275" s="1530"/>
      <c r="DF2275" s="1530"/>
      <c r="DG2275" s="1530"/>
      <c r="DH2275" s="1530"/>
      <c r="DI2275" s="1530"/>
      <c r="DJ2275" s="1530"/>
      <c r="DK2275" s="1530"/>
      <c r="DL2275" s="1530"/>
      <c r="DM2275" s="1530"/>
      <c r="DN2275" s="1571"/>
      <c r="DO2275" s="1530"/>
      <c r="DP2275" s="1530"/>
    </row>
    <row r="2276" spans="1:120">
      <c r="A2276" s="1451"/>
      <c r="C2276" s="1451"/>
      <c r="K2276" s="1451"/>
      <c r="L2276" s="1451"/>
      <c r="U2276" s="1451"/>
      <c r="AD2276" s="1451"/>
      <c r="AM2276" s="1451"/>
      <c r="AV2276" s="1451"/>
      <c r="BE2276" s="1451"/>
      <c r="BN2276" s="1451"/>
      <c r="BV2276" s="1451"/>
      <c r="BW2276" s="1451"/>
      <c r="CF2276" s="1451"/>
      <c r="CN2276" s="1451"/>
      <c r="CO2276" s="1530"/>
      <c r="CP2276" s="1530"/>
      <c r="CQ2276" s="1530"/>
      <c r="CR2276" s="1530"/>
      <c r="CS2276" s="1530"/>
      <c r="CT2276" s="1530"/>
      <c r="CU2276" s="1530"/>
      <c r="CV2276" s="1530"/>
      <c r="CW2276" s="1530"/>
      <c r="CX2276" s="1530"/>
      <c r="CY2276" s="1530"/>
      <c r="CZ2276" s="1530"/>
      <c r="DA2276" s="1530"/>
      <c r="DB2276" s="1530"/>
      <c r="DC2276" s="1530"/>
      <c r="DD2276" s="1530"/>
      <c r="DE2276" s="1530"/>
      <c r="DF2276" s="1530"/>
      <c r="DG2276" s="1530"/>
      <c r="DH2276" s="1530"/>
      <c r="DI2276" s="1530"/>
      <c r="DJ2276" s="1530"/>
      <c r="DK2276" s="1530"/>
      <c r="DL2276" s="1530"/>
      <c r="DM2276" s="1530"/>
      <c r="DN2276" s="1571"/>
      <c r="DO2276" s="1530"/>
      <c r="DP2276" s="1530"/>
    </row>
    <row r="2277" spans="1:120">
      <c r="A2277" s="1451"/>
      <c r="C2277" s="1451"/>
      <c r="K2277" s="1451"/>
      <c r="L2277" s="1451"/>
      <c r="U2277" s="1451"/>
      <c r="AD2277" s="1451"/>
      <c r="AM2277" s="1451"/>
      <c r="AV2277" s="1451"/>
      <c r="BE2277" s="1451"/>
      <c r="BN2277" s="1451"/>
      <c r="BV2277" s="1451"/>
      <c r="BW2277" s="1451"/>
      <c r="CF2277" s="1451"/>
      <c r="CN2277" s="1451"/>
      <c r="CO2277" s="1530"/>
      <c r="CP2277" s="1530"/>
      <c r="CQ2277" s="1530"/>
      <c r="CR2277" s="1530"/>
      <c r="CS2277" s="1530"/>
      <c r="CT2277" s="1530"/>
      <c r="CU2277" s="1530"/>
      <c r="CV2277" s="1530"/>
      <c r="CW2277" s="1530"/>
      <c r="CX2277" s="1530"/>
      <c r="CY2277" s="1530"/>
      <c r="CZ2277" s="1530"/>
      <c r="DA2277" s="1530"/>
      <c r="DB2277" s="1530"/>
      <c r="DC2277" s="1530"/>
      <c r="DD2277" s="1530"/>
      <c r="DE2277" s="1530"/>
      <c r="DF2277" s="1530"/>
      <c r="DG2277" s="1530"/>
      <c r="DH2277" s="1530"/>
      <c r="DI2277" s="1530"/>
      <c r="DJ2277" s="1530"/>
      <c r="DK2277" s="1530"/>
      <c r="DL2277" s="1530"/>
      <c r="DM2277" s="1530"/>
      <c r="DN2277" s="1571"/>
      <c r="DO2277" s="1530"/>
      <c r="DP2277" s="1530"/>
    </row>
    <row r="2278" spans="1:120">
      <c r="A2278" s="1451"/>
      <c r="C2278" s="1451"/>
      <c r="K2278" s="1451"/>
      <c r="L2278" s="1451"/>
      <c r="U2278" s="1451"/>
      <c r="AD2278" s="1451"/>
      <c r="AM2278" s="1451"/>
      <c r="AV2278" s="1451"/>
      <c r="BE2278" s="1451"/>
      <c r="BN2278" s="1451"/>
      <c r="BV2278" s="1451"/>
      <c r="BW2278" s="1451"/>
      <c r="CF2278" s="1451"/>
      <c r="CN2278" s="1451"/>
      <c r="CO2278" s="1530"/>
      <c r="CP2278" s="1530"/>
      <c r="CQ2278" s="1530"/>
      <c r="CR2278" s="1530"/>
      <c r="CS2278" s="1530"/>
      <c r="CT2278" s="1530"/>
      <c r="CU2278" s="1530"/>
      <c r="CV2278" s="1530"/>
      <c r="CW2278" s="1530"/>
      <c r="CX2278" s="1530"/>
      <c r="CY2278" s="1530"/>
      <c r="CZ2278" s="1530"/>
      <c r="DA2278" s="1530"/>
      <c r="DB2278" s="1530"/>
      <c r="DC2278" s="1530"/>
      <c r="DD2278" s="1530"/>
      <c r="DE2278" s="1530"/>
      <c r="DF2278" s="1530"/>
      <c r="DG2278" s="1530"/>
      <c r="DH2278" s="1530"/>
      <c r="DI2278" s="1530"/>
      <c r="DJ2278" s="1530"/>
      <c r="DK2278" s="1530"/>
      <c r="DL2278" s="1530"/>
      <c r="DM2278" s="1530"/>
      <c r="DN2278" s="1571"/>
      <c r="DO2278" s="1530"/>
      <c r="DP2278" s="1530"/>
    </row>
    <row r="2279" spans="1:120">
      <c r="A2279" s="1451"/>
      <c r="C2279" s="1451"/>
      <c r="K2279" s="1451"/>
      <c r="L2279" s="1451"/>
      <c r="U2279" s="1451"/>
      <c r="AD2279" s="1451"/>
      <c r="AM2279" s="1451"/>
      <c r="AV2279" s="1451"/>
      <c r="BE2279" s="1451"/>
      <c r="BN2279" s="1451"/>
      <c r="BV2279" s="1451"/>
      <c r="BW2279" s="1451"/>
      <c r="CF2279" s="1451"/>
      <c r="CN2279" s="1451"/>
      <c r="CO2279" s="1530"/>
      <c r="CP2279" s="1530"/>
      <c r="CQ2279" s="1530"/>
      <c r="CR2279" s="1530"/>
      <c r="CS2279" s="1530"/>
      <c r="CT2279" s="1530"/>
      <c r="CU2279" s="1530"/>
      <c r="CV2279" s="1530"/>
      <c r="CW2279" s="1530"/>
      <c r="CX2279" s="1530"/>
      <c r="CY2279" s="1530"/>
      <c r="CZ2279" s="1530"/>
      <c r="DA2279" s="1530"/>
      <c r="DB2279" s="1530"/>
      <c r="DC2279" s="1530"/>
      <c r="DD2279" s="1530"/>
      <c r="DE2279" s="1530"/>
      <c r="DF2279" s="1530"/>
      <c r="DG2279" s="1530"/>
      <c r="DH2279" s="1530"/>
      <c r="DI2279" s="1530"/>
      <c r="DJ2279" s="1530"/>
      <c r="DK2279" s="1530"/>
      <c r="DL2279" s="1530"/>
      <c r="DM2279" s="1530"/>
      <c r="DN2279" s="1571"/>
      <c r="DO2279" s="1530"/>
      <c r="DP2279" s="1530"/>
    </row>
    <row r="2280" spans="1:120">
      <c r="A2280" s="1451"/>
      <c r="C2280" s="1451"/>
      <c r="K2280" s="1451"/>
      <c r="L2280" s="1451"/>
      <c r="U2280" s="1451"/>
      <c r="AD2280" s="1451"/>
      <c r="AM2280" s="1451"/>
      <c r="AV2280" s="1451"/>
      <c r="BE2280" s="1451"/>
      <c r="BN2280" s="1451"/>
      <c r="BV2280" s="1451"/>
      <c r="BW2280" s="1451"/>
      <c r="CF2280" s="1451"/>
      <c r="CN2280" s="1451"/>
      <c r="CO2280" s="1530"/>
      <c r="CP2280" s="1530"/>
      <c r="CQ2280" s="1530"/>
      <c r="CR2280" s="1530"/>
      <c r="CS2280" s="1530"/>
      <c r="CT2280" s="1530"/>
      <c r="CU2280" s="1530"/>
      <c r="CV2280" s="1530"/>
      <c r="CW2280" s="1530"/>
      <c r="CX2280" s="1530"/>
      <c r="CY2280" s="1530"/>
      <c r="CZ2280" s="1530"/>
      <c r="DA2280" s="1530"/>
      <c r="DB2280" s="1530"/>
      <c r="DC2280" s="1530"/>
      <c r="DD2280" s="1530"/>
      <c r="DE2280" s="1530"/>
      <c r="DF2280" s="1530"/>
      <c r="DG2280" s="1530"/>
      <c r="DH2280" s="1530"/>
      <c r="DI2280" s="1530"/>
      <c r="DJ2280" s="1530"/>
      <c r="DK2280" s="1530"/>
      <c r="DL2280" s="1530"/>
      <c r="DM2280" s="1530"/>
      <c r="DN2280" s="1571"/>
      <c r="DO2280" s="1530"/>
      <c r="DP2280" s="1530"/>
    </row>
    <row r="2281" spans="1:120">
      <c r="A2281" s="1451"/>
      <c r="C2281" s="1451"/>
      <c r="K2281" s="1451"/>
      <c r="L2281" s="1451"/>
      <c r="U2281" s="1451"/>
      <c r="AD2281" s="1451"/>
      <c r="AM2281" s="1451"/>
      <c r="AV2281" s="1451"/>
      <c r="BE2281" s="1451"/>
      <c r="BN2281" s="1451"/>
      <c r="BV2281" s="1451"/>
      <c r="BW2281" s="1451"/>
      <c r="CF2281" s="1451"/>
      <c r="CN2281" s="1451"/>
      <c r="CO2281" s="1530"/>
      <c r="CP2281" s="1530"/>
      <c r="CQ2281" s="1530"/>
      <c r="CR2281" s="1530"/>
      <c r="CS2281" s="1530"/>
      <c r="CT2281" s="1530"/>
      <c r="CU2281" s="1530"/>
      <c r="CV2281" s="1530"/>
      <c r="CW2281" s="1530"/>
      <c r="CX2281" s="1530"/>
      <c r="CY2281" s="1530"/>
      <c r="CZ2281" s="1530"/>
      <c r="DA2281" s="1530"/>
      <c r="DB2281" s="1530"/>
      <c r="DC2281" s="1530"/>
      <c r="DD2281" s="1530"/>
      <c r="DE2281" s="1530"/>
      <c r="DF2281" s="1530"/>
      <c r="DG2281" s="1530"/>
      <c r="DH2281" s="1530"/>
      <c r="DI2281" s="1530"/>
      <c r="DJ2281" s="1530"/>
      <c r="DK2281" s="1530"/>
      <c r="DL2281" s="1530"/>
      <c r="DM2281" s="1530"/>
      <c r="DN2281" s="1571"/>
      <c r="DO2281" s="1530"/>
      <c r="DP2281" s="1530"/>
    </row>
    <row r="2282" spans="1:120">
      <c r="A2282" s="1451"/>
      <c r="C2282" s="1451"/>
      <c r="K2282" s="1451"/>
      <c r="L2282" s="1451"/>
      <c r="U2282" s="1451"/>
      <c r="AD2282" s="1451"/>
      <c r="AM2282" s="1451"/>
      <c r="AV2282" s="1451"/>
      <c r="BE2282" s="1451"/>
      <c r="BN2282" s="1451"/>
      <c r="BV2282" s="1451"/>
      <c r="BW2282" s="1451"/>
      <c r="CF2282" s="1451"/>
      <c r="CN2282" s="1451"/>
      <c r="CO2282" s="1530"/>
      <c r="CP2282" s="1530"/>
      <c r="CQ2282" s="1530"/>
      <c r="CR2282" s="1530"/>
      <c r="CS2282" s="1530"/>
      <c r="CT2282" s="1530"/>
      <c r="CU2282" s="1530"/>
      <c r="CV2282" s="1530"/>
      <c r="CW2282" s="1530"/>
      <c r="CX2282" s="1530"/>
      <c r="CY2282" s="1530"/>
      <c r="CZ2282" s="1530"/>
      <c r="DA2282" s="1530"/>
      <c r="DB2282" s="1530"/>
      <c r="DC2282" s="1530"/>
      <c r="DD2282" s="1530"/>
      <c r="DE2282" s="1530"/>
      <c r="DF2282" s="1530"/>
      <c r="DG2282" s="1530"/>
      <c r="DH2282" s="1530"/>
      <c r="DI2282" s="1530"/>
      <c r="DJ2282" s="1530"/>
      <c r="DK2282" s="1530"/>
      <c r="DL2282" s="1530"/>
      <c r="DM2282" s="1530"/>
      <c r="DN2282" s="1571"/>
      <c r="DO2282" s="1530"/>
      <c r="DP2282" s="1530"/>
    </row>
    <row r="2283" spans="1:120">
      <c r="A2283" s="1451"/>
      <c r="C2283" s="1451"/>
      <c r="K2283" s="1451"/>
      <c r="L2283" s="1451"/>
      <c r="U2283" s="1451"/>
      <c r="AD2283" s="1451"/>
      <c r="AM2283" s="1451"/>
      <c r="AV2283" s="1451"/>
      <c r="BE2283" s="1451"/>
      <c r="BN2283" s="1451"/>
      <c r="BV2283" s="1451"/>
      <c r="BW2283" s="1451"/>
      <c r="CF2283" s="1451"/>
      <c r="CN2283" s="1451"/>
      <c r="CO2283" s="1530"/>
      <c r="CP2283" s="1530"/>
      <c r="CQ2283" s="1530"/>
      <c r="CR2283" s="1530"/>
      <c r="CS2283" s="1530"/>
      <c r="CT2283" s="1530"/>
      <c r="CU2283" s="1530"/>
      <c r="CV2283" s="1530"/>
      <c r="CW2283" s="1530"/>
      <c r="CX2283" s="1530"/>
      <c r="CY2283" s="1530"/>
      <c r="CZ2283" s="1530"/>
      <c r="DA2283" s="1530"/>
      <c r="DB2283" s="1530"/>
      <c r="DC2283" s="1530"/>
      <c r="DD2283" s="1530"/>
      <c r="DE2283" s="1530"/>
      <c r="DF2283" s="1530"/>
      <c r="DG2283" s="1530"/>
      <c r="DH2283" s="1530"/>
      <c r="DI2283" s="1530"/>
      <c r="DJ2283" s="1530"/>
      <c r="DK2283" s="1530"/>
      <c r="DL2283" s="1530"/>
      <c r="DM2283" s="1530"/>
      <c r="DN2283" s="1571"/>
      <c r="DO2283" s="1530"/>
      <c r="DP2283" s="1530"/>
    </row>
    <row r="2284" spans="1:120">
      <c r="A2284" s="1451"/>
      <c r="C2284" s="1451"/>
      <c r="K2284" s="1451"/>
      <c r="L2284" s="1451"/>
      <c r="U2284" s="1451"/>
      <c r="AD2284" s="1451"/>
      <c r="AM2284" s="1451"/>
      <c r="AV2284" s="1451"/>
      <c r="BE2284" s="1451"/>
      <c r="BN2284" s="1451"/>
      <c r="BV2284" s="1451"/>
      <c r="BW2284" s="1451"/>
      <c r="CF2284" s="1451"/>
      <c r="CN2284" s="1451"/>
      <c r="CO2284" s="1530"/>
      <c r="CP2284" s="1530"/>
      <c r="CQ2284" s="1530"/>
      <c r="CR2284" s="1530"/>
      <c r="CS2284" s="1530"/>
      <c r="CT2284" s="1530"/>
      <c r="CU2284" s="1530"/>
      <c r="CV2284" s="1530"/>
      <c r="CW2284" s="1530"/>
      <c r="CX2284" s="1530"/>
      <c r="CY2284" s="1530"/>
      <c r="CZ2284" s="1530"/>
      <c r="DA2284" s="1530"/>
      <c r="DB2284" s="1530"/>
      <c r="DC2284" s="1530"/>
      <c r="DD2284" s="1530"/>
      <c r="DE2284" s="1530"/>
      <c r="DF2284" s="1530"/>
      <c r="DG2284" s="1530"/>
      <c r="DH2284" s="1530"/>
      <c r="DI2284" s="1530"/>
      <c r="DJ2284" s="1530"/>
      <c r="DK2284" s="1530"/>
      <c r="DL2284" s="1530"/>
      <c r="DM2284" s="1530"/>
      <c r="DN2284" s="1571"/>
      <c r="DO2284" s="1530"/>
      <c r="DP2284" s="1530"/>
    </row>
    <row r="2285" spans="1:120">
      <c r="A2285" s="1451"/>
      <c r="C2285" s="1451"/>
      <c r="K2285" s="1451"/>
      <c r="L2285" s="1451"/>
      <c r="U2285" s="1451"/>
      <c r="AD2285" s="1451"/>
      <c r="AM2285" s="1451"/>
      <c r="AV2285" s="1451"/>
      <c r="BE2285" s="1451"/>
      <c r="BN2285" s="1451"/>
      <c r="BV2285" s="1451"/>
      <c r="BW2285" s="1451"/>
      <c r="CF2285" s="1451"/>
      <c r="CN2285" s="1451"/>
      <c r="CO2285" s="1530"/>
      <c r="CP2285" s="1530"/>
      <c r="CQ2285" s="1530"/>
      <c r="CR2285" s="1530"/>
      <c r="CS2285" s="1530"/>
      <c r="CT2285" s="1530"/>
      <c r="CU2285" s="1530"/>
      <c r="CV2285" s="1530"/>
      <c r="CW2285" s="1530"/>
      <c r="CX2285" s="1530"/>
      <c r="CY2285" s="1530"/>
      <c r="CZ2285" s="1530"/>
      <c r="DA2285" s="1530"/>
      <c r="DB2285" s="1530"/>
      <c r="DC2285" s="1530"/>
      <c r="DD2285" s="1530"/>
      <c r="DE2285" s="1530"/>
      <c r="DF2285" s="1530"/>
      <c r="DG2285" s="1530"/>
      <c r="DH2285" s="1530"/>
      <c r="DI2285" s="1530"/>
      <c r="DJ2285" s="1530"/>
      <c r="DK2285" s="1530"/>
      <c r="DL2285" s="1530"/>
      <c r="DM2285" s="1530"/>
      <c r="DN2285" s="1571"/>
      <c r="DO2285" s="1530"/>
      <c r="DP2285" s="1530"/>
    </row>
    <row r="2286" spans="1:120">
      <c r="A2286" s="1451"/>
      <c r="C2286" s="1451"/>
      <c r="K2286" s="1451"/>
      <c r="L2286" s="1451"/>
      <c r="U2286" s="1451"/>
      <c r="AD2286" s="1451"/>
      <c r="AM2286" s="1451"/>
      <c r="AV2286" s="1451"/>
      <c r="BE2286" s="1451"/>
      <c r="BN2286" s="1451"/>
      <c r="BV2286" s="1451"/>
      <c r="BW2286" s="1451"/>
      <c r="CF2286" s="1451"/>
      <c r="CN2286" s="1451"/>
      <c r="CO2286" s="1530"/>
      <c r="CP2286" s="1530"/>
      <c r="CQ2286" s="1530"/>
      <c r="CR2286" s="1530"/>
      <c r="CS2286" s="1530"/>
      <c r="CT2286" s="1530"/>
      <c r="CU2286" s="1530"/>
      <c r="CV2286" s="1530"/>
      <c r="CW2286" s="1530"/>
      <c r="CX2286" s="1530"/>
      <c r="CY2286" s="1530"/>
      <c r="CZ2286" s="1530"/>
      <c r="DA2286" s="1530"/>
      <c r="DB2286" s="1530"/>
      <c r="DC2286" s="1530"/>
      <c r="DD2286" s="1530"/>
      <c r="DE2286" s="1530"/>
      <c r="DF2286" s="1530"/>
      <c r="DG2286" s="1530"/>
      <c r="DH2286" s="1530"/>
      <c r="DI2286" s="1530"/>
      <c r="DJ2286" s="1530"/>
      <c r="DK2286" s="1530"/>
      <c r="DL2286" s="1530"/>
      <c r="DM2286" s="1530"/>
      <c r="DN2286" s="1571"/>
      <c r="DO2286" s="1530"/>
      <c r="DP2286" s="1530"/>
    </row>
    <row r="2287" spans="1:120">
      <c r="A2287" s="1451"/>
      <c r="C2287" s="1451"/>
      <c r="K2287" s="1451"/>
      <c r="L2287" s="1451"/>
      <c r="U2287" s="1451"/>
      <c r="AD2287" s="1451"/>
      <c r="AM2287" s="1451"/>
      <c r="AV2287" s="1451"/>
      <c r="BE2287" s="1451"/>
      <c r="BN2287" s="1451"/>
      <c r="BV2287" s="1451"/>
      <c r="BW2287" s="1451"/>
      <c r="CF2287" s="1451"/>
      <c r="CN2287" s="1451"/>
      <c r="CO2287" s="1530"/>
      <c r="CP2287" s="1530"/>
      <c r="CQ2287" s="1530"/>
      <c r="CR2287" s="1530"/>
      <c r="CS2287" s="1530"/>
      <c r="CT2287" s="1530"/>
      <c r="CU2287" s="1530"/>
      <c r="CV2287" s="1530"/>
      <c r="CW2287" s="1530"/>
      <c r="CX2287" s="1530"/>
      <c r="CY2287" s="1530"/>
      <c r="CZ2287" s="1530"/>
      <c r="DA2287" s="1530"/>
      <c r="DB2287" s="1530"/>
      <c r="DC2287" s="1530"/>
      <c r="DD2287" s="1530"/>
      <c r="DE2287" s="1530"/>
      <c r="DF2287" s="1530"/>
      <c r="DG2287" s="1530"/>
      <c r="DH2287" s="1530"/>
      <c r="DI2287" s="1530"/>
      <c r="DJ2287" s="1530"/>
      <c r="DK2287" s="1530"/>
      <c r="DL2287" s="1530"/>
      <c r="DM2287" s="1530"/>
      <c r="DN2287" s="1571"/>
      <c r="DO2287" s="1530"/>
      <c r="DP2287" s="1530"/>
    </row>
    <row r="2288" spans="1:120">
      <c r="A2288" s="1451"/>
      <c r="C2288" s="1451"/>
      <c r="K2288" s="1451"/>
      <c r="L2288" s="1451"/>
      <c r="U2288" s="1451"/>
      <c r="AD2288" s="1451"/>
      <c r="AM2288" s="1451"/>
      <c r="AV2288" s="1451"/>
      <c r="BE2288" s="1451"/>
      <c r="BN2288" s="1451"/>
      <c r="BV2288" s="1451"/>
      <c r="BW2288" s="1451"/>
      <c r="CF2288" s="1451"/>
      <c r="CN2288" s="1451"/>
      <c r="CO2288" s="1530"/>
      <c r="CP2288" s="1530"/>
      <c r="CQ2288" s="1530"/>
      <c r="CR2288" s="1530"/>
      <c r="CS2288" s="1530"/>
      <c r="CT2288" s="1530"/>
      <c r="CU2288" s="1530"/>
      <c r="CV2288" s="1530"/>
      <c r="CW2288" s="1530"/>
      <c r="CX2288" s="1530"/>
      <c r="CY2288" s="1530"/>
      <c r="CZ2288" s="1530"/>
      <c r="DA2288" s="1530"/>
      <c r="DB2288" s="1530"/>
      <c r="DC2288" s="1530"/>
      <c r="DD2288" s="1530"/>
      <c r="DE2288" s="1530"/>
      <c r="DF2288" s="1530"/>
      <c r="DG2288" s="1530"/>
      <c r="DH2288" s="1530"/>
      <c r="DI2288" s="1530"/>
      <c r="DJ2288" s="1530"/>
      <c r="DK2288" s="1530"/>
      <c r="DL2288" s="1530"/>
      <c r="DM2288" s="1530"/>
      <c r="DN2288" s="1571"/>
      <c r="DO2288" s="1530"/>
      <c r="DP2288" s="1530"/>
    </row>
    <row r="2289" spans="1:120">
      <c r="A2289" s="1451"/>
      <c r="C2289" s="1451"/>
      <c r="K2289" s="1451"/>
      <c r="L2289" s="1451"/>
      <c r="U2289" s="1451"/>
      <c r="AD2289" s="1451"/>
      <c r="AM2289" s="1451"/>
      <c r="AV2289" s="1451"/>
      <c r="BE2289" s="1451"/>
      <c r="BN2289" s="1451"/>
      <c r="BV2289" s="1451"/>
      <c r="BW2289" s="1451"/>
      <c r="CF2289" s="1451"/>
      <c r="CN2289" s="1451"/>
      <c r="CO2289" s="1530"/>
      <c r="CP2289" s="1530"/>
      <c r="CQ2289" s="1530"/>
      <c r="CR2289" s="1530"/>
      <c r="CS2289" s="1530"/>
      <c r="CT2289" s="1530"/>
      <c r="CU2289" s="1530"/>
      <c r="CV2289" s="1530"/>
      <c r="CW2289" s="1530"/>
      <c r="CX2289" s="1530"/>
      <c r="CY2289" s="1530"/>
      <c r="CZ2289" s="1530"/>
      <c r="DA2289" s="1530"/>
      <c r="DB2289" s="1530"/>
      <c r="DC2289" s="1530"/>
      <c r="DD2289" s="1530"/>
      <c r="DE2289" s="1530"/>
      <c r="DF2289" s="1530"/>
      <c r="DG2289" s="1530"/>
      <c r="DH2289" s="1530"/>
      <c r="DI2289" s="1530"/>
      <c r="DJ2289" s="1530"/>
      <c r="DK2289" s="1530"/>
      <c r="DL2289" s="1530"/>
      <c r="DM2289" s="1530"/>
      <c r="DN2289" s="1571"/>
      <c r="DO2289" s="1530"/>
      <c r="DP2289" s="1530"/>
    </row>
    <row r="2290" spans="1:120">
      <c r="A2290" s="1451"/>
      <c r="C2290" s="1451"/>
      <c r="K2290" s="1451"/>
      <c r="L2290" s="1451"/>
      <c r="U2290" s="1451"/>
      <c r="AD2290" s="1451"/>
      <c r="AM2290" s="1451"/>
      <c r="AV2290" s="1451"/>
      <c r="BE2290" s="1451"/>
      <c r="BN2290" s="1451"/>
      <c r="BV2290" s="1451"/>
      <c r="BW2290" s="1451"/>
      <c r="CF2290" s="1451"/>
      <c r="CN2290" s="1451"/>
      <c r="CO2290" s="1530"/>
      <c r="CP2290" s="1530"/>
      <c r="CQ2290" s="1530"/>
      <c r="CR2290" s="1530"/>
      <c r="CS2290" s="1530"/>
      <c r="CT2290" s="1530"/>
      <c r="CU2290" s="1530"/>
      <c r="CV2290" s="1530"/>
      <c r="CW2290" s="1530"/>
      <c r="CX2290" s="1530"/>
      <c r="CY2290" s="1530"/>
      <c r="CZ2290" s="1530"/>
      <c r="DA2290" s="1530"/>
      <c r="DB2290" s="1530"/>
      <c r="DC2290" s="1530"/>
      <c r="DD2290" s="1530"/>
      <c r="DE2290" s="1530"/>
      <c r="DF2290" s="1530"/>
      <c r="DG2290" s="1530"/>
      <c r="DH2290" s="1530"/>
      <c r="DI2290" s="1530"/>
      <c r="DJ2290" s="1530"/>
      <c r="DK2290" s="1530"/>
      <c r="DL2290" s="1530"/>
      <c r="DM2290" s="1530"/>
      <c r="DN2290" s="1571"/>
      <c r="DO2290" s="1530"/>
      <c r="DP2290" s="1530"/>
    </row>
    <row r="2291" spans="1:120">
      <c r="A2291" s="1451"/>
      <c r="C2291" s="1451"/>
      <c r="K2291" s="1451"/>
      <c r="L2291" s="1451"/>
      <c r="U2291" s="1451"/>
      <c r="AD2291" s="1451"/>
      <c r="AM2291" s="1451"/>
      <c r="AV2291" s="1451"/>
      <c r="BE2291" s="1451"/>
      <c r="BN2291" s="1451"/>
      <c r="BV2291" s="1451"/>
      <c r="BW2291" s="1451"/>
      <c r="CF2291" s="1451"/>
      <c r="CN2291" s="1451"/>
      <c r="CO2291" s="1530"/>
      <c r="CP2291" s="1530"/>
      <c r="CQ2291" s="1530"/>
      <c r="CR2291" s="1530"/>
      <c r="CS2291" s="1530"/>
      <c r="CT2291" s="1530"/>
      <c r="CU2291" s="1530"/>
      <c r="CV2291" s="1530"/>
      <c r="CW2291" s="1530"/>
      <c r="CX2291" s="1530"/>
      <c r="CY2291" s="1530"/>
      <c r="CZ2291" s="1530"/>
      <c r="DA2291" s="1530"/>
      <c r="DB2291" s="1530"/>
      <c r="DC2291" s="1530"/>
      <c r="DD2291" s="1530"/>
      <c r="DE2291" s="1530"/>
      <c r="DF2291" s="1530"/>
      <c r="DG2291" s="1530"/>
      <c r="DH2291" s="1530"/>
      <c r="DI2291" s="1530"/>
      <c r="DJ2291" s="1530"/>
      <c r="DK2291" s="1530"/>
      <c r="DL2291" s="1530"/>
      <c r="DM2291" s="1530"/>
      <c r="DN2291" s="1571"/>
      <c r="DO2291" s="1530"/>
      <c r="DP2291" s="1530"/>
    </row>
    <row r="2292" spans="1:120">
      <c r="A2292" s="1451"/>
      <c r="C2292" s="1451"/>
      <c r="K2292" s="1451"/>
      <c r="L2292" s="1451"/>
      <c r="U2292" s="1451"/>
      <c r="AD2292" s="1451"/>
      <c r="AM2292" s="1451"/>
      <c r="AV2292" s="1451"/>
      <c r="BE2292" s="1451"/>
      <c r="BN2292" s="1451"/>
      <c r="BV2292" s="1451"/>
      <c r="BW2292" s="1451"/>
      <c r="CF2292" s="1451"/>
      <c r="CN2292" s="1451"/>
      <c r="CO2292" s="1530"/>
      <c r="CP2292" s="1530"/>
      <c r="CQ2292" s="1530"/>
      <c r="CR2292" s="1530"/>
      <c r="CS2292" s="1530"/>
      <c r="CT2292" s="1530"/>
      <c r="CU2292" s="1530"/>
      <c r="CV2292" s="1530"/>
      <c r="CW2292" s="1530"/>
      <c r="CX2292" s="1530"/>
      <c r="CY2292" s="1530"/>
      <c r="CZ2292" s="1530"/>
      <c r="DA2292" s="1530"/>
      <c r="DB2292" s="1530"/>
      <c r="DC2292" s="1530"/>
      <c r="DD2292" s="1530"/>
      <c r="DE2292" s="1530"/>
      <c r="DF2292" s="1530"/>
      <c r="DG2292" s="1530"/>
      <c r="DH2292" s="1530"/>
      <c r="DI2292" s="1530"/>
      <c r="DJ2292" s="1530"/>
      <c r="DK2292" s="1530"/>
      <c r="DL2292" s="1530"/>
      <c r="DM2292" s="1530"/>
      <c r="DN2292" s="1571"/>
      <c r="DO2292" s="1530"/>
      <c r="DP2292" s="1530"/>
    </row>
    <row r="2293" spans="1:120">
      <c r="A2293" s="1451"/>
      <c r="C2293" s="1451"/>
      <c r="K2293" s="1451"/>
      <c r="L2293" s="1451"/>
      <c r="U2293" s="1451"/>
      <c r="AD2293" s="1451"/>
      <c r="AM2293" s="1451"/>
      <c r="AV2293" s="1451"/>
      <c r="BE2293" s="1451"/>
      <c r="BN2293" s="1451"/>
      <c r="BV2293" s="1451"/>
      <c r="BW2293" s="1451"/>
      <c r="CF2293" s="1451"/>
      <c r="CN2293" s="1451"/>
      <c r="CO2293" s="1530"/>
      <c r="CP2293" s="1530"/>
      <c r="CQ2293" s="1530"/>
      <c r="CR2293" s="1530"/>
      <c r="CS2293" s="1530"/>
      <c r="CT2293" s="1530"/>
      <c r="CU2293" s="1530"/>
      <c r="CV2293" s="1530"/>
      <c r="CW2293" s="1530"/>
      <c r="CX2293" s="1530"/>
      <c r="CY2293" s="1530"/>
      <c r="CZ2293" s="1530"/>
      <c r="DA2293" s="1530"/>
      <c r="DB2293" s="1530"/>
      <c r="DC2293" s="1530"/>
      <c r="DD2293" s="1530"/>
      <c r="DE2293" s="1530"/>
      <c r="DF2293" s="1530"/>
      <c r="DG2293" s="1530"/>
      <c r="DH2293" s="1530"/>
      <c r="DI2293" s="1530"/>
      <c r="DJ2293" s="1530"/>
      <c r="DK2293" s="1530"/>
      <c r="DL2293" s="1530"/>
      <c r="DM2293" s="1530"/>
      <c r="DN2293" s="1571"/>
      <c r="DO2293" s="1530"/>
      <c r="DP2293" s="1530"/>
    </row>
    <row r="2294" spans="1:120">
      <c r="A2294" s="1451"/>
      <c r="C2294" s="1451"/>
      <c r="K2294" s="1451"/>
      <c r="L2294" s="1451"/>
      <c r="U2294" s="1451"/>
      <c r="AD2294" s="1451"/>
      <c r="AM2294" s="1451"/>
      <c r="AV2294" s="1451"/>
      <c r="BE2294" s="1451"/>
      <c r="BN2294" s="1451"/>
      <c r="BV2294" s="1451"/>
      <c r="BW2294" s="1451"/>
      <c r="CF2294" s="1451"/>
      <c r="CN2294" s="1451"/>
      <c r="CO2294" s="1530"/>
      <c r="CP2294" s="1530"/>
      <c r="CQ2294" s="1530"/>
      <c r="CR2294" s="1530"/>
      <c r="CS2294" s="1530"/>
      <c r="CT2294" s="1530"/>
      <c r="CU2294" s="1530"/>
      <c r="CV2294" s="1530"/>
      <c r="CW2294" s="1530"/>
      <c r="CX2294" s="1530"/>
      <c r="CY2294" s="1530"/>
      <c r="CZ2294" s="1530"/>
      <c r="DA2294" s="1530"/>
      <c r="DB2294" s="1530"/>
      <c r="DC2294" s="1530"/>
      <c r="DD2294" s="1530"/>
      <c r="DE2294" s="1530"/>
      <c r="DF2294" s="1530"/>
      <c r="DG2294" s="1530"/>
      <c r="DH2294" s="1530"/>
      <c r="DI2294" s="1530"/>
      <c r="DJ2294" s="1530"/>
      <c r="DK2294" s="1530"/>
      <c r="DL2294" s="1530"/>
      <c r="DM2294" s="1530"/>
      <c r="DN2294" s="1571"/>
      <c r="DO2294" s="1530"/>
      <c r="DP2294" s="1530"/>
    </row>
    <row r="2295" spans="1:120">
      <c r="A2295" s="1451"/>
      <c r="C2295" s="1451"/>
      <c r="K2295" s="1451"/>
      <c r="L2295" s="1451"/>
      <c r="U2295" s="1451"/>
      <c r="AD2295" s="1451"/>
      <c r="AM2295" s="1451"/>
      <c r="AV2295" s="1451"/>
      <c r="BE2295" s="1451"/>
      <c r="BN2295" s="1451"/>
      <c r="BV2295" s="1451"/>
      <c r="BW2295" s="1451"/>
      <c r="CF2295" s="1451"/>
      <c r="CN2295" s="1451"/>
      <c r="CO2295" s="1530"/>
      <c r="CP2295" s="1530"/>
      <c r="CQ2295" s="1530"/>
      <c r="CR2295" s="1530"/>
      <c r="CS2295" s="1530"/>
      <c r="CT2295" s="1530"/>
      <c r="CU2295" s="1530"/>
      <c r="CV2295" s="1530"/>
      <c r="CW2295" s="1530"/>
      <c r="CX2295" s="1530"/>
      <c r="CY2295" s="1530"/>
      <c r="CZ2295" s="1530"/>
      <c r="DA2295" s="1530"/>
      <c r="DB2295" s="1530"/>
      <c r="DC2295" s="1530"/>
      <c r="DD2295" s="1530"/>
      <c r="DE2295" s="1530"/>
      <c r="DF2295" s="1530"/>
      <c r="DG2295" s="1530"/>
      <c r="DH2295" s="1530"/>
      <c r="DI2295" s="1530"/>
      <c r="DJ2295" s="1530"/>
      <c r="DK2295" s="1530"/>
      <c r="DL2295" s="1530"/>
      <c r="DM2295" s="1530"/>
      <c r="DN2295" s="1571"/>
      <c r="DO2295" s="1530"/>
      <c r="DP2295" s="1530"/>
    </row>
    <row r="2296" spans="1:120">
      <c r="A2296" s="1451"/>
      <c r="C2296" s="1451"/>
      <c r="K2296" s="1451"/>
      <c r="L2296" s="1451"/>
      <c r="U2296" s="1451"/>
      <c r="AD2296" s="1451"/>
      <c r="AM2296" s="1451"/>
      <c r="AV2296" s="1451"/>
      <c r="BE2296" s="1451"/>
      <c r="BN2296" s="1451"/>
      <c r="BV2296" s="1451"/>
      <c r="BW2296" s="1451"/>
      <c r="CF2296" s="1451"/>
      <c r="CN2296" s="1451"/>
      <c r="CO2296" s="1530"/>
      <c r="CP2296" s="1530"/>
      <c r="CQ2296" s="1530"/>
      <c r="CR2296" s="1530"/>
      <c r="CS2296" s="1530"/>
      <c r="CT2296" s="1530"/>
      <c r="CU2296" s="1530"/>
      <c r="CV2296" s="1530"/>
      <c r="CW2296" s="1530"/>
      <c r="CX2296" s="1530"/>
      <c r="CY2296" s="1530"/>
      <c r="CZ2296" s="1530"/>
      <c r="DA2296" s="1530"/>
      <c r="DB2296" s="1530"/>
      <c r="DC2296" s="1530"/>
      <c r="DD2296" s="1530"/>
      <c r="DE2296" s="1530"/>
      <c r="DF2296" s="1530"/>
      <c r="DG2296" s="1530"/>
      <c r="DH2296" s="1530"/>
      <c r="DI2296" s="1530"/>
      <c r="DJ2296" s="1530"/>
      <c r="DK2296" s="1530"/>
      <c r="DL2296" s="1530"/>
      <c r="DM2296" s="1530"/>
      <c r="DN2296" s="1571"/>
      <c r="DO2296" s="1530"/>
      <c r="DP2296" s="1530"/>
    </row>
    <row r="2297" spans="1:120">
      <c r="A2297" s="1451"/>
      <c r="C2297" s="1451"/>
      <c r="K2297" s="1451"/>
      <c r="L2297" s="1451"/>
      <c r="U2297" s="1451"/>
      <c r="AD2297" s="1451"/>
      <c r="AM2297" s="1451"/>
      <c r="AV2297" s="1451"/>
      <c r="BE2297" s="1451"/>
      <c r="BN2297" s="1451"/>
      <c r="BV2297" s="1451"/>
      <c r="BW2297" s="1451"/>
      <c r="CF2297" s="1451"/>
      <c r="CN2297" s="1451"/>
      <c r="CO2297" s="1530"/>
      <c r="CP2297" s="1530"/>
      <c r="CQ2297" s="1530"/>
      <c r="CR2297" s="1530"/>
      <c r="CS2297" s="1530"/>
      <c r="CT2297" s="1530"/>
      <c r="CU2297" s="1530"/>
      <c r="CV2297" s="1530"/>
      <c r="CW2297" s="1530"/>
      <c r="CX2297" s="1530"/>
      <c r="CY2297" s="1530"/>
      <c r="CZ2297" s="1530"/>
      <c r="DA2297" s="1530"/>
      <c r="DB2297" s="1530"/>
      <c r="DC2297" s="1530"/>
      <c r="DD2297" s="1530"/>
      <c r="DE2297" s="1530"/>
      <c r="DF2297" s="1530"/>
      <c r="DG2297" s="1530"/>
      <c r="DH2297" s="1530"/>
      <c r="DI2297" s="1530"/>
      <c r="DJ2297" s="1530"/>
      <c r="DK2297" s="1530"/>
      <c r="DL2297" s="1530"/>
      <c r="DM2297" s="1530"/>
      <c r="DN2297" s="1571"/>
      <c r="DO2297" s="1530"/>
      <c r="DP2297" s="1530"/>
    </row>
    <row r="2298" spans="1:120">
      <c r="A2298" s="1451"/>
      <c r="C2298" s="1451"/>
      <c r="K2298" s="1451"/>
      <c r="L2298" s="1451"/>
      <c r="U2298" s="1451"/>
      <c r="AD2298" s="1451"/>
      <c r="AM2298" s="1451"/>
      <c r="AV2298" s="1451"/>
      <c r="BE2298" s="1451"/>
      <c r="BN2298" s="1451"/>
      <c r="BV2298" s="1451"/>
      <c r="BW2298" s="1451"/>
      <c r="CF2298" s="1451"/>
      <c r="CN2298" s="1451"/>
      <c r="CO2298" s="1530"/>
      <c r="CP2298" s="1530"/>
      <c r="CQ2298" s="1530"/>
      <c r="CR2298" s="1530"/>
      <c r="CS2298" s="1530"/>
      <c r="CT2298" s="1530"/>
      <c r="CU2298" s="1530"/>
      <c r="CV2298" s="1530"/>
      <c r="CW2298" s="1530"/>
      <c r="CX2298" s="1530"/>
      <c r="CY2298" s="1530"/>
      <c r="CZ2298" s="1530"/>
      <c r="DA2298" s="1530"/>
      <c r="DB2298" s="1530"/>
      <c r="DC2298" s="1530"/>
      <c r="DD2298" s="1530"/>
      <c r="DE2298" s="1530"/>
      <c r="DF2298" s="1530"/>
      <c r="DG2298" s="1530"/>
      <c r="DH2298" s="1530"/>
      <c r="DI2298" s="1530"/>
      <c r="DJ2298" s="1530"/>
      <c r="DK2298" s="1530"/>
      <c r="DL2298" s="1530"/>
      <c r="DM2298" s="1530"/>
      <c r="DN2298" s="1571"/>
      <c r="DO2298" s="1530"/>
      <c r="DP2298" s="1530"/>
    </row>
    <row r="2299" spans="1:120">
      <c r="A2299" s="1451"/>
      <c r="C2299" s="1451"/>
      <c r="K2299" s="1451"/>
      <c r="L2299" s="1451"/>
      <c r="U2299" s="1451"/>
      <c r="AD2299" s="1451"/>
      <c r="AM2299" s="1451"/>
      <c r="AV2299" s="1451"/>
      <c r="BE2299" s="1451"/>
      <c r="BN2299" s="1451"/>
      <c r="BV2299" s="1451"/>
      <c r="BW2299" s="1451"/>
      <c r="CF2299" s="1451"/>
      <c r="CN2299" s="1451"/>
      <c r="CO2299" s="1530"/>
      <c r="CP2299" s="1530"/>
      <c r="CQ2299" s="1530"/>
      <c r="CR2299" s="1530"/>
      <c r="CS2299" s="1530"/>
      <c r="CT2299" s="1530"/>
      <c r="CU2299" s="1530"/>
      <c r="CV2299" s="1530"/>
      <c r="CW2299" s="1530"/>
      <c r="CX2299" s="1530"/>
      <c r="CY2299" s="1530"/>
      <c r="CZ2299" s="1530"/>
      <c r="DA2299" s="1530"/>
      <c r="DB2299" s="1530"/>
      <c r="DC2299" s="1530"/>
      <c r="DD2299" s="1530"/>
      <c r="DE2299" s="1530"/>
      <c r="DF2299" s="1530"/>
      <c r="DG2299" s="1530"/>
      <c r="DH2299" s="1530"/>
      <c r="DI2299" s="1530"/>
      <c r="DJ2299" s="1530"/>
      <c r="DK2299" s="1530"/>
      <c r="DL2299" s="1530"/>
      <c r="DM2299" s="1530"/>
      <c r="DN2299" s="1571"/>
      <c r="DO2299" s="1530"/>
      <c r="DP2299" s="1530"/>
    </row>
    <row r="2300" spans="1:120">
      <c r="A2300" s="1451"/>
      <c r="C2300" s="1451"/>
      <c r="K2300" s="1451"/>
      <c r="L2300" s="1451"/>
      <c r="U2300" s="1451"/>
      <c r="AD2300" s="1451"/>
      <c r="AM2300" s="1451"/>
      <c r="AV2300" s="1451"/>
      <c r="BE2300" s="1451"/>
      <c r="BN2300" s="1451"/>
      <c r="BV2300" s="1451"/>
      <c r="BW2300" s="1451"/>
      <c r="CF2300" s="1451"/>
      <c r="CN2300" s="1451"/>
      <c r="CO2300" s="1530"/>
      <c r="CP2300" s="1530"/>
      <c r="CQ2300" s="1530"/>
      <c r="CR2300" s="1530"/>
      <c r="CS2300" s="1530"/>
      <c r="CT2300" s="1530"/>
      <c r="CU2300" s="1530"/>
      <c r="CV2300" s="1530"/>
      <c r="CW2300" s="1530"/>
      <c r="CX2300" s="1530"/>
      <c r="CY2300" s="1530"/>
      <c r="CZ2300" s="1530"/>
      <c r="DA2300" s="1530"/>
      <c r="DB2300" s="1530"/>
      <c r="DC2300" s="1530"/>
      <c r="DD2300" s="1530"/>
      <c r="DE2300" s="1530"/>
      <c r="DF2300" s="1530"/>
      <c r="DG2300" s="1530"/>
      <c r="DH2300" s="1530"/>
      <c r="DI2300" s="1530"/>
      <c r="DJ2300" s="1530"/>
      <c r="DK2300" s="1530"/>
      <c r="DL2300" s="1530"/>
      <c r="DM2300" s="1530"/>
      <c r="DN2300" s="1571"/>
      <c r="DO2300" s="1530"/>
      <c r="DP2300" s="1530"/>
    </row>
    <row r="2301" spans="1:120">
      <c r="A2301" s="1451"/>
      <c r="C2301" s="1451"/>
      <c r="K2301" s="1451"/>
      <c r="L2301" s="1451"/>
      <c r="U2301" s="1451"/>
      <c r="AD2301" s="1451"/>
      <c r="AM2301" s="1451"/>
      <c r="AV2301" s="1451"/>
      <c r="BE2301" s="1451"/>
      <c r="BN2301" s="1451"/>
      <c r="BV2301" s="1451"/>
      <c r="BW2301" s="1451"/>
      <c r="CF2301" s="1451"/>
      <c r="CN2301" s="1451"/>
      <c r="CO2301" s="1530"/>
      <c r="CP2301" s="1530"/>
      <c r="CQ2301" s="1530"/>
      <c r="CR2301" s="1530"/>
      <c r="CS2301" s="1530"/>
      <c r="CT2301" s="1530"/>
      <c r="CU2301" s="1530"/>
      <c r="CV2301" s="1530"/>
      <c r="CW2301" s="1530"/>
      <c r="CX2301" s="1530"/>
      <c r="CY2301" s="1530"/>
      <c r="CZ2301" s="1530"/>
      <c r="DA2301" s="1530"/>
      <c r="DB2301" s="1530"/>
      <c r="DC2301" s="1530"/>
      <c r="DD2301" s="1530"/>
      <c r="DE2301" s="1530"/>
      <c r="DF2301" s="1530"/>
      <c r="DG2301" s="1530"/>
      <c r="DH2301" s="1530"/>
      <c r="DI2301" s="1530"/>
      <c r="DJ2301" s="1530"/>
      <c r="DK2301" s="1530"/>
      <c r="DL2301" s="1530"/>
      <c r="DM2301" s="1530"/>
      <c r="DN2301" s="1571"/>
      <c r="DO2301" s="1530"/>
      <c r="DP2301" s="1530"/>
    </row>
    <row r="2302" spans="1:120">
      <c r="A2302" s="1451"/>
      <c r="C2302" s="1451"/>
      <c r="K2302" s="1451"/>
      <c r="L2302" s="1451"/>
      <c r="U2302" s="1451"/>
      <c r="AD2302" s="1451"/>
      <c r="AM2302" s="1451"/>
      <c r="AV2302" s="1451"/>
      <c r="BE2302" s="1451"/>
      <c r="BN2302" s="1451"/>
      <c r="BV2302" s="1451"/>
      <c r="BW2302" s="1451"/>
      <c r="CF2302" s="1451"/>
      <c r="CN2302" s="1451"/>
      <c r="CO2302" s="1530"/>
      <c r="CP2302" s="1530"/>
      <c r="CQ2302" s="1530"/>
      <c r="CR2302" s="1530"/>
      <c r="CS2302" s="1530"/>
      <c r="CT2302" s="1530"/>
      <c r="CU2302" s="1530"/>
      <c r="CV2302" s="1530"/>
      <c r="CW2302" s="1530"/>
      <c r="CX2302" s="1530"/>
      <c r="CY2302" s="1530"/>
      <c r="CZ2302" s="1530"/>
      <c r="DA2302" s="1530"/>
      <c r="DB2302" s="1530"/>
      <c r="DC2302" s="1530"/>
      <c r="DD2302" s="1530"/>
      <c r="DE2302" s="1530"/>
      <c r="DF2302" s="1530"/>
      <c r="DG2302" s="1530"/>
      <c r="DH2302" s="1530"/>
      <c r="DI2302" s="1530"/>
      <c r="DJ2302" s="1530"/>
      <c r="DK2302" s="1530"/>
      <c r="DL2302" s="1530"/>
      <c r="DM2302" s="1530"/>
      <c r="DN2302" s="1571"/>
      <c r="DO2302" s="1530"/>
      <c r="DP2302" s="1530"/>
    </row>
    <row r="2303" spans="1:120">
      <c r="A2303" s="1451"/>
      <c r="C2303" s="1451"/>
      <c r="K2303" s="1451"/>
      <c r="L2303" s="1451"/>
      <c r="U2303" s="1451"/>
      <c r="AD2303" s="1451"/>
      <c r="AM2303" s="1451"/>
      <c r="AV2303" s="1451"/>
      <c r="BE2303" s="1451"/>
      <c r="BN2303" s="1451"/>
      <c r="BV2303" s="1451"/>
      <c r="BW2303" s="1451"/>
      <c r="CF2303" s="1451"/>
      <c r="CN2303" s="1451"/>
      <c r="CO2303" s="1530"/>
      <c r="CP2303" s="1530"/>
      <c r="CQ2303" s="1530"/>
      <c r="CR2303" s="1530"/>
      <c r="CS2303" s="1530"/>
      <c r="CT2303" s="1530"/>
      <c r="CU2303" s="1530"/>
      <c r="CV2303" s="1530"/>
      <c r="CW2303" s="1530"/>
      <c r="CX2303" s="1530"/>
      <c r="CY2303" s="1530"/>
      <c r="CZ2303" s="1530"/>
      <c r="DA2303" s="1530"/>
      <c r="DB2303" s="1530"/>
      <c r="DC2303" s="1530"/>
      <c r="DD2303" s="1530"/>
      <c r="DE2303" s="1530"/>
      <c r="DF2303" s="1530"/>
      <c r="DG2303" s="1530"/>
      <c r="DH2303" s="1530"/>
      <c r="DI2303" s="1530"/>
      <c r="DJ2303" s="1530"/>
      <c r="DK2303" s="1530"/>
      <c r="DL2303" s="1530"/>
      <c r="DM2303" s="1530"/>
      <c r="DN2303" s="1571"/>
      <c r="DO2303" s="1530"/>
      <c r="DP2303" s="1530"/>
    </row>
    <row r="2304" spans="1:120">
      <c r="A2304" s="1451"/>
      <c r="C2304" s="1451"/>
      <c r="K2304" s="1451"/>
      <c r="L2304" s="1451"/>
      <c r="U2304" s="1451"/>
      <c r="AD2304" s="1451"/>
      <c r="AM2304" s="1451"/>
      <c r="AV2304" s="1451"/>
      <c r="BE2304" s="1451"/>
      <c r="BN2304" s="1451"/>
      <c r="BV2304" s="1451"/>
      <c r="BW2304" s="1451"/>
      <c r="CF2304" s="1451"/>
      <c r="CN2304" s="1451"/>
      <c r="CO2304" s="1530"/>
      <c r="CP2304" s="1530"/>
      <c r="CQ2304" s="1530"/>
      <c r="CR2304" s="1530"/>
      <c r="CS2304" s="1530"/>
      <c r="CT2304" s="1530"/>
      <c r="CU2304" s="1530"/>
      <c r="CV2304" s="1530"/>
      <c r="CW2304" s="1530"/>
      <c r="CX2304" s="1530"/>
      <c r="CY2304" s="1530"/>
      <c r="CZ2304" s="1530"/>
      <c r="DA2304" s="1530"/>
      <c r="DB2304" s="1530"/>
      <c r="DC2304" s="1530"/>
      <c r="DD2304" s="1530"/>
      <c r="DE2304" s="1530"/>
      <c r="DF2304" s="1530"/>
      <c r="DG2304" s="1530"/>
      <c r="DH2304" s="1530"/>
      <c r="DI2304" s="1530"/>
      <c r="DJ2304" s="1530"/>
      <c r="DK2304" s="1530"/>
      <c r="DL2304" s="1530"/>
      <c r="DM2304" s="1530"/>
      <c r="DN2304" s="1571"/>
      <c r="DO2304" s="1530"/>
      <c r="DP2304" s="1530"/>
    </row>
    <row r="2305" spans="1:120">
      <c r="A2305" s="1451"/>
      <c r="C2305" s="1451"/>
      <c r="K2305" s="1451"/>
      <c r="L2305" s="1451"/>
      <c r="U2305" s="1451"/>
      <c r="AD2305" s="1451"/>
      <c r="AM2305" s="1451"/>
      <c r="AV2305" s="1451"/>
      <c r="BE2305" s="1451"/>
      <c r="BN2305" s="1451"/>
      <c r="BV2305" s="1451"/>
      <c r="BW2305" s="1451"/>
      <c r="CF2305" s="1451"/>
      <c r="CN2305" s="1451"/>
      <c r="CO2305" s="1530"/>
      <c r="CP2305" s="1530"/>
      <c r="CQ2305" s="1530"/>
      <c r="CR2305" s="1530"/>
      <c r="CS2305" s="1530"/>
      <c r="CT2305" s="1530"/>
      <c r="CU2305" s="1530"/>
      <c r="CV2305" s="1530"/>
      <c r="CW2305" s="1530"/>
      <c r="CX2305" s="1530"/>
      <c r="CY2305" s="1530"/>
      <c r="CZ2305" s="1530"/>
      <c r="DA2305" s="1530"/>
      <c r="DB2305" s="1530"/>
      <c r="DC2305" s="1530"/>
      <c r="DD2305" s="1530"/>
      <c r="DE2305" s="1530"/>
      <c r="DF2305" s="1530"/>
      <c r="DG2305" s="1530"/>
      <c r="DH2305" s="1530"/>
      <c r="DI2305" s="1530"/>
      <c r="DJ2305" s="1530"/>
      <c r="DK2305" s="1530"/>
      <c r="DL2305" s="1530"/>
      <c r="DM2305" s="1530"/>
      <c r="DN2305" s="1571"/>
      <c r="DO2305" s="1530"/>
      <c r="DP2305" s="1530"/>
    </row>
    <row r="2306" spans="1:120">
      <c r="A2306" s="1451"/>
      <c r="C2306" s="1451"/>
      <c r="K2306" s="1451"/>
      <c r="L2306" s="1451"/>
      <c r="U2306" s="1451"/>
      <c r="AD2306" s="1451"/>
      <c r="AM2306" s="1451"/>
      <c r="AV2306" s="1451"/>
      <c r="BE2306" s="1451"/>
      <c r="BN2306" s="1451"/>
      <c r="BV2306" s="1451"/>
      <c r="BW2306" s="1451"/>
      <c r="CF2306" s="1451"/>
      <c r="CN2306" s="1451"/>
      <c r="CO2306" s="1530"/>
      <c r="CP2306" s="1530"/>
      <c r="CQ2306" s="1530"/>
      <c r="CR2306" s="1530"/>
      <c r="CS2306" s="1530"/>
      <c r="CT2306" s="1530"/>
      <c r="CU2306" s="1530"/>
      <c r="CV2306" s="1530"/>
      <c r="CW2306" s="1530"/>
      <c r="CX2306" s="1530"/>
      <c r="CY2306" s="1530"/>
      <c r="CZ2306" s="1530"/>
      <c r="DA2306" s="1530"/>
      <c r="DB2306" s="1530"/>
      <c r="DC2306" s="1530"/>
      <c r="DD2306" s="1530"/>
      <c r="DE2306" s="1530"/>
      <c r="DF2306" s="1530"/>
      <c r="DG2306" s="1530"/>
      <c r="DH2306" s="1530"/>
      <c r="DI2306" s="1530"/>
      <c r="DJ2306" s="1530"/>
      <c r="DK2306" s="1530"/>
      <c r="DL2306" s="1530"/>
      <c r="DM2306" s="1530"/>
      <c r="DN2306" s="1571"/>
      <c r="DO2306" s="1530"/>
      <c r="DP2306" s="1530"/>
    </row>
    <row r="2307" spans="1:120">
      <c r="A2307" s="1451"/>
      <c r="C2307" s="1451"/>
      <c r="K2307" s="1451"/>
      <c r="L2307" s="1451"/>
      <c r="U2307" s="1451"/>
      <c r="AD2307" s="1451"/>
      <c r="AM2307" s="1451"/>
      <c r="AV2307" s="1451"/>
      <c r="BE2307" s="1451"/>
      <c r="BN2307" s="1451"/>
      <c r="BV2307" s="1451"/>
      <c r="BW2307" s="1451"/>
      <c r="CF2307" s="1451"/>
      <c r="CN2307" s="1451"/>
      <c r="CO2307" s="1530"/>
      <c r="CP2307" s="1530"/>
      <c r="CQ2307" s="1530"/>
      <c r="CR2307" s="1530"/>
      <c r="CS2307" s="1530"/>
      <c r="CT2307" s="1530"/>
      <c r="CU2307" s="1530"/>
      <c r="CV2307" s="1530"/>
      <c r="CW2307" s="1530"/>
      <c r="CX2307" s="1530"/>
      <c r="CY2307" s="1530"/>
      <c r="CZ2307" s="1530"/>
      <c r="DA2307" s="1530"/>
      <c r="DB2307" s="1530"/>
      <c r="DC2307" s="1530"/>
      <c r="DD2307" s="1530"/>
      <c r="DE2307" s="1530"/>
      <c r="DF2307" s="1530"/>
      <c r="DG2307" s="1530"/>
      <c r="DH2307" s="1530"/>
      <c r="DI2307" s="1530"/>
      <c r="DJ2307" s="1530"/>
      <c r="DK2307" s="1530"/>
      <c r="DL2307" s="1530"/>
      <c r="DM2307" s="1530"/>
      <c r="DN2307" s="1571"/>
      <c r="DO2307" s="1530"/>
      <c r="DP2307" s="1530"/>
    </row>
    <row r="2308" spans="1:120">
      <c r="A2308" s="1451"/>
      <c r="C2308" s="1451"/>
      <c r="K2308" s="1451"/>
      <c r="L2308" s="1451"/>
      <c r="U2308" s="1451"/>
      <c r="AD2308" s="1451"/>
      <c r="AM2308" s="1451"/>
      <c r="AV2308" s="1451"/>
      <c r="BE2308" s="1451"/>
      <c r="BN2308" s="1451"/>
      <c r="BV2308" s="1451"/>
      <c r="BW2308" s="1451"/>
      <c r="CF2308" s="1451"/>
      <c r="CN2308" s="1451"/>
      <c r="CO2308" s="1530"/>
      <c r="CP2308" s="1530"/>
      <c r="CQ2308" s="1530"/>
      <c r="CR2308" s="1530"/>
      <c r="CS2308" s="1530"/>
      <c r="CT2308" s="1530"/>
      <c r="CU2308" s="1530"/>
      <c r="CV2308" s="1530"/>
      <c r="CW2308" s="1530"/>
      <c r="CX2308" s="1530"/>
      <c r="CY2308" s="1530"/>
      <c r="CZ2308" s="1530"/>
      <c r="DA2308" s="1530"/>
      <c r="DB2308" s="1530"/>
      <c r="DC2308" s="1530"/>
      <c r="DD2308" s="1530"/>
      <c r="DE2308" s="1530"/>
      <c r="DF2308" s="1530"/>
      <c r="DG2308" s="1530"/>
      <c r="DH2308" s="1530"/>
      <c r="DI2308" s="1530"/>
      <c r="DJ2308" s="1530"/>
      <c r="DK2308" s="1530"/>
      <c r="DL2308" s="1530"/>
      <c r="DM2308" s="1530"/>
      <c r="DN2308" s="1571"/>
      <c r="DO2308" s="1530"/>
      <c r="DP2308" s="1530"/>
    </row>
    <row r="2309" spans="1:120">
      <c r="A2309" s="1451"/>
      <c r="C2309" s="1451"/>
      <c r="K2309" s="1451"/>
      <c r="L2309" s="1451"/>
      <c r="U2309" s="1451"/>
      <c r="AD2309" s="1451"/>
      <c r="AM2309" s="1451"/>
      <c r="AV2309" s="1451"/>
      <c r="BE2309" s="1451"/>
      <c r="BN2309" s="1451"/>
      <c r="BV2309" s="1451"/>
      <c r="BW2309" s="1451"/>
      <c r="CF2309" s="1451"/>
      <c r="CN2309" s="1451"/>
      <c r="CO2309" s="1530"/>
      <c r="CP2309" s="1530"/>
      <c r="CQ2309" s="1530"/>
      <c r="CR2309" s="1530"/>
      <c r="CS2309" s="1530"/>
      <c r="CT2309" s="1530"/>
      <c r="CU2309" s="1530"/>
      <c r="CV2309" s="1530"/>
      <c r="CW2309" s="1530"/>
      <c r="CX2309" s="1530"/>
      <c r="CY2309" s="1530"/>
      <c r="CZ2309" s="1530"/>
      <c r="DA2309" s="1530"/>
      <c r="DB2309" s="1530"/>
      <c r="DC2309" s="1530"/>
      <c r="DD2309" s="1530"/>
      <c r="DE2309" s="1530"/>
      <c r="DF2309" s="1530"/>
      <c r="DG2309" s="1530"/>
      <c r="DH2309" s="1530"/>
      <c r="DI2309" s="1530"/>
      <c r="DJ2309" s="1530"/>
      <c r="DK2309" s="1530"/>
      <c r="DL2309" s="1530"/>
      <c r="DM2309" s="1530"/>
      <c r="DN2309" s="1571"/>
      <c r="DO2309" s="1530"/>
      <c r="DP2309" s="1530"/>
    </row>
    <row r="2310" spans="1:120">
      <c r="A2310" s="1451"/>
      <c r="C2310" s="1451"/>
      <c r="K2310" s="1451"/>
      <c r="L2310" s="1451"/>
      <c r="U2310" s="1451"/>
      <c r="AD2310" s="1451"/>
      <c r="AM2310" s="1451"/>
      <c r="AV2310" s="1451"/>
      <c r="BE2310" s="1451"/>
      <c r="BN2310" s="1451"/>
      <c r="BV2310" s="1451"/>
      <c r="BW2310" s="1451"/>
      <c r="CF2310" s="1451"/>
      <c r="CN2310" s="1451"/>
      <c r="CO2310" s="1530"/>
      <c r="CP2310" s="1530"/>
      <c r="CQ2310" s="1530"/>
      <c r="CR2310" s="1530"/>
      <c r="CS2310" s="1530"/>
      <c r="CT2310" s="1530"/>
      <c r="CU2310" s="1530"/>
      <c r="CV2310" s="1530"/>
      <c r="CW2310" s="1530"/>
      <c r="CX2310" s="1530"/>
      <c r="CY2310" s="1530"/>
      <c r="CZ2310" s="1530"/>
      <c r="DA2310" s="1530"/>
      <c r="DB2310" s="1530"/>
      <c r="DC2310" s="1530"/>
      <c r="DD2310" s="1530"/>
      <c r="DE2310" s="1530"/>
      <c r="DF2310" s="1530"/>
      <c r="DG2310" s="1530"/>
      <c r="DH2310" s="1530"/>
      <c r="DI2310" s="1530"/>
      <c r="DJ2310" s="1530"/>
      <c r="DK2310" s="1530"/>
      <c r="DL2310" s="1530"/>
      <c r="DM2310" s="1530"/>
      <c r="DN2310" s="1571"/>
      <c r="DO2310" s="1530"/>
      <c r="DP2310" s="1530"/>
    </row>
    <row r="2311" spans="1:120">
      <c r="A2311" s="1451"/>
      <c r="C2311" s="1451"/>
      <c r="K2311" s="1451"/>
      <c r="L2311" s="1451"/>
      <c r="U2311" s="1451"/>
      <c r="AD2311" s="1451"/>
      <c r="AM2311" s="1451"/>
      <c r="AV2311" s="1451"/>
      <c r="BE2311" s="1451"/>
      <c r="BN2311" s="1451"/>
      <c r="BV2311" s="1451"/>
      <c r="BW2311" s="1451"/>
      <c r="CF2311" s="1451"/>
      <c r="CN2311" s="1451"/>
      <c r="CO2311" s="1530"/>
      <c r="CP2311" s="1530"/>
      <c r="CQ2311" s="1530"/>
      <c r="CR2311" s="1530"/>
      <c r="CS2311" s="1530"/>
      <c r="CT2311" s="1530"/>
      <c r="CU2311" s="1530"/>
      <c r="CV2311" s="1530"/>
      <c r="CW2311" s="1530"/>
      <c r="CX2311" s="1530"/>
      <c r="CY2311" s="1530"/>
      <c r="CZ2311" s="1530"/>
      <c r="DA2311" s="1530"/>
      <c r="DB2311" s="1530"/>
      <c r="DC2311" s="1530"/>
      <c r="DD2311" s="1530"/>
      <c r="DE2311" s="1530"/>
      <c r="DF2311" s="1530"/>
      <c r="DG2311" s="1530"/>
      <c r="DH2311" s="1530"/>
      <c r="DI2311" s="1530"/>
      <c r="DJ2311" s="1530"/>
      <c r="DK2311" s="1530"/>
      <c r="DL2311" s="1530"/>
      <c r="DM2311" s="1530"/>
      <c r="DN2311" s="1571"/>
      <c r="DO2311" s="1530"/>
      <c r="DP2311" s="1530"/>
    </row>
    <row r="2312" spans="1:120">
      <c r="A2312" s="1451"/>
      <c r="C2312" s="1451"/>
      <c r="K2312" s="1451"/>
      <c r="L2312" s="1451"/>
      <c r="U2312" s="1451"/>
      <c r="AD2312" s="1451"/>
      <c r="AM2312" s="1451"/>
      <c r="AV2312" s="1451"/>
      <c r="BE2312" s="1451"/>
      <c r="BN2312" s="1451"/>
      <c r="BV2312" s="1451"/>
      <c r="BW2312" s="1451"/>
      <c r="CF2312" s="1451"/>
      <c r="CN2312" s="1451"/>
      <c r="CO2312" s="1530"/>
      <c r="CP2312" s="1530"/>
      <c r="CQ2312" s="1530"/>
      <c r="CR2312" s="1530"/>
      <c r="CS2312" s="1530"/>
      <c r="CT2312" s="1530"/>
      <c r="CU2312" s="1530"/>
      <c r="CV2312" s="1530"/>
      <c r="CW2312" s="1530"/>
      <c r="CX2312" s="1530"/>
      <c r="CY2312" s="1530"/>
      <c r="CZ2312" s="1530"/>
      <c r="DA2312" s="1530"/>
      <c r="DB2312" s="1530"/>
      <c r="DC2312" s="1530"/>
      <c r="DD2312" s="1530"/>
      <c r="DE2312" s="1530"/>
      <c r="DF2312" s="1530"/>
      <c r="DG2312" s="1530"/>
      <c r="DH2312" s="1530"/>
      <c r="DI2312" s="1530"/>
      <c r="DJ2312" s="1530"/>
      <c r="DK2312" s="1530"/>
      <c r="DL2312" s="1530"/>
      <c r="DM2312" s="1530"/>
      <c r="DN2312" s="1571"/>
      <c r="DO2312" s="1530"/>
      <c r="DP2312" s="1530"/>
    </row>
    <row r="2313" spans="1:120">
      <c r="A2313" s="1451"/>
      <c r="C2313" s="1451"/>
      <c r="K2313" s="1451"/>
      <c r="L2313" s="1451"/>
      <c r="U2313" s="1451"/>
      <c r="AD2313" s="1451"/>
      <c r="AM2313" s="1451"/>
      <c r="AV2313" s="1451"/>
      <c r="BE2313" s="1451"/>
      <c r="BN2313" s="1451"/>
      <c r="BV2313" s="1451"/>
      <c r="BW2313" s="1451"/>
      <c r="CF2313" s="1451"/>
      <c r="CN2313" s="1451"/>
      <c r="CO2313" s="1530"/>
      <c r="CP2313" s="1530"/>
      <c r="CQ2313" s="1530"/>
      <c r="CR2313" s="1530"/>
      <c r="CS2313" s="1530"/>
      <c r="CT2313" s="1530"/>
      <c r="CU2313" s="1530"/>
      <c r="CV2313" s="1530"/>
      <c r="CW2313" s="1530"/>
      <c r="CX2313" s="1530"/>
      <c r="CY2313" s="1530"/>
      <c r="CZ2313" s="1530"/>
      <c r="DA2313" s="1530"/>
      <c r="DB2313" s="1530"/>
      <c r="DC2313" s="1530"/>
      <c r="DD2313" s="1530"/>
      <c r="DE2313" s="1530"/>
      <c r="DF2313" s="1530"/>
      <c r="DG2313" s="1530"/>
      <c r="DH2313" s="1530"/>
      <c r="DI2313" s="1530"/>
      <c r="DJ2313" s="1530"/>
      <c r="DK2313" s="1530"/>
      <c r="DL2313" s="1530"/>
      <c r="DM2313" s="1530"/>
      <c r="DN2313" s="1571"/>
      <c r="DO2313" s="1530"/>
      <c r="DP2313" s="1530"/>
    </row>
    <row r="2314" spans="1:120">
      <c r="A2314" s="1451"/>
      <c r="C2314" s="1451"/>
      <c r="K2314" s="1451"/>
      <c r="L2314" s="1451"/>
      <c r="U2314" s="1451"/>
      <c r="AD2314" s="1451"/>
      <c r="AM2314" s="1451"/>
      <c r="AV2314" s="1451"/>
      <c r="BE2314" s="1451"/>
      <c r="BN2314" s="1451"/>
      <c r="BV2314" s="1451"/>
      <c r="BW2314" s="1451"/>
      <c r="CF2314" s="1451"/>
      <c r="CN2314" s="1451"/>
      <c r="CO2314" s="1530"/>
      <c r="CP2314" s="1530"/>
      <c r="CQ2314" s="1530"/>
      <c r="CR2314" s="1530"/>
      <c r="CS2314" s="1530"/>
      <c r="CT2314" s="1530"/>
      <c r="CU2314" s="1530"/>
      <c r="CV2314" s="1530"/>
      <c r="CW2314" s="1530"/>
      <c r="CX2314" s="1530"/>
      <c r="CY2314" s="1530"/>
      <c r="CZ2314" s="1530"/>
      <c r="DA2314" s="1530"/>
      <c r="DB2314" s="1530"/>
      <c r="DC2314" s="1530"/>
      <c r="DD2314" s="1530"/>
      <c r="DE2314" s="1530"/>
      <c r="DF2314" s="1530"/>
      <c r="DG2314" s="1530"/>
      <c r="DH2314" s="1530"/>
      <c r="DI2314" s="1530"/>
      <c r="DJ2314" s="1530"/>
      <c r="DK2314" s="1530"/>
      <c r="DL2314" s="1530"/>
      <c r="DM2314" s="1530"/>
      <c r="DN2314" s="1571"/>
      <c r="DO2314" s="1530"/>
      <c r="DP2314" s="1530"/>
    </row>
    <row r="2315" spans="1:120">
      <c r="A2315" s="1451"/>
      <c r="C2315" s="1451"/>
      <c r="K2315" s="1451"/>
      <c r="L2315" s="1451"/>
      <c r="U2315" s="1451"/>
      <c r="AD2315" s="1451"/>
      <c r="AM2315" s="1451"/>
      <c r="AV2315" s="1451"/>
      <c r="BE2315" s="1451"/>
      <c r="BN2315" s="1451"/>
      <c r="BV2315" s="1451"/>
      <c r="BW2315" s="1451"/>
      <c r="CF2315" s="1451"/>
      <c r="CN2315" s="1451"/>
      <c r="CO2315" s="1530"/>
      <c r="CP2315" s="1530"/>
      <c r="CQ2315" s="1530"/>
      <c r="CR2315" s="1530"/>
      <c r="CS2315" s="1530"/>
      <c r="CT2315" s="1530"/>
      <c r="CU2315" s="1530"/>
      <c r="CV2315" s="1530"/>
      <c r="CW2315" s="1530"/>
      <c r="CX2315" s="1530"/>
      <c r="CY2315" s="1530"/>
      <c r="CZ2315" s="1530"/>
      <c r="DA2315" s="1530"/>
      <c r="DB2315" s="1530"/>
      <c r="DC2315" s="1530"/>
      <c r="DD2315" s="1530"/>
      <c r="DE2315" s="1530"/>
      <c r="DF2315" s="1530"/>
      <c r="DG2315" s="1530"/>
      <c r="DH2315" s="1530"/>
      <c r="DI2315" s="1530"/>
      <c r="DJ2315" s="1530"/>
      <c r="DK2315" s="1530"/>
      <c r="DL2315" s="1530"/>
      <c r="DM2315" s="1530"/>
      <c r="DN2315" s="1571"/>
      <c r="DO2315" s="1530"/>
      <c r="DP2315" s="1530"/>
    </row>
    <row r="2316" spans="1:120">
      <c r="A2316" s="1451"/>
      <c r="C2316" s="1451"/>
      <c r="K2316" s="1451"/>
      <c r="L2316" s="1451"/>
      <c r="U2316" s="1451"/>
      <c r="AD2316" s="1451"/>
      <c r="AM2316" s="1451"/>
      <c r="AV2316" s="1451"/>
      <c r="BE2316" s="1451"/>
      <c r="BN2316" s="1451"/>
      <c r="BV2316" s="1451"/>
      <c r="BW2316" s="1451"/>
      <c r="CF2316" s="1451"/>
      <c r="CN2316" s="1451"/>
      <c r="CO2316" s="1530"/>
      <c r="CP2316" s="1530"/>
      <c r="CQ2316" s="1530"/>
      <c r="CR2316" s="1530"/>
      <c r="CS2316" s="1530"/>
      <c r="CT2316" s="1530"/>
      <c r="CU2316" s="1530"/>
      <c r="CV2316" s="1530"/>
      <c r="CW2316" s="1530"/>
      <c r="CX2316" s="1530"/>
      <c r="CY2316" s="1530"/>
      <c r="CZ2316" s="1530"/>
      <c r="DA2316" s="1530"/>
      <c r="DB2316" s="1530"/>
      <c r="DC2316" s="1530"/>
      <c r="DD2316" s="1530"/>
      <c r="DE2316" s="1530"/>
      <c r="DF2316" s="1530"/>
      <c r="DG2316" s="1530"/>
      <c r="DH2316" s="1530"/>
      <c r="DI2316" s="1530"/>
      <c r="DJ2316" s="1530"/>
      <c r="DK2316" s="1530"/>
      <c r="DL2316" s="1530"/>
      <c r="DM2316" s="1530"/>
      <c r="DN2316" s="1571"/>
      <c r="DO2316" s="1530"/>
      <c r="DP2316" s="1530"/>
    </row>
    <row r="2317" spans="1:120">
      <c r="A2317" s="1451"/>
      <c r="C2317" s="1451"/>
      <c r="K2317" s="1451"/>
      <c r="L2317" s="1451"/>
      <c r="U2317" s="1451"/>
      <c r="AD2317" s="1451"/>
      <c r="AM2317" s="1451"/>
      <c r="AV2317" s="1451"/>
      <c r="BE2317" s="1451"/>
      <c r="BN2317" s="1451"/>
      <c r="BV2317" s="1451"/>
      <c r="BW2317" s="1451"/>
      <c r="CF2317" s="1451"/>
      <c r="CN2317" s="1451"/>
      <c r="CO2317" s="1530"/>
      <c r="CP2317" s="1530"/>
      <c r="CQ2317" s="1530"/>
      <c r="CR2317" s="1530"/>
      <c r="CS2317" s="1530"/>
      <c r="CT2317" s="1530"/>
      <c r="CU2317" s="1530"/>
      <c r="CV2317" s="1530"/>
      <c r="CW2317" s="1530"/>
      <c r="CX2317" s="1530"/>
      <c r="CY2317" s="1530"/>
      <c r="CZ2317" s="1530"/>
      <c r="DA2317" s="1530"/>
      <c r="DB2317" s="1530"/>
      <c r="DC2317" s="1530"/>
      <c r="DD2317" s="1530"/>
      <c r="DE2317" s="1530"/>
      <c r="DF2317" s="1530"/>
      <c r="DG2317" s="1530"/>
      <c r="DH2317" s="1530"/>
      <c r="DI2317" s="1530"/>
      <c r="DJ2317" s="1530"/>
      <c r="DK2317" s="1530"/>
      <c r="DL2317" s="1530"/>
      <c r="DM2317" s="1530"/>
      <c r="DN2317" s="1571"/>
      <c r="DO2317" s="1530"/>
      <c r="DP2317" s="1530"/>
    </row>
    <row r="2318" spans="1:120">
      <c r="A2318" s="1451"/>
      <c r="C2318" s="1451"/>
      <c r="K2318" s="1451"/>
      <c r="L2318" s="1451"/>
      <c r="U2318" s="1451"/>
      <c r="AD2318" s="1451"/>
      <c r="AM2318" s="1451"/>
      <c r="AV2318" s="1451"/>
      <c r="BE2318" s="1451"/>
      <c r="BN2318" s="1451"/>
      <c r="BV2318" s="1451"/>
      <c r="BW2318" s="1451"/>
      <c r="CF2318" s="1451"/>
      <c r="CN2318" s="1451"/>
      <c r="CO2318" s="1530"/>
      <c r="CP2318" s="1530"/>
      <c r="CQ2318" s="1530"/>
      <c r="CR2318" s="1530"/>
      <c r="CS2318" s="1530"/>
      <c r="CT2318" s="1530"/>
      <c r="CU2318" s="1530"/>
      <c r="CV2318" s="1530"/>
      <c r="CW2318" s="1530"/>
      <c r="CX2318" s="1530"/>
      <c r="CY2318" s="1530"/>
      <c r="CZ2318" s="1530"/>
      <c r="DA2318" s="1530"/>
      <c r="DB2318" s="1530"/>
      <c r="DC2318" s="1530"/>
      <c r="DD2318" s="1530"/>
      <c r="DE2318" s="1530"/>
      <c r="DF2318" s="1530"/>
      <c r="DG2318" s="1530"/>
      <c r="DH2318" s="1530"/>
      <c r="DI2318" s="1530"/>
      <c r="DJ2318" s="1530"/>
      <c r="DK2318" s="1530"/>
      <c r="DL2318" s="1530"/>
      <c r="DM2318" s="1530"/>
      <c r="DN2318" s="1571"/>
      <c r="DO2318" s="1530"/>
      <c r="DP2318" s="1530"/>
    </row>
    <row r="2319" spans="1:120">
      <c r="A2319" s="1451"/>
      <c r="C2319" s="1451"/>
      <c r="K2319" s="1451"/>
      <c r="L2319" s="1451"/>
      <c r="U2319" s="1451"/>
      <c r="AD2319" s="1451"/>
      <c r="AM2319" s="1451"/>
      <c r="AV2319" s="1451"/>
      <c r="BE2319" s="1451"/>
      <c r="BN2319" s="1451"/>
      <c r="BV2319" s="1451"/>
      <c r="BW2319" s="1451"/>
      <c r="CF2319" s="1451"/>
      <c r="CN2319" s="1451"/>
      <c r="CO2319" s="1530"/>
      <c r="CP2319" s="1530"/>
      <c r="CQ2319" s="1530"/>
      <c r="CR2319" s="1530"/>
      <c r="CS2319" s="1530"/>
      <c r="CT2319" s="1530"/>
      <c r="CU2319" s="1530"/>
      <c r="CV2319" s="1530"/>
      <c r="CW2319" s="1530"/>
      <c r="CX2319" s="1530"/>
      <c r="CY2319" s="1530"/>
      <c r="CZ2319" s="1530"/>
      <c r="DA2319" s="1530"/>
      <c r="DB2319" s="1530"/>
      <c r="DC2319" s="1530"/>
      <c r="DD2319" s="1530"/>
      <c r="DE2319" s="1530"/>
      <c r="DF2319" s="1530"/>
      <c r="DG2319" s="1530"/>
      <c r="DH2319" s="1530"/>
      <c r="DI2319" s="1530"/>
      <c r="DJ2319" s="1530"/>
      <c r="DK2319" s="1530"/>
      <c r="DL2319" s="1530"/>
      <c r="DM2319" s="1530"/>
      <c r="DN2319" s="1571"/>
      <c r="DO2319" s="1530"/>
      <c r="DP2319" s="1530"/>
    </row>
    <row r="2320" spans="1:120">
      <c r="A2320" s="1451"/>
      <c r="C2320" s="1451"/>
      <c r="K2320" s="1451"/>
      <c r="L2320" s="1451"/>
      <c r="U2320" s="1451"/>
      <c r="AD2320" s="1451"/>
      <c r="AM2320" s="1451"/>
      <c r="AV2320" s="1451"/>
      <c r="BE2320" s="1451"/>
      <c r="BN2320" s="1451"/>
      <c r="BV2320" s="1451"/>
      <c r="BW2320" s="1451"/>
      <c r="CF2320" s="1451"/>
      <c r="CN2320" s="1451"/>
      <c r="CO2320" s="1530"/>
      <c r="CP2320" s="1530"/>
      <c r="CQ2320" s="1530"/>
      <c r="CR2320" s="1530"/>
      <c r="CS2320" s="1530"/>
      <c r="CT2320" s="1530"/>
      <c r="CU2320" s="1530"/>
      <c r="CV2320" s="1530"/>
      <c r="CW2320" s="1530"/>
      <c r="CX2320" s="1530"/>
      <c r="CY2320" s="1530"/>
      <c r="CZ2320" s="1530"/>
      <c r="DA2320" s="1530"/>
      <c r="DB2320" s="1530"/>
      <c r="DC2320" s="1530"/>
      <c r="DD2320" s="1530"/>
      <c r="DE2320" s="1530"/>
      <c r="DF2320" s="1530"/>
      <c r="DG2320" s="1530"/>
      <c r="DH2320" s="1530"/>
      <c r="DI2320" s="1530"/>
      <c r="DJ2320" s="1530"/>
      <c r="DK2320" s="1530"/>
      <c r="DL2320" s="1530"/>
      <c r="DM2320" s="1530"/>
      <c r="DN2320" s="1571"/>
      <c r="DO2320" s="1530"/>
      <c r="DP2320" s="1530"/>
    </row>
    <row r="2321" spans="1:120">
      <c r="A2321" s="1451"/>
      <c r="C2321" s="1451"/>
      <c r="K2321" s="1451"/>
      <c r="L2321" s="1451"/>
      <c r="U2321" s="1451"/>
      <c r="AD2321" s="1451"/>
      <c r="AM2321" s="1451"/>
      <c r="AV2321" s="1451"/>
      <c r="BE2321" s="1451"/>
      <c r="BN2321" s="1451"/>
      <c r="BV2321" s="1451"/>
      <c r="BW2321" s="1451"/>
      <c r="CF2321" s="1451"/>
      <c r="CN2321" s="1451"/>
      <c r="CO2321" s="1530"/>
      <c r="CP2321" s="1530"/>
      <c r="CQ2321" s="1530"/>
      <c r="CR2321" s="1530"/>
      <c r="CS2321" s="1530"/>
      <c r="CT2321" s="1530"/>
      <c r="CU2321" s="1530"/>
      <c r="CV2321" s="1530"/>
      <c r="CW2321" s="1530"/>
      <c r="CX2321" s="1530"/>
      <c r="CY2321" s="1530"/>
      <c r="CZ2321" s="1530"/>
      <c r="DA2321" s="1530"/>
      <c r="DB2321" s="1530"/>
      <c r="DC2321" s="1530"/>
      <c r="DD2321" s="1530"/>
      <c r="DE2321" s="1530"/>
      <c r="DF2321" s="1530"/>
      <c r="DG2321" s="1530"/>
      <c r="DH2321" s="1530"/>
      <c r="DI2321" s="1530"/>
      <c r="DJ2321" s="1530"/>
      <c r="DK2321" s="1530"/>
      <c r="DL2321" s="1530"/>
      <c r="DM2321" s="1530"/>
      <c r="DN2321" s="1571"/>
      <c r="DO2321" s="1530"/>
      <c r="DP2321" s="1530"/>
    </row>
    <row r="2322" spans="1:120">
      <c r="A2322" s="1451"/>
      <c r="C2322" s="1451"/>
      <c r="K2322" s="1451"/>
      <c r="L2322" s="1451"/>
      <c r="U2322" s="1451"/>
      <c r="AD2322" s="1451"/>
      <c r="AM2322" s="1451"/>
      <c r="AV2322" s="1451"/>
      <c r="BE2322" s="1451"/>
      <c r="BN2322" s="1451"/>
      <c r="BV2322" s="1451"/>
      <c r="BW2322" s="1451"/>
      <c r="CF2322" s="1451"/>
      <c r="CN2322" s="1451"/>
      <c r="CO2322" s="1530"/>
      <c r="CP2322" s="1530"/>
      <c r="CQ2322" s="1530"/>
      <c r="CR2322" s="1530"/>
      <c r="CS2322" s="1530"/>
      <c r="CT2322" s="1530"/>
      <c r="CU2322" s="1530"/>
      <c r="CV2322" s="1530"/>
      <c r="CW2322" s="1530"/>
      <c r="CX2322" s="1530"/>
      <c r="CY2322" s="1530"/>
      <c r="CZ2322" s="1530"/>
      <c r="DA2322" s="1530"/>
      <c r="DB2322" s="1530"/>
      <c r="DC2322" s="1530"/>
      <c r="DD2322" s="1530"/>
      <c r="DE2322" s="1530"/>
      <c r="DF2322" s="1530"/>
      <c r="DG2322" s="1530"/>
      <c r="DH2322" s="1530"/>
      <c r="DI2322" s="1530"/>
      <c r="DJ2322" s="1530"/>
      <c r="DK2322" s="1530"/>
      <c r="DL2322" s="1530"/>
      <c r="DM2322" s="1530"/>
      <c r="DN2322" s="1571"/>
      <c r="DO2322" s="1530"/>
      <c r="DP2322" s="1530"/>
    </row>
    <row r="2323" spans="1:120">
      <c r="A2323" s="1451"/>
      <c r="C2323" s="1451"/>
      <c r="K2323" s="1451"/>
      <c r="L2323" s="1451"/>
      <c r="U2323" s="1451"/>
      <c r="AD2323" s="1451"/>
      <c r="AM2323" s="1451"/>
      <c r="AV2323" s="1451"/>
      <c r="BE2323" s="1451"/>
      <c r="BN2323" s="1451"/>
      <c r="BV2323" s="1451"/>
      <c r="BW2323" s="1451"/>
      <c r="CF2323" s="1451"/>
      <c r="CN2323" s="1451"/>
      <c r="CO2323" s="1530"/>
      <c r="CP2323" s="1530"/>
      <c r="CQ2323" s="1530"/>
      <c r="CR2323" s="1530"/>
      <c r="CS2323" s="1530"/>
      <c r="CT2323" s="1530"/>
      <c r="CU2323" s="1530"/>
      <c r="CV2323" s="1530"/>
      <c r="CW2323" s="1530"/>
      <c r="CX2323" s="1530"/>
      <c r="CY2323" s="1530"/>
      <c r="CZ2323" s="1530"/>
      <c r="DA2323" s="1530"/>
      <c r="DB2323" s="1530"/>
      <c r="DC2323" s="1530"/>
      <c r="DD2323" s="1530"/>
      <c r="DE2323" s="1530"/>
      <c r="DF2323" s="1530"/>
      <c r="DG2323" s="1530"/>
      <c r="DH2323" s="1530"/>
      <c r="DI2323" s="1530"/>
      <c r="DJ2323" s="1530"/>
      <c r="DK2323" s="1530"/>
      <c r="DL2323" s="1530"/>
      <c r="DM2323" s="1530"/>
      <c r="DN2323" s="1571"/>
      <c r="DO2323" s="1530"/>
      <c r="DP2323" s="1530"/>
    </row>
    <row r="2324" spans="1:120">
      <c r="A2324" s="1451"/>
      <c r="C2324" s="1451"/>
      <c r="K2324" s="1451"/>
      <c r="L2324" s="1451"/>
      <c r="U2324" s="1451"/>
      <c r="AD2324" s="1451"/>
      <c r="AM2324" s="1451"/>
      <c r="AV2324" s="1451"/>
      <c r="BE2324" s="1451"/>
      <c r="BN2324" s="1451"/>
      <c r="BV2324" s="1451"/>
      <c r="BW2324" s="1451"/>
      <c r="CF2324" s="1451"/>
      <c r="CN2324" s="1451"/>
      <c r="CO2324" s="1530"/>
      <c r="CP2324" s="1530"/>
      <c r="CQ2324" s="1530"/>
      <c r="CR2324" s="1530"/>
      <c r="CS2324" s="1530"/>
      <c r="CT2324" s="1530"/>
      <c r="CU2324" s="1530"/>
      <c r="CV2324" s="1530"/>
      <c r="CW2324" s="1530"/>
      <c r="CX2324" s="1530"/>
      <c r="CY2324" s="1530"/>
      <c r="CZ2324" s="1530"/>
      <c r="DA2324" s="1530"/>
      <c r="DB2324" s="1530"/>
      <c r="DC2324" s="1530"/>
      <c r="DD2324" s="1530"/>
      <c r="DE2324" s="1530"/>
      <c r="DF2324" s="1530"/>
      <c r="DG2324" s="1530"/>
      <c r="DH2324" s="1530"/>
      <c r="DI2324" s="1530"/>
      <c r="DJ2324" s="1530"/>
      <c r="DK2324" s="1530"/>
      <c r="DL2324" s="1530"/>
      <c r="DM2324" s="1530"/>
      <c r="DN2324" s="1571"/>
      <c r="DO2324" s="1530"/>
      <c r="DP2324" s="1530"/>
    </row>
    <row r="2325" spans="1:120">
      <c r="A2325" s="1451"/>
      <c r="C2325" s="1451"/>
      <c r="K2325" s="1451"/>
      <c r="L2325" s="1451"/>
      <c r="U2325" s="1451"/>
      <c r="AD2325" s="1451"/>
      <c r="AM2325" s="1451"/>
      <c r="AV2325" s="1451"/>
      <c r="BE2325" s="1451"/>
      <c r="BN2325" s="1451"/>
      <c r="BV2325" s="1451"/>
      <c r="BW2325" s="1451"/>
      <c r="CF2325" s="1451"/>
      <c r="CN2325" s="1451"/>
      <c r="CO2325" s="1530"/>
      <c r="CP2325" s="1530"/>
      <c r="CQ2325" s="1530"/>
      <c r="CR2325" s="1530"/>
      <c r="CS2325" s="1530"/>
      <c r="CT2325" s="1530"/>
      <c r="CU2325" s="1530"/>
      <c r="CV2325" s="1530"/>
      <c r="CW2325" s="1530"/>
      <c r="CX2325" s="1530"/>
      <c r="CY2325" s="1530"/>
      <c r="CZ2325" s="1530"/>
      <c r="DA2325" s="1530"/>
      <c r="DB2325" s="1530"/>
      <c r="DC2325" s="1530"/>
      <c r="DD2325" s="1530"/>
      <c r="DE2325" s="1530"/>
      <c r="DF2325" s="1530"/>
      <c r="DG2325" s="1530"/>
      <c r="DH2325" s="1530"/>
      <c r="DI2325" s="1530"/>
      <c r="DJ2325" s="1530"/>
      <c r="DK2325" s="1530"/>
      <c r="DL2325" s="1530"/>
      <c r="DM2325" s="1530"/>
      <c r="DN2325" s="1571"/>
      <c r="DO2325" s="1530"/>
      <c r="DP2325" s="1530"/>
    </row>
    <row r="2326" spans="1:120">
      <c r="A2326" s="1451"/>
      <c r="C2326" s="1451"/>
      <c r="K2326" s="1451"/>
      <c r="L2326" s="1451"/>
      <c r="U2326" s="1451"/>
      <c r="AD2326" s="1451"/>
      <c r="AM2326" s="1451"/>
      <c r="AV2326" s="1451"/>
      <c r="BE2326" s="1451"/>
      <c r="BN2326" s="1451"/>
      <c r="BV2326" s="1451"/>
      <c r="BW2326" s="1451"/>
      <c r="CF2326" s="1451"/>
      <c r="CN2326" s="1451"/>
      <c r="CO2326" s="1530"/>
      <c r="CP2326" s="1530"/>
      <c r="CQ2326" s="1530"/>
      <c r="CR2326" s="1530"/>
      <c r="CS2326" s="1530"/>
      <c r="CT2326" s="1530"/>
      <c r="CU2326" s="1530"/>
      <c r="CV2326" s="1530"/>
      <c r="CW2326" s="1530"/>
      <c r="CX2326" s="1530"/>
      <c r="CY2326" s="1530"/>
      <c r="CZ2326" s="1530"/>
      <c r="DA2326" s="1530"/>
      <c r="DB2326" s="1530"/>
      <c r="DC2326" s="1530"/>
      <c r="DD2326" s="1530"/>
      <c r="DE2326" s="1530"/>
      <c r="DF2326" s="1530"/>
      <c r="DG2326" s="1530"/>
      <c r="DH2326" s="1530"/>
      <c r="DI2326" s="1530"/>
      <c r="DJ2326" s="1530"/>
      <c r="DK2326" s="1530"/>
      <c r="DL2326" s="1530"/>
      <c r="DM2326" s="1530"/>
      <c r="DN2326" s="1571"/>
      <c r="DO2326" s="1530"/>
      <c r="DP2326" s="1530"/>
    </row>
    <row r="2327" spans="1:120">
      <c r="A2327" s="1451"/>
      <c r="C2327" s="1451"/>
      <c r="K2327" s="1451"/>
      <c r="L2327" s="1451"/>
      <c r="U2327" s="1451"/>
      <c r="AD2327" s="1451"/>
      <c r="AM2327" s="1451"/>
      <c r="AV2327" s="1451"/>
      <c r="BE2327" s="1451"/>
      <c r="BN2327" s="1451"/>
      <c r="BV2327" s="1451"/>
      <c r="BW2327" s="1451"/>
      <c r="CF2327" s="1451"/>
      <c r="CN2327" s="1451"/>
      <c r="CO2327" s="1530"/>
      <c r="CP2327" s="1530"/>
      <c r="CQ2327" s="1530"/>
      <c r="CR2327" s="1530"/>
      <c r="CS2327" s="1530"/>
      <c r="CT2327" s="1530"/>
      <c r="CU2327" s="1530"/>
      <c r="CV2327" s="1530"/>
      <c r="CW2327" s="1530"/>
      <c r="CX2327" s="1530"/>
      <c r="CY2327" s="1530"/>
      <c r="CZ2327" s="1530"/>
      <c r="DA2327" s="1530"/>
      <c r="DB2327" s="1530"/>
      <c r="DC2327" s="1530"/>
      <c r="DD2327" s="1530"/>
      <c r="DE2327" s="1530"/>
      <c r="DF2327" s="1530"/>
      <c r="DG2327" s="1530"/>
      <c r="DH2327" s="1530"/>
      <c r="DI2327" s="1530"/>
      <c r="DJ2327" s="1530"/>
      <c r="DK2327" s="1530"/>
      <c r="DL2327" s="1530"/>
      <c r="DM2327" s="1530"/>
      <c r="DN2327" s="1571"/>
      <c r="DO2327" s="1530"/>
      <c r="DP2327" s="1530"/>
    </row>
    <row r="2328" spans="1:120">
      <c r="A2328" s="1451"/>
      <c r="C2328" s="1451"/>
      <c r="K2328" s="1451"/>
      <c r="L2328" s="1451"/>
      <c r="U2328" s="1451"/>
      <c r="AD2328" s="1451"/>
      <c r="AM2328" s="1451"/>
      <c r="AV2328" s="1451"/>
      <c r="BE2328" s="1451"/>
      <c r="BN2328" s="1451"/>
      <c r="BV2328" s="1451"/>
      <c r="BW2328" s="1451"/>
      <c r="CF2328" s="1451"/>
      <c r="CN2328" s="1451"/>
      <c r="CO2328" s="1530"/>
      <c r="CP2328" s="1530"/>
      <c r="CQ2328" s="1530"/>
      <c r="CR2328" s="1530"/>
      <c r="CS2328" s="1530"/>
      <c r="CT2328" s="1530"/>
      <c r="CU2328" s="1530"/>
      <c r="CV2328" s="1530"/>
      <c r="CW2328" s="1530"/>
      <c r="CX2328" s="1530"/>
      <c r="CY2328" s="1530"/>
      <c r="CZ2328" s="1530"/>
      <c r="DA2328" s="1530"/>
      <c r="DB2328" s="1530"/>
      <c r="DC2328" s="1530"/>
      <c r="DD2328" s="1530"/>
      <c r="DE2328" s="1530"/>
      <c r="DF2328" s="1530"/>
      <c r="DG2328" s="1530"/>
      <c r="DH2328" s="1530"/>
      <c r="DI2328" s="1530"/>
      <c r="DJ2328" s="1530"/>
      <c r="DK2328" s="1530"/>
      <c r="DL2328" s="1530"/>
      <c r="DM2328" s="1530"/>
      <c r="DN2328" s="1571"/>
      <c r="DO2328" s="1530"/>
      <c r="DP2328" s="1530"/>
    </row>
    <row r="2329" spans="1:120">
      <c r="A2329" s="1451"/>
      <c r="C2329" s="1451"/>
      <c r="K2329" s="1451"/>
      <c r="L2329" s="1451"/>
      <c r="U2329" s="1451"/>
      <c r="AD2329" s="1451"/>
      <c r="AM2329" s="1451"/>
      <c r="AV2329" s="1451"/>
      <c r="BE2329" s="1451"/>
      <c r="BN2329" s="1451"/>
      <c r="BV2329" s="1451"/>
      <c r="BW2329" s="1451"/>
      <c r="CF2329" s="1451"/>
      <c r="CN2329" s="1451"/>
      <c r="CO2329" s="1530"/>
      <c r="CP2329" s="1530"/>
      <c r="CQ2329" s="1530"/>
      <c r="CR2329" s="1530"/>
      <c r="CS2329" s="1530"/>
      <c r="CT2329" s="1530"/>
      <c r="CU2329" s="1530"/>
      <c r="CV2329" s="1530"/>
      <c r="CW2329" s="1530"/>
      <c r="CX2329" s="1530"/>
      <c r="CY2329" s="1530"/>
      <c r="CZ2329" s="1530"/>
      <c r="DA2329" s="1530"/>
      <c r="DB2329" s="1530"/>
      <c r="DC2329" s="1530"/>
      <c r="DD2329" s="1530"/>
      <c r="DE2329" s="1530"/>
      <c r="DF2329" s="1530"/>
      <c r="DG2329" s="1530"/>
      <c r="DH2329" s="1530"/>
      <c r="DI2329" s="1530"/>
      <c r="DJ2329" s="1530"/>
      <c r="DK2329" s="1530"/>
      <c r="DL2329" s="1530"/>
      <c r="DM2329" s="1530"/>
      <c r="DN2329" s="1571"/>
      <c r="DO2329" s="1530"/>
      <c r="DP2329" s="1530"/>
    </row>
    <row r="2330" spans="1:120">
      <c r="A2330" s="1451"/>
      <c r="C2330" s="1451"/>
      <c r="K2330" s="1451"/>
      <c r="L2330" s="1451"/>
      <c r="U2330" s="1451"/>
      <c r="AD2330" s="1451"/>
      <c r="AM2330" s="1451"/>
      <c r="AV2330" s="1451"/>
      <c r="BE2330" s="1451"/>
      <c r="BN2330" s="1451"/>
      <c r="BV2330" s="1451"/>
      <c r="BW2330" s="1451"/>
      <c r="CF2330" s="1451"/>
      <c r="CN2330" s="1451"/>
      <c r="CO2330" s="1530"/>
      <c r="CP2330" s="1530"/>
      <c r="CQ2330" s="1530"/>
      <c r="CR2330" s="1530"/>
      <c r="CS2330" s="1530"/>
      <c r="CT2330" s="1530"/>
      <c r="CU2330" s="1530"/>
      <c r="CV2330" s="1530"/>
      <c r="CW2330" s="1530"/>
      <c r="CX2330" s="1530"/>
      <c r="CY2330" s="1530"/>
      <c r="CZ2330" s="1530"/>
      <c r="DA2330" s="1530"/>
      <c r="DB2330" s="1530"/>
      <c r="DC2330" s="1530"/>
      <c r="DD2330" s="1530"/>
      <c r="DE2330" s="1530"/>
      <c r="DF2330" s="1530"/>
      <c r="DG2330" s="1530"/>
      <c r="DH2330" s="1530"/>
      <c r="DI2330" s="1530"/>
      <c r="DJ2330" s="1530"/>
      <c r="DK2330" s="1530"/>
      <c r="DL2330" s="1530"/>
      <c r="DM2330" s="1530"/>
      <c r="DN2330" s="1571"/>
      <c r="DO2330" s="1530"/>
      <c r="DP2330" s="1530"/>
    </row>
    <row r="2331" spans="1:120">
      <c r="A2331" s="1451"/>
      <c r="C2331" s="1451"/>
      <c r="K2331" s="1451"/>
      <c r="L2331" s="1451"/>
      <c r="U2331" s="1451"/>
      <c r="AD2331" s="1451"/>
      <c r="AM2331" s="1451"/>
      <c r="AV2331" s="1451"/>
      <c r="BE2331" s="1451"/>
      <c r="BN2331" s="1451"/>
      <c r="BV2331" s="1451"/>
      <c r="BW2331" s="1451"/>
      <c r="CF2331" s="1451"/>
      <c r="CN2331" s="1451"/>
      <c r="CO2331" s="1530"/>
      <c r="CP2331" s="1530"/>
      <c r="CQ2331" s="1530"/>
      <c r="CR2331" s="1530"/>
      <c r="CS2331" s="1530"/>
      <c r="CT2331" s="1530"/>
      <c r="CU2331" s="1530"/>
      <c r="CV2331" s="1530"/>
      <c r="CW2331" s="1530"/>
      <c r="CX2331" s="1530"/>
      <c r="CY2331" s="1530"/>
      <c r="CZ2331" s="1530"/>
      <c r="DA2331" s="1530"/>
      <c r="DB2331" s="1530"/>
      <c r="DC2331" s="1530"/>
      <c r="DD2331" s="1530"/>
      <c r="DE2331" s="1530"/>
      <c r="DF2331" s="1530"/>
      <c r="DG2331" s="1530"/>
      <c r="DH2331" s="1530"/>
      <c r="DI2331" s="1530"/>
      <c r="DJ2331" s="1530"/>
      <c r="DK2331" s="1530"/>
      <c r="DL2331" s="1530"/>
      <c r="DM2331" s="1530"/>
      <c r="DN2331" s="1571"/>
      <c r="DO2331" s="1530"/>
      <c r="DP2331" s="1530"/>
    </row>
    <row r="2332" spans="1:120">
      <c r="A2332" s="1451"/>
      <c r="C2332" s="1451"/>
      <c r="K2332" s="1451"/>
      <c r="L2332" s="1451"/>
      <c r="U2332" s="1451"/>
      <c r="AD2332" s="1451"/>
      <c r="AM2332" s="1451"/>
      <c r="AV2332" s="1451"/>
      <c r="BE2332" s="1451"/>
      <c r="BN2332" s="1451"/>
      <c r="BV2332" s="1451"/>
      <c r="BW2332" s="1451"/>
      <c r="CF2332" s="1451"/>
      <c r="CN2332" s="1451"/>
      <c r="CO2332" s="1530"/>
      <c r="CP2332" s="1530"/>
      <c r="CQ2332" s="1530"/>
      <c r="CR2332" s="1530"/>
      <c r="CS2332" s="1530"/>
      <c r="CT2332" s="1530"/>
      <c r="CU2332" s="1530"/>
      <c r="CV2332" s="1530"/>
      <c r="CW2332" s="1530"/>
      <c r="CX2332" s="1530"/>
      <c r="CY2332" s="1530"/>
      <c r="CZ2332" s="1530"/>
      <c r="DA2332" s="1530"/>
      <c r="DB2332" s="1530"/>
      <c r="DC2332" s="1530"/>
      <c r="DD2332" s="1530"/>
      <c r="DE2332" s="1530"/>
      <c r="DF2332" s="1530"/>
      <c r="DG2332" s="1530"/>
      <c r="DH2332" s="1530"/>
      <c r="DI2332" s="1530"/>
      <c r="DJ2332" s="1530"/>
      <c r="DK2332" s="1530"/>
      <c r="DL2332" s="1530"/>
      <c r="DM2332" s="1530"/>
      <c r="DN2332" s="1571"/>
      <c r="DO2332" s="1530"/>
      <c r="DP2332" s="1530"/>
    </row>
    <row r="2333" spans="1:120">
      <c r="A2333" s="1451"/>
      <c r="C2333" s="1451"/>
      <c r="K2333" s="1451"/>
      <c r="L2333" s="1451"/>
      <c r="U2333" s="1451"/>
      <c r="AD2333" s="1451"/>
      <c r="AM2333" s="1451"/>
      <c r="AV2333" s="1451"/>
      <c r="BE2333" s="1451"/>
      <c r="BN2333" s="1451"/>
      <c r="BV2333" s="1451"/>
      <c r="BW2333" s="1451"/>
      <c r="CF2333" s="1451"/>
      <c r="CN2333" s="1451"/>
      <c r="CO2333" s="1530"/>
      <c r="CP2333" s="1530"/>
      <c r="CQ2333" s="1530"/>
      <c r="CR2333" s="1530"/>
      <c r="CS2333" s="1530"/>
      <c r="CT2333" s="1530"/>
      <c r="CU2333" s="1530"/>
      <c r="CV2333" s="1530"/>
      <c r="CW2333" s="1530"/>
      <c r="CX2333" s="1530"/>
      <c r="CY2333" s="1530"/>
      <c r="CZ2333" s="1530"/>
      <c r="DA2333" s="1530"/>
      <c r="DB2333" s="1530"/>
      <c r="DC2333" s="1530"/>
      <c r="DD2333" s="1530"/>
      <c r="DE2333" s="1530"/>
      <c r="DF2333" s="1530"/>
      <c r="DG2333" s="1530"/>
      <c r="DH2333" s="1530"/>
      <c r="DI2333" s="1530"/>
      <c r="DJ2333" s="1530"/>
      <c r="DK2333" s="1530"/>
      <c r="DL2333" s="1530"/>
      <c r="DM2333" s="1530"/>
      <c r="DN2333" s="1571"/>
      <c r="DO2333" s="1530"/>
      <c r="DP2333" s="1530"/>
    </row>
    <row r="2334" spans="1:120">
      <c r="A2334" s="1451"/>
      <c r="C2334" s="1451"/>
      <c r="K2334" s="1451"/>
      <c r="L2334" s="1451"/>
      <c r="U2334" s="1451"/>
      <c r="AD2334" s="1451"/>
      <c r="AM2334" s="1451"/>
      <c r="AV2334" s="1451"/>
      <c r="BE2334" s="1451"/>
      <c r="BN2334" s="1451"/>
      <c r="BV2334" s="1451"/>
      <c r="BW2334" s="1451"/>
      <c r="CF2334" s="1451"/>
      <c r="CN2334" s="1451"/>
      <c r="CO2334" s="1530"/>
      <c r="CP2334" s="1530"/>
      <c r="CQ2334" s="1530"/>
      <c r="CR2334" s="1530"/>
      <c r="CS2334" s="1530"/>
      <c r="CT2334" s="1530"/>
      <c r="CU2334" s="1530"/>
      <c r="CV2334" s="1530"/>
      <c r="CW2334" s="1530"/>
      <c r="CX2334" s="1530"/>
      <c r="CY2334" s="1530"/>
      <c r="CZ2334" s="1530"/>
      <c r="DA2334" s="1530"/>
      <c r="DB2334" s="1530"/>
      <c r="DC2334" s="1530"/>
      <c r="DD2334" s="1530"/>
      <c r="DE2334" s="1530"/>
      <c r="DF2334" s="1530"/>
      <c r="DG2334" s="1530"/>
      <c r="DH2334" s="1530"/>
      <c r="DI2334" s="1530"/>
      <c r="DJ2334" s="1530"/>
      <c r="DK2334" s="1530"/>
      <c r="DL2334" s="1530"/>
      <c r="DM2334" s="1530"/>
      <c r="DN2334" s="1571"/>
      <c r="DO2334" s="1530"/>
      <c r="DP2334" s="1530"/>
    </row>
    <row r="2335" spans="1:120">
      <c r="A2335" s="1451"/>
      <c r="C2335" s="1451"/>
      <c r="K2335" s="1451"/>
      <c r="L2335" s="1451"/>
      <c r="U2335" s="1451"/>
      <c r="AD2335" s="1451"/>
      <c r="AM2335" s="1451"/>
      <c r="AV2335" s="1451"/>
      <c r="BE2335" s="1451"/>
      <c r="BN2335" s="1451"/>
      <c r="BV2335" s="1451"/>
      <c r="BW2335" s="1451"/>
      <c r="CF2335" s="1451"/>
      <c r="CN2335" s="1451"/>
      <c r="CO2335" s="1530"/>
      <c r="CP2335" s="1530"/>
      <c r="CQ2335" s="1530"/>
      <c r="CR2335" s="1530"/>
      <c r="CS2335" s="1530"/>
      <c r="CT2335" s="1530"/>
      <c r="CU2335" s="1530"/>
      <c r="CV2335" s="1530"/>
      <c r="CW2335" s="1530"/>
      <c r="CX2335" s="1530"/>
      <c r="CY2335" s="1530"/>
      <c r="CZ2335" s="1530"/>
      <c r="DA2335" s="1530"/>
      <c r="DB2335" s="1530"/>
      <c r="DC2335" s="1530"/>
      <c r="DD2335" s="1530"/>
      <c r="DE2335" s="1530"/>
      <c r="DF2335" s="1530"/>
      <c r="DG2335" s="1530"/>
      <c r="DH2335" s="1530"/>
      <c r="DI2335" s="1530"/>
      <c r="DJ2335" s="1530"/>
      <c r="DK2335" s="1530"/>
      <c r="DL2335" s="1530"/>
      <c r="DM2335" s="1530"/>
      <c r="DN2335" s="1571"/>
      <c r="DO2335" s="1530"/>
      <c r="DP2335" s="1530"/>
    </row>
    <row r="2336" spans="1:120">
      <c r="A2336" s="1451"/>
      <c r="C2336" s="1451"/>
      <c r="K2336" s="1451"/>
      <c r="L2336" s="1451"/>
      <c r="U2336" s="1451"/>
      <c r="AD2336" s="1451"/>
      <c r="AM2336" s="1451"/>
      <c r="AV2336" s="1451"/>
      <c r="BE2336" s="1451"/>
      <c r="BN2336" s="1451"/>
      <c r="BV2336" s="1451"/>
      <c r="BW2336" s="1451"/>
      <c r="CF2336" s="1451"/>
      <c r="CN2336" s="1451"/>
      <c r="CO2336" s="1530"/>
      <c r="CP2336" s="1530"/>
      <c r="CQ2336" s="1530"/>
      <c r="CR2336" s="1530"/>
      <c r="CS2336" s="1530"/>
      <c r="CT2336" s="1530"/>
      <c r="CU2336" s="1530"/>
      <c r="CV2336" s="1530"/>
      <c r="CW2336" s="1530"/>
      <c r="CX2336" s="1530"/>
      <c r="CY2336" s="1530"/>
      <c r="CZ2336" s="1530"/>
      <c r="DA2336" s="1530"/>
      <c r="DB2336" s="1530"/>
      <c r="DC2336" s="1530"/>
      <c r="DD2336" s="1530"/>
      <c r="DE2336" s="1530"/>
      <c r="DF2336" s="1530"/>
      <c r="DG2336" s="1530"/>
      <c r="DH2336" s="1530"/>
      <c r="DI2336" s="1530"/>
      <c r="DJ2336" s="1530"/>
      <c r="DK2336" s="1530"/>
      <c r="DL2336" s="1530"/>
      <c r="DM2336" s="1530"/>
      <c r="DN2336" s="1571"/>
      <c r="DO2336" s="1530"/>
      <c r="DP2336" s="1530"/>
    </row>
    <row r="2337" spans="1:120">
      <c r="A2337" s="1451"/>
      <c r="C2337" s="1451"/>
      <c r="K2337" s="1451"/>
      <c r="L2337" s="1451"/>
      <c r="U2337" s="1451"/>
      <c r="AD2337" s="1451"/>
      <c r="AM2337" s="1451"/>
      <c r="AV2337" s="1451"/>
      <c r="BE2337" s="1451"/>
      <c r="BN2337" s="1451"/>
      <c r="BV2337" s="1451"/>
      <c r="BW2337" s="1451"/>
      <c r="CF2337" s="1451"/>
      <c r="CN2337" s="1451"/>
      <c r="CO2337" s="1530"/>
      <c r="CP2337" s="1530"/>
      <c r="CQ2337" s="1530"/>
      <c r="CR2337" s="1530"/>
      <c r="CS2337" s="1530"/>
      <c r="CT2337" s="1530"/>
      <c r="CU2337" s="1530"/>
      <c r="CV2337" s="1530"/>
      <c r="CW2337" s="1530"/>
      <c r="CX2337" s="1530"/>
      <c r="CY2337" s="1530"/>
      <c r="CZ2337" s="1530"/>
      <c r="DA2337" s="1530"/>
      <c r="DB2337" s="1530"/>
      <c r="DC2337" s="1530"/>
      <c r="DD2337" s="1530"/>
      <c r="DE2337" s="1530"/>
      <c r="DF2337" s="1530"/>
      <c r="DG2337" s="1530"/>
      <c r="DH2337" s="1530"/>
      <c r="DI2337" s="1530"/>
      <c r="DJ2337" s="1530"/>
      <c r="DK2337" s="1530"/>
      <c r="DL2337" s="1530"/>
      <c r="DM2337" s="1530"/>
      <c r="DN2337" s="1571"/>
      <c r="DO2337" s="1530"/>
      <c r="DP2337" s="1530"/>
    </row>
    <row r="2338" spans="1:120">
      <c r="A2338" s="1451"/>
      <c r="C2338" s="1451"/>
      <c r="K2338" s="1451"/>
      <c r="L2338" s="1451"/>
      <c r="U2338" s="1451"/>
      <c r="AD2338" s="1451"/>
      <c r="AM2338" s="1451"/>
      <c r="AV2338" s="1451"/>
      <c r="BE2338" s="1451"/>
      <c r="BN2338" s="1451"/>
      <c r="BV2338" s="1451"/>
      <c r="BW2338" s="1451"/>
      <c r="CF2338" s="1451"/>
      <c r="CN2338" s="1451"/>
      <c r="CO2338" s="1530"/>
      <c r="CP2338" s="1530"/>
      <c r="CQ2338" s="1530"/>
      <c r="CR2338" s="1530"/>
      <c r="CS2338" s="1530"/>
      <c r="CT2338" s="1530"/>
      <c r="CU2338" s="1530"/>
      <c r="CV2338" s="1530"/>
      <c r="CW2338" s="1530"/>
      <c r="CX2338" s="1530"/>
      <c r="CY2338" s="1530"/>
      <c r="CZ2338" s="1530"/>
      <c r="DA2338" s="1530"/>
      <c r="DB2338" s="1530"/>
      <c r="DC2338" s="1530"/>
      <c r="DD2338" s="1530"/>
      <c r="DE2338" s="1530"/>
      <c r="DF2338" s="1530"/>
      <c r="DG2338" s="1530"/>
      <c r="DH2338" s="1530"/>
      <c r="DI2338" s="1530"/>
      <c r="DJ2338" s="1530"/>
      <c r="DK2338" s="1530"/>
      <c r="DL2338" s="1530"/>
      <c r="DM2338" s="1530"/>
      <c r="DN2338" s="1571"/>
      <c r="DO2338" s="1530"/>
      <c r="DP2338" s="1530"/>
    </row>
    <row r="2339" spans="1:120">
      <c r="A2339" s="1451"/>
      <c r="C2339" s="1451"/>
      <c r="K2339" s="1451"/>
      <c r="L2339" s="1451"/>
      <c r="U2339" s="1451"/>
      <c r="AD2339" s="1451"/>
      <c r="AM2339" s="1451"/>
      <c r="AV2339" s="1451"/>
      <c r="BE2339" s="1451"/>
      <c r="BN2339" s="1451"/>
      <c r="BV2339" s="1451"/>
      <c r="BW2339" s="1451"/>
      <c r="CF2339" s="1451"/>
      <c r="CN2339" s="1451"/>
      <c r="CO2339" s="1530"/>
      <c r="CP2339" s="1530"/>
      <c r="CQ2339" s="1530"/>
      <c r="CR2339" s="1530"/>
      <c r="CS2339" s="1530"/>
      <c r="CT2339" s="1530"/>
      <c r="CU2339" s="1530"/>
      <c r="CV2339" s="1530"/>
      <c r="CW2339" s="1530"/>
      <c r="CX2339" s="1530"/>
      <c r="CY2339" s="1530"/>
      <c r="CZ2339" s="1530"/>
      <c r="DA2339" s="1530"/>
      <c r="DB2339" s="1530"/>
      <c r="DC2339" s="1530"/>
      <c r="DD2339" s="1530"/>
      <c r="DE2339" s="1530"/>
      <c r="DF2339" s="1530"/>
      <c r="DG2339" s="1530"/>
      <c r="DH2339" s="1530"/>
      <c r="DI2339" s="1530"/>
      <c r="DJ2339" s="1530"/>
      <c r="DK2339" s="1530"/>
      <c r="DL2339" s="1530"/>
      <c r="DM2339" s="1530"/>
      <c r="DN2339" s="1571"/>
      <c r="DO2339" s="1530"/>
      <c r="DP2339" s="1530"/>
    </row>
    <row r="2340" spans="1:120">
      <c r="A2340" s="1451"/>
      <c r="C2340" s="1451"/>
      <c r="K2340" s="1451"/>
      <c r="L2340" s="1451"/>
      <c r="U2340" s="1451"/>
      <c r="AD2340" s="1451"/>
      <c r="AM2340" s="1451"/>
      <c r="AV2340" s="1451"/>
      <c r="BE2340" s="1451"/>
      <c r="BN2340" s="1451"/>
      <c r="BV2340" s="1451"/>
      <c r="BW2340" s="1451"/>
      <c r="CF2340" s="1451"/>
      <c r="CN2340" s="1451"/>
      <c r="CO2340" s="1530"/>
      <c r="CP2340" s="1530"/>
      <c r="CQ2340" s="1530"/>
      <c r="CR2340" s="1530"/>
      <c r="CS2340" s="1530"/>
      <c r="CT2340" s="1530"/>
      <c r="CU2340" s="1530"/>
      <c r="CV2340" s="1530"/>
      <c r="CW2340" s="1530"/>
      <c r="CX2340" s="1530"/>
      <c r="CY2340" s="1530"/>
      <c r="CZ2340" s="1530"/>
      <c r="DA2340" s="1530"/>
      <c r="DB2340" s="1530"/>
      <c r="DC2340" s="1530"/>
      <c r="DD2340" s="1530"/>
      <c r="DE2340" s="1530"/>
      <c r="DF2340" s="1530"/>
      <c r="DG2340" s="1530"/>
      <c r="DH2340" s="1530"/>
      <c r="DI2340" s="1530"/>
      <c r="DJ2340" s="1530"/>
      <c r="DK2340" s="1530"/>
      <c r="DL2340" s="1530"/>
      <c r="DM2340" s="1530"/>
      <c r="DN2340" s="1571"/>
      <c r="DO2340" s="1530"/>
      <c r="DP2340" s="1530"/>
    </row>
  </sheetData>
  <mergeCells count="39">
    <mergeCell ref="CY1:DG1"/>
    <mergeCell ref="AW1:BE1"/>
    <mergeCell ref="D1:L1"/>
    <mergeCell ref="M1:U1"/>
    <mergeCell ref="V1:AD1"/>
    <mergeCell ref="AE1:AM1"/>
    <mergeCell ref="AN1:AV1"/>
    <mergeCell ref="CY3:DG3"/>
    <mergeCell ref="DH1:DP1"/>
    <mergeCell ref="D2:L2"/>
    <mergeCell ref="M2:U2"/>
    <mergeCell ref="V2:AD2"/>
    <mergeCell ref="AE2:AM2"/>
    <mergeCell ref="AN2:AV2"/>
    <mergeCell ref="AW2:BE2"/>
    <mergeCell ref="BF2:BN2"/>
    <mergeCell ref="BO2:BW2"/>
    <mergeCell ref="BX2:CF2"/>
    <mergeCell ref="BF1:BN1"/>
    <mergeCell ref="BO1:BW1"/>
    <mergeCell ref="BX1:CF1"/>
    <mergeCell ref="CG1:CO1"/>
    <mergeCell ref="CP1:CX1"/>
    <mergeCell ref="CG2:CO2"/>
    <mergeCell ref="CP2:CX2"/>
    <mergeCell ref="CY2:DG2"/>
    <mergeCell ref="DH2:DP2"/>
    <mergeCell ref="D3:L3"/>
    <mergeCell ref="M3:U3"/>
    <mergeCell ref="V3:AD3"/>
    <mergeCell ref="AE3:AM3"/>
    <mergeCell ref="AN3:AV3"/>
    <mergeCell ref="AW3:BE3"/>
    <mergeCell ref="DH3:DP3"/>
    <mergeCell ref="BF3:BN3"/>
    <mergeCell ref="BO3:BW3"/>
    <mergeCell ref="BX3:CF3"/>
    <mergeCell ref="CG3:CO3"/>
    <mergeCell ref="CP3:CX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460"/>
  <sheetViews>
    <sheetView topLeftCell="A145" zoomScale="80" zoomScaleNormal="80" workbookViewId="0">
      <selection activeCell="H22" sqref="H22"/>
    </sheetView>
  </sheetViews>
  <sheetFormatPr defaultColWidth="9.140625" defaultRowHeight="21"/>
  <cols>
    <col min="1" max="1" width="6.7109375" style="215" customWidth="1"/>
    <col min="2" max="2" width="9.28515625" style="215" customWidth="1"/>
    <col min="3" max="3" width="17.5703125" style="448" customWidth="1"/>
    <col min="4" max="7" width="7.85546875" style="215" customWidth="1"/>
    <col min="8" max="8" width="16.28515625" style="214" customWidth="1"/>
    <col min="9" max="13" width="8.140625" style="214" customWidth="1"/>
    <col min="14" max="19" width="4.42578125" style="214" customWidth="1"/>
    <col min="20" max="20" width="12.140625" style="214" bestFit="1" customWidth="1"/>
    <col min="21" max="21" width="14.42578125" style="214" bestFit="1" customWidth="1"/>
    <col min="22" max="22" width="15.85546875" style="214" customWidth="1"/>
    <col min="23" max="23" width="11.42578125" style="214" bestFit="1" customWidth="1"/>
    <col min="24" max="24" width="15.42578125" style="215" bestFit="1" customWidth="1"/>
    <col min="25" max="25" width="11.42578125" style="215" bestFit="1" customWidth="1"/>
    <col min="26" max="34" width="10.5703125" style="215" customWidth="1"/>
    <col min="35" max="35" width="11" style="215" bestFit="1" customWidth="1"/>
    <col min="36" max="37" width="9.140625" style="215"/>
    <col min="38" max="38" width="24.140625" style="215" customWidth="1"/>
    <col min="39" max="16384" width="9.140625" style="215"/>
  </cols>
  <sheetData>
    <row r="1" spans="1:38" ht="26.25" customHeight="1">
      <c r="A1" s="1786" t="s">
        <v>909</v>
      </c>
      <c r="B1" s="1786"/>
      <c r="C1" s="1786"/>
      <c r="D1" s="1786"/>
      <c r="E1" s="1786"/>
      <c r="F1" s="1786"/>
      <c r="G1" s="1786"/>
      <c r="H1" s="1786"/>
      <c r="I1" s="1786"/>
      <c r="J1" s="1786"/>
      <c r="K1" s="1786"/>
      <c r="L1" s="1786"/>
      <c r="M1" s="1786"/>
      <c r="N1" s="1786"/>
      <c r="O1" s="1786"/>
      <c r="P1" s="1786"/>
      <c r="Q1" s="1786"/>
      <c r="R1" s="1786"/>
      <c r="S1" s="1786"/>
      <c r="T1" s="1786"/>
      <c r="U1" s="1786"/>
      <c r="V1" s="1786"/>
    </row>
    <row r="2" spans="1:38" ht="16.5" customHeight="1">
      <c r="A2" s="751"/>
    </row>
    <row r="3" spans="1:38" ht="16.5" customHeight="1">
      <c r="A3" s="211" t="s">
        <v>77</v>
      </c>
      <c r="B3" s="211" t="s">
        <v>78</v>
      </c>
      <c r="C3" s="211" t="s">
        <v>79</v>
      </c>
      <c r="D3" s="211" t="s">
        <v>80</v>
      </c>
      <c r="E3" s="211" t="s">
        <v>81</v>
      </c>
      <c r="F3" s="211" t="s">
        <v>82</v>
      </c>
      <c r="G3" s="211" t="s">
        <v>83</v>
      </c>
      <c r="H3" s="1787" t="s">
        <v>76</v>
      </c>
      <c r="I3" s="1788"/>
      <c r="J3" s="1788"/>
      <c r="K3" s="1788"/>
      <c r="L3" s="1788"/>
      <c r="M3" s="1788"/>
      <c r="N3" s="1788"/>
      <c r="O3" s="1788"/>
      <c r="P3" s="1788"/>
      <c r="Q3" s="1788"/>
      <c r="R3" s="1788"/>
      <c r="S3" s="1789"/>
      <c r="T3" s="212" t="s">
        <v>25</v>
      </c>
      <c r="U3" s="212" t="s">
        <v>25</v>
      </c>
      <c r="V3" s="212" t="s">
        <v>84</v>
      </c>
    </row>
    <row r="4" spans="1:38" ht="16.5" customHeight="1">
      <c r="A4" s="216"/>
      <c r="B4" s="216"/>
      <c r="C4" s="217"/>
      <c r="D4" s="216"/>
      <c r="E4" s="216" t="s">
        <v>85</v>
      </c>
      <c r="F4" s="216" t="s">
        <v>86</v>
      </c>
      <c r="G4" s="216" t="s">
        <v>87</v>
      </c>
      <c r="H4" s="59" t="s">
        <v>897</v>
      </c>
      <c r="I4" s="59" t="s">
        <v>898</v>
      </c>
      <c r="J4" s="59" t="s">
        <v>899</v>
      </c>
      <c r="K4" s="59" t="s">
        <v>900</v>
      </c>
      <c r="L4" s="59" t="s">
        <v>901</v>
      </c>
      <c r="M4" s="59" t="s">
        <v>902</v>
      </c>
      <c r="N4" s="59" t="s">
        <v>903</v>
      </c>
      <c r="O4" s="59" t="s">
        <v>904</v>
      </c>
      <c r="P4" s="59" t="s">
        <v>905</v>
      </c>
      <c r="Q4" s="59" t="s">
        <v>906</v>
      </c>
      <c r="R4" s="59" t="s">
        <v>907</v>
      </c>
      <c r="S4" s="59" t="s">
        <v>908</v>
      </c>
      <c r="T4" s="218" t="s">
        <v>337</v>
      </c>
      <c r="U4" s="218" t="s">
        <v>338</v>
      </c>
      <c r="V4" s="218"/>
      <c r="W4" s="214" t="s">
        <v>29</v>
      </c>
      <c r="X4" s="215" t="s">
        <v>30</v>
      </c>
      <c r="Y4" s="215" t="s">
        <v>31</v>
      </c>
      <c r="Z4" s="215" t="s">
        <v>32</v>
      </c>
      <c r="AA4" s="215" t="s">
        <v>33</v>
      </c>
      <c r="AB4" s="215" t="s">
        <v>34</v>
      </c>
      <c r="AC4" s="215" t="s">
        <v>35</v>
      </c>
      <c r="AD4" s="215" t="s">
        <v>36</v>
      </c>
      <c r="AE4" s="215" t="s">
        <v>37</v>
      </c>
      <c r="AF4" s="215" t="s">
        <v>38</v>
      </c>
      <c r="AG4" s="215" t="s">
        <v>39</v>
      </c>
      <c r="AH4" s="215" t="s">
        <v>40</v>
      </c>
      <c r="AI4" s="215" t="s">
        <v>25</v>
      </c>
      <c r="AJ4" s="219" t="s">
        <v>158</v>
      </c>
      <c r="AL4" s="215" t="s">
        <v>339</v>
      </c>
    </row>
    <row r="5" spans="1:38">
      <c r="A5" s="222">
        <v>1</v>
      </c>
      <c r="B5" s="220" t="s">
        <v>88</v>
      </c>
      <c r="C5" s="221" t="s">
        <v>89</v>
      </c>
      <c r="D5" s="222" t="s">
        <v>90</v>
      </c>
      <c r="E5" s="223">
        <v>3.6</v>
      </c>
      <c r="F5" s="222"/>
      <c r="G5" s="224">
        <v>2.7124999999999999</v>
      </c>
      <c r="H5" s="752"/>
      <c r="I5" s="753"/>
      <c r="J5" s="752"/>
      <c r="K5" s="752"/>
      <c r="L5" s="752"/>
      <c r="M5" s="754"/>
      <c r="N5" s="752"/>
      <c r="O5" s="752"/>
      <c r="P5" s="752"/>
      <c r="Q5" s="752"/>
      <c r="R5" s="752"/>
      <c r="S5" s="752"/>
      <c r="T5" s="226">
        <f>SUM(H5:S5)</f>
        <v>0</v>
      </c>
      <c r="U5" s="226">
        <f>T5*E5</f>
        <v>0</v>
      </c>
      <c r="V5" s="226">
        <f>AI5</f>
        <v>0</v>
      </c>
      <c r="W5" s="227">
        <f>H5*'[2]Transfer Price2011'!HE$459</f>
        <v>0</v>
      </c>
      <c r="X5" s="227">
        <f>I5*'[2]Transfer Price2011'!$HE$459</f>
        <v>0</v>
      </c>
      <c r="Y5" s="227">
        <f>J5*'[2]Transfer Price2011'!$HE$459</f>
        <v>0</v>
      </c>
      <c r="Z5" s="227">
        <f>K5*'[2]Transfer Price2011'!$HE$459</f>
        <v>0</v>
      </c>
      <c r="AA5" s="227">
        <f>L5*'[2]Transfer Price2011'!$HE$459</f>
        <v>0</v>
      </c>
      <c r="AB5" s="227">
        <f>M5*'[2]Transfer Price2011'!$HE$459</f>
        <v>0</v>
      </c>
      <c r="AC5" s="227">
        <f>N5*'[2]Transfer Price2011'!$HE$459</f>
        <v>0</v>
      </c>
      <c r="AD5" s="227">
        <f>O5*'[2]Transfer Price2011'!$HE$459</f>
        <v>0</v>
      </c>
      <c r="AE5" s="227">
        <f>P5*'[2]Transfer Price2011'!$HE$459</f>
        <v>0</v>
      </c>
      <c r="AF5" s="227">
        <f>Q5*'[2]Transfer Price2011'!$HE$459</f>
        <v>0</v>
      </c>
      <c r="AG5" s="227">
        <f>R5*'[2]Transfer Price2011'!$HE$459</f>
        <v>0</v>
      </c>
      <c r="AH5" s="227">
        <f>S5*'[2]Transfer Price2011'!$HE$459</f>
        <v>0</v>
      </c>
      <c r="AI5" s="214">
        <f>SUM(W5:AH5)</f>
        <v>0</v>
      </c>
      <c r="AJ5" s="228" t="e">
        <f>AI5/U5*1000</f>
        <v>#DIV/0!</v>
      </c>
      <c r="AL5" s="755">
        <f>T5*12/9</f>
        <v>0</v>
      </c>
    </row>
    <row r="6" spans="1:38">
      <c r="A6" s="62"/>
      <c r="B6" s="62"/>
      <c r="C6" s="60" t="s">
        <v>91</v>
      </c>
      <c r="D6" s="62" t="s">
        <v>92</v>
      </c>
      <c r="E6" s="62">
        <v>3180</v>
      </c>
      <c r="F6" s="62"/>
      <c r="G6" s="230"/>
      <c r="H6" s="756"/>
      <c r="I6" s="757"/>
      <c r="J6" s="758"/>
      <c r="K6" s="756"/>
      <c r="L6" s="759"/>
      <c r="M6" s="760"/>
      <c r="N6" s="759"/>
      <c r="O6" s="759"/>
      <c r="P6" s="759"/>
      <c r="Q6" s="761"/>
      <c r="R6" s="759"/>
      <c r="S6" s="759"/>
      <c r="T6" s="225">
        <f>SUM(H6:S6)</f>
        <v>0</v>
      </c>
      <c r="U6" s="225">
        <f>T6*E6</f>
        <v>0</v>
      </c>
      <c r="V6" s="226">
        <f>AI6</f>
        <v>0</v>
      </c>
      <c r="W6" s="762">
        <f>H6*'[2]Transfer Price2011'!$HE$463</f>
        <v>0</v>
      </c>
      <c r="X6" s="762">
        <f>I6*'[2]Transfer Price2011'!$HE$463</f>
        <v>0</v>
      </c>
      <c r="Y6" s="762">
        <f>J6*'[2]Transfer Price2011'!$HE$463</f>
        <v>0</v>
      </c>
      <c r="Z6" s="762">
        <f>K6*'[2]Transfer Price2011'!$HE$463</f>
        <v>0</v>
      </c>
      <c r="AA6" s="762">
        <f>L6*'[2]Transfer Price2011'!$HE$463</f>
        <v>0</v>
      </c>
      <c r="AB6" s="762">
        <f>M6*'[2]Transfer Price2011'!$HE$463</f>
        <v>0</v>
      </c>
      <c r="AC6" s="762">
        <f>N6*'[2]Transfer Price2011'!$HE$463</f>
        <v>0</v>
      </c>
      <c r="AD6" s="762">
        <f>O6*'[2]Transfer Price2011'!$HE$463</f>
        <v>0</v>
      </c>
      <c r="AE6" s="762">
        <f>P6*'[2]Transfer Price2011'!$HE$463</f>
        <v>0</v>
      </c>
      <c r="AF6" s="762">
        <f>Q6*'[2]Transfer Price2011'!$HE$463</f>
        <v>0</v>
      </c>
      <c r="AG6" s="762">
        <f>R6*'[2]Transfer Price2011'!$HE$463</f>
        <v>0</v>
      </c>
      <c r="AH6" s="762">
        <f>S6*'[2]Transfer Price2011'!$HE$463</f>
        <v>0</v>
      </c>
      <c r="AI6" s="214">
        <f>SUM(W6:AH6)</f>
        <v>0</v>
      </c>
      <c r="AJ6" s="228" t="e">
        <f>AI6/U6*1000</f>
        <v>#DIV/0!</v>
      </c>
      <c r="AL6" s="755">
        <f t="shared" ref="AL6:AL20" si="0">T6*12/9</f>
        <v>0</v>
      </c>
    </row>
    <row r="7" spans="1:38">
      <c r="A7" s="62"/>
      <c r="B7" s="62"/>
      <c r="C7" s="60" t="s">
        <v>98</v>
      </c>
      <c r="D7" s="62" t="s">
        <v>92</v>
      </c>
      <c r="E7" s="62">
        <v>2803</v>
      </c>
      <c r="F7" s="62"/>
      <c r="G7" s="230">
        <v>1301.5833333333333</v>
      </c>
      <c r="H7" s="759"/>
      <c r="I7" s="763"/>
      <c r="J7" s="759"/>
      <c r="K7" s="759"/>
      <c r="L7" s="759"/>
      <c r="M7" s="760"/>
      <c r="N7" s="759"/>
      <c r="O7" s="759"/>
      <c r="P7" s="759"/>
      <c r="Q7" s="761"/>
      <c r="R7" s="759"/>
      <c r="S7" s="759"/>
      <c r="T7" s="225"/>
      <c r="U7" s="225"/>
      <c r="V7" s="226"/>
      <c r="W7" s="762"/>
      <c r="X7" s="762"/>
      <c r="Y7" s="762"/>
      <c r="Z7" s="762"/>
      <c r="AA7" s="762"/>
      <c r="AB7" s="762"/>
      <c r="AC7" s="762"/>
      <c r="AD7" s="762"/>
      <c r="AE7" s="762"/>
      <c r="AF7" s="762"/>
      <c r="AG7" s="762"/>
      <c r="AH7" s="762"/>
      <c r="AI7" s="214"/>
      <c r="AJ7" s="228"/>
      <c r="AL7" s="755"/>
    </row>
    <row r="8" spans="1:38">
      <c r="A8" s="62"/>
      <c r="B8" s="62"/>
      <c r="C8" s="60" t="s">
        <v>100</v>
      </c>
      <c r="D8" s="62" t="s">
        <v>92</v>
      </c>
      <c r="E8" s="62">
        <v>2778</v>
      </c>
      <c r="F8" s="62"/>
      <c r="G8" s="230"/>
      <c r="H8" s="759"/>
      <c r="I8" s="763"/>
      <c r="J8" s="759"/>
      <c r="K8" s="759"/>
      <c r="L8" s="759"/>
      <c r="M8" s="760"/>
      <c r="N8" s="759"/>
      <c r="O8" s="759"/>
      <c r="P8" s="759"/>
      <c r="Q8" s="761"/>
      <c r="R8" s="759"/>
      <c r="S8" s="759"/>
      <c r="T8" s="225"/>
      <c r="U8" s="225"/>
      <c r="V8" s="226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214"/>
      <c r="AJ8" s="228"/>
      <c r="AL8" s="755"/>
    </row>
    <row r="9" spans="1:38">
      <c r="A9" s="62"/>
      <c r="B9" s="62"/>
      <c r="C9" s="60" t="s">
        <v>856</v>
      </c>
      <c r="D9" s="62" t="s">
        <v>92</v>
      </c>
      <c r="E9" s="62">
        <v>2732</v>
      </c>
      <c r="F9" s="62"/>
      <c r="G9" s="230"/>
      <c r="H9" s="759"/>
      <c r="I9" s="763"/>
      <c r="J9" s="759"/>
      <c r="K9" s="759"/>
      <c r="L9" s="759"/>
      <c r="M9" s="760"/>
      <c r="N9" s="759"/>
      <c r="O9" s="759"/>
      <c r="P9" s="759"/>
      <c r="Q9" s="761"/>
      <c r="R9" s="759"/>
      <c r="S9" s="759"/>
      <c r="T9" s="225"/>
      <c r="U9" s="225"/>
      <c r="V9" s="226"/>
      <c r="W9" s="762"/>
      <c r="X9" s="762"/>
      <c r="Y9" s="762"/>
      <c r="Z9" s="762"/>
      <c r="AA9" s="762"/>
      <c r="AB9" s="762"/>
      <c r="AC9" s="762"/>
      <c r="AD9" s="762"/>
      <c r="AE9" s="762"/>
      <c r="AF9" s="762"/>
      <c r="AG9" s="762"/>
      <c r="AH9" s="762"/>
      <c r="AI9" s="214"/>
      <c r="AJ9" s="228"/>
      <c r="AL9" s="755"/>
    </row>
    <row r="10" spans="1:38">
      <c r="A10" s="62"/>
      <c r="B10" s="62"/>
      <c r="C10" s="60" t="s">
        <v>101</v>
      </c>
      <c r="D10" s="62" t="s">
        <v>102</v>
      </c>
      <c r="E10" s="62">
        <v>50.22</v>
      </c>
      <c r="F10" s="62"/>
      <c r="G10" s="230">
        <v>11.61472</v>
      </c>
      <c r="H10" s="759"/>
      <c r="I10" s="759"/>
      <c r="J10" s="759"/>
      <c r="K10" s="759"/>
      <c r="L10" s="759"/>
      <c r="M10" s="760"/>
      <c r="N10" s="759"/>
      <c r="O10" s="759"/>
      <c r="P10" s="759"/>
      <c r="Q10" s="759"/>
      <c r="R10" s="759"/>
      <c r="S10" s="759"/>
      <c r="T10" s="225">
        <f>SUM(H10:S10)</f>
        <v>0</v>
      </c>
      <c r="U10" s="225">
        <f>T10*E10</f>
        <v>0</v>
      </c>
      <c r="V10" s="226">
        <f>AI10</f>
        <v>0</v>
      </c>
      <c r="W10" s="232">
        <f>H10*'[2]Transfer Price2011'!$GY$339</f>
        <v>0</v>
      </c>
      <c r="X10" s="232">
        <f>I10*'[2]Transfer Price2011'!$GY$339</f>
        <v>0</v>
      </c>
      <c r="Y10" s="232">
        <f>J10*'[2]Transfer Price2011'!$GY$339</f>
        <v>0</v>
      </c>
      <c r="Z10" s="232">
        <f>K10*'[2]Transfer Price2011'!$GY$339</f>
        <v>0</v>
      </c>
      <c r="AA10" s="232">
        <f>L10*'[2]Transfer Price2011'!$GY$339</f>
        <v>0</v>
      </c>
      <c r="AB10" s="232">
        <f>M10*'[2]Transfer Price2011'!$GY$339</f>
        <v>0</v>
      </c>
      <c r="AC10" s="232">
        <f>N10*'[2]Transfer Price2011'!$GY$339</f>
        <v>0</v>
      </c>
      <c r="AD10" s="232">
        <f>O10*'[2]Transfer Price2011'!$GY$339</f>
        <v>0</v>
      </c>
      <c r="AE10" s="232">
        <f>P10*'[2]Transfer Price2011'!$GY$339</f>
        <v>0</v>
      </c>
      <c r="AF10" s="232">
        <f>Q10*'[2]Transfer Price2011'!$GY$339</f>
        <v>0</v>
      </c>
      <c r="AG10" s="232">
        <f>R10*'[2]Transfer Price2011'!$GY$339</f>
        <v>0</v>
      </c>
      <c r="AH10" s="232">
        <f>S10*'[2]Transfer Price2011'!$GY$339</f>
        <v>0</v>
      </c>
      <c r="AI10" s="214">
        <f>SUM(W10:AH10)</f>
        <v>0</v>
      </c>
      <c r="AJ10" s="228"/>
      <c r="AL10" s="755"/>
    </row>
    <row r="11" spans="1:38">
      <c r="A11" s="62"/>
      <c r="B11" s="62"/>
      <c r="C11" s="237"/>
      <c r="D11" s="62"/>
      <c r="E11" s="62"/>
      <c r="F11" s="62"/>
      <c r="G11" s="238"/>
      <c r="H11" s="764"/>
      <c r="I11" s="765"/>
      <c r="J11" s="764"/>
      <c r="K11" s="764"/>
      <c r="L11" s="766"/>
      <c r="M11" s="767"/>
      <c r="N11" s="766"/>
      <c r="O11" s="766"/>
      <c r="P11" s="766"/>
      <c r="Q11" s="766"/>
      <c r="R11" s="766"/>
      <c r="S11" s="766"/>
      <c r="T11" s="257"/>
      <c r="U11" s="257">
        <f>SUM(U5:U10)</f>
        <v>0</v>
      </c>
      <c r="V11" s="768">
        <f>SUM(V5:V10)</f>
        <v>0</v>
      </c>
      <c r="W11" s="214">
        <f>SUM(W5:W10)</f>
        <v>0</v>
      </c>
      <c r="X11" s="214">
        <f t="shared" ref="X11:AH11" si="1">SUM(X5:X10)</f>
        <v>0</v>
      </c>
      <c r="Y11" s="214">
        <f t="shared" si="1"/>
        <v>0</v>
      </c>
      <c r="Z11" s="214">
        <f t="shared" si="1"/>
        <v>0</v>
      </c>
      <c r="AA11" s="214">
        <f t="shared" si="1"/>
        <v>0</v>
      </c>
      <c r="AB11" s="214">
        <f t="shared" si="1"/>
        <v>0</v>
      </c>
      <c r="AC11" s="214">
        <f t="shared" si="1"/>
        <v>0</v>
      </c>
      <c r="AD11" s="214">
        <f t="shared" si="1"/>
        <v>0</v>
      </c>
      <c r="AE11" s="214">
        <f t="shared" si="1"/>
        <v>0</v>
      </c>
      <c r="AF11" s="214">
        <f t="shared" si="1"/>
        <v>0</v>
      </c>
      <c r="AG11" s="214">
        <f t="shared" si="1"/>
        <v>0</v>
      </c>
      <c r="AH11" s="214">
        <f t="shared" si="1"/>
        <v>0</v>
      </c>
      <c r="AI11" s="214">
        <f>SUM(AI5:AI10)</f>
        <v>0</v>
      </c>
      <c r="AL11" s="755"/>
    </row>
    <row r="12" spans="1:38">
      <c r="A12" s="62"/>
      <c r="B12" s="233"/>
      <c r="C12" s="234" t="s">
        <v>107</v>
      </c>
      <c r="D12" s="233" t="s">
        <v>92</v>
      </c>
      <c r="E12" s="233"/>
      <c r="F12" s="233"/>
      <c r="G12" s="235" t="s">
        <v>340</v>
      </c>
      <c r="H12" s="761"/>
      <c r="I12" s="769"/>
      <c r="J12" s="770"/>
      <c r="K12" s="761"/>
      <c r="L12" s="759"/>
      <c r="M12" s="760"/>
      <c r="N12" s="759"/>
      <c r="O12" s="759"/>
      <c r="P12" s="759"/>
      <c r="Q12" s="761"/>
      <c r="R12" s="759"/>
      <c r="S12" s="759"/>
      <c r="T12" s="236">
        <f>SUM(H12:S12)</f>
        <v>0</v>
      </c>
      <c r="U12" s="259"/>
      <c r="V12" s="771" t="e">
        <f>V11/T12</f>
        <v>#DIV/0!</v>
      </c>
      <c r="AH12" s="219" t="s">
        <v>158</v>
      </c>
      <c r="AI12" s="219">
        <f>AI11/T20</f>
        <v>0</v>
      </c>
      <c r="AL12" s="772">
        <f t="shared" si="0"/>
        <v>0</v>
      </c>
    </row>
    <row r="13" spans="1:38">
      <c r="A13" s="62"/>
      <c r="B13" s="62"/>
      <c r="C13" s="237"/>
      <c r="D13" s="62"/>
      <c r="E13" s="62"/>
      <c r="F13" s="62"/>
      <c r="G13" s="238" t="s">
        <v>341</v>
      </c>
      <c r="H13" s="773"/>
      <c r="I13" s="766"/>
      <c r="J13" s="766"/>
      <c r="K13" s="766"/>
      <c r="L13" s="766"/>
      <c r="M13" s="766"/>
      <c r="N13" s="766"/>
      <c r="O13" s="766"/>
      <c r="P13" s="766"/>
      <c r="Q13" s="766"/>
      <c r="R13" s="766"/>
      <c r="S13" s="766"/>
      <c r="T13" s="225"/>
      <c r="U13" s="225"/>
      <c r="V13" s="771" t="s">
        <v>137</v>
      </c>
      <c r="AL13" s="755"/>
    </row>
    <row r="14" spans="1:38">
      <c r="A14" s="62"/>
      <c r="B14" s="62"/>
      <c r="C14" s="60" t="s">
        <v>89</v>
      </c>
      <c r="D14" s="62" t="s">
        <v>173</v>
      </c>
      <c r="E14" s="62"/>
      <c r="F14" s="62"/>
      <c r="G14" s="238"/>
      <c r="H14" s="759"/>
      <c r="I14" s="759"/>
      <c r="J14" s="759"/>
      <c r="K14" s="759"/>
      <c r="L14" s="759"/>
      <c r="M14" s="759"/>
      <c r="N14" s="759"/>
      <c r="O14" s="759"/>
      <c r="P14" s="759"/>
      <c r="Q14" s="759"/>
      <c r="R14" s="759"/>
      <c r="S14" s="759"/>
      <c r="T14" s="225">
        <f>SUM(H14:S14)</f>
        <v>0</v>
      </c>
      <c r="U14" s="225"/>
      <c r="V14" s="225"/>
      <c r="AL14" s="755">
        <f t="shared" si="0"/>
        <v>0</v>
      </c>
    </row>
    <row r="15" spans="1:38">
      <c r="A15" s="62"/>
      <c r="B15" s="62"/>
      <c r="C15" s="60" t="s">
        <v>110</v>
      </c>
      <c r="D15" s="62" t="s">
        <v>173</v>
      </c>
      <c r="E15" s="62"/>
      <c r="F15" s="62"/>
      <c r="G15" s="238"/>
      <c r="H15" s="759"/>
      <c r="I15" s="759"/>
      <c r="J15" s="759"/>
      <c r="K15" s="759"/>
      <c r="L15" s="759"/>
      <c r="M15" s="759"/>
      <c r="N15" s="759"/>
      <c r="O15" s="759"/>
      <c r="P15" s="759"/>
      <c r="Q15" s="759"/>
      <c r="R15" s="759"/>
      <c r="S15" s="759"/>
      <c r="T15" s="225">
        <f>SUM(H15:S15)</f>
        <v>0</v>
      </c>
      <c r="U15" s="225"/>
      <c r="V15" s="225"/>
      <c r="AL15" s="755">
        <f t="shared" si="0"/>
        <v>0</v>
      </c>
    </row>
    <row r="16" spans="1:38">
      <c r="A16" s="62"/>
      <c r="B16" s="62"/>
      <c r="C16" s="60" t="s">
        <v>112</v>
      </c>
      <c r="D16" s="62" t="s">
        <v>173</v>
      </c>
      <c r="E16" s="62"/>
      <c r="F16" s="62"/>
      <c r="G16" s="238"/>
      <c r="H16" s="759"/>
      <c r="I16" s="759"/>
      <c r="J16" s="759"/>
      <c r="K16" s="759"/>
      <c r="L16" s="759"/>
      <c r="M16" s="759"/>
      <c r="N16" s="759"/>
      <c r="O16" s="759"/>
      <c r="P16" s="759"/>
      <c r="Q16" s="759"/>
      <c r="R16" s="759"/>
      <c r="S16" s="759"/>
      <c r="T16" s="225">
        <f>SUM(H16:S16)</f>
        <v>0</v>
      </c>
      <c r="U16" s="225"/>
      <c r="V16" s="225"/>
      <c r="AL16" s="755"/>
    </row>
    <row r="17" spans="1:38">
      <c r="A17" s="62"/>
      <c r="B17" s="62"/>
      <c r="C17" s="60" t="s">
        <v>857</v>
      </c>
      <c r="D17" s="62" t="s">
        <v>173</v>
      </c>
      <c r="E17" s="62"/>
      <c r="F17" s="62"/>
      <c r="G17" s="238"/>
      <c r="H17" s="759"/>
      <c r="I17" s="759"/>
      <c r="J17" s="759"/>
      <c r="K17" s="759"/>
      <c r="L17" s="759"/>
      <c r="M17" s="759"/>
      <c r="N17" s="759"/>
      <c r="O17" s="759"/>
      <c r="P17" s="759"/>
      <c r="Q17" s="759"/>
      <c r="R17" s="759"/>
      <c r="S17" s="759"/>
      <c r="T17" s="225"/>
      <c r="U17" s="225"/>
      <c r="V17" s="225"/>
      <c r="AL17" s="755"/>
    </row>
    <row r="18" spans="1:38" ht="39.6" customHeight="1">
      <c r="A18" s="62"/>
      <c r="B18" s="62"/>
      <c r="C18" s="774" t="s">
        <v>342</v>
      </c>
      <c r="D18" s="62" t="s">
        <v>173</v>
      </c>
      <c r="E18" s="62"/>
      <c r="F18" s="62"/>
      <c r="G18" s="238"/>
      <c r="H18" s="775"/>
      <c r="I18" s="759"/>
      <c r="J18" s="759"/>
      <c r="K18" s="759"/>
      <c r="L18" s="759"/>
      <c r="M18" s="759"/>
      <c r="N18" s="759"/>
      <c r="O18" s="759"/>
      <c r="P18" s="759"/>
      <c r="Q18" s="759"/>
      <c r="R18" s="759"/>
      <c r="S18" s="759"/>
      <c r="T18" s="225"/>
      <c r="U18" s="225"/>
      <c r="V18" s="225"/>
      <c r="AL18" s="755"/>
    </row>
    <row r="19" spans="1:38">
      <c r="A19" s="62"/>
      <c r="B19" s="62"/>
      <c r="C19" s="60"/>
      <c r="D19" s="62"/>
      <c r="E19" s="62"/>
      <c r="F19" s="62"/>
      <c r="G19" s="62"/>
      <c r="H19" s="759"/>
      <c r="I19" s="759"/>
      <c r="J19" s="759"/>
      <c r="K19" s="759"/>
      <c r="L19" s="759"/>
      <c r="M19" s="759"/>
      <c r="N19" s="759"/>
      <c r="O19" s="759"/>
      <c r="P19" s="759"/>
      <c r="Q19" s="759"/>
      <c r="R19" s="759"/>
      <c r="S19" s="759"/>
      <c r="T19" s="225"/>
      <c r="U19" s="225"/>
      <c r="V19" s="225"/>
      <c r="AL19" s="755"/>
    </row>
    <row r="20" spans="1:38">
      <c r="A20" s="62"/>
      <c r="B20" s="62"/>
      <c r="C20" s="237" t="s">
        <v>343</v>
      </c>
      <c r="D20" s="62" t="s">
        <v>173</v>
      </c>
      <c r="E20" s="1780" t="s">
        <v>346</v>
      </c>
      <c r="F20" s="1781"/>
      <c r="G20" s="1782"/>
      <c r="H20" s="231">
        <f>'EII จอม'!H20</f>
        <v>30256.004328000003</v>
      </c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42">
        <f>SUM(H20:S20)</f>
        <v>30256.004328000003</v>
      </c>
      <c r="U20" s="225">
        <f>T20*12/11</f>
        <v>33006.550175999997</v>
      </c>
      <c r="V20" s="271">
        <f>V11/T20</f>
        <v>0</v>
      </c>
      <c r="AL20" s="755">
        <f t="shared" si="0"/>
        <v>40341.339103999999</v>
      </c>
    </row>
    <row r="21" spans="1:38">
      <c r="A21" s="62"/>
      <c r="B21" s="62"/>
      <c r="C21" s="237" t="s">
        <v>345</v>
      </c>
      <c r="D21" s="62" t="s">
        <v>173</v>
      </c>
      <c r="E21" s="62"/>
      <c r="F21" s="62">
        <v>93.108417736363464</v>
      </c>
      <c r="G21" s="238"/>
      <c r="H21" s="231">
        <f>'EII จอม'!H21</f>
        <v>35198.983486405195</v>
      </c>
      <c r="I21" s="231"/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25">
        <f>SUM(H21:S21)</f>
        <v>35198.983486405195</v>
      </c>
      <c r="U21" s="225">
        <f>T21*12/11</f>
        <v>38398.891076078398</v>
      </c>
      <c r="V21" s="271" t="s">
        <v>158</v>
      </c>
      <c r="AL21" s="231">
        <f>AL20*100/T27</f>
        <v>46931.977981873584</v>
      </c>
    </row>
    <row r="22" spans="1:38">
      <c r="A22" s="62"/>
      <c r="B22" s="62"/>
      <c r="C22" s="237"/>
      <c r="D22" s="62"/>
      <c r="E22" s="62"/>
      <c r="F22" s="62"/>
      <c r="G22" s="238"/>
      <c r="H22" s="759"/>
      <c r="I22" s="759"/>
      <c r="J22" s="759"/>
      <c r="K22" s="759"/>
      <c r="L22" s="759"/>
      <c r="M22" s="759"/>
      <c r="N22" s="759"/>
      <c r="O22" s="759"/>
      <c r="P22" s="759"/>
      <c r="Q22" s="759"/>
      <c r="R22" s="759"/>
      <c r="S22" s="759"/>
      <c r="T22" s="225"/>
      <c r="U22" s="225"/>
      <c r="V22" s="271"/>
      <c r="AL22" s="297"/>
    </row>
    <row r="23" spans="1:38">
      <c r="A23" s="62"/>
      <c r="B23" s="243" t="s">
        <v>174</v>
      </c>
      <c r="C23" s="244" t="s">
        <v>89</v>
      </c>
      <c r="D23" s="243" t="s">
        <v>347</v>
      </c>
      <c r="E23" s="243"/>
      <c r="F23" s="243"/>
      <c r="G23" s="248"/>
      <c r="H23" s="770" t="e">
        <f>H14/H12</f>
        <v>#DIV/0!</v>
      </c>
      <c r="I23" s="770"/>
      <c r="J23" s="770"/>
      <c r="K23" s="770"/>
      <c r="L23" s="770"/>
      <c r="M23" s="770"/>
      <c r="N23" s="770"/>
      <c r="O23" s="770"/>
      <c r="P23" s="770"/>
      <c r="Q23" s="770"/>
      <c r="R23" s="770"/>
      <c r="S23" s="770"/>
      <c r="T23" s="245" t="e">
        <f>T14/T12</f>
        <v>#DIV/0!</v>
      </c>
      <c r="U23" s="246"/>
      <c r="V23" s="246"/>
    </row>
    <row r="24" spans="1:38">
      <c r="A24" s="62"/>
      <c r="B24" s="243"/>
      <c r="C24" s="244" t="s">
        <v>110</v>
      </c>
      <c r="D24" s="243" t="s">
        <v>347</v>
      </c>
      <c r="E24" s="243"/>
      <c r="F24" s="243"/>
      <c r="G24" s="248"/>
      <c r="H24" s="770" t="e">
        <f>H15/H12</f>
        <v>#DIV/0!</v>
      </c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245" t="e">
        <f>T15/T12</f>
        <v>#DIV/0!</v>
      </c>
      <c r="U24" s="246"/>
      <c r="V24" s="246"/>
    </row>
    <row r="25" spans="1:38">
      <c r="A25" s="62"/>
      <c r="B25" s="243"/>
      <c r="C25" s="244" t="s">
        <v>112</v>
      </c>
      <c r="D25" s="243" t="s">
        <v>347</v>
      </c>
      <c r="E25" s="243"/>
      <c r="F25" s="243"/>
      <c r="G25" s="248"/>
      <c r="H25" s="770" t="e">
        <f>H16/H12</f>
        <v>#DIV/0!</v>
      </c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245" t="e">
        <f>T16/T12</f>
        <v>#DIV/0!</v>
      </c>
      <c r="U25" s="246"/>
      <c r="V25" s="246"/>
    </row>
    <row r="26" spans="1:38" ht="23.25">
      <c r="A26" s="62"/>
      <c r="B26" s="243"/>
      <c r="C26" s="249" t="s">
        <v>348</v>
      </c>
      <c r="D26" s="243" t="s">
        <v>347</v>
      </c>
      <c r="E26" s="243"/>
      <c r="F26" s="243"/>
      <c r="G26" s="248"/>
      <c r="H26" s="770" t="e">
        <f>H20/(H12+H13)</f>
        <v>#DIV/0!</v>
      </c>
      <c r="I26" s="770"/>
      <c r="J26" s="770"/>
      <c r="K26" s="770"/>
      <c r="L26" s="770"/>
      <c r="M26" s="770"/>
      <c r="N26" s="770"/>
      <c r="O26" s="770"/>
      <c r="P26" s="770"/>
      <c r="Q26" s="770"/>
      <c r="R26" s="770"/>
      <c r="S26" s="770"/>
      <c r="T26" s="250" t="e">
        <f>T20/T12</f>
        <v>#DIV/0!</v>
      </c>
      <c r="U26" s="246"/>
      <c r="V26" s="246"/>
    </row>
    <row r="27" spans="1:38">
      <c r="A27" s="62"/>
      <c r="B27" s="243"/>
      <c r="C27" s="249" t="s">
        <v>349</v>
      </c>
      <c r="D27" s="243"/>
      <c r="E27" s="243"/>
      <c r="F27" s="243"/>
      <c r="G27" s="243"/>
      <c r="H27" s="251">
        <f>H20/H21*100</f>
        <v>85.957040036925207</v>
      </c>
      <c r="I27" s="251"/>
      <c r="J27" s="251"/>
      <c r="K27" s="251"/>
      <c r="L27" s="251"/>
      <c r="M27" s="251"/>
      <c r="N27" s="251"/>
      <c r="O27" s="251"/>
      <c r="P27" s="251"/>
      <c r="Q27" s="251"/>
      <c r="R27" s="251"/>
      <c r="S27" s="251"/>
      <c r="T27" s="251">
        <f>T20/T21*100</f>
        <v>85.957040036925207</v>
      </c>
      <c r="U27" s="251"/>
      <c r="V27" s="246"/>
      <c r="AL27" s="252">
        <f>AL20/AL21*100</f>
        <v>85.957040036925207</v>
      </c>
    </row>
    <row r="28" spans="1:38">
      <c r="A28" s="62"/>
      <c r="B28" s="62"/>
      <c r="C28" s="60"/>
      <c r="D28" s="62"/>
      <c r="E28" s="62"/>
      <c r="F28" s="62"/>
      <c r="G28" s="253"/>
      <c r="H28" s="254"/>
      <c r="I28" s="255"/>
      <c r="J28" s="254"/>
      <c r="K28" s="254"/>
      <c r="L28" s="254"/>
      <c r="M28" s="254"/>
      <c r="N28" s="225"/>
      <c r="O28" s="225"/>
      <c r="P28" s="225"/>
      <c r="Q28" s="225"/>
      <c r="R28" s="225"/>
      <c r="S28" s="225"/>
      <c r="T28" s="225"/>
      <c r="U28" s="225"/>
      <c r="V28" s="225"/>
      <c r="W28" s="214" t="s">
        <v>29</v>
      </c>
      <c r="X28" s="215" t="s">
        <v>30</v>
      </c>
      <c r="Y28" s="215" t="s">
        <v>31</v>
      </c>
      <c r="Z28" s="215" t="s">
        <v>32</v>
      </c>
      <c r="AA28" s="215" t="s">
        <v>33</v>
      </c>
      <c r="AB28" s="215" t="s">
        <v>34</v>
      </c>
      <c r="AC28" s="215" t="s">
        <v>35</v>
      </c>
      <c r="AD28" s="215" t="s">
        <v>36</v>
      </c>
      <c r="AE28" s="215" t="s">
        <v>37</v>
      </c>
      <c r="AF28" s="215" t="s">
        <v>38</v>
      </c>
      <c r="AG28" s="215" t="s">
        <v>39</v>
      </c>
      <c r="AH28" s="215" t="s">
        <v>40</v>
      </c>
      <c r="AI28" s="215" t="s">
        <v>25</v>
      </c>
      <c r="AJ28" s="219" t="s">
        <v>158</v>
      </c>
    </row>
    <row r="29" spans="1:38">
      <c r="A29" s="62">
        <v>2</v>
      </c>
      <c r="B29" s="240" t="s">
        <v>47</v>
      </c>
      <c r="C29" s="60" t="s">
        <v>117</v>
      </c>
      <c r="D29" s="62" t="s">
        <v>90</v>
      </c>
      <c r="E29" s="238">
        <f>'[3]Price&amp;Heating-Value'!$R$6</f>
        <v>3.6</v>
      </c>
      <c r="F29" s="62"/>
      <c r="G29" s="256">
        <f>'[3]Price&amp;Heating-Value'!$P$6</f>
        <v>2.7124999999999999</v>
      </c>
      <c r="H29" s="759"/>
      <c r="I29" s="759"/>
      <c r="J29" s="759"/>
      <c r="K29" s="759"/>
      <c r="L29" s="759"/>
      <c r="M29" s="759"/>
      <c r="N29" s="759"/>
      <c r="O29" s="759"/>
      <c r="P29" s="759"/>
      <c r="Q29" s="759"/>
      <c r="R29" s="759"/>
      <c r="S29" s="759"/>
      <c r="T29" s="225">
        <f>SUM(H29:S29)</f>
        <v>0</v>
      </c>
      <c r="U29" s="225">
        <f>T29*E29</f>
        <v>0</v>
      </c>
      <c r="V29" s="225">
        <f>AI29</f>
        <v>0</v>
      </c>
      <c r="W29" s="227">
        <f>H29*'[3]Transfer Price2011'!$HE$459</f>
        <v>0</v>
      </c>
      <c r="X29" s="227">
        <f>I29*'[3]Transfer Price2011'!$HE$459</f>
        <v>0</v>
      </c>
      <c r="Y29" s="227">
        <f>J29*'[3]Transfer Price2011'!$HE$459</f>
        <v>0</v>
      </c>
      <c r="Z29" s="227">
        <f>K29*'[3]Transfer Price2011'!$HE$459</f>
        <v>0</v>
      </c>
      <c r="AA29" s="227">
        <f>L29*'[3]Transfer Price2011'!$HE$459</f>
        <v>0</v>
      </c>
      <c r="AB29" s="227">
        <f>M29*'[3]Transfer Price2011'!$HE$459</f>
        <v>0</v>
      </c>
      <c r="AC29" s="227">
        <f>N29*'[3]Transfer Price2011'!$HE$459</f>
        <v>0</v>
      </c>
      <c r="AD29" s="227">
        <f>O29*'[3]Transfer Price2011'!$HE$459</f>
        <v>0</v>
      </c>
      <c r="AE29" s="227">
        <f>P29*'[3]Transfer Price2011'!$HE$459</f>
        <v>0</v>
      </c>
      <c r="AF29" s="227">
        <f>Q29*'[3]Transfer Price2011'!$HE$459</f>
        <v>0</v>
      </c>
      <c r="AG29" s="227">
        <f>R29*'[3]Transfer Price2011'!$HE$459</f>
        <v>0</v>
      </c>
      <c r="AH29" s="227">
        <f>S29*'[3]Transfer Price2011'!$HE$459</f>
        <v>0</v>
      </c>
      <c r="AI29" s="214">
        <f>SUM(W29:AH29)</f>
        <v>0</v>
      </c>
      <c r="AJ29" s="228" t="e">
        <f>AI29/U29*1000</f>
        <v>#DIV/0!</v>
      </c>
    </row>
    <row r="30" spans="1:38">
      <c r="A30" s="62"/>
      <c r="B30" s="62"/>
      <c r="C30" s="60" t="s">
        <v>120</v>
      </c>
      <c r="D30" s="62" t="s">
        <v>121</v>
      </c>
      <c r="E30" s="62"/>
      <c r="F30" s="62"/>
      <c r="G30" s="238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225">
        <f>SUM(H30:S30)</f>
        <v>0</v>
      </c>
      <c r="U30" s="225">
        <f>T30*E30</f>
        <v>0</v>
      </c>
      <c r="V30" s="225">
        <f>G30*T30</f>
        <v>0</v>
      </c>
      <c r="AJ30" s="228"/>
    </row>
    <row r="31" spans="1:38">
      <c r="A31" s="62"/>
      <c r="B31" s="62"/>
      <c r="C31" s="60" t="s">
        <v>123</v>
      </c>
      <c r="D31" s="62" t="s">
        <v>121</v>
      </c>
      <c r="E31" s="62">
        <f>'[3]Price&amp;Heating-Value'!$R$9</f>
        <v>2803</v>
      </c>
      <c r="F31" s="62"/>
      <c r="G31" s="230">
        <f>'[3]Price&amp;Heating-Value'!$P$9</f>
        <v>1301.5833333333333</v>
      </c>
      <c r="H31" s="759"/>
      <c r="I31" s="759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225">
        <f>SUM(H31:S31)</f>
        <v>0</v>
      </c>
      <c r="U31" s="225">
        <f>T31*E31</f>
        <v>0</v>
      </c>
      <c r="V31" s="225">
        <f>AI31</f>
        <v>0</v>
      </c>
      <c r="W31" s="762">
        <f>H31*'[3]Transfer Price2011'!$HE$463</f>
        <v>0</v>
      </c>
      <c r="X31" s="762">
        <f>I31*'[3]Transfer Price2011'!$HE$463</f>
        <v>0</v>
      </c>
      <c r="Y31" s="762">
        <f>J31*'[3]Transfer Price2011'!$HE$463</f>
        <v>0</v>
      </c>
      <c r="Z31" s="762">
        <f>K31*'[3]Transfer Price2011'!$HE$463</f>
        <v>0</v>
      </c>
      <c r="AA31" s="762">
        <f>L31*'[3]Transfer Price2011'!$HE$463</f>
        <v>0</v>
      </c>
      <c r="AB31" s="762">
        <f>M31*'[3]Transfer Price2011'!$HE$463</f>
        <v>0</v>
      </c>
      <c r="AC31" s="762">
        <f>N31*'[3]Transfer Price2011'!$HE$463</f>
        <v>0</v>
      </c>
      <c r="AD31" s="762">
        <f>O31*'[3]Transfer Price2011'!$HE$463</f>
        <v>0</v>
      </c>
      <c r="AE31" s="762">
        <f>P31*'[3]Transfer Price2011'!$HE$463</f>
        <v>0</v>
      </c>
      <c r="AF31" s="762">
        <f>Q31*'[3]Transfer Price2011'!$HE$463</f>
        <v>0</v>
      </c>
      <c r="AG31" s="762">
        <f>R31*'[3]Transfer Price2011'!$HE$463</f>
        <v>0</v>
      </c>
      <c r="AH31" s="762">
        <f>S31*'[3]Transfer Price2011'!$HE$463</f>
        <v>0</v>
      </c>
      <c r="AI31" s="214">
        <f>SUM(W31:AH31)</f>
        <v>0</v>
      </c>
      <c r="AJ31" s="228" t="e">
        <f>AI31/U31*1000</f>
        <v>#DIV/0!</v>
      </c>
    </row>
    <row r="32" spans="1:38">
      <c r="A32" s="62"/>
      <c r="B32" s="62"/>
      <c r="C32" s="60" t="s">
        <v>128</v>
      </c>
      <c r="D32" s="62" t="s">
        <v>121</v>
      </c>
      <c r="E32" s="62">
        <f>'[3]Price&amp;Heating-Value'!$R$10</f>
        <v>3180</v>
      </c>
      <c r="F32" s="62"/>
      <c r="G32" s="230">
        <f>'[3]Price&amp;Heating-Value'!$P$10</f>
        <v>1321.5833333333333</v>
      </c>
      <c r="H32" s="759"/>
      <c r="I32" s="759"/>
      <c r="J32" s="759"/>
      <c r="K32" s="759"/>
      <c r="L32" s="759"/>
      <c r="M32" s="759"/>
      <c r="N32" s="759"/>
      <c r="O32" s="759"/>
      <c r="P32" s="759"/>
      <c r="Q32" s="759"/>
      <c r="R32" s="759"/>
      <c r="S32" s="759"/>
      <c r="T32" s="225">
        <f>SUM(H32:S32)</f>
        <v>0</v>
      </c>
      <c r="U32" s="225">
        <f>T32*E32</f>
        <v>0</v>
      </c>
      <c r="V32" s="225">
        <f>AI32</f>
        <v>0</v>
      </c>
      <c r="W32" s="762">
        <f>H32*'[3]Transfer Price2011'!$HE$464</f>
        <v>0</v>
      </c>
      <c r="X32" s="762">
        <f>I32*'[3]Transfer Price2011'!$HE$464</f>
        <v>0</v>
      </c>
      <c r="Y32" s="762">
        <f>J32*'[3]Transfer Price2011'!$HE$464</f>
        <v>0</v>
      </c>
      <c r="Z32" s="762">
        <f>K32*'[3]Transfer Price2011'!$HE$464</f>
        <v>0</v>
      </c>
      <c r="AA32" s="762">
        <f>L32*'[3]Transfer Price2011'!$HE$464</f>
        <v>0</v>
      </c>
      <c r="AB32" s="762">
        <f>M32*'[3]Transfer Price2011'!$HE$464</f>
        <v>0</v>
      </c>
      <c r="AC32" s="762">
        <f>N32*'[3]Transfer Price2011'!$HE$464</f>
        <v>0</v>
      </c>
      <c r="AD32" s="762">
        <f>O32*'[3]Transfer Price2011'!$HE$464</f>
        <v>0</v>
      </c>
      <c r="AE32" s="762">
        <f>P32*'[3]Transfer Price2011'!$HE$464</f>
        <v>0</v>
      </c>
      <c r="AF32" s="762">
        <f>Q32*'[3]Transfer Price2011'!$HE$464</f>
        <v>0</v>
      </c>
      <c r="AG32" s="762">
        <f>R32*'[3]Transfer Price2011'!$HE$464</f>
        <v>0</v>
      </c>
      <c r="AH32" s="762">
        <f>S32*'[3]Transfer Price2011'!$HE$464</f>
        <v>0</v>
      </c>
      <c r="AI32" s="214">
        <f>SUM(W32:AH32)</f>
        <v>0</v>
      </c>
      <c r="AJ32" s="228" t="e">
        <f>AI32/U32*1000</f>
        <v>#DIV/0!</v>
      </c>
    </row>
    <row r="33" spans="1:38">
      <c r="A33" s="62"/>
      <c r="B33" s="582"/>
      <c r="C33" s="776"/>
      <c r="D33" s="582"/>
      <c r="E33" s="582" t="s">
        <v>350</v>
      </c>
      <c r="F33" s="582"/>
      <c r="G33" s="777"/>
      <c r="H33" s="759"/>
      <c r="I33" s="759"/>
      <c r="J33" s="759"/>
      <c r="K33" s="759"/>
      <c r="L33" s="759"/>
      <c r="M33" s="759"/>
      <c r="N33" s="759"/>
      <c r="O33" s="759"/>
      <c r="P33" s="766"/>
      <c r="Q33" s="766"/>
      <c r="R33" s="766"/>
      <c r="S33" s="766"/>
      <c r="T33" s="257">
        <f t="shared" ref="T33:T42" si="2">SUM(H33:S33)</f>
        <v>0</v>
      </c>
      <c r="U33" s="257">
        <f>SUM(U29:U32)</f>
        <v>0</v>
      </c>
      <c r="V33" s="778">
        <f>SUM(V29:V32)</f>
        <v>0</v>
      </c>
      <c r="W33" s="214">
        <f>SUM(W29:W32)</f>
        <v>0</v>
      </c>
      <c r="X33" s="214">
        <f t="shared" ref="X33:AI33" si="3">SUM(X29:X32)</f>
        <v>0</v>
      </c>
      <c r="Y33" s="214">
        <f t="shared" si="3"/>
        <v>0</v>
      </c>
      <c r="Z33" s="214">
        <f t="shared" si="3"/>
        <v>0</v>
      </c>
      <c r="AA33" s="214">
        <f t="shared" si="3"/>
        <v>0</v>
      </c>
      <c r="AB33" s="214">
        <f t="shared" si="3"/>
        <v>0</v>
      </c>
      <c r="AC33" s="214">
        <f t="shared" si="3"/>
        <v>0</v>
      </c>
      <c r="AD33" s="214">
        <f t="shared" si="3"/>
        <v>0</v>
      </c>
      <c r="AE33" s="214">
        <f t="shared" si="3"/>
        <v>0</v>
      </c>
      <c r="AF33" s="214">
        <f t="shared" si="3"/>
        <v>0</v>
      </c>
      <c r="AG33" s="214">
        <f t="shared" si="3"/>
        <v>0</v>
      </c>
      <c r="AH33" s="214">
        <f t="shared" si="3"/>
        <v>0</v>
      </c>
      <c r="AI33" s="214">
        <f t="shared" si="3"/>
        <v>0</v>
      </c>
    </row>
    <row r="34" spans="1:38">
      <c r="A34" s="62"/>
      <c r="B34" s="582"/>
      <c r="C34" s="779" t="s">
        <v>107</v>
      </c>
      <c r="D34" s="582" t="s">
        <v>121</v>
      </c>
      <c r="E34" s="582" t="s">
        <v>351</v>
      </c>
      <c r="F34" s="582"/>
      <c r="G34" s="582"/>
      <c r="H34" s="759"/>
      <c r="I34" s="759"/>
      <c r="J34" s="759"/>
      <c r="K34" s="759"/>
      <c r="L34" s="759"/>
      <c r="M34" s="759"/>
      <c r="N34" s="759"/>
      <c r="O34" s="759"/>
      <c r="P34" s="759"/>
      <c r="Q34" s="761"/>
      <c r="R34" s="759"/>
      <c r="S34" s="759"/>
      <c r="T34" s="236">
        <f t="shared" si="2"/>
        <v>0</v>
      </c>
      <c r="U34" s="259">
        <f>T34+T35</f>
        <v>0</v>
      </c>
      <c r="V34" s="771" t="e">
        <f>V33/U34</f>
        <v>#DIV/0!</v>
      </c>
      <c r="AH34" s="219" t="s">
        <v>158</v>
      </c>
      <c r="AI34" s="219" t="e">
        <f>AI33/T41</f>
        <v>#DIV/0!</v>
      </c>
    </row>
    <row r="35" spans="1:38">
      <c r="A35" s="62"/>
      <c r="B35" s="582"/>
      <c r="C35" s="779"/>
      <c r="D35" s="582"/>
      <c r="E35" s="582" t="s">
        <v>352</v>
      </c>
      <c r="F35" s="582"/>
      <c r="G35" s="582"/>
      <c r="H35" s="759"/>
      <c r="I35" s="759"/>
      <c r="J35" s="759"/>
      <c r="K35" s="759"/>
      <c r="L35" s="759"/>
      <c r="M35" s="759"/>
      <c r="N35" s="759"/>
      <c r="O35" s="759"/>
      <c r="P35" s="759"/>
      <c r="Q35" s="759"/>
      <c r="R35" s="759"/>
      <c r="S35" s="759"/>
      <c r="T35" s="225">
        <f t="shared" si="2"/>
        <v>0</v>
      </c>
      <c r="U35" s="225"/>
      <c r="V35" s="771" t="s">
        <v>137</v>
      </c>
    </row>
    <row r="36" spans="1:38">
      <c r="A36" s="62"/>
      <c r="B36" s="582"/>
      <c r="C36" s="779"/>
      <c r="D36" s="582"/>
      <c r="E36" s="582"/>
      <c r="F36" s="582"/>
      <c r="G36" s="582"/>
      <c r="H36" s="759"/>
      <c r="I36" s="759"/>
      <c r="J36" s="759"/>
      <c r="K36" s="759"/>
      <c r="L36" s="759"/>
      <c r="M36" s="759"/>
      <c r="N36" s="759"/>
      <c r="O36" s="759"/>
      <c r="P36" s="759"/>
      <c r="Q36" s="759"/>
      <c r="R36" s="759"/>
      <c r="S36" s="759"/>
      <c r="T36" s="225"/>
      <c r="U36" s="225"/>
      <c r="V36" s="771"/>
    </row>
    <row r="37" spans="1:38">
      <c r="A37" s="62"/>
      <c r="B37" s="62"/>
      <c r="C37" s="60" t="s">
        <v>138</v>
      </c>
      <c r="D37" s="62" t="s">
        <v>173</v>
      </c>
      <c r="E37" s="62"/>
      <c r="F37" s="62"/>
      <c r="G37" s="62"/>
      <c r="H37" s="759">
        <f>H29*$E$29/1000</f>
        <v>0</v>
      </c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225">
        <f t="shared" si="2"/>
        <v>0</v>
      </c>
      <c r="U37" s="225"/>
      <c r="V37" s="225"/>
    </row>
    <row r="38" spans="1:38">
      <c r="A38" s="62"/>
      <c r="B38" s="62"/>
      <c r="C38" s="60" t="s">
        <v>139</v>
      </c>
      <c r="D38" s="62"/>
      <c r="E38" s="62"/>
      <c r="F38" s="62"/>
      <c r="G38" s="62"/>
      <c r="H38" s="759">
        <f>H31*$E$31/1000</f>
        <v>0</v>
      </c>
      <c r="I38" s="759"/>
      <c r="J38" s="759"/>
      <c r="K38" s="759"/>
      <c r="L38" s="759"/>
      <c r="M38" s="759"/>
      <c r="N38" s="759"/>
      <c r="O38" s="759"/>
      <c r="P38" s="759"/>
      <c r="Q38" s="759"/>
      <c r="R38" s="759"/>
      <c r="S38" s="759"/>
      <c r="T38" s="225">
        <f t="shared" si="2"/>
        <v>0</v>
      </c>
      <c r="U38" s="225"/>
      <c r="V38" s="225"/>
    </row>
    <row r="39" spans="1:38">
      <c r="A39" s="62"/>
      <c r="B39" s="62"/>
      <c r="C39" s="60" t="s">
        <v>141</v>
      </c>
      <c r="D39" s="62" t="s">
        <v>173</v>
      </c>
      <c r="E39" s="62"/>
      <c r="F39" s="62"/>
      <c r="G39" s="62"/>
      <c r="H39" s="759">
        <f>H32*$E$32/1000</f>
        <v>0</v>
      </c>
      <c r="I39" s="759"/>
      <c r="J39" s="759"/>
      <c r="K39" s="759"/>
      <c r="L39" s="759"/>
      <c r="M39" s="759"/>
      <c r="N39" s="759"/>
      <c r="O39" s="759"/>
      <c r="P39" s="759"/>
      <c r="Q39" s="759"/>
      <c r="R39" s="759"/>
      <c r="S39" s="759"/>
      <c r="T39" s="225">
        <f t="shared" si="2"/>
        <v>0</v>
      </c>
      <c r="U39" s="225"/>
      <c r="V39" s="225"/>
    </row>
    <row r="40" spans="1:38">
      <c r="A40" s="62"/>
      <c r="B40" s="62"/>
      <c r="C40" s="237" t="s">
        <v>353</v>
      </c>
      <c r="D40" s="62"/>
      <c r="E40" s="62" t="s">
        <v>354</v>
      </c>
      <c r="F40" s="62">
        <f>288.18+133.05</f>
        <v>421.23</v>
      </c>
      <c r="G40" s="62"/>
      <c r="H40" s="759">
        <f>SUM(H37:H39)</f>
        <v>0</v>
      </c>
      <c r="I40" s="759"/>
      <c r="J40" s="759"/>
      <c r="K40" s="759"/>
      <c r="L40" s="759"/>
      <c r="M40" s="759"/>
      <c r="N40" s="759"/>
      <c r="O40" s="759"/>
      <c r="P40" s="759"/>
      <c r="Q40" s="759"/>
      <c r="R40" s="759"/>
      <c r="S40" s="759"/>
      <c r="T40" s="242">
        <f t="shared" si="2"/>
        <v>0</v>
      </c>
      <c r="U40" s="225"/>
      <c r="V40" s="225"/>
    </row>
    <row r="41" spans="1:38">
      <c r="A41" s="62"/>
      <c r="B41" s="62"/>
      <c r="C41" s="237" t="s">
        <v>858</v>
      </c>
      <c r="D41" s="62"/>
      <c r="E41" s="62" t="s">
        <v>355</v>
      </c>
      <c r="F41" s="238">
        <f>260.2*30*24*3.6/1000</f>
        <v>674.4384</v>
      </c>
      <c r="G41" s="62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42">
        <f t="shared" si="2"/>
        <v>0</v>
      </c>
      <c r="U41" s="225"/>
      <c r="V41" s="271" t="e">
        <f>V33/T41</f>
        <v>#DIV/0!</v>
      </c>
    </row>
    <row r="42" spans="1:38">
      <c r="A42" s="62"/>
      <c r="B42" s="62"/>
      <c r="C42" s="237" t="s">
        <v>345</v>
      </c>
      <c r="D42" s="62" t="s">
        <v>173</v>
      </c>
      <c r="E42" s="62"/>
      <c r="F42" s="62"/>
      <c r="G42" s="62"/>
      <c r="H42" s="780"/>
      <c r="I42" s="780"/>
      <c r="J42" s="780"/>
      <c r="K42" s="780"/>
      <c r="L42" s="780"/>
      <c r="M42" s="780"/>
      <c r="N42" s="780"/>
      <c r="O42" s="780"/>
      <c r="P42" s="780"/>
      <c r="Q42" s="780"/>
      <c r="R42" s="780"/>
      <c r="S42" s="780"/>
      <c r="T42" s="242">
        <f t="shared" si="2"/>
        <v>0</v>
      </c>
      <c r="U42" s="225"/>
      <c r="V42" s="271" t="s">
        <v>158</v>
      </c>
    </row>
    <row r="43" spans="1:38">
      <c r="A43" s="62"/>
      <c r="B43" s="243" t="s">
        <v>174</v>
      </c>
      <c r="C43" s="244" t="s">
        <v>89</v>
      </c>
      <c r="D43" s="243" t="s">
        <v>347</v>
      </c>
      <c r="E43" s="243"/>
      <c r="F43" s="248"/>
      <c r="G43" s="260"/>
      <c r="H43" s="770" t="e">
        <f t="shared" ref="H43" si="4">H37/(H33+H34+H35)</f>
        <v>#DIV/0!</v>
      </c>
      <c r="I43" s="770"/>
      <c r="J43" s="770"/>
      <c r="K43" s="770"/>
      <c r="L43" s="770"/>
      <c r="M43" s="770"/>
      <c r="N43" s="770"/>
      <c r="O43" s="770"/>
      <c r="P43" s="770"/>
      <c r="Q43" s="770"/>
      <c r="R43" s="770"/>
      <c r="S43" s="770"/>
      <c r="T43" s="245" t="e">
        <f>T37/T34</f>
        <v>#DIV/0!</v>
      </c>
      <c r="U43" s="246"/>
      <c r="V43" s="246"/>
    </row>
    <row r="44" spans="1:38">
      <c r="A44" s="62"/>
      <c r="B44" s="243"/>
      <c r="C44" s="244" t="s">
        <v>476</v>
      </c>
      <c r="D44" s="243" t="s">
        <v>347</v>
      </c>
      <c r="E44" s="243"/>
      <c r="F44" s="248"/>
      <c r="G44" s="260"/>
      <c r="H44" s="770" t="e">
        <f t="shared" ref="H44" si="5">H39/(H33+H34+H35)</f>
        <v>#DIV/0!</v>
      </c>
      <c r="I44" s="770"/>
      <c r="J44" s="770"/>
      <c r="K44" s="770"/>
      <c r="L44" s="770"/>
      <c r="M44" s="770"/>
      <c r="N44" s="770"/>
      <c r="O44" s="770"/>
      <c r="P44" s="770"/>
      <c r="Q44" s="770"/>
      <c r="R44" s="770"/>
      <c r="S44" s="770"/>
      <c r="T44" s="245" t="e">
        <f>T39/T34</f>
        <v>#DIV/0!</v>
      </c>
      <c r="U44" s="246"/>
      <c r="V44" s="246"/>
    </row>
    <row r="45" spans="1:38" ht="23.25">
      <c r="A45" s="62"/>
      <c r="B45" s="243"/>
      <c r="C45" s="249" t="s">
        <v>356</v>
      </c>
      <c r="D45" s="243" t="s">
        <v>347</v>
      </c>
      <c r="E45" s="243"/>
      <c r="F45" s="248"/>
      <c r="G45" s="260"/>
      <c r="H45" s="770" t="e">
        <f t="shared" ref="H45" si="6">H41/(H33+H34+H35)</f>
        <v>#DIV/0!</v>
      </c>
      <c r="I45" s="770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250" t="e">
        <f>T41/T34</f>
        <v>#DIV/0!</v>
      </c>
      <c r="U45" s="246"/>
      <c r="V45" s="246"/>
    </row>
    <row r="46" spans="1:38">
      <c r="A46" s="62"/>
      <c r="B46" s="243"/>
      <c r="C46" s="249" t="s">
        <v>357</v>
      </c>
      <c r="D46" s="243"/>
      <c r="E46" s="243"/>
      <c r="F46" s="243"/>
      <c r="G46" s="261"/>
      <c r="H46" s="333" t="e">
        <f>(H41/H42)*100</f>
        <v>#DIV/0!</v>
      </c>
      <c r="I46" s="333"/>
      <c r="J46" s="333"/>
      <c r="K46" s="333"/>
      <c r="L46" s="333"/>
      <c r="M46" s="333"/>
      <c r="N46" s="333"/>
      <c r="O46" s="333"/>
      <c r="P46" s="333"/>
      <c r="Q46" s="333"/>
      <c r="R46" s="333"/>
      <c r="S46" s="333"/>
      <c r="T46" s="781" t="e">
        <f>(T41/T42)*100</f>
        <v>#DIV/0!</v>
      </c>
      <c r="U46" s="225" t="s">
        <v>859</v>
      </c>
      <c r="V46" s="225"/>
      <c r="W46" s="214" t="s">
        <v>29</v>
      </c>
      <c r="X46" s="215" t="s">
        <v>30</v>
      </c>
      <c r="Y46" s="215" t="s">
        <v>31</v>
      </c>
      <c r="Z46" s="215" t="s">
        <v>32</v>
      </c>
      <c r="AA46" s="215" t="s">
        <v>33</v>
      </c>
      <c r="AB46" s="215" t="s">
        <v>34</v>
      </c>
      <c r="AC46" s="215" t="s">
        <v>35</v>
      </c>
      <c r="AD46" s="215" t="s">
        <v>36</v>
      </c>
      <c r="AE46" s="215" t="s">
        <v>37</v>
      </c>
      <c r="AF46" s="215" t="s">
        <v>38</v>
      </c>
      <c r="AG46" s="215" t="s">
        <v>39</v>
      </c>
      <c r="AH46" s="215" t="s">
        <v>40</v>
      </c>
      <c r="AI46" s="215" t="s">
        <v>25</v>
      </c>
      <c r="AJ46" s="219" t="s">
        <v>158</v>
      </c>
    </row>
    <row r="47" spans="1:38">
      <c r="A47" s="62">
        <v>3</v>
      </c>
      <c r="B47" s="240" t="s">
        <v>103</v>
      </c>
      <c r="C47" s="60" t="s">
        <v>117</v>
      </c>
      <c r="D47" s="62" t="s">
        <v>90</v>
      </c>
      <c r="E47" s="238">
        <f>'[2]Price&amp;Heating-Value'!$R$6</f>
        <v>3.6</v>
      </c>
      <c r="F47" s="62"/>
      <c r="G47" s="256">
        <f>'[2]Price&amp;Heating-Value'!$P$6</f>
        <v>2.7124999999999999</v>
      </c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>
        <f>SUM(H47:S47)</f>
        <v>0</v>
      </c>
      <c r="U47" s="225">
        <f>T47*E47</f>
        <v>0</v>
      </c>
      <c r="V47" s="225">
        <f>AI47</f>
        <v>0</v>
      </c>
      <c r="W47" s="227">
        <f>H47*'[2]Transfer Price2011'!$HE$459</f>
        <v>0</v>
      </c>
      <c r="X47" s="227">
        <f>I47*'[2]Transfer Price2011'!$HE$459</f>
        <v>0</v>
      </c>
      <c r="Y47" s="227">
        <f>J47*'[2]Transfer Price2011'!$HE$459</f>
        <v>0</v>
      </c>
      <c r="Z47" s="227">
        <f>K47*'[2]Transfer Price2011'!$HE$459</f>
        <v>0</v>
      </c>
      <c r="AA47" s="227">
        <f>L47*'[2]Transfer Price2011'!$HE$459</f>
        <v>0</v>
      </c>
      <c r="AB47" s="227">
        <f>M47*'[2]Transfer Price2011'!$HE$459</f>
        <v>0</v>
      </c>
      <c r="AC47" s="227">
        <f>N47*'[2]Transfer Price2011'!$HE$459</f>
        <v>0</v>
      </c>
      <c r="AD47" s="227">
        <f>O47*'[2]Transfer Price2011'!$HE$459</f>
        <v>0</v>
      </c>
      <c r="AE47" s="227">
        <f>P47*'[2]Transfer Price2011'!$HE$459</f>
        <v>0</v>
      </c>
      <c r="AF47" s="227">
        <f>Q47*'[2]Transfer Price2011'!$HE$459</f>
        <v>0</v>
      </c>
      <c r="AG47" s="227">
        <f>R47*'[2]Transfer Price2011'!$HE$459</f>
        <v>0</v>
      </c>
      <c r="AH47" s="227">
        <f>S47*'[2]Transfer Price2011'!$HE$459</f>
        <v>0</v>
      </c>
      <c r="AI47" s="214">
        <f>SUM(W47:AH47)</f>
        <v>0</v>
      </c>
      <c r="AJ47" s="228" t="e">
        <f>AI47/U47*1000</f>
        <v>#DIV/0!</v>
      </c>
      <c r="AL47" s="755">
        <f t="shared" ref="AL47:AL54" si="7">T47*12/9</f>
        <v>0</v>
      </c>
    </row>
    <row r="48" spans="1:38">
      <c r="A48" s="62"/>
      <c r="B48" s="62"/>
      <c r="C48" s="60" t="s">
        <v>146</v>
      </c>
      <c r="D48" s="62" t="s">
        <v>147</v>
      </c>
      <c r="E48" s="62">
        <f>'[2]Price&amp;Heating-Value'!$R$9</f>
        <v>2803</v>
      </c>
      <c r="F48" s="62"/>
      <c r="G48" s="230">
        <f>'[2]Price&amp;Heating-Value'!$P$9</f>
        <v>1301.5833333333333</v>
      </c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>
        <f>SUM(H48:S48)</f>
        <v>0</v>
      </c>
      <c r="U48" s="225">
        <f>T48*E48</f>
        <v>0</v>
      </c>
      <c r="V48" s="225">
        <f>AI48</f>
        <v>0</v>
      </c>
      <c r="W48" s="762">
        <f>H48*'[2]Transfer Price2011'!$HE$463</f>
        <v>0</v>
      </c>
      <c r="X48" s="762">
        <f>I48*'[2]Transfer Price2011'!$HE$463</f>
        <v>0</v>
      </c>
      <c r="Y48" s="762">
        <f>J48*'[2]Transfer Price2011'!$HE$463</f>
        <v>0</v>
      </c>
      <c r="Z48" s="762">
        <f>K48*'[2]Transfer Price2011'!$HE$463</f>
        <v>0</v>
      </c>
      <c r="AA48" s="762">
        <f>L48*'[2]Transfer Price2011'!$HE$463</f>
        <v>0</v>
      </c>
      <c r="AB48" s="762">
        <f>M48*'[2]Transfer Price2011'!$HE$463</f>
        <v>0</v>
      </c>
      <c r="AC48" s="762">
        <f>N48*'[2]Transfer Price2011'!$HE$463</f>
        <v>0</v>
      </c>
      <c r="AD48" s="762">
        <f>O48*'[2]Transfer Price2011'!$HE$463</f>
        <v>0</v>
      </c>
      <c r="AE48" s="762">
        <f>P48*'[2]Transfer Price2011'!$HE$463</f>
        <v>0</v>
      </c>
      <c r="AF48" s="762">
        <f>Q48*'[2]Transfer Price2011'!$HE$463</f>
        <v>0</v>
      </c>
      <c r="AG48" s="762">
        <f>R48*'[2]Transfer Price2011'!$HE$463</f>
        <v>0</v>
      </c>
      <c r="AH48" s="762">
        <f>S48*'[2]Transfer Price2011'!$HE$463</f>
        <v>0</v>
      </c>
      <c r="AI48" s="214">
        <f>SUM(W48:AH48)</f>
        <v>0</v>
      </c>
      <c r="AJ48" s="228" t="e">
        <f>AI48/U48*1000</f>
        <v>#DIV/0!</v>
      </c>
      <c r="AL48" s="755">
        <f t="shared" si="7"/>
        <v>0</v>
      </c>
    </row>
    <row r="49" spans="1:38">
      <c r="A49" s="62"/>
      <c r="B49" s="62"/>
      <c r="C49" s="237"/>
      <c r="D49" s="62"/>
      <c r="E49" s="62"/>
      <c r="F49" s="62"/>
      <c r="G49" s="62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>
        <f>SUM(U47:U48)</f>
        <v>0</v>
      </c>
      <c r="V49" s="768">
        <f>SUM(V47:V48)</f>
        <v>0</v>
      </c>
      <c r="W49" s="214">
        <f>SUM(W47:W48)</f>
        <v>0</v>
      </c>
      <c r="X49" s="214">
        <f t="shared" ref="X49:AI49" si="8">SUM(X47:X48)</f>
        <v>0</v>
      </c>
      <c r="Y49" s="214">
        <f t="shared" si="8"/>
        <v>0</v>
      </c>
      <c r="Z49" s="214">
        <f t="shared" si="8"/>
        <v>0</v>
      </c>
      <c r="AA49" s="214">
        <f t="shared" si="8"/>
        <v>0</v>
      </c>
      <c r="AB49" s="214">
        <f t="shared" si="8"/>
        <v>0</v>
      </c>
      <c r="AC49" s="214">
        <f t="shared" si="8"/>
        <v>0</v>
      </c>
      <c r="AD49" s="214">
        <f t="shared" si="8"/>
        <v>0</v>
      </c>
      <c r="AE49" s="214">
        <f t="shared" si="8"/>
        <v>0</v>
      </c>
      <c r="AF49" s="214">
        <f t="shared" si="8"/>
        <v>0</v>
      </c>
      <c r="AG49" s="214">
        <f t="shared" si="8"/>
        <v>0</v>
      </c>
      <c r="AH49" s="214">
        <f t="shared" si="8"/>
        <v>0</v>
      </c>
      <c r="AI49" s="214">
        <f t="shared" si="8"/>
        <v>0</v>
      </c>
      <c r="AL49" s="755">
        <f t="shared" si="7"/>
        <v>0</v>
      </c>
    </row>
    <row r="50" spans="1:38">
      <c r="A50" s="62"/>
      <c r="B50" s="233"/>
      <c r="C50" s="234" t="s">
        <v>107</v>
      </c>
      <c r="D50" s="233" t="s">
        <v>147</v>
      </c>
      <c r="E50" s="233"/>
      <c r="F50" s="233"/>
      <c r="G50" s="235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36">
        <f>SUM(H50:S50)</f>
        <v>0</v>
      </c>
      <c r="U50" s="259"/>
      <c r="V50" s="771" t="e">
        <f>V49/T50</f>
        <v>#DIV/0!</v>
      </c>
      <c r="AH50" s="219" t="s">
        <v>158</v>
      </c>
      <c r="AI50" s="219" t="e">
        <f>AI49/T54</f>
        <v>#DIV/0!</v>
      </c>
      <c r="AL50" s="772">
        <f t="shared" si="7"/>
        <v>0</v>
      </c>
    </row>
    <row r="51" spans="1:38">
      <c r="A51" s="62"/>
      <c r="B51" s="62"/>
      <c r="C51" s="60"/>
      <c r="D51" s="62"/>
      <c r="E51" s="62"/>
      <c r="F51" s="62"/>
      <c r="G51" s="62"/>
      <c r="H51" s="265"/>
      <c r="I51" s="265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25"/>
      <c r="U51" s="225"/>
      <c r="V51" s="771" t="s">
        <v>137</v>
      </c>
      <c r="AL51" s="755">
        <f t="shared" si="7"/>
        <v>0</v>
      </c>
    </row>
    <row r="52" spans="1:38">
      <c r="A52" s="62"/>
      <c r="B52" s="62"/>
      <c r="C52" s="60" t="s">
        <v>138</v>
      </c>
      <c r="D52" s="62" t="s">
        <v>173</v>
      </c>
      <c r="E52" s="62"/>
      <c r="F52" s="62"/>
      <c r="G52" s="62"/>
      <c r="H52" s="225">
        <f t="shared" ref="H52" si="9">H47*$E$47/1000</f>
        <v>0</v>
      </c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>
        <f>SUM(H52:S52)</f>
        <v>0</v>
      </c>
      <c r="U52" s="225"/>
      <c r="V52" s="225"/>
      <c r="AL52" s="755">
        <f t="shared" si="7"/>
        <v>0</v>
      </c>
    </row>
    <row r="53" spans="1:38">
      <c r="A53" s="62"/>
      <c r="B53" s="62"/>
      <c r="C53" s="60" t="s">
        <v>152</v>
      </c>
      <c r="D53" s="62" t="s">
        <v>173</v>
      </c>
      <c r="E53" s="62"/>
      <c r="F53" s="62"/>
      <c r="G53" s="62"/>
      <c r="H53" s="225">
        <f t="shared" ref="H53" si="10">H48*$E$48/1000</f>
        <v>0</v>
      </c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>
        <f>SUM(H53:S53)</f>
        <v>0</v>
      </c>
      <c r="U53" s="225"/>
      <c r="V53" s="225"/>
      <c r="AL53" s="755">
        <f t="shared" si="7"/>
        <v>0</v>
      </c>
    </row>
    <row r="54" spans="1:38">
      <c r="A54" s="62"/>
      <c r="B54" s="62"/>
      <c r="C54" s="237" t="s">
        <v>358</v>
      </c>
      <c r="D54" s="62" t="s">
        <v>173</v>
      </c>
      <c r="E54" s="1790" t="s">
        <v>359</v>
      </c>
      <c r="F54" s="1791"/>
      <c r="G54" s="1792"/>
      <c r="H54" s="225">
        <f t="shared" ref="H54" si="11">SUM(H52:H53)</f>
        <v>0</v>
      </c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42">
        <f>SUM(H54:S54)</f>
        <v>0</v>
      </c>
      <c r="U54" s="225">
        <f>T54*12/11</f>
        <v>0</v>
      </c>
      <c r="V54" s="271" t="e">
        <f>V49/T54</f>
        <v>#DIV/0!</v>
      </c>
      <c r="AL54" s="755">
        <f t="shared" si="7"/>
        <v>0</v>
      </c>
    </row>
    <row r="55" spans="1:38">
      <c r="A55" s="62"/>
      <c r="B55" s="62"/>
      <c r="C55" s="237" t="s">
        <v>345</v>
      </c>
      <c r="D55" s="62" t="s">
        <v>173</v>
      </c>
      <c r="E55" s="782" t="s">
        <v>360</v>
      </c>
      <c r="F55" s="782">
        <v>85.885325498775998</v>
      </c>
      <c r="G55" s="782"/>
      <c r="H55" s="783">
        <f>IF(H50=0,0,((356.36*H50)+250.18)*100/$F$55)</f>
        <v>0</v>
      </c>
      <c r="I55" s="783"/>
      <c r="J55" s="783"/>
      <c r="K55" s="783"/>
      <c r="L55" s="783"/>
      <c r="M55" s="783"/>
      <c r="N55" s="783"/>
      <c r="O55" s="783"/>
      <c r="P55" s="783"/>
      <c r="Q55" s="783"/>
      <c r="R55" s="783"/>
      <c r="S55" s="783"/>
      <c r="T55" s="225">
        <f>SUM(H55:S55)</f>
        <v>0</v>
      </c>
      <c r="U55" s="225">
        <f>T55*12/11</f>
        <v>0</v>
      </c>
      <c r="V55" s="271" t="s">
        <v>158</v>
      </c>
      <c r="AL55" s="231" t="e">
        <f>AL54*100/T59</f>
        <v>#DIV/0!</v>
      </c>
    </row>
    <row r="56" spans="1:38">
      <c r="A56" s="62"/>
      <c r="B56" s="243" t="s">
        <v>174</v>
      </c>
      <c r="C56" s="244" t="s">
        <v>89</v>
      </c>
      <c r="D56" s="243" t="s">
        <v>347</v>
      </c>
      <c r="E56" s="243"/>
      <c r="F56" s="243"/>
      <c r="G56" s="248"/>
      <c r="H56" s="245" t="e">
        <f t="shared" ref="H56" si="12">H52/H50</f>
        <v>#DIV/0!</v>
      </c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 t="e">
        <f>T52/T50</f>
        <v>#DIV/0!</v>
      </c>
      <c r="U56" s="246"/>
      <c r="V56" s="246"/>
    </row>
    <row r="57" spans="1:38">
      <c r="A57" s="62"/>
      <c r="B57" s="243"/>
      <c r="C57" s="244" t="s">
        <v>110</v>
      </c>
      <c r="D57" s="243" t="s">
        <v>347</v>
      </c>
      <c r="E57" s="243"/>
      <c r="F57" s="243"/>
      <c r="G57" s="248"/>
      <c r="H57" s="245" t="e">
        <f t="shared" ref="H57" si="13">H53/H50</f>
        <v>#DIV/0!</v>
      </c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 t="e">
        <f>T53/T50</f>
        <v>#DIV/0!</v>
      </c>
      <c r="U57" s="246"/>
      <c r="V57" s="246"/>
    </row>
    <row r="58" spans="1:38" ht="23.25">
      <c r="A58" s="62"/>
      <c r="B58" s="243"/>
      <c r="C58" s="249" t="s">
        <v>361</v>
      </c>
      <c r="D58" s="243" t="s">
        <v>347</v>
      </c>
      <c r="E58" s="243"/>
      <c r="F58" s="243"/>
      <c r="G58" s="248"/>
      <c r="H58" s="245" t="e">
        <f t="shared" ref="H58" si="14">H54/H50</f>
        <v>#DIV/0!</v>
      </c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50" t="e">
        <f>T54/T50</f>
        <v>#DIV/0!</v>
      </c>
      <c r="U58" s="246"/>
      <c r="V58" s="246"/>
    </row>
    <row r="59" spans="1:38">
      <c r="A59" s="62"/>
      <c r="B59" s="243"/>
      <c r="C59" s="249" t="s">
        <v>362</v>
      </c>
      <c r="D59" s="243"/>
      <c r="E59" s="243"/>
      <c r="F59" s="243"/>
      <c r="G59" s="243"/>
      <c r="H59" s="251" t="e">
        <f t="shared" ref="H59" si="15">H54/H55*100</f>
        <v>#DIV/0!</v>
      </c>
      <c r="I59" s="251"/>
      <c r="J59" s="251"/>
      <c r="K59" s="251"/>
      <c r="L59" s="251"/>
      <c r="M59" s="251"/>
      <c r="N59" s="251"/>
      <c r="O59" s="251"/>
      <c r="P59" s="251"/>
      <c r="Q59" s="251"/>
      <c r="R59" s="251"/>
      <c r="S59" s="251"/>
      <c r="T59" s="251" t="e">
        <f>T54/T55*100</f>
        <v>#DIV/0!</v>
      </c>
      <c r="U59" s="225"/>
      <c r="V59" s="225"/>
      <c r="W59" s="214" t="s">
        <v>29</v>
      </c>
      <c r="X59" s="215" t="s">
        <v>30</v>
      </c>
      <c r="Y59" s="215" t="s">
        <v>31</v>
      </c>
      <c r="Z59" s="215" t="s">
        <v>32</v>
      </c>
      <c r="AA59" s="215" t="s">
        <v>33</v>
      </c>
      <c r="AB59" s="215" t="s">
        <v>34</v>
      </c>
      <c r="AC59" s="215" t="s">
        <v>35</v>
      </c>
      <c r="AD59" s="215" t="s">
        <v>36</v>
      </c>
      <c r="AE59" s="215" t="s">
        <v>37</v>
      </c>
      <c r="AF59" s="215" t="s">
        <v>38</v>
      </c>
      <c r="AG59" s="215" t="s">
        <v>39</v>
      </c>
      <c r="AH59" s="215" t="s">
        <v>40</v>
      </c>
      <c r="AI59" s="215" t="s">
        <v>25</v>
      </c>
      <c r="AJ59" s="219" t="s">
        <v>158</v>
      </c>
      <c r="AL59" s="252" t="e">
        <f>AL54/AL55*100</f>
        <v>#DIV/0!</v>
      </c>
    </row>
    <row r="60" spans="1:38">
      <c r="A60" s="62">
        <v>4</v>
      </c>
      <c r="B60" s="240" t="s">
        <v>51</v>
      </c>
      <c r="C60" s="60" t="s">
        <v>117</v>
      </c>
      <c r="D60" s="62" t="s">
        <v>90</v>
      </c>
      <c r="E60" s="238">
        <f>'[2]Price&amp;Heating-Value'!$R$6</f>
        <v>3.6</v>
      </c>
      <c r="F60" s="62"/>
      <c r="G60" s="256">
        <f>'[2]Price&amp;Heating-Value'!$P$6</f>
        <v>2.7124999999999999</v>
      </c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>
        <f>SUM(H60:S60)</f>
        <v>0</v>
      </c>
      <c r="U60" s="225">
        <f>T60*E60</f>
        <v>0</v>
      </c>
      <c r="V60" s="225">
        <f>AI60</f>
        <v>0</v>
      </c>
      <c r="W60" s="227">
        <f>H60*'[2]Transfer Price2011'!$HE$459</f>
        <v>0</v>
      </c>
      <c r="X60" s="227">
        <f>I60*'[2]Transfer Price2011'!$HE$459</f>
        <v>0</v>
      </c>
      <c r="Y60" s="227">
        <f>J60*'[2]Transfer Price2011'!$HE$459</f>
        <v>0</v>
      </c>
      <c r="Z60" s="227">
        <f>K60*'[2]Transfer Price2011'!$HE$459</f>
        <v>0</v>
      </c>
      <c r="AA60" s="227">
        <f>L60*'[2]Transfer Price2011'!$HE$459</f>
        <v>0</v>
      </c>
      <c r="AB60" s="227">
        <f>M60*'[2]Transfer Price2011'!$HE$459</f>
        <v>0</v>
      </c>
      <c r="AC60" s="227">
        <f>N60*'[2]Transfer Price2011'!$HE$459</f>
        <v>0</v>
      </c>
      <c r="AD60" s="227">
        <f>O60*'[2]Transfer Price2011'!$HE$459</f>
        <v>0</v>
      </c>
      <c r="AE60" s="227">
        <f>P60*'[2]Transfer Price2011'!$HE$459</f>
        <v>0</v>
      </c>
      <c r="AF60" s="227">
        <f>Q60*'[2]Transfer Price2011'!$HE$459</f>
        <v>0</v>
      </c>
      <c r="AG60" s="227">
        <f>R60*'[2]Transfer Price2011'!$HE$459</f>
        <v>0</v>
      </c>
      <c r="AH60" s="227">
        <f>S60*'[2]Transfer Price2011'!$HE$459</f>
        <v>0</v>
      </c>
      <c r="AI60" s="214">
        <f>SUM(W60:AH60)</f>
        <v>0</v>
      </c>
      <c r="AJ60" s="228" t="e">
        <f>AI60/U60*1000</f>
        <v>#DIV/0!</v>
      </c>
      <c r="AL60" s="755">
        <f t="shared" ref="AL60:AL64" si="16">T60*12/9</f>
        <v>0</v>
      </c>
    </row>
    <row r="61" spans="1:38">
      <c r="A61" s="62"/>
      <c r="B61" s="62"/>
      <c r="C61" s="237" t="s">
        <v>363</v>
      </c>
      <c r="D61" s="62"/>
      <c r="E61" s="62"/>
      <c r="F61" s="62"/>
      <c r="G61" s="62"/>
      <c r="H61" s="257"/>
      <c r="I61" s="257"/>
      <c r="J61" s="257"/>
      <c r="K61" s="257"/>
      <c r="L61" s="257"/>
      <c r="M61" s="257"/>
      <c r="N61" s="257"/>
      <c r="O61" s="257"/>
      <c r="P61" s="257"/>
      <c r="Q61" s="257"/>
      <c r="R61" s="257"/>
      <c r="S61" s="257"/>
      <c r="T61" s="257">
        <f>T60*3.6</f>
        <v>0</v>
      </c>
      <c r="U61" s="225"/>
      <c r="V61" s="225"/>
      <c r="AH61" s="219" t="s">
        <v>158</v>
      </c>
      <c r="AI61" s="219" t="e">
        <f>AI60/T64</f>
        <v>#DIV/0!</v>
      </c>
      <c r="AJ61" s="228"/>
      <c r="AL61" s="755">
        <f t="shared" si="16"/>
        <v>0</v>
      </c>
    </row>
    <row r="62" spans="1:38">
      <c r="A62" s="62"/>
      <c r="B62" s="233"/>
      <c r="C62" s="234" t="s">
        <v>107</v>
      </c>
      <c r="D62" s="233" t="s">
        <v>147</v>
      </c>
      <c r="E62" s="233"/>
      <c r="F62" s="233"/>
      <c r="G62" s="235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36">
        <f>SUM(H62:S62)</f>
        <v>0</v>
      </c>
      <c r="U62" s="259"/>
      <c r="V62" s="771" t="e">
        <f>V60/T62</f>
        <v>#DIV/0!</v>
      </c>
      <c r="AL62" s="772">
        <f t="shared" si="16"/>
        <v>0</v>
      </c>
    </row>
    <row r="63" spans="1:38">
      <c r="A63" s="62"/>
      <c r="B63" s="62"/>
      <c r="C63" s="60"/>
      <c r="D63" s="62"/>
      <c r="E63" s="1793" t="s">
        <v>364</v>
      </c>
      <c r="F63" s="1794"/>
      <c r="G63" s="179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771" t="s">
        <v>137</v>
      </c>
      <c r="AL63" s="755">
        <f t="shared" si="16"/>
        <v>0</v>
      </c>
    </row>
    <row r="64" spans="1:38">
      <c r="A64" s="62"/>
      <c r="B64" s="62"/>
      <c r="C64" s="60" t="s">
        <v>138</v>
      </c>
      <c r="D64" s="62" t="s">
        <v>173</v>
      </c>
      <c r="E64" s="266" t="s">
        <v>365</v>
      </c>
      <c r="F64" s="267">
        <v>95.88</v>
      </c>
      <c r="G64" s="268"/>
      <c r="H64" s="225">
        <f t="shared" ref="H64" si="17">H60*$E$60/1000</f>
        <v>0</v>
      </c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42">
        <f>SUM(H64:S64)</f>
        <v>0</v>
      </c>
      <c r="U64" s="225">
        <f>T64*12/11</f>
        <v>0</v>
      </c>
      <c r="V64" s="271" t="e">
        <f>V60/T64</f>
        <v>#DIV/0!</v>
      </c>
      <c r="AL64" s="755">
        <f t="shared" si="16"/>
        <v>0</v>
      </c>
    </row>
    <row r="65" spans="1:38">
      <c r="A65" s="62"/>
      <c r="B65" s="62"/>
      <c r="C65" s="237" t="s">
        <v>345</v>
      </c>
      <c r="D65" s="62" t="s">
        <v>173</v>
      </c>
      <c r="E65" s="240" t="s">
        <v>360</v>
      </c>
      <c r="F65" s="266">
        <v>91.866152242205203</v>
      </c>
      <c r="G65" s="240"/>
      <c r="H65" s="231">
        <f t="shared" ref="H65" si="18">(0.2226*H62*(95.88/100)*($F$65/100)) + (786.59*0.98)</f>
        <v>770.85820000000001</v>
      </c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42">
        <f>SUM(H65:S65)</f>
        <v>770.85820000000001</v>
      </c>
      <c r="U65" s="225">
        <f>T65*12/11</f>
        <v>840.93621818181816</v>
      </c>
      <c r="V65" s="271" t="s">
        <v>158</v>
      </c>
      <c r="AL65" s="231" t="e">
        <f>AL64*100/T67</f>
        <v>#DIV/0!</v>
      </c>
    </row>
    <row r="66" spans="1:38" ht="23.25">
      <c r="A66" s="62"/>
      <c r="B66" s="243"/>
      <c r="C66" s="249" t="s">
        <v>366</v>
      </c>
      <c r="D66" s="243" t="s">
        <v>347</v>
      </c>
      <c r="E66" s="243"/>
      <c r="F66" s="243"/>
      <c r="G66" s="248"/>
      <c r="H66" s="245" t="e">
        <f t="shared" ref="H66" si="19">H64/H62</f>
        <v>#DIV/0!</v>
      </c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50" t="e">
        <f>T64/T62</f>
        <v>#DIV/0!</v>
      </c>
      <c r="U66" s="246"/>
      <c r="V66" s="246"/>
    </row>
    <row r="67" spans="1:38">
      <c r="A67" s="62"/>
      <c r="B67" s="243"/>
      <c r="C67" s="249" t="s">
        <v>367</v>
      </c>
      <c r="D67" s="243"/>
      <c r="E67" s="243"/>
      <c r="F67" s="243"/>
      <c r="G67" s="243"/>
      <c r="H67" s="784">
        <f t="shared" ref="H67:T67" si="20">H64/H65*100</f>
        <v>0</v>
      </c>
      <c r="I67" s="784"/>
      <c r="J67" s="784"/>
      <c r="K67" s="784"/>
      <c r="L67" s="784"/>
      <c r="M67" s="784"/>
      <c r="N67" s="784"/>
      <c r="O67" s="784"/>
      <c r="P67" s="784"/>
      <c r="Q67" s="784"/>
      <c r="R67" s="784"/>
      <c r="S67" s="784"/>
      <c r="T67" s="269">
        <f t="shared" si="20"/>
        <v>0</v>
      </c>
      <c r="U67" s="225"/>
      <c r="V67" s="225"/>
      <c r="W67" s="214" t="s">
        <v>29</v>
      </c>
      <c r="X67" s="215" t="s">
        <v>30</v>
      </c>
      <c r="Y67" s="215" t="s">
        <v>31</v>
      </c>
      <c r="Z67" s="215" t="s">
        <v>32</v>
      </c>
      <c r="AA67" s="215" t="s">
        <v>33</v>
      </c>
      <c r="AB67" s="215" t="s">
        <v>34</v>
      </c>
      <c r="AC67" s="215" t="s">
        <v>35</v>
      </c>
      <c r="AD67" s="215" t="s">
        <v>36</v>
      </c>
      <c r="AE67" s="215" t="s">
        <v>37</v>
      </c>
      <c r="AF67" s="215" t="s">
        <v>38</v>
      </c>
      <c r="AG67" s="215" t="s">
        <v>39</v>
      </c>
      <c r="AH67" s="215" t="s">
        <v>40</v>
      </c>
      <c r="AI67" s="215" t="s">
        <v>25</v>
      </c>
      <c r="AJ67" s="219" t="s">
        <v>158</v>
      </c>
      <c r="AL67" s="252" t="e">
        <f>AL64/AL65*100</f>
        <v>#DIV/0!</v>
      </c>
    </row>
    <row r="68" spans="1:38">
      <c r="A68" s="62">
        <v>5</v>
      </c>
      <c r="B68" s="240" t="s">
        <v>48</v>
      </c>
      <c r="C68" s="60" t="s">
        <v>117</v>
      </c>
      <c r="D68" s="62" t="s">
        <v>90</v>
      </c>
      <c r="E68" s="238">
        <f>'[2]Price&amp;Heating-Value'!$R$6</f>
        <v>3.6</v>
      </c>
      <c r="F68" s="62"/>
      <c r="G68" s="256">
        <f>'[2]Price&amp;Heating-Value'!$P$6</f>
        <v>2.7124999999999999</v>
      </c>
      <c r="H68" s="225">
        <v>194714</v>
      </c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>
        <f>SUM(H68:S68)</f>
        <v>194714</v>
      </c>
      <c r="U68" s="225">
        <f>T68*E68</f>
        <v>700970.4</v>
      </c>
      <c r="V68" s="225">
        <f>AI68</f>
        <v>582194.86</v>
      </c>
      <c r="W68" s="227">
        <f>H68*'[2]Transfer Price2011'!$HE$459</f>
        <v>582194.86</v>
      </c>
      <c r="X68" s="227">
        <f>I68*'[2]Transfer Price2011'!$HE$459</f>
        <v>0</v>
      </c>
      <c r="Y68" s="227">
        <f>J68*'[2]Transfer Price2011'!$HE$459</f>
        <v>0</v>
      </c>
      <c r="Z68" s="227">
        <f>K68*'[2]Transfer Price2011'!$HE$459</f>
        <v>0</v>
      </c>
      <c r="AA68" s="227">
        <f>L68*'[2]Transfer Price2011'!$HE$459</f>
        <v>0</v>
      </c>
      <c r="AB68" s="227">
        <f>M68*'[2]Transfer Price2011'!$HE$459</f>
        <v>0</v>
      </c>
      <c r="AC68" s="227">
        <f>N68*'[2]Transfer Price2011'!$HE$459</f>
        <v>0</v>
      </c>
      <c r="AD68" s="227">
        <f>O68*'[2]Transfer Price2011'!$HE$459</f>
        <v>0</v>
      </c>
      <c r="AE68" s="227">
        <f>P68*'[2]Transfer Price2011'!$HE$459</f>
        <v>0</v>
      </c>
      <c r="AF68" s="227">
        <f>Q68*'[2]Transfer Price2011'!$HE$459</f>
        <v>0</v>
      </c>
      <c r="AG68" s="227">
        <f>R68*'[2]Transfer Price2011'!$HE$459</f>
        <v>0</v>
      </c>
      <c r="AH68" s="227">
        <f>S68*'[2]Transfer Price2011'!$HE$459</f>
        <v>0</v>
      </c>
      <c r="AI68" s="214">
        <f>SUM(W68:AH68)</f>
        <v>582194.86</v>
      </c>
      <c r="AJ68" s="228">
        <f>AI68/U68*1000</f>
        <v>830.55555555555554</v>
      </c>
      <c r="AL68" s="755">
        <f t="shared" ref="AL68:AL75" si="21">T68*12/9</f>
        <v>259618.66666666666</v>
      </c>
    </row>
    <row r="69" spans="1:38">
      <c r="A69" s="62"/>
      <c r="B69" s="62"/>
      <c r="C69" s="60" t="s">
        <v>159</v>
      </c>
      <c r="D69" s="62" t="s">
        <v>160</v>
      </c>
      <c r="E69" s="62">
        <f>'[2]Price&amp;Heating-Value'!$R$18/'[2]Price&amp;Heating-Value'!$T$18/1000</f>
        <v>36.42</v>
      </c>
      <c r="F69" s="238">
        <f>'[2]Price&amp;Heating-Value'!$T$18</f>
        <v>0.83520000000000005</v>
      </c>
      <c r="G69" s="230">
        <f>'[2]Price&amp;Heating-Value'!$P$18*'[2]Price&amp;Heating-Value'!$T$18/1000</f>
        <v>25.160039938320001</v>
      </c>
      <c r="H69" s="225">
        <v>838</v>
      </c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>
        <f>SUM(H69:S69)</f>
        <v>838</v>
      </c>
      <c r="U69" s="225">
        <f>T69*E69</f>
        <v>30519.960000000003</v>
      </c>
      <c r="V69" s="225">
        <f>AI69</f>
        <v>32340.584231321842</v>
      </c>
      <c r="W69" s="227">
        <f>H69*'[2]Transfer Price2011'!$HE$327*'[2]Transfer Price2011'!$HE$5/1000/$F$69</f>
        <v>32340.584231321842</v>
      </c>
      <c r="X69" s="227">
        <f>I69*'[2]Transfer Price2011'!$HE$327*'[2]Transfer Price2011'!$HE$5/1000/$F$69</f>
        <v>0</v>
      </c>
      <c r="Y69" s="227">
        <f>J69*'[2]Transfer Price2011'!$HE$327*'[2]Transfer Price2011'!$HE$5/1000/$F$69</f>
        <v>0</v>
      </c>
      <c r="Z69" s="227">
        <f>K69*'[2]Transfer Price2011'!$HE$327*'[2]Transfer Price2011'!$HE$5/1000/$F$69</f>
        <v>0</v>
      </c>
      <c r="AA69" s="227">
        <f>L69*'[2]Transfer Price2011'!$HE$327*'[2]Transfer Price2011'!$HE$5/1000/$F$69</f>
        <v>0</v>
      </c>
      <c r="AB69" s="227">
        <f>M69*'[2]Transfer Price2011'!$HE$327*'[2]Transfer Price2011'!$HE$5/1000/$F$69</f>
        <v>0</v>
      </c>
      <c r="AC69" s="227">
        <f>N69*'[2]Transfer Price2011'!$HE$327*'[2]Transfer Price2011'!$HE$5/1000/$F$69</f>
        <v>0</v>
      </c>
      <c r="AD69" s="227">
        <f>O69*'[2]Transfer Price2011'!$HE$327*'[2]Transfer Price2011'!$HE$5/1000/$F$69</f>
        <v>0</v>
      </c>
      <c r="AE69" s="227">
        <f>P69*'[2]Transfer Price2011'!$HE$327*'[2]Transfer Price2011'!$HE$5/1000/$F$69</f>
        <v>0</v>
      </c>
      <c r="AF69" s="227">
        <f>Q69*'[2]Transfer Price2011'!$HE$327*'[2]Transfer Price2011'!$HE$5/1000/$F$69</f>
        <v>0</v>
      </c>
      <c r="AG69" s="227">
        <f>R69*'[2]Transfer Price2011'!$HE$327*'[2]Transfer Price2011'!$HE$5/1000/$F$69</f>
        <v>0</v>
      </c>
      <c r="AH69" s="227">
        <f>S69*'[2]Transfer Price2011'!$HE$327*'[2]Transfer Price2011'!$HE$5/1000/$F$69</f>
        <v>0</v>
      </c>
      <c r="AI69" s="214">
        <f>SUM(W69:AH69)</f>
        <v>32340.584231321842</v>
      </c>
      <c r="AJ69" s="228">
        <f>AI69/U69*1000</f>
        <v>1059.6535588946329</v>
      </c>
      <c r="AL69" s="755">
        <f t="shared" si="21"/>
        <v>1117.3333333333333</v>
      </c>
    </row>
    <row r="70" spans="1:38">
      <c r="A70" s="62"/>
      <c r="B70" s="62"/>
      <c r="C70" s="237"/>
      <c r="D70" s="62"/>
      <c r="E70" s="62"/>
      <c r="F70" s="62"/>
      <c r="G70" s="62" t="s">
        <v>368</v>
      </c>
      <c r="H70" s="257"/>
      <c r="I70" s="257"/>
      <c r="J70" s="257"/>
      <c r="K70" s="257"/>
      <c r="L70" s="257"/>
      <c r="M70" s="257"/>
      <c r="N70" s="257"/>
      <c r="O70" s="257"/>
      <c r="P70" s="257"/>
      <c r="Q70" s="257"/>
      <c r="R70" s="257"/>
      <c r="S70" s="257"/>
      <c r="T70" s="257"/>
      <c r="U70" s="257">
        <f>SUM(U68:U69)</f>
        <v>731490.36</v>
      </c>
      <c r="V70" s="768">
        <f>AI70</f>
        <v>614535.4442313218</v>
      </c>
      <c r="W70" s="214">
        <f>SUM(W68:W69)</f>
        <v>614535.4442313218</v>
      </c>
      <c r="X70" s="214">
        <f t="shared" ref="X70:AH70" si="22">SUM(X68:X69)</f>
        <v>0</v>
      </c>
      <c r="Y70" s="214">
        <f t="shared" si="22"/>
        <v>0</v>
      </c>
      <c r="Z70" s="214">
        <f t="shared" si="22"/>
        <v>0</v>
      </c>
      <c r="AA70" s="214">
        <f t="shared" si="22"/>
        <v>0</v>
      </c>
      <c r="AB70" s="214">
        <f t="shared" si="22"/>
        <v>0</v>
      </c>
      <c r="AC70" s="214">
        <f t="shared" si="22"/>
        <v>0</v>
      </c>
      <c r="AD70" s="214">
        <f t="shared" si="22"/>
        <v>0</v>
      </c>
      <c r="AE70" s="214">
        <f t="shared" si="22"/>
        <v>0</v>
      </c>
      <c r="AF70" s="214">
        <f t="shared" si="22"/>
        <v>0</v>
      </c>
      <c r="AG70" s="214">
        <f t="shared" si="22"/>
        <v>0</v>
      </c>
      <c r="AH70" s="214">
        <f t="shared" si="22"/>
        <v>0</v>
      </c>
      <c r="AI70" s="214">
        <f>SUM(W70:AH70)</f>
        <v>614535.4442313218</v>
      </c>
      <c r="AL70" s="755">
        <f t="shared" si="21"/>
        <v>0</v>
      </c>
    </row>
    <row r="71" spans="1:38">
      <c r="A71" s="62"/>
      <c r="B71" s="233"/>
      <c r="C71" s="234" t="s">
        <v>107</v>
      </c>
      <c r="D71" s="233" t="s">
        <v>147</v>
      </c>
      <c r="E71" s="233"/>
      <c r="F71" s="233"/>
      <c r="G71" s="235">
        <v>4595.9470000000001</v>
      </c>
      <c r="H71" s="264">
        <v>1071.28</v>
      </c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36">
        <f>SUM(H71:S71)</f>
        <v>1071.28</v>
      </c>
      <c r="U71" s="259"/>
      <c r="V71" s="785">
        <f>V70/T71</f>
        <v>573.6459601890466</v>
      </c>
      <c r="AH71" s="219" t="s">
        <v>158</v>
      </c>
      <c r="AI71" s="219">
        <f>AI70/T75</f>
        <v>840.11420769963638</v>
      </c>
      <c r="AL71" s="772">
        <f t="shared" si="21"/>
        <v>1428.3733333333334</v>
      </c>
    </row>
    <row r="72" spans="1:38">
      <c r="A72" s="62"/>
      <c r="B72" s="62"/>
      <c r="C72" s="60"/>
      <c r="D72" s="62"/>
      <c r="E72" s="62"/>
      <c r="F72" s="62"/>
      <c r="G72" s="62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771" t="s">
        <v>137</v>
      </c>
      <c r="AL72" s="755">
        <f t="shared" si="21"/>
        <v>0</v>
      </c>
    </row>
    <row r="73" spans="1:38">
      <c r="A73" s="62"/>
      <c r="B73" s="62"/>
      <c r="C73" s="60" t="s">
        <v>138</v>
      </c>
      <c r="D73" s="62" t="s">
        <v>173</v>
      </c>
      <c r="E73" s="62"/>
      <c r="F73" s="62"/>
      <c r="G73" s="62"/>
      <c r="H73" s="225">
        <f t="shared" ref="H73" si="23">H68*$E$68/1000</f>
        <v>700.97040000000004</v>
      </c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>
        <f>SUM(H73:S73)</f>
        <v>700.97040000000004</v>
      </c>
      <c r="U73" s="225"/>
      <c r="V73" s="257"/>
      <c r="AL73" s="755">
        <f t="shared" si="21"/>
        <v>934.62720000000002</v>
      </c>
    </row>
    <row r="74" spans="1:38">
      <c r="A74" s="62"/>
      <c r="B74" s="62"/>
      <c r="C74" s="60" t="s">
        <v>161</v>
      </c>
      <c r="D74" s="62" t="s">
        <v>173</v>
      </c>
      <c r="E74" s="1780" t="s">
        <v>369</v>
      </c>
      <c r="F74" s="1781"/>
      <c r="G74" s="1782"/>
      <c r="H74" s="225">
        <f t="shared" ref="H74" si="24">H69*$E$69/1000</f>
        <v>30.519960000000001</v>
      </c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>
        <f>SUM(H74:S74)</f>
        <v>30.519960000000001</v>
      </c>
      <c r="U74" s="225"/>
      <c r="V74" s="257"/>
      <c r="AL74" s="755">
        <f t="shared" si="21"/>
        <v>40.693280000000001</v>
      </c>
    </row>
    <row r="75" spans="1:38">
      <c r="A75" s="62"/>
      <c r="B75" s="62"/>
      <c r="C75" s="237" t="s">
        <v>370</v>
      </c>
      <c r="D75" s="62" t="s">
        <v>173</v>
      </c>
      <c r="E75" s="240" t="s">
        <v>365</v>
      </c>
      <c r="F75" s="240">
        <v>108.5</v>
      </c>
      <c r="G75" s="240"/>
      <c r="H75" s="225">
        <f t="shared" ref="H75" si="25">SUM(H73:H74)</f>
        <v>731.49036000000001</v>
      </c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71">
        <f>SUM(H75:S75)</f>
        <v>731.49036000000001</v>
      </c>
      <c r="U75" s="225">
        <f>T75*12/11</f>
        <v>797.98948363636373</v>
      </c>
      <c r="V75" s="271">
        <f>V70/T75</f>
        <v>840.11420769963638</v>
      </c>
      <c r="AL75" s="755">
        <f t="shared" si="21"/>
        <v>975.32048000000009</v>
      </c>
    </row>
    <row r="76" spans="1:38">
      <c r="A76" s="62"/>
      <c r="B76" s="62"/>
      <c r="C76" s="237" t="s">
        <v>345</v>
      </c>
      <c r="D76" s="62" t="s">
        <v>173</v>
      </c>
      <c r="E76" s="240" t="s">
        <v>360</v>
      </c>
      <c r="F76" s="240">
        <v>93.066853784357193</v>
      </c>
      <c r="G76" s="240"/>
      <c r="H76" s="231">
        <f t="shared" ref="H76" si="26">(( 1.4753*H71)*(108.5/100)*($F$76/100)) - 500.51</f>
        <v>1095.3989490708491</v>
      </c>
      <c r="I76" s="231"/>
      <c r="J76" s="231"/>
      <c r="K76" s="231"/>
      <c r="L76" s="231"/>
      <c r="M76" s="231"/>
      <c r="N76" s="231"/>
      <c r="O76" s="231"/>
      <c r="P76" s="231"/>
      <c r="Q76" s="231"/>
      <c r="R76" s="231"/>
      <c r="S76" s="231"/>
      <c r="T76" s="271">
        <f>SUM(H76:S76)</f>
        <v>1095.3989490708491</v>
      </c>
      <c r="U76" s="225">
        <f>T76*12/11</f>
        <v>1194.9806717136535</v>
      </c>
      <c r="V76" s="271" t="s">
        <v>158</v>
      </c>
      <c r="AL76" s="231">
        <f>AL75*100/T78</f>
        <v>1460.5319320944657</v>
      </c>
    </row>
    <row r="77" spans="1:38" ht="23.25">
      <c r="A77" s="62"/>
      <c r="B77" s="243"/>
      <c r="C77" s="249" t="s">
        <v>371</v>
      </c>
      <c r="D77" s="243" t="s">
        <v>347</v>
      </c>
      <c r="E77" s="243"/>
      <c r="F77" s="243"/>
      <c r="G77" s="248"/>
      <c r="H77" s="245">
        <f t="shared" ref="H77" si="27">H75/$H$71</f>
        <v>0.68281902023747298</v>
      </c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50">
        <f>T75/T71</f>
        <v>0.68281902023747298</v>
      </c>
      <c r="U77" s="246"/>
      <c r="V77" s="246"/>
    </row>
    <row r="78" spans="1:38">
      <c r="A78" s="62"/>
      <c r="B78" s="243"/>
      <c r="C78" s="249" t="s">
        <v>372</v>
      </c>
      <c r="D78" s="243"/>
      <c r="E78" s="243"/>
      <c r="F78" s="243"/>
      <c r="G78" s="248"/>
      <c r="H78" s="251">
        <f t="shared" ref="H78" si="28">H75/H76*100</f>
        <v>66.778442741840536</v>
      </c>
      <c r="I78" s="251"/>
      <c r="J78" s="251"/>
      <c r="K78" s="251"/>
      <c r="L78" s="251"/>
      <c r="M78" s="251"/>
      <c r="N78" s="251"/>
      <c r="O78" s="251"/>
      <c r="P78" s="251"/>
      <c r="Q78" s="251"/>
      <c r="R78" s="251"/>
      <c r="S78" s="251"/>
      <c r="T78" s="251">
        <f>T75/T76*100</f>
        <v>66.778442741840536</v>
      </c>
      <c r="U78" s="246"/>
      <c r="V78" s="246"/>
      <c r="AL78" s="252">
        <f>AL75/AL76*100</f>
        <v>66.778442741840536</v>
      </c>
    </row>
    <row r="79" spans="1:38">
      <c r="A79" s="62">
        <v>6</v>
      </c>
      <c r="B79" s="272" t="s">
        <v>63</v>
      </c>
      <c r="C79" s="237"/>
      <c r="D79" s="62"/>
      <c r="E79" s="62"/>
      <c r="F79" s="62"/>
      <c r="G79" s="62"/>
      <c r="H79" s="262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25"/>
      <c r="V79" s="225"/>
    </row>
    <row r="80" spans="1:38">
      <c r="A80" s="62"/>
      <c r="B80" s="237">
        <v>6.1</v>
      </c>
      <c r="C80" s="273" t="s">
        <v>162</v>
      </c>
      <c r="D80" s="62"/>
      <c r="E80" s="62"/>
      <c r="F80" s="62"/>
      <c r="G80" s="62"/>
      <c r="H80" s="257"/>
      <c r="I80" s="257"/>
      <c r="J80" s="257"/>
      <c r="K80" s="257"/>
      <c r="L80" s="257"/>
      <c r="M80" s="257"/>
      <c r="N80" s="257"/>
      <c r="O80" s="257"/>
      <c r="P80" s="257"/>
      <c r="Q80" s="257"/>
      <c r="R80" s="257"/>
      <c r="S80" s="257"/>
      <c r="T80" s="257"/>
      <c r="U80" s="225"/>
      <c r="V80" s="225"/>
      <c r="W80" s="214" t="s">
        <v>29</v>
      </c>
      <c r="X80" s="215" t="s">
        <v>30</v>
      </c>
      <c r="Y80" s="215" t="s">
        <v>31</v>
      </c>
      <c r="Z80" s="215" t="s">
        <v>32</v>
      </c>
      <c r="AA80" s="215" t="s">
        <v>33</v>
      </c>
      <c r="AB80" s="215" t="s">
        <v>34</v>
      </c>
      <c r="AC80" s="215" t="s">
        <v>35</v>
      </c>
      <c r="AD80" s="215" t="s">
        <v>36</v>
      </c>
      <c r="AE80" s="215" t="s">
        <v>37</v>
      </c>
      <c r="AF80" s="215" t="s">
        <v>38</v>
      </c>
      <c r="AG80" s="215" t="s">
        <v>39</v>
      </c>
      <c r="AH80" s="215" t="s">
        <v>40</v>
      </c>
      <c r="AI80" s="215" t="s">
        <v>25</v>
      </c>
      <c r="AJ80" s="219" t="s">
        <v>158</v>
      </c>
    </row>
    <row r="81" spans="1:38">
      <c r="A81" s="62"/>
      <c r="B81" s="62"/>
      <c r="C81" s="60" t="s">
        <v>138</v>
      </c>
      <c r="D81" s="62" t="s">
        <v>90</v>
      </c>
      <c r="E81" s="238">
        <f>'[2]Price&amp;Heating-Value'!$R$6</f>
        <v>3.6</v>
      </c>
      <c r="F81" s="62"/>
      <c r="G81" s="256">
        <f>'[2]Price&amp;Heating-Value'!$P$6</f>
        <v>2.7124999999999999</v>
      </c>
      <c r="H81" s="225">
        <v>1388594.8</v>
      </c>
      <c r="I81" s="225"/>
      <c r="J81" s="225"/>
      <c r="K81" s="225"/>
      <c r="L81" s="225"/>
      <c r="M81" s="225"/>
      <c r="N81" s="225"/>
      <c r="O81" s="225"/>
      <c r="P81" s="526"/>
      <c r="Q81" s="526"/>
      <c r="R81" s="526"/>
      <c r="S81" s="225"/>
      <c r="T81" s="225">
        <f>SUM(H81:S81)</f>
        <v>1388594.8</v>
      </c>
      <c r="U81" s="225">
        <f>T81*E81</f>
        <v>4998941.28</v>
      </c>
      <c r="V81" s="225">
        <f>AI81</f>
        <v>4151898.4520000005</v>
      </c>
      <c r="W81" s="227">
        <f>H81*'[2]Transfer Price2011'!$HE$459</f>
        <v>4151898.4520000005</v>
      </c>
      <c r="X81" s="227">
        <f>I81*'[2]Transfer Price2011'!$HE$459</f>
        <v>0</v>
      </c>
      <c r="Y81" s="227">
        <f>J81*'[2]Transfer Price2011'!$HE$459</f>
        <v>0</v>
      </c>
      <c r="Z81" s="227">
        <f>K81*'[2]Transfer Price2011'!$HE$459</f>
        <v>0</v>
      </c>
      <c r="AA81" s="227">
        <f>L81*'[2]Transfer Price2011'!$HE$459</f>
        <v>0</v>
      </c>
      <c r="AB81" s="227">
        <f>M81*'[2]Transfer Price2011'!$HE$459</f>
        <v>0</v>
      </c>
      <c r="AC81" s="227">
        <f>N81*'[2]Transfer Price2011'!$HE$459</f>
        <v>0</v>
      </c>
      <c r="AD81" s="227">
        <f>O81*'[2]Transfer Price2011'!$HE$459</f>
        <v>0</v>
      </c>
      <c r="AE81" s="227">
        <f>P81*'[2]Transfer Price2011'!$HE$459</f>
        <v>0</v>
      </c>
      <c r="AF81" s="227">
        <f>Q81*'[2]Transfer Price2011'!$HE$459</f>
        <v>0</v>
      </c>
      <c r="AG81" s="227">
        <f>R81*'[2]Transfer Price2011'!$HE$459</f>
        <v>0</v>
      </c>
      <c r="AH81" s="227">
        <f>S81*'[2]Transfer Price2011'!$HE$459</f>
        <v>0</v>
      </c>
      <c r="AI81" s="214">
        <f>SUM(W81:AH81)</f>
        <v>4151898.4520000005</v>
      </c>
      <c r="AJ81" s="228">
        <f>AI81/U81*1000</f>
        <v>830.55555555555566</v>
      </c>
      <c r="AL81" s="755">
        <f t="shared" ref="AL81:AL86" si="29">T81*12/9</f>
        <v>1851459.7333333334</v>
      </c>
    </row>
    <row r="82" spans="1:38">
      <c r="A82" s="229"/>
      <c r="B82" s="229"/>
      <c r="C82" s="237"/>
      <c r="D82" s="229"/>
      <c r="E82" s="229"/>
      <c r="F82" s="229"/>
      <c r="G82" s="229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  <c r="S82" s="274"/>
      <c r="T82" s="274"/>
      <c r="U82" s="275"/>
      <c r="V82" s="275">
        <f>SUM(V81)</f>
        <v>4151898.4520000005</v>
      </c>
      <c r="AH82" s="219" t="s">
        <v>158</v>
      </c>
      <c r="AI82" s="219">
        <f>AI81/T86</f>
        <v>830.55555555555566</v>
      </c>
      <c r="AL82" s="755">
        <f t="shared" si="29"/>
        <v>0</v>
      </c>
    </row>
    <row r="83" spans="1:38">
      <c r="A83" s="253"/>
      <c r="B83" s="233"/>
      <c r="C83" s="234" t="s">
        <v>107</v>
      </c>
      <c r="D83" s="233" t="s">
        <v>163</v>
      </c>
      <c r="E83" s="233"/>
      <c r="F83" s="233"/>
      <c r="G83" s="253"/>
      <c r="H83" s="264">
        <v>2566349.35</v>
      </c>
      <c r="I83" s="264"/>
      <c r="J83" s="264"/>
      <c r="K83" s="264"/>
      <c r="L83" s="264"/>
      <c r="M83" s="264"/>
      <c r="N83" s="264"/>
      <c r="O83" s="264"/>
      <c r="P83" s="542"/>
      <c r="Q83" s="542"/>
      <c r="R83" s="542"/>
      <c r="S83" s="264"/>
      <c r="T83" s="236">
        <f>SUM(H83:S83)</f>
        <v>2566349.35</v>
      </c>
      <c r="U83" s="259"/>
      <c r="V83" s="785">
        <f>V82/T83</f>
        <v>1.6178227847272626</v>
      </c>
      <c r="AL83" s="772">
        <f t="shared" si="29"/>
        <v>3421799.1333333338</v>
      </c>
    </row>
    <row r="84" spans="1:38">
      <c r="A84" s="253"/>
      <c r="B84" s="253"/>
      <c r="C84" s="276"/>
      <c r="D84" s="253"/>
      <c r="E84" s="253"/>
      <c r="F84" s="253"/>
      <c r="G84" s="253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771" t="s">
        <v>137</v>
      </c>
      <c r="AL84" s="755">
        <f t="shared" si="29"/>
        <v>0</v>
      </c>
    </row>
    <row r="85" spans="1:38">
      <c r="A85" s="253"/>
      <c r="B85" s="253"/>
      <c r="C85" s="278" t="s">
        <v>138</v>
      </c>
      <c r="D85" s="253" t="s">
        <v>173</v>
      </c>
      <c r="E85" s="62"/>
      <c r="F85" s="62"/>
      <c r="G85" s="253"/>
      <c r="H85" s="277">
        <f t="shared" ref="H85" si="30">H81*$E81/1000</f>
        <v>4998.94128</v>
      </c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>
        <f>SUM(H85:S85)</f>
        <v>4998.94128</v>
      </c>
      <c r="U85" s="277"/>
      <c r="V85" s="277"/>
      <c r="AL85" s="755">
        <f t="shared" si="29"/>
        <v>6665.25504</v>
      </c>
    </row>
    <row r="86" spans="1:38">
      <c r="A86" s="253"/>
      <c r="B86" s="62"/>
      <c r="C86" s="237" t="s">
        <v>373</v>
      </c>
      <c r="D86" s="62" t="s">
        <v>173</v>
      </c>
      <c r="E86" s="253"/>
      <c r="F86" s="253"/>
      <c r="G86" s="253"/>
      <c r="H86" s="277">
        <f t="shared" ref="H86" si="31">H85</f>
        <v>4998.94128</v>
      </c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9">
        <f>SUM(H86:S86)</f>
        <v>4998.94128</v>
      </c>
      <c r="U86" s="277">
        <f>T86*12/11</f>
        <v>5453.390487272728</v>
      </c>
      <c r="V86" s="786">
        <f>V82/T86</f>
        <v>830.55555555555566</v>
      </c>
      <c r="AL86" s="755">
        <f t="shared" si="29"/>
        <v>6665.25504</v>
      </c>
    </row>
    <row r="87" spans="1:38">
      <c r="A87" s="253"/>
      <c r="B87" s="253"/>
      <c r="C87" s="237" t="s">
        <v>345</v>
      </c>
      <c r="D87" s="62" t="s">
        <v>173</v>
      </c>
      <c r="E87" s="253" t="s">
        <v>360</v>
      </c>
      <c r="F87" s="253">
        <v>92.580436479330942</v>
      </c>
      <c r="G87" s="253"/>
      <c r="H87" s="277">
        <f t="shared" ref="H87" si="32">(0.002*H83 + 635.96)*(96.73/100)*($F$87/100)</f>
        <v>5166.0101679696618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>
        <f>SUM(H87:S87)</f>
        <v>5166.0101679696618</v>
      </c>
      <c r="U87" s="277">
        <f>T87*12/11</f>
        <v>5635.6474559669041</v>
      </c>
      <c r="V87" s="271" t="s">
        <v>158</v>
      </c>
      <c r="AL87" s="231">
        <f>AL86*100/T90</f>
        <v>6888.0135572928821</v>
      </c>
    </row>
    <row r="88" spans="1:38">
      <c r="A88" s="253"/>
      <c r="B88" s="243" t="s">
        <v>174</v>
      </c>
      <c r="C88" s="244" t="s">
        <v>138</v>
      </c>
      <c r="D88" s="243" t="s">
        <v>374</v>
      </c>
      <c r="E88" s="243"/>
      <c r="F88" s="243"/>
      <c r="G88" s="253"/>
      <c r="H88" s="245">
        <f t="shared" ref="H88:T88" si="33">H85/H83*1000</f>
        <v>1.9478802759258009</v>
      </c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>
        <f t="shared" si="33"/>
        <v>1.9478802759258009</v>
      </c>
      <c r="U88" s="246"/>
      <c r="V88" s="246"/>
    </row>
    <row r="89" spans="1:38" ht="23.25">
      <c r="A89" s="253"/>
      <c r="B89" s="243"/>
      <c r="C89" s="249" t="s">
        <v>375</v>
      </c>
      <c r="D89" s="243" t="s">
        <v>374</v>
      </c>
      <c r="E89" s="243"/>
      <c r="F89" s="243"/>
      <c r="G89" s="253"/>
      <c r="H89" s="245">
        <f t="shared" ref="H89" si="34">H86/H83*1000</f>
        <v>1.9478802759258009</v>
      </c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50">
        <f>T86/T83*1000</f>
        <v>1.9478802759258009</v>
      </c>
      <c r="U89" s="246"/>
      <c r="V89" s="246"/>
    </row>
    <row r="90" spans="1:38">
      <c r="A90" s="253"/>
      <c r="B90" s="243"/>
      <c r="C90" s="249" t="s">
        <v>376</v>
      </c>
      <c r="D90" s="243"/>
      <c r="E90" s="243"/>
      <c r="F90" s="243"/>
      <c r="G90" s="253"/>
      <c r="H90" s="251">
        <f t="shared" ref="H90" si="35">H86/H87*100</f>
        <v>96.765997693819429</v>
      </c>
      <c r="I90" s="251"/>
      <c r="J90" s="251"/>
      <c r="K90" s="251"/>
      <c r="L90" s="251"/>
      <c r="M90" s="251"/>
      <c r="N90" s="251"/>
      <c r="O90" s="251"/>
      <c r="P90" s="251"/>
      <c r="Q90" s="251"/>
      <c r="R90" s="251"/>
      <c r="S90" s="251"/>
      <c r="T90" s="251">
        <f>T86/T87*100</f>
        <v>96.765997693819429</v>
      </c>
      <c r="U90" s="246"/>
      <c r="V90" s="246"/>
      <c r="AL90" s="252">
        <f>AL86/AL87*100</f>
        <v>96.765997693819429</v>
      </c>
    </row>
    <row r="91" spans="1:38">
      <c r="A91" s="62"/>
      <c r="B91" s="237">
        <v>6.2</v>
      </c>
      <c r="C91" s="280" t="s">
        <v>164</v>
      </c>
      <c r="D91" s="62"/>
      <c r="E91" s="62"/>
      <c r="F91" s="62"/>
      <c r="G91" s="62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14" t="s">
        <v>29</v>
      </c>
      <c r="X91" s="215" t="s">
        <v>30</v>
      </c>
      <c r="Y91" s="215" t="s">
        <v>31</v>
      </c>
      <c r="Z91" s="215" t="s">
        <v>32</v>
      </c>
      <c r="AA91" s="215" t="s">
        <v>33</v>
      </c>
      <c r="AB91" s="215" t="s">
        <v>34</v>
      </c>
      <c r="AC91" s="215" t="s">
        <v>35</v>
      </c>
      <c r="AD91" s="215" t="s">
        <v>36</v>
      </c>
      <c r="AE91" s="215" t="s">
        <v>37</v>
      </c>
      <c r="AF91" s="215" t="s">
        <v>38</v>
      </c>
      <c r="AG91" s="215" t="s">
        <v>39</v>
      </c>
      <c r="AH91" s="215" t="s">
        <v>40</v>
      </c>
      <c r="AI91" s="215" t="s">
        <v>25</v>
      </c>
      <c r="AJ91" s="219" t="s">
        <v>158</v>
      </c>
    </row>
    <row r="92" spans="1:38">
      <c r="A92" s="62"/>
      <c r="B92" s="62"/>
      <c r="C92" s="278" t="s">
        <v>138</v>
      </c>
      <c r="D92" s="62" t="s">
        <v>90</v>
      </c>
      <c r="E92" s="238">
        <f>'[2]Price&amp;Heating-Value'!$R$6</f>
        <v>3.6</v>
      </c>
      <c r="F92" s="62"/>
      <c r="G92" s="256">
        <f>'[2]Price&amp;Heating-Value'!$P$6</f>
        <v>2.7124999999999999</v>
      </c>
      <c r="H92" s="225">
        <v>32540</v>
      </c>
      <c r="I92" s="225"/>
      <c r="J92" s="225"/>
      <c r="K92" s="225"/>
      <c r="L92" s="225"/>
      <c r="M92" s="225"/>
      <c r="N92" s="225"/>
      <c r="O92" s="225"/>
      <c r="P92" s="351"/>
      <c r="Q92" s="351"/>
      <c r="R92" s="526"/>
      <c r="S92" s="225"/>
      <c r="T92" s="225">
        <f>SUM(H92:S92)</f>
        <v>32540</v>
      </c>
      <c r="U92" s="225">
        <f>T92*E92</f>
        <v>117144</v>
      </c>
      <c r="V92" s="225">
        <f>AI92</f>
        <v>97294.6</v>
      </c>
      <c r="W92" s="227">
        <f>H92*'[2]Transfer Price2011'!$HE$459</f>
        <v>97294.6</v>
      </c>
      <c r="X92" s="227">
        <f>I92*'[2]Transfer Price2011'!$HE$459</f>
        <v>0</v>
      </c>
      <c r="Y92" s="227">
        <f>J92*'[2]Transfer Price2011'!$HE$459</f>
        <v>0</v>
      </c>
      <c r="Z92" s="227">
        <f>K92*'[2]Transfer Price2011'!$HE$459</f>
        <v>0</v>
      </c>
      <c r="AA92" s="227">
        <f>L92*'[2]Transfer Price2011'!$HE$459</f>
        <v>0</v>
      </c>
      <c r="AB92" s="227">
        <f>M92*'[2]Transfer Price2011'!$HE$459</f>
        <v>0</v>
      </c>
      <c r="AC92" s="227">
        <f>N92*'[2]Transfer Price2011'!$HE$459</f>
        <v>0</v>
      </c>
      <c r="AD92" s="227">
        <f>O92*'[2]Transfer Price2011'!$HE$459</f>
        <v>0</v>
      </c>
      <c r="AE92" s="227">
        <f>P92*'[2]Transfer Price2011'!$HE$459</f>
        <v>0</v>
      </c>
      <c r="AF92" s="227">
        <f>Q92*'[2]Transfer Price2011'!$HE$459</f>
        <v>0</v>
      </c>
      <c r="AG92" s="227">
        <f>R92*'[2]Transfer Price2011'!$HE$459</f>
        <v>0</v>
      </c>
      <c r="AH92" s="227">
        <f>S92*'[2]Transfer Price2011'!$HE$459</f>
        <v>0</v>
      </c>
      <c r="AI92" s="214">
        <f>SUM(W92:AH92)</f>
        <v>97294.6</v>
      </c>
      <c r="AJ92" s="228">
        <f>AI92/U92*1000</f>
        <v>830.55555555555566</v>
      </c>
      <c r="AL92" s="755">
        <f t="shared" ref="AL92:AL97" si="36">T92*12/9</f>
        <v>43386.666666666664</v>
      </c>
    </row>
    <row r="93" spans="1:38">
      <c r="A93" s="229"/>
      <c r="B93" s="229"/>
      <c r="C93" s="237"/>
      <c r="D93" s="229"/>
      <c r="E93" s="229"/>
      <c r="F93" s="229"/>
      <c r="G93" s="229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  <c r="S93" s="274"/>
      <c r="T93" s="274"/>
      <c r="U93" s="275"/>
      <c r="V93" s="275">
        <f>SUM(V92)</f>
        <v>97294.6</v>
      </c>
      <c r="AH93" s="219" t="s">
        <v>158</v>
      </c>
      <c r="AI93" s="219">
        <f>AI92/T97</f>
        <v>830.55555555555554</v>
      </c>
      <c r="AL93" s="755">
        <f t="shared" si="36"/>
        <v>0</v>
      </c>
    </row>
    <row r="94" spans="1:38">
      <c r="A94" s="253"/>
      <c r="B94" s="233"/>
      <c r="C94" s="234" t="s">
        <v>107</v>
      </c>
      <c r="D94" s="233" t="s">
        <v>163</v>
      </c>
      <c r="E94" s="233"/>
      <c r="F94" s="233"/>
      <c r="G94" s="253"/>
      <c r="H94" s="264">
        <v>50657</v>
      </c>
      <c r="I94" s="264"/>
      <c r="J94" s="264"/>
      <c r="K94" s="264"/>
      <c r="L94" s="264"/>
      <c r="M94" s="264"/>
      <c r="N94" s="264"/>
      <c r="O94" s="264"/>
      <c r="P94" s="787"/>
      <c r="Q94" s="787"/>
      <c r="R94" s="542"/>
      <c r="S94" s="787"/>
      <c r="T94" s="236">
        <f>SUM(H94:S94)</f>
        <v>50657</v>
      </c>
      <c r="U94" s="259"/>
      <c r="V94" s="785">
        <f>V92/T94</f>
        <v>1.9206545985747281</v>
      </c>
      <c r="AL94" s="772">
        <f t="shared" si="36"/>
        <v>67542.666666666672</v>
      </c>
    </row>
    <row r="95" spans="1:38">
      <c r="A95" s="253"/>
      <c r="B95" s="253"/>
      <c r="C95" s="276"/>
      <c r="D95" s="253"/>
      <c r="E95" s="253"/>
      <c r="F95" s="253"/>
      <c r="G95" s="253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771" t="s">
        <v>137</v>
      </c>
      <c r="AL95" s="755">
        <f t="shared" si="36"/>
        <v>0</v>
      </c>
    </row>
    <row r="96" spans="1:38">
      <c r="A96" s="253"/>
      <c r="B96" s="253"/>
      <c r="C96" s="278" t="s">
        <v>138</v>
      </c>
      <c r="D96" s="253" t="s">
        <v>173</v>
      </c>
      <c r="E96" s="62"/>
      <c r="F96" s="62"/>
      <c r="G96" s="253"/>
      <c r="H96" s="277">
        <f t="shared" ref="H96" si="37">H92*$E92/1000</f>
        <v>117.14400000000001</v>
      </c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>
        <f>SUM(H96:S96)</f>
        <v>117.14400000000001</v>
      </c>
      <c r="U96" s="277"/>
      <c r="V96" s="277"/>
      <c r="AL96" s="755">
        <f t="shared" si="36"/>
        <v>156.19200000000001</v>
      </c>
    </row>
    <row r="97" spans="1:38">
      <c r="A97" s="253"/>
      <c r="B97" s="62"/>
      <c r="C97" s="237" t="s">
        <v>377</v>
      </c>
      <c r="D97" s="62" t="s">
        <v>173</v>
      </c>
      <c r="E97" s="253"/>
      <c r="F97" s="253"/>
      <c r="G97" s="253"/>
      <c r="H97" s="277">
        <f t="shared" ref="H97" si="38">H96</f>
        <v>117.14400000000001</v>
      </c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9">
        <f>SUM(H97:S97)</f>
        <v>117.14400000000001</v>
      </c>
      <c r="U97" s="277">
        <f>T97*12/11</f>
        <v>127.79345454545455</v>
      </c>
      <c r="V97" s="786">
        <f>V92/T97</f>
        <v>830.55555555555554</v>
      </c>
      <c r="AL97" s="755">
        <f t="shared" si="36"/>
        <v>156.19200000000001</v>
      </c>
    </row>
    <row r="98" spans="1:38">
      <c r="A98" s="253"/>
      <c r="B98" s="253"/>
      <c r="C98" s="237" t="s">
        <v>345</v>
      </c>
      <c r="D98" s="62" t="s">
        <v>173</v>
      </c>
      <c r="E98" s="253" t="s">
        <v>360</v>
      </c>
      <c r="F98" s="253">
        <v>102.43205162391359</v>
      </c>
      <c r="G98" s="253"/>
      <c r="H98" s="277">
        <f t="shared" ref="H98" si="39">(0.0021*H94 + 16.357)*(87.94/100)*($F$98/100)</f>
        <v>110.55968048488612</v>
      </c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>
        <f>SUM(H98:S98)</f>
        <v>110.55968048488612</v>
      </c>
      <c r="U98" s="277">
        <f>T98*12/11</f>
        <v>120.61056052896666</v>
      </c>
      <c r="V98" s="271" t="s">
        <v>158</v>
      </c>
      <c r="AL98" s="231">
        <f>AL97*100/T101</f>
        <v>147.41290731318151</v>
      </c>
    </row>
    <row r="99" spans="1:38">
      <c r="A99" s="253"/>
      <c r="B99" s="243" t="s">
        <v>174</v>
      </c>
      <c r="C99" s="244" t="s">
        <v>138</v>
      </c>
      <c r="D99" s="243" t="s">
        <v>374</v>
      </c>
      <c r="E99" s="243"/>
      <c r="F99" s="243"/>
      <c r="G99" s="253"/>
      <c r="H99" s="245">
        <f t="shared" ref="H99:T99" si="40">H96/H94*1000</f>
        <v>2.3124938310598733</v>
      </c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>
        <f t="shared" si="40"/>
        <v>2.3124938310598733</v>
      </c>
      <c r="U99" s="246"/>
      <c r="V99" s="246"/>
    </row>
    <row r="100" spans="1:38" ht="23.25">
      <c r="A100" s="253"/>
      <c r="B100" s="243"/>
      <c r="C100" s="249" t="s">
        <v>378</v>
      </c>
      <c r="D100" s="243" t="s">
        <v>374</v>
      </c>
      <c r="E100" s="243"/>
      <c r="F100" s="243"/>
      <c r="G100" s="253"/>
      <c r="H100" s="245">
        <f t="shared" ref="H100" si="41">H97/H94*1000</f>
        <v>2.3124938310598733</v>
      </c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50">
        <f>T97/T94*1000</f>
        <v>2.3124938310598733</v>
      </c>
      <c r="U100" s="246"/>
      <c r="V100" s="246"/>
    </row>
    <row r="101" spans="1:38">
      <c r="A101" s="253"/>
      <c r="B101" s="243"/>
      <c r="C101" s="249" t="s">
        <v>379</v>
      </c>
      <c r="D101" s="243"/>
      <c r="E101" s="243"/>
      <c r="F101" s="243"/>
      <c r="G101" s="253"/>
      <c r="H101" s="251">
        <f t="shared" ref="H101" si="42">H97/H98*100</f>
        <v>105.95544368999327</v>
      </c>
      <c r="I101" s="251"/>
      <c r="J101" s="251"/>
      <c r="K101" s="251"/>
      <c r="L101" s="251"/>
      <c r="M101" s="251"/>
      <c r="N101" s="251"/>
      <c r="O101" s="251"/>
      <c r="P101" s="251"/>
      <c r="Q101" s="251"/>
      <c r="R101" s="251"/>
      <c r="S101" s="251"/>
      <c r="T101" s="251">
        <f>T97/T98*100</f>
        <v>105.95544368999327</v>
      </c>
      <c r="U101" s="246"/>
      <c r="V101" s="246"/>
      <c r="AL101" s="252">
        <f>AL97/AL98*100</f>
        <v>105.95544368999327</v>
      </c>
    </row>
    <row r="102" spans="1:38">
      <c r="A102" s="62"/>
      <c r="B102" s="272">
        <v>6.3</v>
      </c>
      <c r="C102" s="273" t="s">
        <v>166</v>
      </c>
      <c r="D102" s="62"/>
      <c r="E102" s="62"/>
      <c r="F102" s="62"/>
      <c r="G102" s="62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14" t="s">
        <v>29</v>
      </c>
      <c r="X102" s="215" t="s">
        <v>30</v>
      </c>
      <c r="Y102" s="215" t="s">
        <v>31</v>
      </c>
      <c r="Z102" s="215" t="s">
        <v>32</v>
      </c>
      <c r="AA102" s="215" t="s">
        <v>33</v>
      </c>
      <c r="AB102" s="215" t="s">
        <v>34</v>
      </c>
      <c r="AC102" s="215" t="s">
        <v>35</v>
      </c>
      <c r="AD102" s="215" t="s">
        <v>36</v>
      </c>
      <c r="AE102" s="215" t="s">
        <v>37</v>
      </c>
      <c r="AF102" s="215" t="s">
        <v>38</v>
      </c>
      <c r="AG102" s="215" t="s">
        <v>39</v>
      </c>
      <c r="AH102" s="215" t="s">
        <v>40</v>
      </c>
      <c r="AI102" s="215" t="s">
        <v>25</v>
      </c>
      <c r="AJ102" s="219" t="s">
        <v>158</v>
      </c>
    </row>
    <row r="103" spans="1:38">
      <c r="A103" s="62"/>
      <c r="B103" s="62"/>
      <c r="C103" s="278" t="s">
        <v>138</v>
      </c>
      <c r="D103" s="62" t="s">
        <v>90</v>
      </c>
      <c r="E103" s="238">
        <f>'[2]Price&amp;Heating-Value'!$R$6</f>
        <v>3.6</v>
      </c>
      <c r="F103" s="62"/>
      <c r="G103" s="256">
        <f>'[2]Price&amp;Heating-Value'!$P$6</f>
        <v>2.7124999999999999</v>
      </c>
      <c r="H103" s="225">
        <v>3244886.1</v>
      </c>
      <c r="I103" s="225"/>
      <c r="J103" s="225"/>
      <c r="K103" s="225"/>
      <c r="L103" s="225"/>
      <c r="M103" s="225"/>
      <c r="N103" s="225"/>
      <c r="O103" s="225"/>
      <c r="P103" s="351"/>
      <c r="Q103" s="351"/>
      <c r="R103" s="526"/>
      <c r="S103" s="225"/>
      <c r="T103" s="225">
        <f>SUM(H103:S103)</f>
        <v>3244886.1</v>
      </c>
      <c r="U103" s="225">
        <f>T103*E103</f>
        <v>11681589.960000001</v>
      </c>
      <c r="V103" s="225">
        <f>AI103</f>
        <v>9702209.4390000012</v>
      </c>
      <c r="W103" s="227">
        <f>H103*'[2]Transfer Price2011'!$HE$459</f>
        <v>9702209.4390000012</v>
      </c>
      <c r="X103" s="227">
        <f>I103*'[2]Transfer Price2011'!$HE$459</f>
        <v>0</v>
      </c>
      <c r="Y103" s="227">
        <f>J103*'[2]Transfer Price2011'!$HE$459</f>
        <v>0</v>
      </c>
      <c r="Z103" s="227">
        <f>K103*'[2]Transfer Price2011'!$HE$459</f>
        <v>0</v>
      </c>
      <c r="AA103" s="227">
        <f>L103*'[2]Transfer Price2011'!$HE$459</f>
        <v>0</v>
      </c>
      <c r="AB103" s="227">
        <f>M103*'[2]Transfer Price2011'!$HE$459</f>
        <v>0</v>
      </c>
      <c r="AC103" s="227">
        <f>N103*'[2]Transfer Price2011'!$HE$459</f>
        <v>0</v>
      </c>
      <c r="AD103" s="227">
        <f>O103*'[2]Transfer Price2011'!$HE$459</f>
        <v>0</v>
      </c>
      <c r="AE103" s="227">
        <f>P103*'[2]Transfer Price2011'!$HE$459</f>
        <v>0</v>
      </c>
      <c r="AF103" s="227">
        <f>Q103*'[2]Transfer Price2011'!$HE$459</f>
        <v>0</v>
      </c>
      <c r="AG103" s="227">
        <f>R103*'[2]Transfer Price2011'!$HE$459</f>
        <v>0</v>
      </c>
      <c r="AH103" s="227">
        <f>S103*'[2]Transfer Price2011'!$HE$459</f>
        <v>0</v>
      </c>
      <c r="AI103" s="214">
        <f>SUM(W103:AH103)</f>
        <v>9702209.4390000012</v>
      </c>
      <c r="AJ103" s="228">
        <f>AI103/U103*1000</f>
        <v>830.55555555555566</v>
      </c>
      <c r="AL103" s="755">
        <f t="shared" ref="AL103:AL108" si="43">T103*12/9</f>
        <v>4326514.8000000007</v>
      </c>
    </row>
    <row r="104" spans="1:38">
      <c r="A104" s="229"/>
      <c r="B104" s="229"/>
      <c r="C104" s="237"/>
      <c r="D104" s="229"/>
      <c r="E104" s="229"/>
      <c r="F104" s="229"/>
      <c r="G104" s="229"/>
      <c r="H104" s="274"/>
      <c r="I104" s="274"/>
      <c r="J104" s="274"/>
      <c r="K104" s="274"/>
      <c r="L104" s="274"/>
      <c r="M104" s="274"/>
      <c r="N104" s="274"/>
      <c r="O104" s="274"/>
      <c r="P104" s="788"/>
      <c r="Q104" s="788"/>
      <c r="R104" s="274"/>
      <c r="S104" s="274"/>
      <c r="T104" s="274"/>
      <c r="U104" s="275"/>
      <c r="V104" s="275">
        <f>SUM(V103)</f>
        <v>9702209.4390000012</v>
      </c>
      <c r="AH104" s="219" t="s">
        <v>158</v>
      </c>
      <c r="AI104" s="219">
        <f>AI103/T108</f>
        <v>830.55555555555554</v>
      </c>
      <c r="AL104" s="755">
        <f t="shared" si="43"/>
        <v>0</v>
      </c>
    </row>
    <row r="105" spans="1:38">
      <c r="A105" s="253"/>
      <c r="B105" s="233"/>
      <c r="C105" s="234" t="s">
        <v>107</v>
      </c>
      <c r="D105" s="233" t="s">
        <v>163</v>
      </c>
      <c r="E105" s="233"/>
      <c r="F105" s="233"/>
      <c r="G105" s="253"/>
      <c r="H105" s="264">
        <v>17437281.524</v>
      </c>
      <c r="I105" s="264"/>
      <c r="J105" s="264"/>
      <c r="K105" s="264"/>
      <c r="L105" s="264"/>
      <c r="M105" s="264"/>
      <c r="N105" s="264"/>
      <c r="O105" s="264"/>
      <c r="P105" s="787"/>
      <c r="Q105" s="787"/>
      <c r="R105" s="542"/>
      <c r="S105" s="787"/>
      <c r="T105" s="236">
        <f>SUM(H105:S105)</f>
        <v>17437281.524</v>
      </c>
      <c r="U105" s="259"/>
      <c r="V105" s="785">
        <f>V103/T105</f>
        <v>0.55640607887452265</v>
      </c>
      <c r="AL105" s="772">
        <f t="shared" si="43"/>
        <v>23249708.698666666</v>
      </c>
    </row>
    <row r="106" spans="1:38">
      <c r="A106" s="253"/>
      <c r="B106" s="253"/>
      <c r="C106" s="276"/>
      <c r="D106" s="253"/>
      <c r="E106" s="253"/>
      <c r="F106" s="253"/>
      <c r="G106" s="253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771" t="s">
        <v>137</v>
      </c>
      <c r="AL106" s="755">
        <f t="shared" si="43"/>
        <v>0</v>
      </c>
    </row>
    <row r="107" spans="1:38">
      <c r="A107" s="253"/>
      <c r="B107" s="253"/>
      <c r="C107" s="278" t="s">
        <v>138</v>
      </c>
      <c r="D107" s="253" t="s">
        <v>173</v>
      </c>
      <c r="E107" s="62"/>
      <c r="F107" s="62"/>
      <c r="G107" s="253"/>
      <c r="H107" s="277">
        <f t="shared" ref="H107" si="44">H103*$E103/1000</f>
        <v>11681.589960000001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>
        <f>SUM(H107:S107)</f>
        <v>11681.589960000001</v>
      </c>
      <c r="U107" s="277"/>
      <c r="V107" s="277"/>
      <c r="AL107" s="755">
        <f t="shared" si="43"/>
        <v>15575.453280000003</v>
      </c>
    </row>
    <row r="108" spans="1:38">
      <c r="A108" s="253"/>
      <c r="B108" s="62"/>
      <c r="C108" s="237" t="s">
        <v>380</v>
      </c>
      <c r="D108" s="62" t="s">
        <v>173</v>
      </c>
      <c r="E108" s="253"/>
      <c r="F108" s="253"/>
      <c r="G108" s="253"/>
      <c r="H108" s="277">
        <f t="shared" ref="H108" si="45">H107</f>
        <v>11681.589960000001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9">
        <f>SUM(H108:S108)</f>
        <v>11681.589960000001</v>
      </c>
      <c r="U108" s="277">
        <f>T108*12/11</f>
        <v>12743.552683636366</v>
      </c>
      <c r="V108" s="786">
        <f>V103/T108</f>
        <v>830.55555555555554</v>
      </c>
      <c r="AL108" s="755">
        <f t="shared" si="43"/>
        <v>15575.453280000003</v>
      </c>
    </row>
    <row r="109" spans="1:38">
      <c r="A109" s="253"/>
      <c r="B109" s="253"/>
      <c r="C109" s="237" t="s">
        <v>345</v>
      </c>
      <c r="D109" s="62" t="s">
        <v>173</v>
      </c>
      <c r="E109" s="253" t="s">
        <v>360</v>
      </c>
      <c r="F109" s="253">
        <v>97.082981627183017</v>
      </c>
      <c r="G109" s="253"/>
      <c r="H109" s="277">
        <f t="shared" ref="H109" si="46">(0.0009*H105 - 455.91)*(89.89/100)*($F$109/100)</f>
        <v>13297.570189013137</v>
      </c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9">
        <f>SUM(H109:S109)</f>
        <v>13297.570189013137</v>
      </c>
      <c r="U109" s="277">
        <f>T109*12/11</f>
        <v>14506.440206196148</v>
      </c>
      <c r="V109" s="271" t="s">
        <v>158</v>
      </c>
      <c r="AL109" s="231">
        <f>AL108*100/T112</f>
        <v>17730.093585350853</v>
      </c>
    </row>
    <row r="110" spans="1:38">
      <c r="A110" s="253"/>
      <c r="B110" s="243" t="s">
        <v>174</v>
      </c>
      <c r="C110" s="244" t="s">
        <v>138</v>
      </c>
      <c r="D110" s="243" t="s">
        <v>374</v>
      </c>
      <c r="E110" s="243"/>
      <c r="F110" s="243"/>
      <c r="G110" s="253"/>
      <c r="H110" s="245">
        <f t="shared" ref="H110" si="47">(H107/H105)*1000</f>
        <v>0.66992036252450882</v>
      </c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>
        <f t="shared" ref="T110" si="48">T107/T105*1000</f>
        <v>0.66992036252450882</v>
      </c>
      <c r="U110" s="246"/>
      <c r="V110" s="246"/>
    </row>
    <row r="111" spans="1:38" ht="23.25">
      <c r="A111" s="253"/>
      <c r="B111" s="243"/>
      <c r="C111" s="249" t="s">
        <v>381</v>
      </c>
      <c r="D111" s="243" t="s">
        <v>374</v>
      </c>
      <c r="E111" s="243"/>
      <c r="F111" s="243"/>
      <c r="G111" s="253"/>
      <c r="H111" s="245">
        <f t="shared" ref="H111" si="49">H108/H105*1000</f>
        <v>0.66992036252450882</v>
      </c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50">
        <f>T108/T105*1000</f>
        <v>0.66992036252450882</v>
      </c>
      <c r="U111" s="246"/>
      <c r="V111" s="246"/>
    </row>
    <row r="112" spans="1:38">
      <c r="A112" s="253"/>
      <c r="B112" s="243"/>
      <c r="C112" s="249" t="s">
        <v>382</v>
      </c>
      <c r="D112" s="243"/>
      <c r="E112" s="243"/>
      <c r="F112" s="243"/>
      <c r="G112" s="253"/>
      <c r="H112" s="251">
        <f t="shared" ref="H112" si="50">H108/H109*100</f>
        <v>87.847552552508361</v>
      </c>
      <c r="I112" s="251"/>
      <c r="J112" s="251"/>
      <c r="K112" s="251"/>
      <c r="L112" s="251"/>
      <c r="M112" s="251"/>
      <c r="N112" s="251"/>
      <c r="O112" s="251"/>
      <c r="P112" s="251"/>
      <c r="Q112" s="251"/>
      <c r="R112" s="251"/>
      <c r="S112" s="251"/>
      <c r="T112" s="251">
        <f>T108/T109*100</f>
        <v>87.847552552508361</v>
      </c>
      <c r="U112" s="246"/>
      <c r="V112" s="246"/>
      <c r="AL112" s="252">
        <f>AL108/AL109*100</f>
        <v>87.847552552508361</v>
      </c>
    </row>
    <row r="113" spans="1:38">
      <c r="A113" s="62"/>
      <c r="B113" s="272">
        <v>6.5</v>
      </c>
      <c r="C113" s="273" t="s">
        <v>170</v>
      </c>
      <c r="D113" s="62"/>
      <c r="E113" s="62"/>
      <c r="F113" s="62"/>
      <c r="G113" s="62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14" t="s">
        <v>29</v>
      </c>
      <c r="X113" s="215" t="s">
        <v>30</v>
      </c>
      <c r="Y113" s="215" t="s">
        <v>31</v>
      </c>
      <c r="Z113" s="215" t="s">
        <v>32</v>
      </c>
      <c r="AA113" s="215" t="s">
        <v>33</v>
      </c>
      <c r="AB113" s="215" t="s">
        <v>34</v>
      </c>
      <c r="AC113" s="215" t="s">
        <v>35</v>
      </c>
      <c r="AD113" s="215" t="s">
        <v>36</v>
      </c>
      <c r="AE113" s="215" t="s">
        <v>37</v>
      </c>
      <c r="AF113" s="215" t="s">
        <v>38</v>
      </c>
      <c r="AG113" s="215" t="s">
        <v>39</v>
      </c>
      <c r="AH113" s="215" t="s">
        <v>40</v>
      </c>
      <c r="AI113" s="215" t="s">
        <v>25</v>
      </c>
      <c r="AJ113" s="219" t="s">
        <v>158</v>
      </c>
    </row>
    <row r="114" spans="1:38">
      <c r="A114" s="62"/>
      <c r="B114" s="62"/>
      <c r="C114" s="278" t="s">
        <v>138</v>
      </c>
      <c r="D114" s="62" t="s">
        <v>90</v>
      </c>
      <c r="E114" s="238">
        <f>'[2]Price&amp;Heating-Value'!$R$6</f>
        <v>3.6</v>
      </c>
      <c r="F114" s="62"/>
      <c r="G114" s="256">
        <f>'[2]Price&amp;Heating-Value'!$P$6</f>
        <v>2.7124999999999999</v>
      </c>
      <c r="H114" s="225">
        <v>2411877.5</v>
      </c>
      <c r="I114" s="225"/>
      <c r="J114" s="225"/>
      <c r="K114" s="225"/>
      <c r="L114" s="225"/>
      <c r="M114" s="225"/>
      <c r="N114" s="225"/>
      <c r="O114" s="225"/>
      <c r="P114" s="351"/>
      <c r="Q114" s="351"/>
      <c r="R114" s="526"/>
      <c r="S114" s="225"/>
      <c r="T114" s="225">
        <f>SUM(H114:S114)</f>
        <v>2411877.5</v>
      </c>
      <c r="U114" s="225">
        <f>T114*E114</f>
        <v>8682759</v>
      </c>
      <c r="V114" s="225">
        <f>AI114</f>
        <v>7211513.7250000006</v>
      </c>
      <c r="W114" s="227">
        <f>H114*'[2]Transfer Price2011'!$HE$459</f>
        <v>7211513.7250000006</v>
      </c>
      <c r="X114" s="227">
        <f>I114*'[2]Transfer Price2011'!$HE$459</f>
        <v>0</v>
      </c>
      <c r="Y114" s="227">
        <f>J114*'[2]Transfer Price2011'!$HE$459</f>
        <v>0</v>
      </c>
      <c r="Z114" s="227">
        <f>K114*'[2]Transfer Price2011'!$HE$459</f>
        <v>0</v>
      </c>
      <c r="AA114" s="227">
        <f>L114*'[2]Transfer Price2011'!$HE$459</f>
        <v>0</v>
      </c>
      <c r="AB114" s="227">
        <f>M114*'[2]Transfer Price2011'!$HE$459</f>
        <v>0</v>
      </c>
      <c r="AC114" s="227">
        <f>N114*'[2]Transfer Price2011'!$HE$459</f>
        <v>0</v>
      </c>
      <c r="AD114" s="227">
        <f>O114*'[2]Transfer Price2011'!$HE$459</f>
        <v>0</v>
      </c>
      <c r="AE114" s="227">
        <f>P114*'[2]Transfer Price2011'!$HE$459</f>
        <v>0</v>
      </c>
      <c r="AF114" s="227">
        <f>Q114*'[2]Transfer Price2011'!$HE$459</f>
        <v>0</v>
      </c>
      <c r="AG114" s="227">
        <f>R114*'[2]Transfer Price2011'!$HE$459</f>
        <v>0</v>
      </c>
      <c r="AH114" s="227">
        <f>S114*'[2]Transfer Price2011'!$HE$459</f>
        <v>0</v>
      </c>
      <c r="AI114" s="214">
        <f>SUM(W114:AH114)</f>
        <v>7211513.7250000006</v>
      </c>
      <c r="AJ114" s="228">
        <f>AI114/U114*1000</f>
        <v>830.55555555555566</v>
      </c>
      <c r="AL114" s="755">
        <f t="shared" ref="AL114:AL119" si="51">T114*12/9</f>
        <v>3215836.6666666665</v>
      </c>
    </row>
    <row r="115" spans="1:38">
      <c r="A115" s="229"/>
      <c r="B115" s="229"/>
      <c r="C115" s="237" t="s">
        <v>383</v>
      </c>
      <c r="D115" s="229"/>
      <c r="E115" s="229"/>
      <c r="F115" s="229"/>
      <c r="G115" s="229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  <c r="S115" s="274"/>
      <c r="T115" s="274">
        <f>SUM(H115:S115)</f>
        <v>0</v>
      </c>
      <c r="U115" s="275"/>
      <c r="V115" s="275">
        <f>SUM(V114)</f>
        <v>7211513.7250000006</v>
      </c>
      <c r="AH115" s="219" t="s">
        <v>158</v>
      </c>
      <c r="AI115" s="219">
        <f>AI114/T119</f>
        <v>830.55555555555566</v>
      </c>
      <c r="AL115" s="755">
        <f t="shared" si="51"/>
        <v>0</v>
      </c>
    </row>
    <row r="116" spans="1:38">
      <c r="A116" s="253"/>
      <c r="B116" s="233"/>
      <c r="C116" s="234" t="s">
        <v>107</v>
      </c>
      <c r="D116" s="233" t="s">
        <v>163</v>
      </c>
      <c r="E116" s="233"/>
      <c r="F116" s="233"/>
      <c r="G116" s="253"/>
      <c r="H116" s="264">
        <v>20997859</v>
      </c>
      <c r="I116" s="264"/>
      <c r="J116" s="264"/>
      <c r="K116" s="264"/>
      <c r="L116" s="264"/>
      <c r="M116" s="264"/>
      <c r="N116" s="264"/>
      <c r="O116" s="264"/>
      <c r="P116" s="787"/>
      <c r="Q116" s="787"/>
      <c r="R116" s="542"/>
      <c r="S116" s="787"/>
      <c r="T116" s="236">
        <f>SUM(H116:S116)</f>
        <v>20997859</v>
      </c>
      <c r="U116" s="259"/>
      <c r="V116" s="785">
        <f>V114/T116</f>
        <v>0.34344043004574898</v>
      </c>
      <c r="AL116" s="772">
        <f t="shared" si="51"/>
        <v>27997145.333333332</v>
      </c>
    </row>
    <row r="117" spans="1:38">
      <c r="A117" s="253"/>
      <c r="B117" s="253"/>
      <c r="C117" s="276"/>
      <c r="D117" s="253"/>
      <c r="E117" s="253"/>
      <c r="F117" s="253"/>
      <c r="G117" s="253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771" t="s">
        <v>137</v>
      </c>
      <c r="AL117" s="755">
        <f t="shared" si="51"/>
        <v>0</v>
      </c>
    </row>
    <row r="118" spans="1:38">
      <c r="A118" s="253"/>
      <c r="B118" s="253"/>
      <c r="C118" s="278" t="s">
        <v>138</v>
      </c>
      <c r="D118" s="253" t="s">
        <v>173</v>
      </c>
      <c r="E118" s="62"/>
      <c r="F118" s="62"/>
      <c r="G118" s="253"/>
      <c r="H118" s="277">
        <f t="shared" ref="H118" si="52">H114*$E114/1000</f>
        <v>8682.759</v>
      </c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>
        <f>SUM(H118:S118)</f>
        <v>8682.759</v>
      </c>
      <c r="U118" s="277"/>
      <c r="V118" s="277"/>
      <c r="AL118" s="755">
        <f t="shared" si="51"/>
        <v>11577.012000000001</v>
      </c>
    </row>
    <row r="119" spans="1:38">
      <c r="A119" s="253"/>
      <c r="B119" s="62"/>
      <c r="C119" s="237" t="s">
        <v>384</v>
      </c>
      <c r="D119" s="62" t="s">
        <v>173</v>
      </c>
      <c r="E119" s="253"/>
      <c r="F119" s="253"/>
      <c r="G119" s="253"/>
      <c r="H119" s="277">
        <f t="shared" ref="H119" si="53">H118</f>
        <v>8682.759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9">
        <f>SUM(H119:S119)</f>
        <v>8682.759</v>
      </c>
      <c r="U119" s="277">
        <f>T119*12/11</f>
        <v>9472.1007272727275</v>
      </c>
      <c r="V119" s="786">
        <f>V114/T119</f>
        <v>830.55555555555566</v>
      </c>
      <c r="AL119" s="755">
        <f t="shared" si="51"/>
        <v>11577.012000000001</v>
      </c>
    </row>
    <row r="120" spans="1:38">
      <c r="A120" s="253"/>
      <c r="B120" s="253"/>
      <c r="C120" s="237" t="s">
        <v>345</v>
      </c>
      <c r="D120" s="62" t="s">
        <v>173</v>
      </c>
      <c r="E120" s="253" t="s">
        <v>360</v>
      </c>
      <c r="F120" s="253">
        <v>91.730971414690103</v>
      </c>
      <c r="G120" s="253"/>
      <c r="H120" s="277">
        <f t="shared" ref="H120" si="54">(0.0002*H116 + 7588.3)*(87.96/100)*($F$120/100)</f>
        <v>9511.2285421828146</v>
      </c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9">
        <f>SUM(H120:S120)</f>
        <v>9511.2285421828146</v>
      </c>
      <c r="U120" s="277">
        <f>T120*12/11</f>
        <v>10375.885682381253</v>
      </c>
      <c r="V120" s="271" t="s">
        <v>158</v>
      </c>
      <c r="AL120" s="231">
        <f>AL119*100/T123</f>
        <v>12681.638056243752</v>
      </c>
    </row>
    <row r="121" spans="1:38">
      <c r="A121" s="253"/>
      <c r="B121" s="243" t="s">
        <v>174</v>
      </c>
      <c r="C121" s="244" t="s">
        <v>138</v>
      </c>
      <c r="D121" s="243" t="s">
        <v>374</v>
      </c>
      <c r="E121" s="243"/>
      <c r="F121" s="243"/>
      <c r="G121" s="253"/>
      <c r="H121" s="245">
        <f t="shared" ref="H121" si="55">H118/H116*1000</f>
        <v>0.41350687229588501</v>
      </c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>
        <f>T118/T116*1000</f>
        <v>0.41350687229588501</v>
      </c>
      <c r="U121" s="246"/>
      <c r="V121" s="246"/>
    </row>
    <row r="122" spans="1:38" ht="23.25">
      <c r="A122" s="253"/>
      <c r="B122" s="243"/>
      <c r="C122" s="249" t="s">
        <v>385</v>
      </c>
      <c r="D122" s="243" t="s">
        <v>374</v>
      </c>
      <c r="E122" s="243"/>
      <c r="F122" s="243"/>
      <c r="G122" s="253"/>
      <c r="H122" s="245">
        <f t="shared" ref="H122" si="56">H119/H116*1000</f>
        <v>0.41350687229588501</v>
      </c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50">
        <f>T119/T116*1000</f>
        <v>0.41350687229588501</v>
      </c>
      <c r="U122" s="246"/>
      <c r="V122" s="246"/>
    </row>
    <row r="123" spans="1:38">
      <c r="A123" s="253"/>
      <c r="B123" s="243"/>
      <c r="C123" s="249" t="s">
        <v>386</v>
      </c>
      <c r="D123" s="243"/>
      <c r="E123" s="243"/>
      <c r="F123" s="243"/>
      <c r="G123" s="253"/>
      <c r="H123" s="251">
        <f t="shared" ref="H123" si="57">H119/H120*100</f>
        <v>91.289563293443038</v>
      </c>
      <c r="I123" s="251"/>
      <c r="J123" s="251"/>
      <c r="K123" s="251"/>
      <c r="L123" s="251"/>
      <c r="M123" s="251"/>
      <c r="N123" s="251"/>
      <c r="O123" s="251"/>
      <c r="P123" s="251"/>
      <c r="Q123" s="251"/>
      <c r="R123" s="251"/>
      <c r="S123" s="251"/>
      <c r="T123" s="251">
        <f>T119/T120*100</f>
        <v>91.289563293443038</v>
      </c>
      <c r="U123" s="246"/>
      <c r="V123" s="246"/>
      <c r="AL123" s="252">
        <f>AL119/AL120*100</f>
        <v>91.289563293443052</v>
      </c>
    </row>
    <row r="124" spans="1:38">
      <c r="A124" s="62"/>
      <c r="B124" s="272">
        <v>6.6</v>
      </c>
      <c r="C124" s="273" t="s">
        <v>172</v>
      </c>
      <c r="D124" s="62"/>
      <c r="E124" s="62"/>
      <c r="F124" s="62"/>
      <c r="G124" s="62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14" t="s">
        <v>29</v>
      </c>
      <c r="X124" s="215" t="s">
        <v>30</v>
      </c>
      <c r="Y124" s="215" t="s">
        <v>31</v>
      </c>
      <c r="Z124" s="215" t="s">
        <v>32</v>
      </c>
      <c r="AA124" s="215" t="s">
        <v>33</v>
      </c>
      <c r="AB124" s="215" t="s">
        <v>34</v>
      </c>
      <c r="AC124" s="215" t="s">
        <v>35</v>
      </c>
      <c r="AD124" s="215" t="s">
        <v>36</v>
      </c>
      <c r="AE124" s="215" t="s">
        <v>37</v>
      </c>
      <c r="AF124" s="215" t="s">
        <v>38</v>
      </c>
      <c r="AG124" s="215" t="s">
        <v>39</v>
      </c>
      <c r="AH124" s="215" t="s">
        <v>40</v>
      </c>
      <c r="AI124" s="215" t="s">
        <v>25</v>
      </c>
      <c r="AJ124" s="219" t="s">
        <v>158</v>
      </c>
    </row>
    <row r="125" spans="1:38">
      <c r="A125" s="62"/>
      <c r="B125" s="62"/>
      <c r="C125" s="278" t="s">
        <v>138</v>
      </c>
      <c r="D125" s="62" t="s">
        <v>90</v>
      </c>
      <c r="E125" s="238">
        <f>'[2]Price&amp;Heating-Value'!$R$6</f>
        <v>3.6</v>
      </c>
      <c r="F125" s="62"/>
      <c r="G125" s="256">
        <f>'[2]Price&amp;Heating-Value'!$P$6</f>
        <v>2.7124999999999999</v>
      </c>
      <c r="H125" s="225">
        <v>53055</v>
      </c>
      <c r="I125" s="225"/>
      <c r="J125" s="225"/>
      <c r="K125" s="225"/>
      <c r="L125" s="225"/>
      <c r="M125" s="225"/>
      <c r="N125" s="225"/>
      <c r="O125" s="225"/>
      <c r="P125" s="351"/>
      <c r="Q125" s="351"/>
      <c r="R125" s="526"/>
      <c r="S125" s="225"/>
      <c r="T125" s="225">
        <f>SUM(H125:S125)</f>
        <v>53055</v>
      </c>
      <c r="U125" s="225">
        <f>T125*E125</f>
        <v>190998</v>
      </c>
      <c r="V125" s="225">
        <f>AI125</f>
        <v>158634.45000000001</v>
      </c>
      <c r="W125" s="227">
        <f>H125*'[2]Transfer Price2011'!$HE$459</f>
        <v>158634.45000000001</v>
      </c>
      <c r="X125" s="227">
        <f>I125*'[2]Transfer Price2011'!$HE$459</f>
        <v>0</v>
      </c>
      <c r="Y125" s="227">
        <f>J125*'[2]Transfer Price2011'!$HE$459</f>
        <v>0</v>
      </c>
      <c r="Z125" s="227">
        <f>K125*'[2]Transfer Price2011'!$HE$459</f>
        <v>0</v>
      </c>
      <c r="AA125" s="227">
        <f>L125*'[2]Transfer Price2011'!$HE$459</f>
        <v>0</v>
      </c>
      <c r="AB125" s="227">
        <f>M125*'[2]Transfer Price2011'!$HE$459</f>
        <v>0</v>
      </c>
      <c r="AC125" s="227">
        <f>N125*'[2]Transfer Price2011'!$HE$459</f>
        <v>0</v>
      </c>
      <c r="AD125" s="227">
        <f>O125*'[2]Transfer Price2011'!$HE$459</f>
        <v>0</v>
      </c>
      <c r="AE125" s="227">
        <f>P125*'[2]Transfer Price2011'!$HE$459</f>
        <v>0</v>
      </c>
      <c r="AF125" s="227">
        <f>Q125*'[2]Transfer Price2011'!$HE$459</f>
        <v>0</v>
      </c>
      <c r="AG125" s="227">
        <f>R125*'[2]Transfer Price2011'!$HE$459</f>
        <v>0</v>
      </c>
      <c r="AH125" s="227">
        <f>S125*'[2]Transfer Price2011'!$HE$459</f>
        <v>0</v>
      </c>
      <c r="AI125" s="214">
        <f>SUM(W125:AH125)</f>
        <v>158634.45000000001</v>
      </c>
      <c r="AJ125" s="228">
        <f>AI125/U125*1000</f>
        <v>830.55555555555566</v>
      </c>
      <c r="AL125" s="755">
        <f t="shared" ref="AL125:AL130" si="58">T125*12/9</f>
        <v>70740</v>
      </c>
    </row>
    <row r="126" spans="1:38">
      <c r="A126" s="229"/>
      <c r="B126" s="229"/>
      <c r="C126" s="237" t="s">
        <v>383</v>
      </c>
      <c r="D126" s="229"/>
      <c r="E126" s="229"/>
      <c r="F126" s="229"/>
      <c r="G126" s="229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>
        <f>SUM(H126:S126)</f>
        <v>0</v>
      </c>
      <c r="U126" s="275"/>
      <c r="V126" s="275">
        <f>SUM(V125)</f>
        <v>158634.45000000001</v>
      </c>
      <c r="AH126" s="219" t="s">
        <v>158</v>
      </c>
      <c r="AI126" s="219">
        <f>AI125/T130</f>
        <v>830.55555555555566</v>
      </c>
      <c r="AL126" s="755">
        <f t="shared" si="58"/>
        <v>0</v>
      </c>
    </row>
    <row r="127" spans="1:38">
      <c r="A127" s="253"/>
      <c r="B127" s="233"/>
      <c r="C127" s="234" t="s">
        <v>107</v>
      </c>
      <c r="D127" s="233" t="s">
        <v>163</v>
      </c>
      <c r="E127" s="233"/>
      <c r="F127" s="233"/>
      <c r="G127" s="253"/>
      <c r="H127" s="264">
        <v>5948591</v>
      </c>
      <c r="I127" s="264"/>
      <c r="J127" s="264"/>
      <c r="K127" s="264"/>
      <c r="L127" s="264"/>
      <c r="M127" s="264"/>
      <c r="N127" s="264"/>
      <c r="O127" s="264"/>
      <c r="P127" s="787"/>
      <c r="Q127" s="787"/>
      <c r="R127" s="542"/>
      <c r="S127" s="787"/>
      <c r="T127" s="236">
        <f>SUM(H127:S127)</f>
        <v>5948591</v>
      </c>
      <c r="U127" s="259"/>
      <c r="V127" s="785">
        <f>V125/T127</f>
        <v>2.6667567160021593E-2</v>
      </c>
      <c r="AL127" s="772">
        <f t="shared" si="58"/>
        <v>7931454.666666667</v>
      </c>
    </row>
    <row r="128" spans="1:38">
      <c r="A128" s="253"/>
      <c r="B128" s="253"/>
      <c r="C128" s="276"/>
      <c r="D128" s="253"/>
      <c r="E128" s="253"/>
      <c r="F128" s="253"/>
      <c r="G128" s="253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771" t="s">
        <v>137</v>
      </c>
      <c r="AL128" s="755">
        <f t="shared" si="58"/>
        <v>0</v>
      </c>
    </row>
    <row r="129" spans="1:38">
      <c r="A129" s="253"/>
      <c r="B129" s="253"/>
      <c r="C129" s="278" t="s">
        <v>138</v>
      </c>
      <c r="D129" s="253" t="s">
        <v>173</v>
      </c>
      <c r="E129" s="62"/>
      <c r="F129" s="62"/>
      <c r="G129" s="253"/>
      <c r="H129" s="277">
        <f t="shared" ref="H129" si="59">H125*$E125/1000</f>
        <v>190.99799999999999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>
        <f>SUM(H129:S129)</f>
        <v>190.99799999999999</v>
      </c>
      <c r="U129" s="277"/>
      <c r="V129" s="277"/>
      <c r="AL129" s="755">
        <f t="shared" si="58"/>
        <v>254.66399999999996</v>
      </c>
    </row>
    <row r="130" spans="1:38">
      <c r="A130" s="253"/>
      <c r="B130" s="62"/>
      <c r="C130" s="237" t="s">
        <v>387</v>
      </c>
      <c r="D130" s="62" t="s">
        <v>173</v>
      </c>
      <c r="E130" s="253"/>
      <c r="F130" s="253"/>
      <c r="G130" s="253"/>
      <c r="H130" s="277">
        <f t="shared" ref="H130" si="60">H129</f>
        <v>190.99799999999999</v>
      </c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9">
        <f>SUM(H130:S130)</f>
        <v>190.99799999999999</v>
      </c>
      <c r="U130" s="277">
        <f>T130*12/11</f>
        <v>208.36145454545451</v>
      </c>
      <c r="V130" s="786">
        <f>V125/T130</f>
        <v>830.55555555555566</v>
      </c>
      <c r="AL130" s="755">
        <f t="shared" si="58"/>
        <v>254.66399999999996</v>
      </c>
    </row>
    <row r="131" spans="1:38">
      <c r="A131" s="253"/>
      <c r="B131" s="253"/>
      <c r="C131" s="237" t="s">
        <v>345</v>
      </c>
      <c r="D131" s="62" t="s">
        <v>173</v>
      </c>
      <c r="E131" s="253" t="s">
        <v>360</v>
      </c>
      <c r="F131" s="253">
        <v>91.321518538294271</v>
      </c>
      <c r="G131" s="253"/>
      <c r="H131" s="277">
        <f t="shared" ref="H131" si="61">(0.00002*H127 + 123.08)*(97.54/100)*($F$131/100)</f>
        <v>215.60768089080867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9">
        <f>SUM(H131:S131)</f>
        <v>215.60768089080867</v>
      </c>
      <c r="U131" s="277">
        <f>T131*12/11</f>
        <v>235.20837915360946</v>
      </c>
      <c r="V131" s="271" t="s">
        <v>158</v>
      </c>
      <c r="AL131" s="231">
        <f>AL130*100/T134</f>
        <v>287.47690785441148</v>
      </c>
    </row>
    <row r="132" spans="1:38">
      <c r="A132" s="253"/>
      <c r="B132" s="243" t="s">
        <v>174</v>
      </c>
      <c r="C132" s="244" t="s">
        <v>138</v>
      </c>
      <c r="D132" s="243" t="s">
        <v>374</v>
      </c>
      <c r="E132" s="243"/>
      <c r="F132" s="243"/>
      <c r="G132" s="253"/>
      <c r="H132" s="245">
        <f t="shared" ref="H132" si="62">H129/H127*1000</f>
        <v>3.2108107617417302E-2</v>
      </c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>
        <f>T129/T127*1000</f>
        <v>3.2108107617417302E-2</v>
      </c>
      <c r="U132" s="246"/>
      <c r="V132" s="246"/>
    </row>
    <row r="133" spans="1:38" ht="23.25">
      <c r="A133" s="253"/>
      <c r="B133" s="243"/>
      <c r="C133" s="249" t="s">
        <v>388</v>
      </c>
      <c r="D133" s="243" t="s">
        <v>374</v>
      </c>
      <c r="E133" s="243"/>
      <c r="F133" s="243"/>
      <c r="G133" s="253"/>
      <c r="H133" s="245">
        <f t="shared" ref="H133" si="63">H130/H127*1000</f>
        <v>3.2108107617417302E-2</v>
      </c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50">
        <f>T130/T127*1000</f>
        <v>3.2108107617417302E-2</v>
      </c>
      <c r="U133" s="246"/>
      <c r="V133" s="246"/>
    </row>
    <row r="134" spans="1:38">
      <c r="A134" s="253"/>
      <c r="B134" s="243"/>
      <c r="C134" s="249" t="s">
        <v>389</v>
      </c>
      <c r="D134" s="243"/>
      <c r="E134" s="243"/>
      <c r="F134" s="243"/>
      <c r="G134" s="253"/>
      <c r="H134" s="251">
        <f t="shared" ref="H134" si="64">H130/H131*100</f>
        <v>88.585897872872224</v>
      </c>
      <c r="I134" s="251"/>
      <c r="J134" s="251"/>
      <c r="K134" s="251"/>
      <c r="L134" s="251"/>
      <c r="M134" s="251"/>
      <c r="N134" s="251"/>
      <c r="O134" s="251"/>
      <c r="P134" s="251"/>
      <c r="Q134" s="251"/>
      <c r="R134" s="251"/>
      <c r="S134" s="251"/>
      <c r="T134" s="251">
        <f>T130/T131*100</f>
        <v>88.585897872872224</v>
      </c>
      <c r="U134" s="246"/>
      <c r="V134" s="246"/>
      <c r="AL134" s="252">
        <f>AL130/AL131*100</f>
        <v>88.585897872872238</v>
      </c>
    </row>
    <row r="135" spans="1:38">
      <c r="A135" s="62"/>
      <c r="B135" s="272">
        <v>6.7</v>
      </c>
      <c r="C135" s="273" t="s">
        <v>175</v>
      </c>
      <c r="D135" s="62"/>
      <c r="E135" s="62"/>
      <c r="F135" s="62"/>
      <c r="G135" s="62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14" t="s">
        <v>29</v>
      </c>
      <c r="X135" s="215" t="s">
        <v>30</v>
      </c>
      <c r="Y135" s="215" t="s">
        <v>31</v>
      </c>
      <c r="Z135" s="215" t="s">
        <v>32</v>
      </c>
      <c r="AA135" s="215" t="s">
        <v>33</v>
      </c>
      <c r="AB135" s="215" t="s">
        <v>34</v>
      </c>
      <c r="AC135" s="215" t="s">
        <v>35</v>
      </c>
      <c r="AD135" s="215" t="s">
        <v>36</v>
      </c>
      <c r="AE135" s="215" t="s">
        <v>37</v>
      </c>
      <c r="AF135" s="215" t="s">
        <v>38</v>
      </c>
      <c r="AG135" s="215" t="s">
        <v>39</v>
      </c>
      <c r="AH135" s="215" t="s">
        <v>40</v>
      </c>
      <c r="AI135" s="215" t="s">
        <v>25</v>
      </c>
      <c r="AJ135" s="219" t="s">
        <v>158</v>
      </c>
    </row>
    <row r="136" spans="1:38">
      <c r="A136" s="62"/>
      <c r="B136" s="282"/>
      <c r="C136" s="278" t="s">
        <v>138</v>
      </c>
      <c r="D136" s="62" t="s">
        <v>90</v>
      </c>
      <c r="E136" s="238">
        <f>'[2]Price&amp;Heating-Value'!$R$6</f>
        <v>3.6</v>
      </c>
      <c r="F136" s="62"/>
      <c r="G136" s="256">
        <f>'[2]Price&amp;Heating-Value'!$P$6</f>
        <v>2.7124999999999999</v>
      </c>
      <c r="H136" s="225">
        <v>51470</v>
      </c>
      <c r="I136" s="225"/>
      <c r="J136" s="225"/>
      <c r="K136" s="225"/>
      <c r="L136" s="225"/>
      <c r="M136" s="225"/>
      <c r="N136" s="225"/>
      <c r="O136" s="225"/>
      <c r="P136" s="351"/>
      <c r="Q136" s="351"/>
      <c r="R136" s="526"/>
      <c r="S136" s="225"/>
      <c r="T136" s="225">
        <f>SUM(H136:S136)</f>
        <v>51470</v>
      </c>
      <c r="U136" s="225">
        <f>T136*E136</f>
        <v>185292</v>
      </c>
      <c r="V136" s="225">
        <f>AI136</f>
        <v>153895.30000000002</v>
      </c>
      <c r="W136" s="227">
        <f>H136*'[2]Transfer Price2011'!$HE$459</f>
        <v>153895.30000000002</v>
      </c>
      <c r="X136" s="227">
        <f>I136*'[2]Transfer Price2011'!$HE$459</f>
        <v>0</v>
      </c>
      <c r="Y136" s="227">
        <f>J136*'[2]Transfer Price2011'!$HE$459</f>
        <v>0</v>
      </c>
      <c r="Z136" s="227">
        <f>K136*'[2]Transfer Price2011'!$HE$459</f>
        <v>0</v>
      </c>
      <c r="AA136" s="227">
        <f>L136*'[2]Transfer Price2011'!$HE$459</f>
        <v>0</v>
      </c>
      <c r="AB136" s="227">
        <f>M136*'[2]Transfer Price2011'!$HE$459</f>
        <v>0</v>
      </c>
      <c r="AC136" s="227">
        <f>N136*'[2]Transfer Price2011'!$HE$459</f>
        <v>0</v>
      </c>
      <c r="AD136" s="227">
        <f>O136*'[2]Transfer Price2011'!$HE$459</f>
        <v>0</v>
      </c>
      <c r="AE136" s="227">
        <f>P136*'[2]Transfer Price2011'!$HE$459</f>
        <v>0</v>
      </c>
      <c r="AF136" s="227">
        <f>Q136*'[2]Transfer Price2011'!$HE$459</f>
        <v>0</v>
      </c>
      <c r="AG136" s="227">
        <f>R136*'[2]Transfer Price2011'!$HE$459</f>
        <v>0</v>
      </c>
      <c r="AH136" s="227">
        <f>S136*'[2]Transfer Price2011'!$HE$459</f>
        <v>0</v>
      </c>
      <c r="AI136" s="214">
        <f>SUM(W136:AH136)</f>
        <v>153895.30000000002</v>
      </c>
      <c r="AJ136" s="228">
        <f>AI136/U136*1000</f>
        <v>830.55555555555566</v>
      </c>
      <c r="AL136" s="755">
        <f t="shared" ref="AL136:AL141" si="65">T136*12/9</f>
        <v>68626.666666666672</v>
      </c>
    </row>
    <row r="137" spans="1:38">
      <c r="A137" s="229"/>
      <c r="B137" s="229"/>
      <c r="C137" s="237" t="s">
        <v>383</v>
      </c>
      <c r="D137" s="229"/>
      <c r="E137" s="229"/>
      <c r="F137" s="229"/>
      <c r="G137" s="229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>
        <f>SUM(H137:S137)</f>
        <v>0</v>
      </c>
      <c r="U137" s="275"/>
      <c r="V137" s="275">
        <f>SUM(V136)</f>
        <v>153895.30000000002</v>
      </c>
      <c r="AH137" s="219" t="s">
        <v>158</v>
      </c>
      <c r="AI137" s="219">
        <f>AI136/T141</f>
        <v>830.55555555555566</v>
      </c>
      <c r="AL137" s="755">
        <f t="shared" si="65"/>
        <v>0</v>
      </c>
    </row>
    <row r="138" spans="1:38">
      <c r="A138" s="253"/>
      <c r="B138" s="233"/>
      <c r="C138" s="234" t="s">
        <v>107</v>
      </c>
      <c r="D138" s="233" t="s">
        <v>163</v>
      </c>
      <c r="E138" s="233"/>
      <c r="F138" s="233"/>
      <c r="G138" s="253"/>
      <c r="H138" s="264">
        <v>2209229</v>
      </c>
      <c r="I138" s="264"/>
      <c r="J138" s="264"/>
      <c r="K138" s="264"/>
      <c r="L138" s="264"/>
      <c r="M138" s="264"/>
      <c r="N138" s="264"/>
      <c r="O138" s="264"/>
      <c r="P138" s="787"/>
      <c r="Q138" s="787"/>
      <c r="R138" s="542"/>
      <c r="S138" s="787"/>
      <c r="T138" s="236">
        <f>SUM(H138:S138)</f>
        <v>2209229</v>
      </c>
      <c r="U138" s="259"/>
      <c r="V138" s="785">
        <f>V136/T138</f>
        <v>6.9660184616443119E-2</v>
      </c>
      <c r="AL138" s="772">
        <f t="shared" si="65"/>
        <v>2945638.6666666665</v>
      </c>
    </row>
    <row r="139" spans="1:38">
      <c r="A139" s="253"/>
      <c r="B139" s="253"/>
      <c r="C139" s="276"/>
      <c r="D139" s="253"/>
      <c r="E139" s="253"/>
      <c r="F139" s="253"/>
      <c r="G139" s="253"/>
      <c r="H139" s="277"/>
      <c r="I139" s="277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  <c r="T139" s="277"/>
      <c r="U139" s="277"/>
      <c r="V139" s="771" t="s">
        <v>137</v>
      </c>
      <c r="AL139" s="755">
        <f t="shared" si="65"/>
        <v>0</v>
      </c>
    </row>
    <row r="140" spans="1:38">
      <c r="A140" s="253"/>
      <c r="B140" s="253"/>
      <c r="C140" s="278" t="s">
        <v>138</v>
      </c>
      <c r="D140" s="253" t="s">
        <v>173</v>
      </c>
      <c r="E140" s="62"/>
      <c r="F140" s="62"/>
      <c r="G140" s="253"/>
      <c r="H140" s="277">
        <f t="shared" ref="H140" si="66">H136*$E136/1000</f>
        <v>185.292</v>
      </c>
      <c r="I140" s="277"/>
      <c r="J140" s="277"/>
      <c r="K140" s="277"/>
      <c r="L140" s="277"/>
      <c r="M140" s="277"/>
      <c r="N140" s="277"/>
      <c r="O140" s="277"/>
      <c r="P140" s="277"/>
      <c r="Q140" s="277"/>
      <c r="R140" s="277"/>
      <c r="S140" s="277"/>
      <c r="T140" s="277">
        <f>SUM(H140:S140)</f>
        <v>185.292</v>
      </c>
      <c r="U140" s="277"/>
      <c r="V140" s="277"/>
      <c r="AL140" s="755">
        <f t="shared" si="65"/>
        <v>247.05599999999998</v>
      </c>
    </row>
    <row r="141" spans="1:38">
      <c r="A141" s="253"/>
      <c r="B141" s="62"/>
      <c r="C141" s="237" t="s">
        <v>390</v>
      </c>
      <c r="D141" s="62" t="s">
        <v>173</v>
      </c>
      <c r="E141" s="253"/>
      <c r="F141" s="253"/>
      <c r="G141" s="253"/>
      <c r="H141" s="277">
        <f t="shared" ref="H141" si="67">H140</f>
        <v>185.292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9">
        <f>SUM(H141:S141)</f>
        <v>185.292</v>
      </c>
      <c r="U141" s="277">
        <f>T141*12/11</f>
        <v>202.13672727272726</v>
      </c>
      <c r="V141" s="786">
        <f>V136/T141</f>
        <v>830.55555555555566</v>
      </c>
      <c r="AL141" s="755">
        <f t="shared" si="65"/>
        <v>247.05599999999998</v>
      </c>
    </row>
    <row r="142" spans="1:38">
      <c r="A142" s="253"/>
      <c r="B142" s="253"/>
      <c r="C142" s="237" t="s">
        <v>345</v>
      </c>
      <c r="D142" s="62" t="s">
        <v>173</v>
      </c>
      <c r="E142" s="253" t="s">
        <v>360</v>
      </c>
      <c r="F142" s="253">
        <v>95.863892029052579</v>
      </c>
      <c r="G142" s="253"/>
      <c r="H142" s="277">
        <f t="shared" ref="H142" si="68" xml:space="preserve"> (0.0001*H138 + 37.225)*(88.55/100)*($F$142/100)</f>
        <v>219.13523766823658</v>
      </c>
      <c r="I142" s="277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  <c r="T142" s="279">
        <f>SUM(H142:S142)</f>
        <v>219.13523766823658</v>
      </c>
      <c r="U142" s="277">
        <f>T142*12/11</f>
        <v>239.05662291080353</v>
      </c>
      <c r="V142" s="271" t="s">
        <v>158</v>
      </c>
      <c r="AL142" s="231">
        <f>AL141*100/T145</f>
        <v>292.18031689098211</v>
      </c>
    </row>
    <row r="143" spans="1:38">
      <c r="A143" s="253"/>
      <c r="B143" s="243" t="s">
        <v>174</v>
      </c>
      <c r="C143" s="244" t="s">
        <v>138</v>
      </c>
      <c r="D143" s="243" t="s">
        <v>374</v>
      </c>
      <c r="E143" s="243"/>
      <c r="F143" s="243"/>
      <c r="G143" s="253"/>
      <c r="H143" s="245">
        <f t="shared" ref="H143" si="69">H140/H138*1000</f>
        <v>8.3871794187021814E-2</v>
      </c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>
        <f>T140/T138*1000</f>
        <v>8.3871794187021814E-2</v>
      </c>
      <c r="U143" s="246"/>
      <c r="V143" s="246"/>
    </row>
    <row r="144" spans="1:38" ht="23.25">
      <c r="A144" s="253"/>
      <c r="B144" s="243"/>
      <c r="C144" s="249" t="s">
        <v>391</v>
      </c>
      <c r="D144" s="243" t="s">
        <v>374</v>
      </c>
      <c r="E144" s="243"/>
      <c r="F144" s="243"/>
      <c r="G144" s="253"/>
      <c r="H144" s="245">
        <f t="shared" ref="H144" si="70">H141/H138*1000</f>
        <v>8.3871794187021814E-2</v>
      </c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50">
        <f>T141/T138*1000</f>
        <v>8.3871794187021814E-2</v>
      </c>
      <c r="U144" s="246"/>
      <c r="V144" s="246"/>
    </row>
    <row r="145" spans="1:38">
      <c r="A145" s="253"/>
      <c r="B145" s="243"/>
      <c r="C145" s="249" t="s">
        <v>392</v>
      </c>
      <c r="D145" s="243"/>
      <c r="E145" s="243"/>
      <c r="F145" s="243"/>
      <c r="G145" s="253"/>
      <c r="H145" s="251">
        <f t="shared" ref="H145" si="71">H141/H142*100</f>
        <v>84.556003850246071</v>
      </c>
      <c r="I145" s="251"/>
      <c r="J145" s="251"/>
      <c r="K145" s="251"/>
      <c r="L145" s="251"/>
      <c r="M145" s="251"/>
      <c r="N145" s="251"/>
      <c r="O145" s="251"/>
      <c r="P145" s="251"/>
      <c r="Q145" s="251"/>
      <c r="R145" s="251"/>
      <c r="S145" s="251"/>
      <c r="T145" s="251">
        <f>T141/T142*100</f>
        <v>84.556003850246071</v>
      </c>
      <c r="U145" s="246"/>
      <c r="V145" s="246"/>
      <c r="AL145" s="252">
        <f>AL141/AL142*100</f>
        <v>84.556003850246071</v>
      </c>
    </row>
    <row r="146" spans="1:38">
      <c r="A146" s="62"/>
      <c r="B146" s="62"/>
      <c r="C146" s="60"/>
      <c r="D146" s="62"/>
      <c r="E146" s="62"/>
      <c r="F146" s="62"/>
      <c r="G146" s="62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14" t="s">
        <v>29</v>
      </c>
      <c r="X146" s="215" t="s">
        <v>30</v>
      </c>
      <c r="Y146" s="215" t="s">
        <v>31</v>
      </c>
      <c r="Z146" s="215" t="s">
        <v>32</v>
      </c>
      <c r="AA146" s="215" t="s">
        <v>33</v>
      </c>
      <c r="AB146" s="215" t="s">
        <v>34</v>
      </c>
      <c r="AC146" s="215" t="s">
        <v>35</v>
      </c>
      <c r="AD146" s="215" t="s">
        <v>36</v>
      </c>
      <c r="AE146" s="215" t="s">
        <v>37</v>
      </c>
      <c r="AF146" s="215" t="s">
        <v>38</v>
      </c>
      <c r="AG146" s="215" t="s">
        <v>39</v>
      </c>
      <c r="AH146" s="215" t="s">
        <v>40</v>
      </c>
      <c r="AI146" s="215" t="s">
        <v>25</v>
      </c>
      <c r="AJ146" s="219" t="s">
        <v>158</v>
      </c>
    </row>
    <row r="147" spans="1:38">
      <c r="A147" s="62">
        <v>7</v>
      </c>
      <c r="B147" s="240" t="s">
        <v>49</v>
      </c>
      <c r="C147" s="278" t="s">
        <v>138</v>
      </c>
      <c r="D147" s="62" t="s">
        <v>90</v>
      </c>
      <c r="E147" s="238">
        <f>'[2]Price&amp;Heating-Value'!$R$6</f>
        <v>3.6</v>
      </c>
      <c r="F147" s="62"/>
      <c r="G147" s="256">
        <f>'[2]Price&amp;Heating-Value'!$P$6</f>
        <v>2.7124999999999999</v>
      </c>
      <c r="H147" s="789">
        <v>22498.66</v>
      </c>
      <c r="I147" s="789"/>
      <c r="J147" s="65"/>
      <c r="K147" s="789"/>
      <c r="L147" s="789"/>
      <c r="M147" s="789"/>
      <c r="N147" s="789"/>
      <c r="O147" s="789"/>
      <c r="P147" s="789"/>
      <c r="Q147" s="789"/>
      <c r="R147" s="789"/>
      <c r="S147" s="789"/>
      <c r="T147" s="225">
        <f t="shared" ref="T147:T153" si="72">SUM(H147:S147)</f>
        <v>22498.66</v>
      </c>
      <c r="U147" s="225">
        <f>T147*E147</f>
        <v>80995.176000000007</v>
      </c>
      <c r="V147" s="225">
        <f>AI147</f>
        <v>67270.993400000007</v>
      </c>
      <c r="W147" s="227">
        <f>H147*'[2]Transfer Price2011'!$HE$459</f>
        <v>67270.993400000007</v>
      </c>
      <c r="X147" s="227">
        <f>I147*'[2]Transfer Price2011'!$HE$459</f>
        <v>0</v>
      </c>
      <c r="Y147" s="227">
        <f>J147*'[2]Transfer Price2011'!$HE$459</f>
        <v>0</v>
      </c>
      <c r="Z147" s="227">
        <f>K147*'[2]Transfer Price2011'!$HE$459</f>
        <v>0</v>
      </c>
      <c r="AA147" s="227">
        <f>L147*'[2]Transfer Price2011'!$HE$459</f>
        <v>0</v>
      </c>
      <c r="AB147" s="227">
        <f>M147*'[2]Transfer Price2011'!$HE$459</f>
        <v>0</v>
      </c>
      <c r="AC147" s="227">
        <f>N147*'[2]Transfer Price2011'!$HE$459</f>
        <v>0</v>
      </c>
      <c r="AD147" s="227">
        <f>O147*'[2]Transfer Price2011'!$HE$459</f>
        <v>0</v>
      </c>
      <c r="AE147" s="227">
        <f>P147*'[2]Transfer Price2011'!$HE$459</f>
        <v>0</v>
      </c>
      <c r="AF147" s="227">
        <f>Q147*'[2]Transfer Price2011'!$HE$459</f>
        <v>0</v>
      </c>
      <c r="AG147" s="227">
        <f>R147*'[2]Transfer Price2011'!$HE$459</f>
        <v>0</v>
      </c>
      <c r="AH147" s="227">
        <f>S147*'[2]Transfer Price2011'!$HE$459</f>
        <v>0</v>
      </c>
      <c r="AI147" s="214">
        <f>SUM(W147:AH147)</f>
        <v>67270.993400000007</v>
      </c>
      <c r="AJ147" s="228">
        <f>AI147/U147*1000</f>
        <v>830.55555555555566</v>
      </c>
    </row>
    <row r="148" spans="1:38">
      <c r="A148" s="62"/>
      <c r="B148" s="62"/>
      <c r="C148" s="60" t="s">
        <v>161</v>
      </c>
      <c r="D148" s="62" t="s">
        <v>176</v>
      </c>
      <c r="E148" s="62">
        <f>'[2]Price&amp;Heating-Value'!$R$18/'[2]Price&amp;Heating-Value'!$T$18/1000</f>
        <v>36.42</v>
      </c>
      <c r="F148" s="238">
        <f>'[2]Price&amp;Heating-Value'!$T$18</f>
        <v>0.83520000000000005</v>
      </c>
      <c r="G148" s="230">
        <f>'[2]Price&amp;Heating-Value'!$P$18*'[2]Price&amp;Heating-Value'!$T$18/1000</f>
        <v>25.160039938320001</v>
      </c>
      <c r="H148" s="789">
        <v>2693</v>
      </c>
      <c r="I148" s="789"/>
      <c r="J148" s="65"/>
      <c r="K148" s="789"/>
      <c r="L148" s="789"/>
      <c r="M148" s="789"/>
      <c r="N148" s="789"/>
      <c r="O148" s="789"/>
      <c r="P148" s="789"/>
      <c r="Q148" s="789"/>
      <c r="R148" s="789"/>
      <c r="S148" s="789"/>
      <c r="T148" s="225">
        <f t="shared" si="72"/>
        <v>2693</v>
      </c>
      <c r="U148" s="225">
        <f>T148*E148</f>
        <v>98079.06</v>
      </c>
      <c r="V148" s="225">
        <f>AI148</f>
        <v>103929.82498204023</v>
      </c>
      <c r="W148" s="227">
        <f>H148*'[2]Transfer Price2011'!$HE$327*'[2]Transfer Price2011'!$HE$5/1000/$F$69</f>
        <v>103929.82498204023</v>
      </c>
      <c r="X148" s="227">
        <f>I148*'[2]Transfer Price2011'!$HE$327*'[2]Transfer Price2011'!$HE$5/1000/$F$69</f>
        <v>0</v>
      </c>
      <c r="Y148" s="227">
        <f>J148*'[2]Transfer Price2011'!$HE$327*'[2]Transfer Price2011'!$HE$5/1000/$F$69</f>
        <v>0</v>
      </c>
      <c r="Z148" s="227">
        <f>K148*'[2]Transfer Price2011'!$HE$327*'[2]Transfer Price2011'!$HE$5/1000/$F$69</f>
        <v>0</v>
      </c>
      <c r="AA148" s="227">
        <f>L148*'[2]Transfer Price2011'!$HE$327*'[2]Transfer Price2011'!$HE$5/1000/$F$69</f>
        <v>0</v>
      </c>
      <c r="AB148" s="227">
        <f>M148*'[2]Transfer Price2011'!$HE$327*'[2]Transfer Price2011'!$HE$5/1000/$F$69</f>
        <v>0</v>
      </c>
      <c r="AC148" s="227">
        <f>N148*'[2]Transfer Price2011'!$HE$327*'[2]Transfer Price2011'!$HE$5/1000/$F$69</f>
        <v>0</v>
      </c>
      <c r="AD148" s="227">
        <f>O148*'[2]Transfer Price2011'!$HE$327*'[2]Transfer Price2011'!$HE$5/1000/$F$69</f>
        <v>0</v>
      </c>
      <c r="AE148" s="227">
        <f>P148*'[2]Transfer Price2011'!$HE$327*'[2]Transfer Price2011'!$HE$5/1000/$F$69</f>
        <v>0</v>
      </c>
      <c r="AF148" s="227">
        <f>Q148*'[2]Transfer Price2011'!$HE$327*'[2]Transfer Price2011'!$HE$5/1000/$F$69</f>
        <v>0</v>
      </c>
      <c r="AG148" s="227">
        <f>R148*'[2]Transfer Price2011'!$HE$327*'[2]Transfer Price2011'!$HE$5/1000/$F$69</f>
        <v>0</v>
      </c>
      <c r="AH148" s="227">
        <f>S148*'[2]Transfer Price2011'!$HE$327*'[2]Transfer Price2011'!$HE$5/1000/$F$69</f>
        <v>0</v>
      </c>
      <c r="AI148" s="214">
        <f>SUM(W148:AH148)</f>
        <v>103929.82498204023</v>
      </c>
      <c r="AJ148" s="228">
        <f>AI148/U148*1000</f>
        <v>1059.6535588946329</v>
      </c>
    </row>
    <row r="149" spans="1:38">
      <c r="A149" s="253"/>
      <c r="B149" s="233"/>
      <c r="C149" s="234" t="s">
        <v>107</v>
      </c>
      <c r="D149" s="233" t="s">
        <v>121</v>
      </c>
      <c r="E149" s="233"/>
      <c r="F149" s="233"/>
      <c r="G149" s="235"/>
      <c r="H149" s="264">
        <v>45754.82</v>
      </c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36">
        <f t="shared" si="72"/>
        <v>45754.82</v>
      </c>
      <c r="U149" s="259"/>
      <c r="V149" s="785" t="e">
        <f>#REF!/T149</f>
        <v>#REF!</v>
      </c>
      <c r="AH149" s="219" t="s">
        <v>158</v>
      </c>
      <c r="AI149" s="219" t="e">
        <f>#REF!/T152</f>
        <v>#REF!</v>
      </c>
    </row>
    <row r="150" spans="1:38">
      <c r="A150" s="253"/>
      <c r="B150" s="253"/>
      <c r="C150" s="278" t="s">
        <v>138</v>
      </c>
      <c r="D150" s="62" t="s">
        <v>173</v>
      </c>
      <c r="E150" s="253"/>
      <c r="F150" s="253"/>
      <c r="G150" s="283"/>
      <c r="H150" s="277">
        <f t="shared" ref="H150:H151" si="73">H147*$E147/1000</f>
        <v>80.995176000000001</v>
      </c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84">
        <f t="shared" si="72"/>
        <v>80.995176000000001</v>
      </c>
      <c r="U150" s="277"/>
      <c r="V150" s="277"/>
    </row>
    <row r="151" spans="1:38">
      <c r="A151" s="253"/>
      <c r="B151" s="253"/>
      <c r="C151" s="60" t="s">
        <v>161</v>
      </c>
      <c r="D151" s="62" t="s">
        <v>173</v>
      </c>
      <c r="E151" s="253"/>
      <c r="F151" s="253"/>
      <c r="G151" s="283"/>
      <c r="H151" s="277">
        <f t="shared" si="73"/>
        <v>98.079059999999998</v>
      </c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84">
        <f t="shared" si="72"/>
        <v>98.079059999999998</v>
      </c>
      <c r="U151" s="277"/>
      <c r="V151" s="277"/>
    </row>
    <row r="152" spans="1:38">
      <c r="A152" s="253"/>
      <c r="B152" s="253"/>
      <c r="C152" s="237" t="s">
        <v>393</v>
      </c>
      <c r="D152" s="62" t="s">
        <v>173</v>
      </c>
      <c r="E152" s="253"/>
      <c r="F152" s="253"/>
      <c r="G152" s="283"/>
      <c r="H152" s="277">
        <f t="shared" ref="H152" si="74">SUM(H150:H151)</f>
        <v>179.07423599999998</v>
      </c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85">
        <f t="shared" si="72"/>
        <v>179.07423599999998</v>
      </c>
      <c r="U152" s="277">
        <f>T152*12/11</f>
        <v>195.353712</v>
      </c>
      <c r="V152" s="786" t="e">
        <f>#REF!/T152</f>
        <v>#REF!</v>
      </c>
    </row>
    <row r="153" spans="1:38">
      <c r="A153" s="253"/>
      <c r="B153" s="253"/>
      <c r="C153" s="237" t="s">
        <v>345</v>
      </c>
      <c r="D153" s="62" t="s">
        <v>173</v>
      </c>
      <c r="E153" s="253" t="s">
        <v>360</v>
      </c>
      <c r="F153" s="253">
        <v>92.92005554688339</v>
      </c>
      <c r="G153" s="283"/>
      <c r="H153" s="790">
        <f t="shared" ref="H153" si="75" xml:space="preserve"> (0.0042*H149 + 21.375)*(98.55/100)*($F$153/100)</f>
        <v>195.54917713206098</v>
      </c>
      <c r="I153" s="790"/>
      <c r="J153" s="790"/>
      <c r="K153" s="790"/>
      <c r="L153" s="790"/>
      <c r="M153" s="790"/>
      <c r="N153" s="790"/>
      <c r="O153" s="790"/>
      <c r="P153" s="790"/>
      <c r="Q153" s="790"/>
      <c r="R153" s="790"/>
      <c r="S153" s="790"/>
      <c r="T153" s="277">
        <f t="shared" si="72"/>
        <v>195.54917713206098</v>
      </c>
      <c r="U153" s="277">
        <f>T153*12/11</f>
        <v>213.32637505315742</v>
      </c>
      <c r="V153" s="271" t="s">
        <v>158</v>
      </c>
    </row>
    <row r="154" spans="1:38">
      <c r="A154" s="253"/>
      <c r="B154" s="243" t="s">
        <v>174</v>
      </c>
      <c r="C154" s="244" t="s">
        <v>89</v>
      </c>
      <c r="D154" s="243" t="s">
        <v>394</v>
      </c>
      <c r="E154" s="243"/>
      <c r="F154" s="243"/>
      <c r="G154" s="248"/>
      <c r="H154" s="245">
        <f t="shared" ref="H154" si="76">H150/H149*1000</f>
        <v>1.7701998609108287</v>
      </c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>
        <f>T150/T149*11000</f>
        <v>19.472198470019116</v>
      </c>
      <c r="U154" s="277"/>
      <c r="V154" s="277"/>
    </row>
    <row r="155" spans="1:38">
      <c r="A155" s="253"/>
      <c r="B155" s="243"/>
      <c r="C155" s="244" t="s">
        <v>161</v>
      </c>
      <c r="D155" s="243" t="s">
        <v>394</v>
      </c>
      <c r="E155" s="243"/>
      <c r="F155" s="243"/>
      <c r="G155" s="248"/>
      <c r="H155" s="245">
        <f t="shared" ref="H155" si="77">H151/H149*1000</f>
        <v>2.1435787530144363</v>
      </c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>
        <f>T151/T149*1000</f>
        <v>2.1435787530144363</v>
      </c>
      <c r="U155" s="277"/>
      <c r="V155" s="277"/>
    </row>
    <row r="156" spans="1:38" ht="23.25">
      <c r="A156" s="253"/>
      <c r="B156" s="243"/>
      <c r="C156" s="249" t="s">
        <v>395</v>
      </c>
      <c r="D156" s="243" t="s">
        <v>394</v>
      </c>
      <c r="E156" s="243"/>
      <c r="F156" s="243"/>
      <c r="G156" s="248"/>
      <c r="H156" s="245">
        <f t="shared" ref="H156" si="78">H152/H149*1000</f>
        <v>3.9137786139252646</v>
      </c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50">
        <f>T152/T149*1000</f>
        <v>3.9137786139252646</v>
      </c>
      <c r="U156" s="277"/>
      <c r="V156" s="277"/>
    </row>
    <row r="157" spans="1:38">
      <c r="A157" s="253"/>
      <c r="B157" s="286"/>
      <c r="C157" s="249" t="s">
        <v>396</v>
      </c>
      <c r="D157" s="286"/>
      <c r="E157" s="286"/>
      <c r="F157" s="286"/>
      <c r="G157" s="286"/>
      <c r="H157" s="287">
        <f t="shared" ref="H157" si="79">H152/H153*100</f>
        <v>91.575039397412084</v>
      </c>
      <c r="I157" s="287"/>
      <c r="J157" s="287"/>
      <c r="K157" s="287"/>
      <c r="L157" s="287"/>
      <c r="M157" s="287"/>
      <c r="N157" s="287"/>
      <c r="O157" s="287"/>
      <c r="P157" s="287"/>
      <c r="Q157" s="287"/>
      <c r="R157" s="287"/>
      <c r="S157" s="287"/>
      <c r="T157" s="287">
        <f>T152/T153*100</f>
        <v>91.575039397412084</v>
      </c>
      <c r="U157" s="277"/>
      <c r="V157" s="277"/>
    </row>
    <row r="158" spans="1:38" s="293" customFormat="1">
      <c r="A158" s="288"/>
      <c r="B158" s="288"/>
      <c r="C158" s="289" t="s">
        <v>94</v>
      </c>
      <c r="D158" s="288"/>
      <c r="E158" s="288"/>
      <c r="F158" s="288"/>
      <c r="G158" s="288"/>
      <c r="H158" s="290" t="e">
        <f>H15+#REF!+H53</f>
        <v>#REF!</v>
      </c>
      <c r="I158" s="290"/>
      <c r="J158" s="290"/>
      <c r="K158" s="290"/>
      <c r="L158" s="290"/>
      <c r="M158" s="290"/>
      <c r="N158" s="290"/>
      <c r="O158" s="290"/>
      <c r="P158" s="290"/>
      <c r="Q158" s="290"/>
      <c r="R158" s="290"/>
      <c r="S158" s="290"/>
      <c r="T158" s="290" t="e">
        <f t="shared" ref="T158:T162" si="80">SUM(H158:S158)</f>
        <v>#REF!</v>
      </c>
      <c r="U158" s="291" t="e">
        <f>T158/$T$163*100</f>
        <v>#REF!</v>
      </c>
      <c r="V158" s="335"/>
      <c r="W158" s="292"/>
    </row>
    <row r="159" spans="1:38" s="293" customFormat="1">
      <c r="A159" s="288"/>
      <c r="B159" s="288"/>
      <c r="C159" s="289" t="s">
        <v>95</v>
      </c>
      <c r="D159" s="288"/>
      <c r="E159" s="288"/>
      <c r="F159" s="288"/>
      <c r="G159" s="288"/>
      <c r="H159" s="290">
        <f t="shared" ref="H159" si="81">H151+H74</f>
        <v>128.59902</v>
      </c>
      <c r="I159" s="290"/>
      <c r="J159" s="290"/>
      <c r="K159" s="290"/>
      <c r="L159" s="290"/>
      <c r="M159" s="290"/>
      <c r="N159" s="290"/>
      <c r="O159" s="290"/>
      <c r="P159" s="290"/>
      <c r="Q159" s="290"/>
      <c r="R159" s="290"/>
      <c r="S159" s="290"/>
      <c r="T159" s="290">
        <f t="shared" si="80"/>
        <v>128.59902</v>
      </c>
      <c r="U159" s="291">
        <f t="shared" ref="U159:U160" si="82">T159/$T$163*100</f>
        <v>0.22552015652646881</v>
      </c>
      <c r="V159" s="335"/>
      <c r="W159" s="292"/>
    </row>
    <row r="160" spans="1:38" s="293" customFormat="1">
      <c r="A160" s="288"/>
      <c r="B160" s="288"/>
      <c r="C160" s="289" t="s">
        <v>96</v>
      </c>
      <c r="D160" s="288"/>
      <c r="E160" s="288"/>
      <c r="F160" s="288"/>
      <c r="G160" s="288"/>
      <c r="H160" s="290">
        <f t="shared" ref="H160" si="83">H16</f>
        <v>0</v>
      </c>
      <c r="I160" s="290"/>
      <c r="J160" s="290"/>
      <c r="K160" s="290"/>
      <c r="L160" s="290"/>
      <c r="M160" s="290"/>
      <c r="N160" s="290"/>
      <c r="O160" s="290"/>
      <c r="P160" s="290"/>
      <c r="Q160" s="290"/>
      <c r="R160" s="290"/>
      <c r="S160" s="290"/>
      <c r="T160" s="290">
        <f t="shared" si="80"/>
        <v>0</v>
      </c>
      <c r="U160" s="291">
        <f t="shared" si="82"/>
        <v>0</v>
      </c>
      <c r="V160" s="335"/>
      <c r="W160" s="292"/>
    </row>
    <row r="161" spans="1:36" s="299" customFormat="1">
      <c r="A161" s="281"/>
      <c r="B161" s="281"/>
      <c r="C161" s="294" t="s">
        <v>397</v>
      </c>
      <c r="D161" s="281" t="s">
        <v>173</v>
      </c>
      <c r="E161" s="281"/>
      <c r="F161" s="281"/>
      <c r="G161" s="281"/>
      <c r="H161" s="295" t="e">
        <f t="shared" ref="H161" si="84">SUM(H158:H160)</f>
        <v>#REF!</v>
      </c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 t="e">
        <f t="shared" si="80"/>
        <v>#REF!</v>
      </c>
      <c r="U161" s="296" t="e">
        <f>T161/T163*100</f>
        <v>#REF!</v>
      </c>
      <c r="V161" s="790"/>
      <c r="W161" s="298"/>
    </row>
    <row r="162" spans="1:36" s="299" customFormat="1">
      <c r="A162" s="281"/>
      <c r="B162" s="281"/>
      <c r="C162" s="294" t="s">
        <v>93</v>
      </c>
      <c r="D162" s="281" t="s">
        <v>173</v>
      </c>
      <c r="E162" s="281"/>
      <c r="F162" s="281"/>
      <c r="G162" s="281"/>
      <c r="H162" s="295" t="e">
        <f>H150+H140+H129+H118+H107+H96+H85+H73+H64+H52+#REF!+H14</f>
        <v>#REF!</v>
      </c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 t="e">
        <f t="shared" si="80"/>
        <v>#REF!</v>
      </c>
      <c r="U162" s="296" t="e">
        <f>T162/T163*100</f>
        <v>#REF!</v>
      </c>
      <c r="V162" s="790"/>
      <c r="W162" s="298"/>
    </row>
    <row r="163" spans="1:36">
      <c r="A163" s="253"/>
      <c r="B163" s="253"/>
      <c r="C163" s="300" t="s">
        <v>398</v>
      </c>
      <c r="D163" s="253" t="s">
        <v>173</v>
      </c>
      <c r="E163" s="253"/>
      <c r="F163" s="253"/>
      <c r="G163" s="253"/>
      <c r="H163" s="301">
        <f>(H$20+H41+H$54+H$64+H$75+H$86+H$97+H$108+H$119+H$130+H$141+H$152)</f>
        <v>57023.293164000002</v>
      </c>
      <c r="I163" s="301"/>
      <c r="J163" s="301"/>
      <c r="K163" s="301"/>
      <c r="L163" s="301"/>
      <c r="M163" s="301"/>
      <c r="N163" s="301"/>
      <c r="O163" s="301"/>
      <c r="P163" s="301"/>
      <c r="Q163" s="301"/>
      <c r="R163" s="301"/>
      <c r="S163" s="301"/>
      <c r="T163" s="301">
        <f t="shared" ref="T163" si="85">(T$20+T41+T$54+T$64+T$75+T$86+T$97+T$108+T$119+T$130+T$141+T$152)</f>
        <v>57023.293164000002</v>
      </c>
      <c r="U163" s="277"/>
      <c r="V163" s="277"/>
    </row>
    <row r="164" spans="1:36">
      <c r="A164" s="253"/>
      <c r="B164" s="253"/>
      <c r="C164" s="300" t="s">
        <v>399</v>
      </c>
      <c r="D164" s="253" t="s">
        <v>173</v>
      </c>
      <c r="E164" s="253"/>
      <c r="F164" s="253"/>
      <c r="G164" s="253"/>
      <c r="H164" s="301">
        <f>(H$21+H42+H$55+H$65+H$76+H$87+H$98+H$109+H$120+H$131+H$142+H$153)</f>
        <v>65780.901310817659</v>
      </c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301"/>
      <c r="T164" s="301">
        <f t="shared" ref="T164" si="86">(T$21+T42+T$55+T$65+T$76+T$87+T$98+T$109+T$120+T$131+T$142+T$153)</f>
        <v>65780.901310817659</v>
      </c>
      <c r="U164" s="277"/>
      <c r="V164" s="277"/>
    </row>
    <row r="165" spans="1:36">
      <c r="A165" s="303"/>
      <c r="B165" s="303"/>
      <c r="C165" s="304" t="s">
        <v>400</v>
      </c>
      <c r="D165" s="303" t="s">
        <v>401</v>
      </c>
      <c r="E165" s="303"/>
      <c r="F165" s="303"/>
      <c r="G165" s="303"/>
      <c r="H165" s="791">
        <f>((H$20+H41+H$54+H$64+H$75+H$86+H$97+H$108+H$119+H$130+H$141+H$152)/(H$21+H42+H$55+H$65+H$76+H$87+H$98+H$109+H$120+H$131+H$142+H$153))*100</f>
        <v>86.686700892957404</v>
      </c>
      <c r="I165" s="791"/>
      <c r="J165" s="791"/>
      <c r="K165" s="791"/>
      <c r="L165" s="791"/>
      <c r="M165" s="791"/>
      <c r="N165" s="791"/>
      <c r="O165" s="791"/>
      <c r="P165" s="791"/>
      <c r="Q165" s="791"/>
      <c r="R165" s="791"/>
      <c r="S165" s="791"/>
      <c r="T165" s="301">
        <f t="shared" ref="T165" si="87">((T$20+T41+T$54+T$64+T$75+T$86+T$97+T$108+T$119+T$130+T$141+T$152)/(T$21+T42+T$55+T$65+T$76+T$87+T$98+T$109+T$120+T$131+T$142+T$153))*100</f>
        <v>86.686700892957404</v>
      </c>
      <c r="U165" s="305" t="e">
        <f>T20+#REF!+T54+T64+T75+T86+T97+T108+T119+T130+T141+T152</f>
        <v>#REF!</v>
      </c>
      <c r="V165" s="305" t="e">
        <f>V11+#REF!+V49+V60+V70+V82+V93+V104+V115+V126+V137</f>
        <v>#REF!</v>
      </c>
      <c r="W165" s="214" t="s">
        <v>29</v>
      </c>
      <c r="X165" s="215" t="s">
        <v>30</v>
      </c>
      <c r="Y165" s="215" t="s">
        <v>31</v>
      </c>
      <c r="Z165" s="215" t="s">
        <v>32</v>
      </c>
      <c r="AA165" s="215" t="s">
        <v>33</v>
      </c>
      <c r="AB165" s="215" t="s">
        <v>34</v>
      </c>
      <c r="AC165" s="215" t="s">
        <v>35</v>
      </c>
      <c r="AD165" s="215" t="s">
        <v>36</v>
      </c>
      <c r="AE165" s="215" t="s">
        <v>37</v>
      </c>
      <c r="AF165" s="215" t="s">
        <v>38</v>
      </c>
      <c r="AG165" s="215" t="s">
        <v>39</v>
      </c>
      <c r="AH165" s="215" t="s">
        <v>40</v>
      </c>
      <c r="AI165" s="215" t="s">
        <v>25</v>
      </c>
      <c r="AJ165" s="219" t="s">
        <v>158</v>
      </c>
    </row>
    <row r="166" spans="1:36">
      <c r="A166" s="306"/>
      <c r="B166" s="307"/>
      <c r="C166" s="308"/>
      <c r="D166" s="62"/>
      <c r="E166" s="62"/>
      <c r="F166" s="62"/>
      <c r="G166" s="238"/>
      <c r="H166" s="226"/>
      <c r="I166" s="226"/>
      <c r="J166" s="226"/>
      <c r="K166" s="226"/>
      <c r="L166" s="226"/>
      <c r="M166" s="226"/>
      <c r="N166" s="226"/>
      <c r="O166" s="226"/>
      <c r="P166" s="226"/>
      <c r="Q166" s="226"/>
      <c r="R166" s="226"/>
      <c r="S166" s="226"/>
      <c r="T166" s="226"/>
      <c r="U166" s="226"/>
      <c r="V166" s="226"/>
      <c r="W166" s="227">
        <f>H166*'[2]Transfer Price2011'!$HE$459</f>
        <v>0</v>
      </c>
      <c r="X166" s="227">
        <f>I166*'[2]Transfer Price2011'!$HE$459</f>
        <v>0</v>
      </c>
      <c r="Y166" s="227">
        <f>J166*'[2]Transfer Price2011'!$HE$459</f>
        <v>0</v>
      </c>
      <c r="Z166" s="227">
        <f>K166*'[2]Transfer Price2011'!$HE$459</f>
        <v>0</v>
      </c>
      <c r="AA166" s="227">
        <f>L166*'[2]Transfer Price2011'!$HE$459</f>
        <v>0</v>
      </c>
      <c r="AB166" s="227">
        <f>M166*'[2]Transfer Price2011'!$HE$459</f>
        <v>0</v>
      </c>
      <c r="AC166" s="227">
        <f>N166*'[2]Transfer Price2011'!$HE$459</f>
        <v>0</v>
      </c>
      <c r="AD166" s="227">
        <f>O166*'[2]Transfer Price2011'!$HE$459</f>
        <v>0</v>
      </c>
      <c r="AE166" s="227">
        <f>P166*'[2]Transfer Price2011'!$HE$459</f>
        <v>0</v>
      </c>
      <c r="AF166" s="227">
        <f>Q166*'[2]Transfer Price2011'!$HE$459</f>
        <v>0</v>
      </c>
      <c r="AG166" s="227">
        <f>R166*'[2]Transfer Price2011'!$HE$459</f>
        <v>0</v>
      </c>
      <c r="AH166" s="227">
        <f>S166*'[2]Transfer Price2011'!$HE$459</f>
        <v>0</v>
      </c>
      <c r="AI166" s="214">
        <f>SUM(W166:AH166)</f>
        <v>0</v>
      </c>
      <c r="AJ166" s="228" t="e">
        <f>AI166/U166*1000</f>
        <v>#DIV/0!</v>
      </c>
    </row>
    <row r="167" spans="1:36">
      <c r="A167" s="306"/>
      <c r="B167" s="307"/>
      <c r="C167" s="308"/>
      <c r="D167" s="62"/>
      <c r="E167" s="62"/>
      <c r="F167" s="62"/>
      <c r="G167" s="62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</row>
    <row r="168" spans="1:36">
      <c r="A168" s="306"/>
      <c r="B168" s="307"/>
      <c r="C168" s="308"/>
      <c r="D168" s="62"/>
      <c r="E168" s="62"/>
      <c r="F168" s="62"/>
      <c r="G168" s="62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</row>
    <row r="169" spans="1:36">
      <c r="A169" s="306"/>
      <c r="B169" s="307"/>
      <c r="C169" s="308"/>
      <c r="D169" s="62"/>
      <c r="E169" s="62"/>
      <c r="F169" s="62"/>
      <c r="G169" s="62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</row>
    <row r="170" spans="1:36">
      <c r="A170" s="306"/>
      <c r="B170" s="307"/>
      <c r="C170" s="308"/>
      <c r="D170" s="62"/>
      <c r="E170" s="62"/>
      <c r="F170" s="309"/>
      <c r="G170" s="238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</row>
    <row r="171" spans="1:36">
      <c r="A171" s="306"/>
      <c r="B171" s="307"/>
      <c r="C171" s="308"/>
      <c r="D171" s="253"/>
      <c r="E171" s="62"/>
      <c r="F171" s="62"/>
      <c r="G171" s="238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310"/>
      <c r="T171" s="310"/>
      <c r="U171" s="310"/>
      <c r="V171" s="310"/>
    </row>
    <row r="172" spans="1:36" s="316" customFormat="1">
      <c r="A172" s="311"/>
      <c r="B172" s="312"/>
      <c r="C172" s="313" t="s">
        <v>402</v>
      </c>
      <c r="D172" s="314"/>
      <c r="E172" s="312"/>
      <c r="F172" s="312"/>
      <c r="G172" s="312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315"/>
      <c r="T172" s="210"/>
      <c r="U172" s="210">
        <f>SUM(U166:U171)</f>
        <v>0</v>
      </c>
      <c r="V172" s="210">
        <f>SUM(V166:V171)</f>
        <v>0</v>
      </c>
      <c r="W172" s="213"/>
    </row>
    <row r="173" spans="1:36" hidden="1">
      <c r="A173" s="222">
        <v>8</v>
      </c>
      <c r="B173" s="222" t="s">
        <v>118</v>
      </c>
      <c r="C173" s="317" t="s">
        <v>138</v>
      </c>
      <c r="D173" s="222" t="s">
        <v>90</v>
      </c>
      <c r="E173" s="238">
        <f>'[2]Price&amp;Heating-Value'!$R$6</f>
        <v>3.6</v>
      </c>
      <c r="F173" s="62"/>
      <c r="G173" s="256">
        <f>'[2]Price&amp;Heating-Value'!$P$6</f>
        <v>2.7124999999999999</v>
      </c>
      <c r="H173" s="226"/>
      <c r="I173" s="226"/>
      <c r="J173" s="226"/>
      <c r="K173" s="226"/>
      <c r="L173" s="226"/>
      <c r="M173" s="226"/>
      <c r="N173" s="226"/>
      <c r="O173" s="226"/>
      <c r="P173" s="226"/>
      <c r="Q173" s="226"/>
      <c r="R173" s="226"/>
      <c r="S173" s="226"/>
      <c r="T173" s="225">
        <f>SUM(H173:S173)</f>
        <v>0</v>
      </c>
      <c r="U173" s="226">
        <f>T173*E173</f>
        <v>0</v>
      </c>
      <c r="V173" s="226">
        <f>G173*T173</f>
        <v>0</v>
      </c>
      <c r="W173" s="227">
        <f>'[2]Price&amp;Heating-Value'!D$6</f>
        <v>2.4500000000000002</v>
      </c>
      <c r="X173" s="227">
        <f>'[2]Price&amp;Heating-Value'!E$6</f>
        <v>2.54</v>
      </c>
      <c r="Y173" s="227">
        <f>'[2]Price&amp;Heating-Value'!F$6</f>
        <v>2.58</v>
      </c>
      <c r="Z173" s="227">
        <f>'[2]Price&amp;Heating-Value'!G$6</f>
        <v>2.67</v>
      </c>
      <c r="AA173" s="227">
        <f>'[2]Price&amp;Heating-Value'!H$6</f>
        <v>2.67</v>
      </c>
      <c r="AB173" s="227">
        <f>'[2]Price&amp;Heating-Value'!I$6</f>
        <v>2.67</v>
      </c>
      <c r="AC173" s="227">
        <f>'[2]Price&amp;Heating-Value'!J$6</f>
        <v>2.62</v>
      </c>
    </row>
    <row r="174" spans="1:36" hidden="1">
      <c r="A174" s="62"/>
      <c r="B174" s="62"/>
      <c r="C174" s="278" t="s">
        <v>152</v>
      </c>
      <c r="D174" s="62" t="s">
        <v>147</v>
      </c>
      <c r="E174" s="62">
        <f>'[2]Price&amp;Heating-Value'!$R$9</f>
        <v>2803</v>
      </c>
      <c r="F174" s="62"/>
      <c r="G174" s="230">
        <f>'[2]Price&amp;Heating-Value'!$P$9</f>
        <v>1301.5833333333333</v>
      </c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>
        <f>SUM(H174:S174)</f>
        <v>0</v>
      </c>
      <c r="U174" s="225">
        <f>T174*E174</f>
        <v>0</v>
      </c>
      <c r="V174" s="225">
        <f>G174*T174</f>
        <v>0</v>
      </c>
      <c r="W174" s="232">
        <f>'[2]Price&amp;Heating-Value'!D$9</f>
        <v>1210</v>
      </c>
      <c r="X174" s="232">
        <f>'[2]Price&amp;Heating-Value'!E$9</f>
        <v>1218</v>
      </c>
      <c r="Y174" s="232">
        <f>'[2]Price&amp;Heating-Value'!F$9</f>
        <v>1207</v>
      </c>
      <c r="Z174" s="232">
        <f>'[2]Price&amp;Heating-Value'!G$9</f>
        <v>1232</v>
      </c>
      <c r="AA174" s="232">
        <f>'[2]Price&amp;Heating-Value'!H$9</f>
        <v>1352</v>
      </c>
      <c r="AB174" s="232">
        <f>'[2]Price&amp;Heating-Value'!I$9</f>
        <v>1491</v>
      </c>
      <c r="AC174" s="232">
        <f>'[2]Price&amp;Heating-Value'!J$9</f>
        <v>1588</v>
      </c>
    </row>
    <row r="175" spans="1:36" hidden="1">
      <c r="A175" s="62"/>
      <c r="B175" s="62"/>
      <c r="C175" s="60" t="s">
        <v>101</v>
      </c>
      <c r="D175" s="62" t="s">
        <v>483</v>
      </c>
      <c r="E175" s="62">
        <v>43.993000000000002</v>
      </c>
      <c r="F175" s="62"/>
      <c r="G175" s="230">
        <f>'[2]Price&amp;Heating-Value'!$P$23/1000</f>
        <v>11.61472</v>
      </c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>
        <f>SUM(H175:S175)</f>
        <v>0</v>
      </c>
      <c r="U175" s="225">
        <f>T175*E175</f>
        <v>0</v>
      </c>
      <c r="V175" s="225">
        <f>G175*T175</f>
        <v>0</v>
      </c>
      <c r="W175" s="232">
        <f>'[2]Price&amp;Heating-Value'!D$23/1000</f>
        <v>11.61472</v>
      </c>
      <c r="X175" s="232">
        <f>'[2]Price&amp;Heating-Value'!E$23/1000</f>
        <v>11.61472</v>
      </c>
      <c r="Y175" s="232">
        <f>'[2]Price&amp;Heating-Value'!F$23/1000</f>
        <v>11.61472</v>
      </c>
      <c r="Z175" s="232">
        <f>'[2]Price&amp;Heating-Value'!G$23/1000</f>
        <v>11.61472</v>
      </c>
      <c r="AA175" s="232">
        <f>'[2]Price&amp;Heating-Value'!H$23/1000</f>
        <v>11.61472</v>
      </c>
      <c r="AB175" s="232">
        <f>'[2]Price&amp;Heating-Value'!I$23/1000</f>
        <v>11.61472</v>
      </c>
      <c r="AC175" s="232">
        <f>'[2]Price&amp;Heating-Value'!J$23/1000</f>
        <v>11.61472</v>
      </c>
    </row>
    <row r="176" spans="1:36" hidden="1">
      <c r="A176" s="62"/>
      <c r="B176" s="233"/>
      <c r="C176" s="234" t="s">
        <v>860</v>
      </c>
      <c r="D176" s="233" t="s">
        <v>147</v>
      </c>
      <c r="E176" s="233"/>
      <c r="F176" s="233"/>
      <c r="G176" s="235"/>
      <c r="H176" s="318"/>
      <c r="I176" s="318"/>
      <c r="J176" s="318"/>
      <c r="K176" s="318"/>
      <c r="L176" s="318"/>
      <c r="M176" s="318"/>
      <c r="N176" s="318"/>
      <c r="O176" s="318"/>
      <c r="P176" s="318"/>
      <c r="Q176" s="318"/>
      <c r="R176" s="318"/>
      <c r="S176" s="318"/>
      <c r="T176" s="257"/>
      <c r="U176" s="257">
        <f>SUM(U173:U175)</f>
        <v>0</v>
      </c>
      <c r="V176" s="768">
        <f>SUM(V173:V175)</f>
        <v>0</v>
      </c>
    </row>
    <row r="177" spans="1:36" hidden="1">
      <c r="A177" s="62"/>
      <c r="B177" s="233"/>
      <c r="C177" s="234" t="s">
        <v>861</v>
      </c>
      <c r="D177" s="233" t="s">
        <v>147</v>
      </c>
      <c r="E177" s="233"/>
      <c r="F177" s="233"/>
      <c r="G177" s="235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36">
        <f t="shared" ref="T177:T182" si="88">SUM(H177:S177)</f>
        <v>0</v>
      </c>
      <c r="U177" s="259"/>
      <c r="V177" s="785" t="e">
        <f>V176/T177</f>
        <v>#DIV/0!</v>
      </c>
    </row>
    <row r="178" spans="1:36" hidden="1">
      <c r="A178" s="62"/>
      <c r="B178" s="62"/>
      <c r="C178" s="278" t="s">
        <v>138</v>
      </c>
      <c r="D178" s="62" t="s">
        <v>173</v>
      </c>
      <c r="E178" s="62"/>
      <c r="F178" s="62"/>
      <c r="G178" s="238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>
        <f t="shared" si="88"/>
        <v>0</v>
      </c>
      <c r="U178" s="225"/>
      <c r="V178" s="225"/>
    </row>
    <row r="179" spans="1:36" hidden="1">
      <c r="A179" s="62"/>
      <c r="B179" s="62"/>
      <c r="C179" s="278" t="s">
        <v>152</v>
      </c>
      <c r="D179" s="62" t="s">
        <v>173</v>
      </c>
      <c r="E179" s="62"/>
      <c r="F179" s="62"/>
      <c r="G179" s="238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>
        <f t="shared" si="88"/>
        <v>0</v>
      </c>
      <c r="U179" s="225"/>
      <c r="V179" s="225"/>
    </row>
    <row r="180" spans="1:36" hidden="1">
      <c r="A180" s="62"/>
      <c r="B180" s="62"/>
      <c r="C180" s="278" t="s">
        <v>112</v>
      </c>
      <c r="D180" s="62" t="s">
        <v>173</v>
      </c>
      <c r="E180" s="62"/>
      <c r="F180" s="62"/>
      <c r="G180" s="238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>
        <f t="shared" si="88"/>
        <v>0</v>
      </c>
      <c r="U180" s="225"/>
      <c r="V180" s="225"/>
    </row>
    <row r="181" spans="1:36" hidden="1">
      <c r="A181" s="62"/>
      <c r="B181" s="62"/>
      <c r="C181" s="237" t="s">
        <v>403</v>
      </c>
      <c r="D181" s="62" t="s">
        <v>173</v>
      </c>
      <c r="E181" s="253"/>
      <c r="F181" s="253"/>
      <c r="G181" s="283"/>
      <c r="H181" s="335">
        <v>30860.7492336</v>
      </c>
      <c r="I181" s="335">
        <v>19640.174376800001</v>
      </c>
      <c r="J181" s="335">
        <v>34269.3780042</v>
      </c>
      <c r="K181" s="335">
        <v>29171.733401999998</v>
      </c>
      <c r="L181" s="335">
        <v>27418.304655200001</v>
      </c>
      <c r="M181" s="335">
        <v>32342.436737</v>
      </c>
      <c r="N181" s="335">
        <v>30741.178921999999</v>
      </c>
      <c r="O181" s="335">
        <v>29505.6449698</v>
      </c>
      <c r="P181" s="335">
        <v>31793.461223000002</v>
      </c>
      <c r="Q181" s="335">
        <v>29058.510038200002</v>
      </c>
      <c r="R181" s="335">
        <v>31850.979186799999</v>
      </c>
      <c r="S181" s="335">
        <v>30520.590059999999</v>
      </c>
      <c r="T181" s="279">
        <f t="shared" si="88"/>
        <v>357173.14080860006</v>
      </c>
      <c r="U181" s="277">
        <f>T181*12/11</f>
        <v>389643.42633665464</v>
      </c>
      <c r="V181" s="786">
        <f>V176/T181</f>
        <v>0</v>
      </c>
    </row>
    <row r="182" spans="1:36" hidden="1">
      <c r="A182" s="62"/>
      <c r="B182" s="62"/>
      <c r="C182" s="237" t="s">
        <v>345</v>
      </c>
      <c r="D182" s="62" t="s">
        <v>173</v>
      </c>
      <c r="E182" s="253"/>
      <c r="F182" s="253"/>
      <c r="G182" s="283"/>
      <c r="H182" s="335">
        <v>30665.375491233757</v>
      </c>
      <c r="I182" s="335">
        <v>18302.282441614989</v>
      </c>
      <c r="J182" s="335">
        <v>33852.760973619064</v>
      </c>
      <c r="K182" s="335">
        <v>26576.993950516888</v>
      </c>
      <c r="L182" s="335">
        <v>25108.665336156893</v>
      </c>
      <c r="M182" s="335">
        <v>30333.233223712072</v>
      </c>
      <c r="N182" s="335">
        <v>29184.517196721819</v>
      </c>
      <c r="O182" s="335">
        <v>27997.495621175451</v>
      </c>
      <c r="P182" s="335">
        <v>30455.163445508828</v>
      </c>
      <c r="Q182" s="335">
        <v>26952.401410272392</v>
      </c>
      <c r="R182" s="335">
        <v>29002.765740247138</v>
      </c>
      <c r="S182" s="335">
        <v>29371.635553370765</v>
      </c>
      <c r="T182" s="277">
        <f t="shared" si="88"/>
        <v>337803.29038415005</v>
      </c>
      <c r="U182" s="277">
        <f>T182*12/11</f>
        <v>368512.68041907274</v>
      </c>
      <c r="V182" s="271" t="s">
        <v>158</v>
      </c>
    </row>
    <row r="183" spans="1:36" hidden="1">
      <c r="A183" s="62"/>
      <c r="B183" s="243" t="s">
        <v>174</v>
      </c>
      <c r="C183" s="244" t="s">
        <v>89</v>
      </c>
      <c r="D183" s="243" t="s">
        <v>347</v>
      </c>
      <c r="E183" s="243"/>
      <c r="F183" s="243"/>
      <c r="G183" s="248"/>
      <c r="H183" s="245" t="e">
        <f t="shared" ref="H183:T183" si="89">H178/H177</f>
        <v>#DIV/0!</v>
      </c>
      <c r="I183" s="245" t="e">
        <f t="shared" si="89"/>
        <v>#DIV/0!</v>
      </c>
      <c r="J183" s="245" t="e">
        <f t="shared" si="89"/>
        <v>#DIV/0!</v>
      </c>
      <c r="K183" s="245" t="e">
        <f t="shared" si="89"/>
        <v>#DIV/0!</v>
      </c>
      <c r="L183" s="245" t="e">
        <f t="shared" si="89"/>
        <v>#DIV/0!</v>
      </c>
      <c r="M183" s="245" t="e">
        <f t="shared" si="89"/>
        <v>#DIV/0!</v>
      </c>
      <c r="N183" s="245" t="e">
        <f t="shared" si="89"/>
        <v>#DIV/0!</v>
      </c>
      <c r="O183" s="245" t="e">
        <f t="shared" si="89"/>
        <v>#DIV/0!</v>
      </c>
      <c r="P183" s="245" t="e">
        <f t="shared" si="89"/>
        <v>#DIV/0!</v>
      </c>
      <c r="Q183" s="245" t="e">
        <f t="shared" si="89"/>
        <v>#DIV/0!</v>
      </c>
      <c r="R183" s="245" t="e">
        <f t="shared" si="89"/>
        <v>#DIV/0!</v>
      </c>
      <c r="S183" s="245" t="e">
        <f t="shared" si="89"/>
        <v>#DIV/0!</v>
      </c>
      <c r="T183" s="245" t="e">
        <f t="shared" si="89"/>
        <v>#DIV/0!</v>
      </c>
      <c r="U183" s="246"/>
      <c r="V183" s="246"/>
    </row>
    <row r="184" spans="1:36" hidden="1">
      <c r="A184" s="62"/>
      <c r="B184" s="243"/>
      <c r="C184" s="244" t="s">
        <v>152</v>
      </c>
      <c r="D184" s="243" t="s">
        <v>347</v>
      </c>
      <c r="E184" s="243"/>
      <c r="F184" s="243"/>
      <c r="G184" s="248"/>
      <c r="H184" s="245" t="e">
        <f t="shared" ref="H184:T184" si="90">H179/H177</f>
        <v>#DIV/0!</v>
      </c>
      <c r="I184" s="245" t="e">
        <f t="shared" si="90"/>
        <v>#DIV/0!</v>
      </c>
      <c r="J184" s="245" t="e">
        <f t="shared" si="90"/>
        <v>#DIV/0!</v>
      </c>
      <c r="K184" s="245" t="e">
        <f t="shared" si="90"/>
        <v>#DIV/0!</v>
      </c>
      <c r="L184" s="245" t="e">
        <f t="shared" si="90"/>
        <v>#DIV/0!</v>
      </c>
      <c r="M184" s="245" t="e">
        <f t="shared" si="90"/>
        <v>#DIV/0!</v>
      </c>
      <c r="N184" s="245" t="e">
        <f t="shared" si="90"/>
        <v>#DIV/0!</v>
      </c>
      <c r="O184" s="245" t="e">
        <f t="shared" si="90"/>
        <v>#DIV/0!</v>
      </c>
      <c r="P184" s="245" t="e">
        <f t="shared" si="90"/>
        <v>#DIV/0!</v>
      </c>
      <c r="Q184" s="245" t="e">
        <f t="shared" si="90"/>
        <v>#DIV/0!</v>
      </c>
      <c r="R184" s="245" t="e">
        <f t="shared" si="90"/>
        <v>#DIV/0!</v>
      </c>
      <c r="S184" s="245" t="e">
        <f t="shared" si="90"/>
        <v>#DIV/0!</v>
      </c>
      <c r="T184" s="245" t="e">
        <f t="shared" si="90"/>
        <v>#DIV/0!</v>
      </c>
      <c r="U184" s="246"/>
      <c r="V184" s="246"/>
    </row>
    <row r="185" spans="1:36" hidden="1">
      <c r="A185" s="62"/>
      <c r="B185" s="243"/>
      <c r="C185" s="244" t="s">
        <v>112</v>
      </c>
      <c r="D185" s="243" t="s">
        <v>347</v>
      </c>
      <c r="E185" s="243"/>
      <c r="F185" s="243"/>
      <c r="G185" s="248"/>
      <c r="H185" s="245" t="e">
        <f t="shared" ref="H185:T185" si="91">H180/H177</f>
        <v>#DIV/0!</v>
      </c>
      <c r="I185" s="245" t="e">
        <f t="shared" si="91"/>
        <v>#DIV/0!</v>
      </c>
      <c r="J185" s="245" t="e">
        <f t="shared" si="91"/>
        <v>#DIV/0!</v>
      </c>
      <c r="K185" s="245" t="e">
        <f t="shared" si="91"/>
        <v>#DIV/0!</v>
      </c>
      <c r="L185" s="245" t="e">
        <f t="shared" si="91"/>
        <v>#DIV/0!</v>
      </c>
      <c r="M185" s="245" t="e">
        <f t="shared" si="91"/>
        <v>#DIV/0!</v>
      </c>
      <c r="N185" s="245" t="e">
        <f t="shared" si="91"/>
        <v>#DIV/0!</v>
      </c>
      <c r="O185" s="245" t="e">
        <f t="shared" si="91"/>
        <v>#DIV/0!</v>
      </c>
      <c r="P185" s="245" t="e">
        <f t="shared" si="91"/>
        <v>#DIV/0!</v>
      </c>
      <c r="Q185" s="245" t="e">
        <f t="shared" si="91"/>
        <v>#DIV/0!</v>
      </c>
      <c r="R185" s="245" t="e">
        <f t="shared" si="91"/>
        <v>#DIV/0!</v>
      </c>
      <c r="S185" s="245" t="e">
        <f t="shared" si="91"/>
        <v>#DIV/0!</v>
      </c>
      <c r="T185" s="245" t="e">
        <f t="shared" si="91"/>
        <v>#DIV/0!</v>
      </c>
      <c r="U185" s="246"/>
      <c r="V185" s="246"/>
    </row>
    <row r="186" spans="1:36" ht="23.25" hidden="1">
      <c r="A186" s="62"/>
      <c r="B186" s="243"/>
      <c r="C186" s="249" t="s">
        <v>404</v>
      </c>
      <c r="D186" s="243" t="s">
        <v>347</v>
      </c>
      <c r="E186" s="243"/>
      <c r="F186" s="243"/>
      <c r="G186" s="248"/>
      <c r="H186" s="245" t="e">
        <f>(H181)/(H177)</f>
        <v>#DIV/0!</v>
      </c>
      <c r="I186" s="245" t="e">
        <f t="shared" ref="I186:T186" si="92">I181/I177</f>
        <v>#DIV/0!</v>
      </c>
      <c r="J186" s="245" t="e">
        <f t="shared" si="92"/>
        <v>#DIV/0!</v>
      </c>
      <c r="K186" s="245" t="e">
        <f t="shared" si="92"/>
        <v>#DIV/0!</v>
      </c>
      <c r="L186" s="245" t="e">
        <f t="shared" si="92"/>
        <v>#DIV/0!</v>
      </c>
      <c r="M186" s="245" t="e">
        <f t="shared" si="92"/>
        <v>#DIV/0!</v>
      </c>
      <c r="N186" s="245" t="e">
        <f t="shared" si="92"/>
        <v>#DIV/0!</v>
      </c>
      <c r="O186" s="245" t="e">
        <f t="shared" si="92"/>
        <v>#DIV/0!</v>
      </c>
      <c r="P186" s="245" t="e">
        <f t="shared" si="92"/>
        <v>#DIV/0!</v>
      </c>
      <c r="Q186" s="245" t="e">
        <f t="shared" si="92"/>
        <v>#DIV/0!</v>
      </c>
      <c r="R186" s="245" t="e">
        <f t="shared" si="92"/>
        <v>#DIV/0!</v>
      </c>
      <c r="S186" s="245" t="e">
        <f t="shared" si="92"/>
        <v>#DIV/0!</v>
      </c>
      <c r="T186" s="250" t="e">
        <f t="shared" si="92"/>
        <v>#DIV/0!</v>
      </c>
      <c r="U186" s="246"/>
      <c r="V186" s="246"/>
    </row>
    <row r="187" spans="1:36" hidden="1">
      <c r="A187" s="62"/>
      <c r="B187" s="243"/>
      <c r="C187" s="249" t="s">
        <v>405</v>
      </c>
      <c r="D187" s="243"/>
      <c r="E187" s="243"/>
      <c r="F187" s="243"/>
      <c r="G187" s="243"/>
      <c r="H187" s="251">
        <f t="shared" ref="H187:S187" si="93">H181/H182*100</f>
        <v>100.63711511513071</v>
      </c>
      <c r="I187" s="251">
        <f t="shared" si="93"/>
        <v>107.30997316565811</v>
      </c>
      <c r="J187" s="251">
        <f t="shared" si="93"/>
        <v>101.23067371345455</v>
      </c>
      <c r="K187" s="251">
        <f t="shared" si="93"/>
        <v>109.7631035937104</v>
      </c>
      <c r="L187" s="251">
        <f t="shared" si="93"/>
        <v>109.19857462800778</v>
      </c>
      <c r="M187" s="251">
        <f t="shared" si="93"/>
        <v>106.62376970654515</v>
      </c>
      <c r="N187" s="251">
        <f t="shared" si="93"/>
        <v>105.33386149507051</v>
      </c>
      <c r="O187" s="251">
        <f t="shared" si="93"/>
        <v>105.38672947406012</v>
      </c>
      <c r="P187" s="251">
        <f t="shared" si="93"/>
        <v>104.39432144202966</v>
      </c>
      <c r="Q187" s="251">
        <f t="shared" si="93"/>
        <v>107.81417802394746</v>
      </c>
      <c r="R187" s="251">
        <f t="shared" si="93"/>
        <v>109.8204890942535</v>
      </c>
      <c r="S187" s="251">
        <f t="shared" si="93"/>
        <v>103.91178252413451</v>
      </c>
      <c r="T187" s="251">
        <f>T181/T182*100</f>
        <v>105.73406209348126</v>
      </c>
      <c r="U187" s="246"/>
      <c r="V187" s="246"/>
    </row>
    <row r="188" spans="1:36" hidden="1">
      <c r="A188" s="62">
        <v>9</v>
      </c>
      <c r="B188" s="240" t="s">
        <v>114</v>
      </c>
      <c r="C188" s="278" t="s">
        <v>138</v>
      </c>
      <c r="D188" s="62" t="s">
        <v>90</v>
      </c>
      <c r="E188" s="238">
        <f>'[2]Price&amp;Heating-Value'!$R$6</f>
        <v>3.6</v>
      </c>
      <c r="F188" s="62"/>
      <c r="G188" s="256">
        <f>'[2]Price&amp;Heating-Value'!$P$6</f>
        <v>2.7124999999999999</v>
      </c>
      <c r="H188" s="792">
        <v>1580000</v>
      </c>
      <c r="I188" s="225">
        <v>1430000</v>
      </c>
      <c r="J188" s="225">
        <v>1596000</v>
      </c>
      <c r="K188" s="225">
        <v>1503000</v>
      </c>
      <c r="L188" s="225">
        <v>1606000</v>
      </c>
      <c r="M188" s="225">
        <v>1516000</v>
      </c>
      <c r="N188" s="225">
        <v>1549604</v>
      </c>
      <c r="O188" s="225">
        <v>1546000</v>
      </c>
      <c r="P188" s="225">
        <v>1530000</v>
      </c>
      <c r="Q188" s="225">
        <v>1640000</v>
      </c>
      <c r="R188" s="225">
        <v>1583000</v>
      </c>
      <c r="S188" s="225">
        <v>1589000</v>
      </c>
      <c r="T188" s="225">
        <f>SUM(H188:S188)</f>
        <v>18668604</v>
      </c>
      <c r="U188" s="225">
        <f>T188*E188</f>
        <v>67206974.400000006</v>
      </c>
      <c r="V188" s="225">
        <f>G188*T188</f>
        <v>50638588.350000001</v>
      </c>
      <c r="W188" s="227">
        <f>H188*'[2]Transfer Price2011'!$HE$459</f>
        <v>4724200</v>
      </c>
      <c r="X188" s="227">
        <f>I188*'[2]Transfer Price2011'!$HE$459</f>
        <v>4275700</v>
      </c>
      <c r="Y188" s="227">
        <f>J188*'[2]Transfer Price2011'!$HE$459</f>
        <v>4772040</v>
      </c>
      <c r="Z188" s="227">
        <f>K188*'[2]Transfer Price2011'!$HE$459</f>
        <v>4493970</v>
      </c>
      <c r="AA188" s="227">
        <f>L188*'[2]Transfer Price2011'!$HE$459</f>
        <v>4801940</v>
      </c>
      <c r="AB188" s="227">
        <f>M188*'[2]Transfer Price2011'!$HE$459</f>
        <v>4532840</v>
      </c>
      <c r="AC188" s="227">
        <f>N188*'[2]Transfer Price2011'!$HE$459</f>
        <v>4633315.96</v>
      </c>
      <c r="AD188" s="227">
        <f>O188*'[2]Transfer Price2011'!$HE$459</f>
        <v>4622540</v>
      </c>
      <c r="AE188" s="227">
        <f>P188*'[2]Transfer Price2011'!$HE$459</f>
        <v>4574700</v>
      </c>
      <c r="AF188" s="227">
        <f>Q188*'[2]Transfer Price2011'!$HE$459</f>
        <v>4903600</v>
      </c>
      <c r="AG188" s="227">
        <f>R188*'[2]Transfer Price2011'!$HE$459</f>
        <v>4733170</v>
      </c>
      <c r="AH188" s="227">
        <f>S188*'[2]Transfer Price2011'!$HE$459</f>
        <v>4751110</v>
      </c>
      <c r="AI188" s="214">
        <f>SUM(W188:AH188)</f>
        <v>55819125.960000001</v>
      </c>
      <c r="AJ188" s="228">
        <f>AI188/U188*1000</f>
        <v>830.55555555555554</v>
      </c>
    </row>
    <row r="189" spans="1:36" hidden="1">
      <c r="A189" s="62"/>
      <c r="B189" s="62"/>
      <c r="C189" s="278" t="s">
        <v>152</v>
      </c>
      <c r="D189" s="62" t="s">
        <v>121</v>
      </c>
      <c r="E189" s="62">
        <f>'[2]Price&amp;Heating-Value'!$R$9</f>
        <v>2803</v>
      </c>
      <c r="F189" s="62"/>
      <c r="G189" s="230">
        <f>'[2]Price&amp;Heating-Value'!$P$9</f>
        <v>1301.5833333333333</v>
      </c>
      <c r="H189" s="792">
        <v>18258.858999999997</v>
      </c>
      <c r="I189" s="225">
        <v>15915.371000000001</v>
      </c>
      <c r="J189" s="225">
        <v>18996.162999999997</v>
      </c>
      <c r="K189" s="225">
        <v>19494.503000000001</v>
      </c>
      <c r="L189" s="225">
        <v>20054.034</v>
      </c>
      <c r="M189" s="225">
        <v>18548.118000000002</v>
      </c>
      <c r="N189" s="225">
        <v>17374.185000000001</v>
      </c>
      <c r="O189" s="225">
        <v>16089.984420898436</v>
      </c>
      <c r="P189" s="225">
        <v>17475.331000000002</v>
      </c>
      <c r="Q189" s="225">
        <v>19530.415000000001</v>
      </c>
      <c r="R189" s="225">
        <v>18775</v>
      </c>
      <c r="S189" s="339">
        <v>18539.838</v>
      </c>
      <c r="T189" s="225">
        <f>SUM(H189:S189)</f>
        <v>219051.80142089844</v>
      </c>
      <c r="U189" s="225">
        <f>T189*E189</f>
        <v>614002199.38277829</v>
      </c>
      <c r="V189" s="225">
        <f>G189*T189</f>
        <v>285114173.8660844</v>
      </c>
      <c r="W189" s="232">
        <f>'[2]Price&amp;Heating-Value'!D$9</f>
        <v>1210</v>
      </c>
      <c r="X189" s="232">
        <f>'[2]Price&amp;Heating-Value'!E$9</f>
        <v>1218</v>
      </c>
      <c r="Y189" s="232">
        <f>'[2]Price&amp;Heating-Value'!F$9</f>
        <v>1207</v>
      </c>
      <c r="Z189" s="232">
        <f>'[2]Price&amp;Heating-Value'!G$9</f>
        <v>1232</v>
      </c>
      <c r="AA189" s="232">
        <f>'[2]Price&amp;Heating-Value'!H$9</f>
        <v>1352</v>
      </c>
      <c r="AB189" s="232">
        <f>'[2]Price&amp;Heating-Value'!I$9</f>
        <v>1491</v>
      </c>
      <c r="AC189" s="232">
        <f>'[2]Price&amp;Heating-Value'!J$9</f>
        <v>1588</v>
      </c>
    </row>
    <row r="190" spans="1:36" hidden="1">
      <c r="A190" s="62"/>
      <c r="B190" s="62"/>
      <c r="C190" s="60" t="s">
        <v>408</v>
      </c>
      <c r="D190" s="62" t="s">
        <v>176</v>
      </c>
      <c r="E190" s="238">
        <f>'[2]Price&amp;Heating-Value'!$S$16/1000</f>
        <v>39.770000000000003</v>
      </c>
      <c r="F190" s="321">
        <f>'[2]Price&amp;Heating-Value'!$T$16</f>
        <v>0.98550000000000004</v>
      </c>
      <c r="G190" s="230">
        <f>'[2]Price&amp;Heating-Value'!$P$16*'[2]Price&amp;Heating-Value'!$T$16/1000</f>
        <v>17.944656726937499</v>
      </c>
      <c r="H190" s="792">
        <v>0</v>
      </c>
      <c r="I190" s="225">
        <v>0</v>
      </c>
      <c r="J190" s="225">
        <v>0</v>
      </c>
      <c r="K190" s="225">
        <v>60776.627092846269</v>
      </c>
      <c r="L190" s="225">
        <v>0</v>
      </c>
      <c r="M190" s="225">
        <v>0</v>
      </c>
      <c r="N190" s="225">
        <v>14401.266362252665</v>
      </c>
      <c r="O190" s="225">
        <v>0</v>
      </c>
      <c r="P190" s="225">
        <v>0</v>
      </c>
      <c r="Q190" s="225">
        <v>0</v>
      </c>
      <c r="R190" s="225">
        <v>0</v>
      </c>
      <c r="S190" s="225">
        <v>0</v>
      </c>
      <c r="T190" s="225">
        <f>SUM(H190:S190)</f>
        <v>75177.893455098936</v>
      </c>
      <c r="U190" s="225">
        <f>T190*E190</f>
        <v>2989824.8227092847</v>
      </c>
      <c r="V190" s="225">
        <f>F190*G190*T190</f>
        <v>1329480.3898791943</v>
      </c>
      <c r="W190" s="322">
        <f>'[2]Price&amp;Heating-Value'!D$16*'[2]Price&amp;Heating-Value'!$T$16/1000</f>
        <v>16.779635460000002</v>
      </c>
      <c r="X190" s="232">
        <f>'[2]Price&amp;Heating-Value'!E$16*'[2]Price&amp;Heating-Value'!$T$16/1000</f>
        <v>16.47036585</v>
      </c>
      <c r="Y190" s="232">
        <f>'[2]Price&amp;Heating-Value'!F$16*'[2]Price&amp;Heating-Value'!$T$16/1000</f>
        <v>16.780118354999999</v>
      </c>
      <c r="Z190" s="232">
        <f>'[2]Price&amp;Heating-Value'!G$16*'[2]Price&amp;Heating-Value'!$T$16/1000</f>
        <v>18.287135100000004</v>
      </c>
      <c r="AA190" s="232">
        <f>'[2]Price&amp;Heating-Value'!H$16*'[2]Price&amp;Heating-Value'!$T$16/1000</f>
        <v>20.715278985000001</v>
      </c>
      <c r="AB190" s="232">
        <f>'[2]Price&amp;Heating-Value'!I$16*'[2]Price&amp;Heating-Value'!$T$16/1000</f>
        <v>22.335056640000001</v>
      </c>
      <c r="AC190" s="232">
        <f>'[2]Price&amp;Heating-Value'!J$16*'[2]Price&amp;Heating-Value'!$T$16/1000</f>
        <v>25.718475240000004</v>
      </c>
      <c r="AD190" s="232"/>
    </row>
    <row r="191" spans="1:36" hidden="1">
      <c r="A191" s="62"/>
      <c r="B191" s="62"/>
      <c r="C191" s="60" t="s">
        <v>409</v>
      </c>
      <c r="D191" s="62" t="s">
        <v>102</v>
      </c>
      <c r="E191" s="62">
        <v>51.89</v>
      </c>
      <c r="F191" s="62"/>
      <c r="G191" s="230">
        <f>'[2]Price&amp;Heating-Value'!$P$23/1000</f>
        <v>11.61472</v>
      </c>
      <c r="H191" s="793">
        <v>670924</v>
      </c>
      <c r="I191" s="225">
        <v>594377</v>
      </c>
      <c r="J191" s="225">
        <v>673016</v>
      </c>
      <c r="K191" s="225">
        <v>561186</v>
      </c>
      <c r="L191" s="225">
        <v>680436</v>
      </c>
      <c r="M191" s="225">
        <v>627074</v>
      </c>
      <c r="N191" s="225">
        <v>608295</v>
      </c>
      <c r="O191" s="225">
        <v>605845.5</v>
      </c>
      <c r="P191" s="225">
        <v>633441</v>
      </c>
      <c r="Q191" s="225">
        <v>682757</v>
      </c>
      <c r="R191" s="225">
        <v>675842</v>
      </c>
      <c r="S191" s="225">
        <v>675644</v>
      </c>
      <c r="T191" s="225">
        <f>SUM(H191:S191)</f>
        <v>7688837.5</v>
      </c>
      <c r="U191" s="225">
        <f>T191*E191</f>
        <v>398973777.875</v>
      </c>
      <c r="V191" s="225">
        <f>G191*T191</f>
        <v>89303694.688000008</v>
      </c>
      <c r="W191" s="322">
        <f>'[2]Price&amp;Heating-Value'!D$23/1000</f>
        <v>11.61472</v>
      </c>
      <c r="X191" s="232">
        <f>'[2]Price&amp;Heating-Value'!E$23/1000</f>
        <v>11.61472</v>
      </c>
      <c r="Y191" s="232">
        <f>'[2]Price&amp;Heating-Value'!F$23/1000</f>
        <v>11.61472</v>
      </c>
      <c r="Z191" s="232">
        <f>'[2]Price&amp;Heating-Value'!G$23/1000</f>
        <v>11.61472</v>
      </c>
      <c r="AA191" s="232">
        <f>'[2]Price&amp;Heating-Value'!H$23/1000</f>
        <v>11.61472</v>
      </c>
      <c r="AB191" s="232">
        <f>'[2]Price&amp;Heating-Value'!I$23/1000</f>
        <v>11.61472</v>
      </c>
      <c r="AC191" s="232">
        <f>'[2]Price&amp;Heating-Value'!J$23/1000</f>
        <v>11.61472</v>
      </c>
    </row>
    <row r="192" spans="1:36" hidden="1">
      <c r="A192" s="62"/>
      <c r="B192" s="62"/>
      <c r="C192" s="237"/>
      <c r="D192" s="62"/>
      <c r="E192" s="62"/>
      <c r="F192" s="321"/>
      <c r="G192" s="238"/>
      <c r="H192" s="794"/>
      <c r="I192" s="257"/>
      <c r="J192" s="257"/>
      <c r="K192" s="257"/>
      <c r="L192" s="257"/>
      <c r="M192" s="257"/>
      <c r="N192" s="257"/>
      <c r="O192" s="257"/>
      <c r="P192" s="257"/>
      <c r="Q192" s="257"/>
      <c r="R192" s="257"/>
      <c r="S192" s="257"/>
      <c r="T192" s="257"/>
      <c r="U192" s="257">
        <f>SUM(U188:U191)</f>
        <v>1083172776.4804876</v>
      </c>
      <c r="V192" s="768">
        <f>SUM(V188:V191)</f>
        <v>426385937.29396361</v>
      </c>
    </row>
    <row r="193" spans="1:36" hidden="1">
      <c r="A193" s="62"/>
      <c r="B193" s="233"/>
      <c r="C193" s="234" t="s">
        <v>862</v>
      </c>
      <c r="D193" s="233" t="s">
        <v>121</v>
      </c>
      <c r="E193" s="233"/>
      <c r="F193" s="233"/>
      <c r="G193" s="235"/>
      <c r="H193" s="795">
        <v>50246.358000000007</v>
      </c>
      <c r="I193" s="264">
        <v>45372.237999999998</v>
      </c>
      <c r="J193" s="264">
        <v>50914.085665000006</v>
      </c>
      <c r="K193" s="264">
        <v>49782.909</v>
      </c>
      <c r="L193" s="264">
        <v>55129.164414000006</v>
      </c>
      <c r="M193" s="264">
        <v>49750.321797999997</v>
      </c>
      <c r="N193" s="264">
        <v>46984.301925000007</v>
      </c>
      <c r="O193" s="264">
        <v>45397.679902000003</v>
      </c>
      <c r="P193" s="264">
        <v>47496.832184999999</v>
      </c>
      <c r="Q193" s="264">
        <v>54422.904638999993</v>
      </c>
      <c r="R193" s="264">
        <v>52667.621270999996</v>
      </c>
      <c r="S193" s="264">
        <v>51613.450250000009</v>
      </c>
      <c r="T193" s="236">
        <f t="shared" ref="T193:T199" si="94">SUM(H193:S193)</f>
        <v>599777.86704900011</v>
      </c>
      <c r="U193" s="259"/>
      <c r="V193" s="785">
        <f>V192/T193</f>
        <v>710.90642172551043</v>
      </c>
    </row>
    <row r="194" spans="1:36" hidden="1">
      <c r="A194" s="62"/>
      <c r="B194" s="62"/>
      <c r="C194" s="278" t="s">
        <v>138</v>
      </c>
      <c r="D194" s="62" t="s">
        <v>173</v>
      </c>
      <c r="E194" s="62"/>
      <c r="F194" s="62"/>
      <c r="G194" s="238"/>
      <c r="H194" s="796">
        <f t="shared" ref="H194:N197" si="95">H188*$E188/1000</f>
        <v>5688</v>
      </c>
      <c r="I194" s="796">
        <f t="shared" si="95"/>
        <v>5148</v>
      </c>
      <c r="J194" s="796">
        <f t="shared" si="95"/>
        <v>5745.6</v>
      </c>
      <c r="K194" s="796">
        <f t="shared" si="95"/>
        <v>5410.8</v>
      </c>
      <c r="L194" s="796">
        <f t="shared" si="95"/>
        <v>5781.6</v>
      </c>
      <c r="M194" s="796">
        <f t="shared" si="95"/>
        <v>5457.6</v>
      </c>
      <c r="N194" s="796">
        <f t="shared" si="95"/>
        <v>5578.5744000000004</v>
      </c>
      <c r="O194" s="796">
        <v>5565.6</v>
      </c>
      <c r="P194" s="796">
        <v>5508</v>
      </c>
      <c r="Q194" s="796">
        <v>5904</v>
      </c>
      <c r="R194" s="796">
        <v>5698.8</v>
      </c>
      <c r="S194" s="225">
        <v>5720.4</v>
      </c>
      <c r="T194" s="225">
        <f t="shared" si="94"/>
        <v>67206.974399999992</v>
      </c>
      <c r="U194" s="225"/>
      <c r="V194" s="225"/>
    </row>
    <row r="195" spans="1:36" hidden="1">
      <c r="A195" s="62"/>
      <c r="B195" s="62"/>
      <c r="C195" s="278" t="s">
        <v>152</v>
      </c>
      <c r="D195" s="62" t="s">
        <v>173</v>
      </c>
      <c r="E195" s="62"/>
      <c r="F195" s="62"/>
      <c r="G195" s="238"/>
      <c r="H195" s="797">
        <f t="shared" si="95"/>
        <v>51179.581776999985</v>
      </c>
      <c r="I195" s="797">
        <f t="shared" si="95"/>
        <v>44610.784913000003</v>
      </c>
      <c r="J195" s="797">
        <f t="shared" si="95"/>
        <v>53246.244888999994</v>
      </c>
      <c r="K195" s="797">
        <f t="shared" si="95"/>
        <v>54643.091909000002</v>
      </c>
      <c r="L195" s="797">
        <f t="shared" si="95"/>
        <v>56211.457302000003</v>
      </c>
      <c r="M195" s="797">
        <f t="shared" si="95"/>
        <v>51990.374754000011</v>
      </c>
      <c r="N195" s="797">
        <f t="shared" si="95"/>
        <v>48699.84055500001</v>
      </c>
      <c r="O195" s="797">
        <v>45100.226331778314</v>
      </c>
      <c r="P195" s="797">
        <v>48983.352793000005</v>
      </c>
      <c r="Q195" s="797">
        <v>54743.753245000007</v>
      </c>
      <c r="R195" s="797">
        <v>52626.324999999997</v>
      </c>
      <c r="S195" s="225">
        <v>51967.165913999997</v>
      </c>
      <c r="T195" s="225">
        <f t="shared" si="94"/>
        <v>614002.19938277837</v>
      </c>
      <c r="U195" s="225"/>
      <c r="V195" s="225"/>
    </row>
    <row r="196" spans="1:36" hidden="1">
      <c r="A196" s="62"/>
      <c r="B196" s="62"/>
      <c r="C196" s="60" t="s">
        <v>408</v>
      </c>
      <c r="D196" s="62" t="s">
        <v>173</v>
      </c>
      <c r="E196" s="62"/>
      <c r="F196" s="62"/>
      <c r="G196" s="238"/>
      <c r="H196" s="796">
        <f t="shared" si="95"/>
        <v>0</v>
      </c>
      <c r="I196" s="796">
        <f t="shared" si="95"/>
        <v>0</v>
      </c>
      <c r="J196" s="796">
        <f t="shared" si="95"/>
        <v>0</v>
      </c>
      <c r="K196" s="796">
        <f t="shared" si="95"/>
        <v>2417.0864594824961</v>
      </c>
      <c r="L196" s="796">
        <f t="shared" si="95"/>
        <v>0</v>
      </c>
      <c r="M196" s="796">
        <f t="shared" si="95"/>
        <v>0</v>
      </c>
      <c r="N196" s="796">
        <f t="shared" si="95"/>
        <v>572.73836322678858</v>
      </c>
      <c r="O196" s="796">
        <v>0</v>
      </c>
      <c r="P196" s="796">
        <v>0</v>
      </c>
      <c r="Q196" s="796">
        <v>0</v>
      </c>
      <c r="R196" s="796">
        <v>0</v>
      </c>
      <c r="S196" s="225">
        <v>0</v>
      </c>
      <c r="T196" s="225">
        <f t="shared" si="94"/>
        <v>2989.8248227092845</v>
      </c>
      <c r="U196" s="225"/>
      <c r="V196" s="225"/>
    </row>
    <row r="197" spans="1:36" hidden="1">
      <c r="A197" s="62"/>
      <c r="B197" s="62"/>
      <c r="C197" s="60" t="s">
        <v>409</v>
      </c>
      <c r="D197" s="62" t="s">
        <v>173</v>
      </c>
      <c r="E197" s="62"/>
      <c r="F197" s="62"/>
      <c r="G197" s="238"/>
      <c r="H197" s="796">
        <f t="shared" si="95"/>
        <v>34814.246359999997</v>
      </c>
      <c r="I197" s="796">
        <f t="shared" si="95"/>
        <v>30842.222530000003</v>
      </c>
      <c r="J197" s="796">
        <f t="shared" si="95"/>
        <v>34922.800240000004</v>
      </c>
      <c r="K197" s="796">
        <f t="shared" si="95"/>
        <v>29119.94154</v>
      </c>
      <c r="L197" s="796">
        <f t="shared" si="95"/>
        <v>35307.82404</v>
      </c>
      <c r="M197" s="796">
        <f t="shared" si="95"/>
        <v>32538.869859999999</v>
      </c>
      <c r="N197" s="796">
        <f t="shared" si="95"/>
        <v>31564.42755</v>
      </c>
      <c r="O197" s="796">
        <v>31437.322995000002</v>
      </c>
      <c r="P197" s="796">
        <v>32869.253490000003</v>
      </c>
      <c r="Q197" s="796">
        <v>35428.260729999995</v>
      </c>
      <c r="R197" s="796">
        <v>35069.441380000004</v>
      </c>
      <c r="S197" s="225">
        <v>35059.167160000005</v>
      </c>
      <c r="T197" s="225">
        <f t="shared" si="94"/>
        <v>398973.77787499997</v>
      </c>
      <c r="U197" s="225"/>
      <c r="V197" s="225"/>
    </row>
    <row r="198" spans="1:36" hidden="1">
      <c r="A198" s="62"/>
      <c r="B198" s="62"/>
      <c r="C198" s="237" t="s">
        <v>412</v>
      </c>
      <c r="D198" s="62" t="s">
        <v>173</v>
      </c>
      <c r="E198" s="253"/>
      <c r="F198" s="253"/>
      <c r="G198" s="283"/>
      <c r="H198" s="798">
        <f t="shared" ref="H198:N198" si="96">SUM(H194:H197)</f>
        <v>91681.828136999975</v>
      </c>
      <c r="I198" s="798">
        <f t="shared" si="96"/>
        <v>80601.00744300001</v>
      </c>
      <c r="J198" s="798">
        <f t="shared" si="96"/>
        <v>93914.645128999997</v>
      </c>
      <c r="K198" s="798">
        <f t="shared" si="96"/>
        <v>91590.919908482494</v>
      </c>
      <c r="L198" s="798">
        <f t="shared" si="96"/>
        <v>97300.881342000008</v>
      </c>
      <c r="M198" s="798">
        <f t="shared" si="96"/>
        <v>89986.844614000001</v>
      </c>
      <c r="N198" s="798">
        <f t="shared" si="96"/>
        <v>86415.580868226796</v>
      </c>
      <c r="O198" s="798">
        <v>82103.149326778308</v>
      </c>
      <c r="P198" s="798">
        <v>87360.606283000001</v>
      </c>
      <c r="Q198" s="798">
        <v>96076.013975000009</v>
      </c>
      <c r="R198" s="798">
        <v>93394.566380000004</v>
      </c>
      <c r="S198" s="277">
        <v>92746.733074000003</v>
      </c>
      <c r="T198" s="279">
        <f t="shared" si="94"/>
        <v>1083172.7764804878</v>
      </c>
      <c r="U198" s="277">
        <f>T198*12/11</f>
        <v>1181643.0288878048</v>
      </c>
      <c r="V198" s="786">
        <f>V192/T198</f>
        <v>393.64535977298402</v>
      </c>
      <c r="W198" s="214">
        <f>T198*12/10</f>
        <v>1299807.3317765854</v>
      </c>
      <c r="X198" s="755">
        <f>W199-W198</f>
        <v>151832.23992907722</v>
      </c>
      <c r="Y198" s="214">
        <f>W199*0.5/100</f>
        <v>7258.1978585283132</v>
      </c>
      <c r="Z198" s="323"/>
    </row>
    <row r="199" spans="1:36" hidden="1">
      <c r="A199" s="62"/>
      <c r="B199" s="62"/>
      <c r="C199" s="237" t="s">
        <v>345</v>
      </c>
      <c r="D199" s="62" t="s">
        <v>173</v>
      </c>
      <c r="E199" s="253"/>
      <c r="F199" s="253"/>
      <c r="G199" s="283"/>
      <c r="H199" s="799">
        <f>((1.3738*H193) + 24051)*(99.69/100)*(98.16/100)</f>
        <v>91083.547769696626</v>
      </c>
      <c r="I199" s="799">
        <f t="shared" ref="I199:N199" si="97">((1.3738*I193) + 24051)*(99.69/100)*(98.16/100)</f>
        <v>84531.065190292778</v>
      </c>
      <c r="J199" s="799">
        <f t="shared" si="97"/>
        <v>91981.201888326948</v>
      </c>
      <c r="K199" s="799">
        <f t="shared" si="97"/>
        <v>90460.513970992004</v>
      </c>
      <c r="L199" s="799">
        <f t="shared" si="97"/>
        <v>97647.707857330155</v>
      </c>
      <c r="M199" s="799">
        <f t="shared" si="97"/>
        <v>90416.705637709994</v>
      </c>
      <c r="N199" s="799">
        <f t="shared" si="97"/>
        <v>86698.229885755325</v>
      </c>
      <c r="O199" s="799">
        <v>84565.267799100504</v>
      </c>
      <c r="P199" s="799">
        <v>87387.245667079405</v>
      </c>
      <c r="Q199" s="799">
        <v>96698.253417919288</v>
      </c>
      <c r="R199" s="799">
        <v>94338.552858487586</v>
      </c>
      <c r="S199" s="790">
        <v>92921.386836556499</v>
      </c>
      <c r="T199" s="279">
        <f t="shared" si="94"/>
        <v>1088729.678779247</v>
      </c>
      <c r="U199" s="277">
        <f>T199*12/11</f>
        <v>1187705.1041228147</v>
      </c>
      <c r="V199" s="271" t="s">
        <v>158</v>
      </c>
      <c r="W199" s="214">
        <f>T199*12/9</f>
        <v>1451639.5717056626</v>
      </c>
    </row>
    <row r="200" spans="1:36" hidden="1">
      <c r="A200" s="62"/>
      <c r="B200" s="243" t="s">
        <v>174</v>
      </c>
      <c r="C200" s="244" t="s">
        <v>89</v>
      </c>
      <c r="D200" s="243" t="s">
        <v>347</v>
      </c>
      <c r="E200" s="243"/>
      <c r="F200" s="243"/>
      <c r="G200" s="248"/>
      <c r="H200" s="245">
        <f t="shared" ref="H200:N200" si="98">H194/H193</f>
        <v>0.11320223447836755</v>
      </c>
      <c r="I200" s="245">
        <f t="shared" si="98"/>
        <v>0.11346145191251092</v>
      </c>
      <c r="J200" s="245">
        <f t="shared" si="98"/>
        <v>0.11284892824756572</v>
      </c>
      <c r="K200" s="245">
        <f t="shared" si="98"/>
        <v>0.10868790331235967</v>
      </c>
      <c r="L200" s="245">
        <f t="shared" si="98"/>
        <v>0.10487370997648873</v>
      </c>
      <c r="M200" s="245">
        <f t="shared" si="98"/>
        <v>0.10969979294122677</v>
      </c>
      <c r="N200" s="245">
        <f t="shared" si="98"/>
        <v>0.11873272926146597</v>
      </c>
      <c r="O200" s="245">
        <v>0.12259657348160664</v>
      </c>
      <c r="P200" s="245">
        <v>0.11596562858226753</v>
      </c>
      <c r="Q200" s="245">
        <v>0.10848373564701534</v>
      </c>
      <c r="R200" s="245">
        <v>0.10820310206677002</v>
      </c>
      <c r="S200" s="245">
        <v>0.11083157534115826</v>
      </c>
      <c r="T200" s="245">
        <f>T194/T193</f>
        <v>0.1120531084794254</v>
      </c>
      <c r="U200" s="246"/>
      <c r="V200" s="246"/>
    </row>
    <row r="201" spans="1:36" hidden="1">
      <c r="A201" s="62"/>
      <c r="B201" s="243"/>
      <c r="C201" s="244" t="s">
        <v>152</v>
      </c>
      <c r="D201" s="243" t="s">
        <v>347</v>
      </c>
      <c r="E201" s="243"/>
      <c r="F201" s="243"/>
      <c r="G201" s="248"/>
      <c r="H201" s="245">
        <f t="shared" ref="H201:N201" si="99">H195/H193</f>
        <v>1.0185729635767826</v>
      </c>
      <c r="I201" s="245">
        <f t="shared" si="99"/>
        <v>0.98321764319846872</v>
      </c>
      <c r="J201" s="245">
        <f t="shared" si="99"/>
        <v>1.0458057764082207</v>
      </c>
      <c r="K201" s="245">
        <f t="shared" si="99"/>
        <v>1.0976275393830441</v>
      </c>
      <c r="L201" s="245">
        <f t="shared" si="99"/>
        <v>1.0196319479807887</v>
      </c>
      <c r="M201" s="245">
        <f t="shared" si="99"/>
        <v>1.0450258988292627</v>
      </c>
      <c r="N201" s="245">
        <f t="shared" si="99"/>
        <v>1.0365130173209443</v>
      </c>
      <c r="O201" s="245">
        <v>0.99344782440724277</v>
      </c>
      <c r="P201" s="245">
        <v>1.0312972579352242</v>
      </c>
      <c r="Q201" s="245">
        <v>1.0058954700806264</v>
      </c>
      <c r="R201" s="245">
        <v>0.99921590780059133</v>
      </c>
      <c r="S201" s="245">
        <v>1.0068531683560524</v>
      </c>
      <c r="T201" s="245">
        <f>T195/T193</f>
        <v>1.0237160007316779</v>
      </c>
      <c r="U201" s="246"/>
      <c r="V201" s="246"/>
    </row>
    <row r="202" spans="1:36" hidden="1">
      <c r="A202" s="62"/>
      <c r="B202" s="243"/>
      <c r="C202" s="244" t="s">
        <v>408</v>
      </c>
      <c r="D202" s="243" t="s">
        <v>347</v>
      </c>
      <c r="E202" s="243"/>
      <c r="F202" s="243"/>
      <c r="G202" s="248"/>
      <c r="H202" s="245">
        <f t="shared" ref="H202:N202" si="100">H196/H193</f>
        <v>0</v>
      </c>
      <c r="I202" s="245">
        <f t="shared" si="100"/>
        <v>0</v>
      </c>
      <c r="J202" s="245">
        <f t="shared" si="100"/>
        <v>0</v>
      </c>
      <c r="K202" s="245">
        <f t="shared" si="100"/>
        <v>4.8552535559593275E-2</v>
      </c>
      <c r="L202" s="245">
        <f t="shared" si="100"/>
        <v>0</v>
      </c>
      <c r="M202" s="245">
        <f t="shared" si="100"/>
        <v>0</v>
      </c>
      <c r="N202" s="245">
        <f t="shared" si="100"/>
        <v>1.2189994099327858E-2</v>
      </c>
      <c r="O202" s="245">
        <v>0</v>
      </c>
      <c r="P202" s="245">
        <v>0</v>
      </c>
      <c r="Q202" s="245">
        <v>0</v>
      </c>
      <c r="R202" s="245">
        <v>0</v>
      </c>
      <c r="S202" s="245">
        <v>0</v>
      </c>
      <c r="T202" s="245">
        <f>T196/T193</f>
        <v>4.9848868839053448E-3</v>
      </c>
      <c r="U202" s="246"/>
      <c r="V202" s="246"/>
    </row>
    <row r="203" spans="1:36" hidden="1">
      <c r="A203" s="62"/>
      <c r="B203" s="243"/>
      <c r="C203" s="244" t="s">
        <v>409</v>
      </c>
      <c r="D203" s="243" t="s">
        <v>347</v>
      </c>
      <c r="E203" s="243"/>
      <c r="F203" s="243"/>
      <c r="G203" s="248"/>
      <c r="H203" s="245">
        <f t="shared" ref="H203:N203" si="101">H197/H193</f>
        <v>0.69287104072299111</v>
      </c>
      <c r="I203" s="245">
        <f t="shared" si="101"/>
        <v>0.6797597801986317</v>
      </c>
      <c r="J203" s="245">
        <f t="shared" si="101"/>
        <v>0.68591628002085614</v>
      </c>
      <c r="K203" s="245">
        <f t="shared" si="101"/>
        <v>0.58493852860225581</v>
      </c>
      <c r="L203" s="245">
        <f t="shared" si="101"/>
        <v>0.64045636126190963</v>
      </c>
      <c r="M203" s="245">
        <f t="shared" si="101"/>
        <v>0.65404340482694301</v>
      </c>
      <c r="N203" s="245">
        <f t="shared" si="101"/>
        <v>0.67180794982089109</v>
      </c>
      <c r="O203" s="245">
        <v>0.69248743686601977</v>
      </c>
      <c r="P203" s="245">
        <v>0.69203043609254555</v>
      </c>
      <c r="Q203" s="245">
        <v>0.65098070316173007</v>
      </c>
      <c r="R203" s="245">
        <v>0.66586340020087531</v>
      </c>
      <c r="S203" s="245">
        <v>0.67926416448007176</v>
      </c>
      <c r="T203" s="245">
        <f>T197/T193</f>
        <v>0.66520256880770323</v>
      </c>
      <c r="U203" s="246"/>
      <c r="V203" s="246"/>
    </row>
    <row r="204" spans="1:36" ht="23.25" hidden="1">
      <c r="A204" s="62"/>
      <c r="B204" s="243"/>
      <c r="C204" s="249" t="s">
        <v>413</v>
      </c>
      <c r="D204" s="243" t="s">
        <v>347</v>
      </c>
      <c r="E204" s="243"/>
      <c r="F204" s="243"/>
      <c r="G204" s="248"/>
      <c r="H204" s="245">
        <f t="shared" ref="H204:N204" si="102">H198/H193</f>
        <v>1.824646238778141</v>
      </c>
      <c r="I204" s="245">
        <f t="shared" si="102"/>
        <v>1.7764388753096114</v>
      </c>
      <c r="J204" s="245">
        <f t="shared" si="102"/>
        <v>1.8445709846766427</v>
      </c>
      <c r="K204" s="245">
        <f t="shared" si="102"/>
        <v>1.8398065068572529</v>
      </c>
      <c r="L204" s="245">
        <f t="shared" si="102"/>
        <v>1.7649620192191871</v>
      </c>
      <c r="M204" s="245">
        <f t="shared" si="102"/>
        <v>1.8087690965974323</v>
      </c>
      <c r="N204" s="245">
        <f t="shared" si="102"/>
        <v>1.8392436905026293</v>
      </c>
      <c r="O204" s="245">
        <v>1.8085318347548689</v>
      </c>
      <c r="P204" s="245">
        <v>1.8392933226100372</v>
      </c>
      <c r="Q204" s="245">
        <v>1.7653599088893721</v>
      </c>
      <c r="R204" s="245">
        <v>1.7732824100682367</v>
      </c>
      <c r="S204" s="245">
        <v>1.7969489081772825</v>
      </c>
      <c r="T204" s="250">
        <f>T198/T193</f>
        <v>1.8059565649027121</v>
      </c>
      <c r="U204" s="246"/>
      <c r="V204" s="246"/>
    </row>
    <row r="205" spans="1:36" hidden="1">
      <c r="A205" s="62"/>
      <c r="B205" s="243"/>
      <c r="C205" s="249" t="s">
        <v>414</v>
      </c>
      <c r="D205" s="243"/>
      <c r="E205" s="243"/>
      <c r="F205" s="243"/>
      <c r="G205" s="243"/>
      <c r="H205" s="251">
        <f t="shared" ref="H205:N205" si="103">H198/H199*100</f>
        <v>100.65684789619316</v>
      </c>
      <c r="I205" s="251">
        <f t="shared" si="103"/>
        <v>95.350753313653883</v>
      </c>
      <c r="J205" s="251">
        <f t="shared" si="103"/>
        <v>102.10199823548774</v>
      </c>
      <c r="K205" s="251">
        <f t="shared" si="103"/>
        <v>101.24961255233744</v>
      </c>
      <c r="L205" s="251">
        <f t="shared" si="103"/>
        <v>99.644818580035803</v>
      </c>
      <c r="M205" s="251">
        <f t="shared" si="103"/>
        <v>99.524577874544121</v>
      </c>
      <c r="N205" s="251">
        <f t="shared" si="103"/>
        <v>99.673985249870739</v>
      </c>
      <c r="O205" s="251">
        <v>97.088499171821468</v>
      </c>
      <c r="P205" s="251">
        <v>99.969515706924909</v>
      </c>
      <c r="Q205" s="251">
        <v>99.356514289632486</v>
      </c>
      <c r="R205" s="251">
        <v>98.999362985879586</v>
      </c>
      <c r="S205" s="251">
        <v>99.812041373356053</v>
      </c>
      <c r="T205" s="251">
        <f>T198/T199*100</f>
        <v>99.489597610217629</v>
      </c>
      <c r="U205" s="246"/>
      <c r="V205" s="246"/>
      <c r="W205" s="214" t="s">
        <v>29</v>
      </c>
      <c r="X205" s="215" t="s">
        <v>30</v>
      </c>
      <c r="Y205" s="215" t="s">
        <v>31</v>
      </c>
      <c r="Z205" s="215" t="s">
        <v>32</v>
      </c>
      <c r="AA205" s="215" t="s">
        <v>33</v>
      </c>
      <c r="AB205" s="215" t="s">
        <v>34</v>
      </c>
      <c r="AC205" s="215" t="s">
        <v>35</v>
      </c>
      <c r="AD205" s="215" t="s">
        <v>36</v>
      </c>
      <c r="AE205" s="215" t="s">
        <v>37</v>
      </c>
      <c r="AF205" s="215" t="s">
        <v>38</v>
      </c>
      <c r="AG205" s="215" t="s">
        <v>39</v>
      </c>
      <c r="AH205" s="215" t="s">
        <v>40</v>
      </c>
      <c r="AI205" s="215" t="s">
        <v>25</v>
      </c>
      <c r="AJ205" s="219" t="s">
        <v>158</v>
      </c>
    </row>
    <row r="206" spans="1:36" hidden="1">
      <c r="A206" s="62">
        <v>10</v>
      </c>
      <c r="B206" s="240" t="s">
        <v>410</v>
      </c>
      <c r="C206" s="278" t="s">
        <v>138</v>
      </c>
      <c r="D206" s="62" t="s">
        <v>90</v>
      </c>
      <c r="E206" s="238">
        <f>'[2]Price&amp;Heating-Value'!$R$6</f>
        <v>3.6</v>
      </c>
      <c r="F206" s="62"/>
      <c r="G206" s="256">
        <f>'[2]Price&amp;Heating-Value'!$P$6</f>
        <v>2.7124999999999999</v>
      </c>
      <c r="H206" s="800">
        <v>2688078</v>
      </c>
      <c r="I206" s="225">
        <v>2503471</v>
      </c>
      <c r="J206" s="225">
        <v>2811963</v>
      </c>
      <c r="K206" s="225">
        <v>2288084</v>
      </c>
      <c r="L206" s="225">
        <v>2731764.9999999995</v>
      </c>
      <c r="M206" s="225" t="s">
        <v>863</v>
      </c>
      <c r="N206" s="225" t="s">
        <v>863</v>
      </c>
      <c r="O206" s="225">
        <v>2485266</v>
      </c>
      <c r="P206" s="225">
        <v>3264055</v>
      </c>
      <c r="Q206" s="225">
        <v>3342849</v>
      </c>
      <c r="R206" s="225">
        <v>3191928</v>
      </c>
      <c r="S206" s="225">
        <v>3344813</v>
      </c>
      <c r="T206" s="225">
        <f t="shared" ref="T206:T211" si="104">SUM(H206:S206)</f>
        <v>28652272</v>
      </c>
      <c r="U206" s="225">
        <f t="shared" ref="U206:U211" si="105">T206*E206</f>
        <v>103148179.2</v>
      </c>
      <c r="V206" s="225">
        <f>G206*T206</f>
        <v>77719287.799999997</v>
      </c>
      <c r="W206" s="227">
        <f>H206*'[2]Transfer Price2011'!$HE$459</f>
        <v>8037353.2200000007</v>
      </c>
      <c r="X206" s="227">
        <f>I206*'[2]Transfer Price2011'!$HE$459</f>
        <v>7485378.290000001</v>
      </c>
      <c r="Y206" s="227">
        <f>J206*'[2]Transfer Price2011'!$HE$459</f>
        <v>8407769.370000001</v>
      </c>
      <c r="Z206" s="227">
        <f>K206*'[2]Transfer Price2011'!$HE$459</f>
        <v>6841371.1600000001</v>
      </c>
      <c r="AA206" s="227">
        <f>L206*'[2]Transfer Price2011'!$HE$459</f>
        <v>8167977.3499999996</v>
      </c>
      <c r="AB206" s="227" t="e">
        <f>M206*'[2]Transfer Price2011'!$HE$459</f>
        <v>#VALUE!</v>
      </c>
      <c r="AC206" s="227" t="e">
        <f>N206*'[2]Transfer Price2011'!$HE$459</f>
        <v>#VALUE!</v>
      </c>
      <c r="AD206" s="227">
        <f>O206*'[2]Transfer Price2011'!$HE$459</f>
        <v>7430945.3400000008</v>
      </c>
      <c r="AE206" s="227">
        <f>P206*'[2]Transfer Price2011'!$HE$459</f>
        <v>9759524.4500000011</v>
      </c>
      <c r="AF206" s="227">
        <f>Q206*'[2]Transfer Price2011'!$HE$459</f>
        <v>9995118.5100000016</v>
      </c>
      <c r="AG206" s="227">
        <f>R206*'[2]Transfer Price2011'!$HE$459</f>
        <v>9543864.7200000007</v>
      </c>
      <c r="AH206" s="227">
        <f>S206*'[2]Transfer Price2011'!$HE$459</f>
        <v>10000990.870000001</v>
      </c>
      <c r="AI206" s="214" t="e">
        <f>SUM(W206:AH206)</f>
        <v>#VALUE!</v>
      </c>
      <c r="AJ206" s="228" t="e">
        <f>AI206/U206*1000</f>
        <v>#VALUE!</v>
      </c>
    </row>
    <row r="207" spans="1:36" hidden="1">
      <c r="A207" s="62"/>
      <c r="B207" s="62"/>
      <c r="C207" s="278" t="s">
        <v>415</v>
      </c>
      <c r="D207" s="62" t="s">
        <v>121</v>
      </c>
      <c r="E207" s="62">
        <f>'[2]Price&amp;Heating-Value'!$R$10</f>
        <v>3180</v>
      </c>
      <c r="F207" s="62"/>
      <c r="G207" s="230">
        <f>'[2]Price&amp;Heating-Value'!$P$10</f>
        <v>1321.5833333333333</v>
      </c>
      <c r="H207" s="800">
        <v>16376.1</v>
      </c>
      <c r="I207" s="225">
        <v>14790.001</v>
      </c>
      <c r="J207" s="225">
        <v>17785.7</v>
      </c>
      <c r="K207" s="225">
        <v>14742.741000000002</v>
      </c>
      <c r="L207" s="225">
        <v>20285.999999999993</v>
      </c>
      <c r="M207" s="225"/>
      <c r="N207" s="225"/>
      <c r="O207" s="225">
        <v>23709.391</v>
      </c>
      <c r="P207" s="225">
        <v>22021.001000000004</v>
      </c>
      <c r="Q207" s="225">
        <v>22471.8</v>
      </c>
      <c r="R207" s="225">
        <v>19769.004000000001</v>
      </c>
      <c r="S207" s="225">
        <v>20889.498</v>
      </c>
      <c r="T207" s="225">
        <f t="shared" si="104"/>
        <v>192841.236</v>
      </c>
      <c r="U207" s="225">
        <f t="shared" si="105"/>
        <v>613235130.48000002</v>
      </c>
      <c r="V207" s="225">
        <f>G207*T207</f>
        <v>254855763.477</v>
      </c>
      <c r="W207" s="227">
        <f>H207*'[2]Transfer Price2011'!$HE$464</f>
        <v>26283640.5</v>
      </c>
      <c r="X207" s="227">
        <f>I207*'[2]Transfer Price2011'!$HE$464</f>
        <v>23737951.605</v>
      </c>
      <c r="Y207" s="227">
        <f>J207*'[2]Transfer Price2011'!$HE$464</f>
        <v>28546048.5</v>
      </c>
      <c r="Z207" s="227">
        <f>K207*'[2]Transfer Price2011'!$HE$464</f>
        <v>23662099.305000003</v>
      </c>
      <c r="AA207" s="227">
        <f>L207*'[2]Transfer Price2011'!$HE$464</f>
        <v>32559029.999999989</v>
      </c>
      <c r="AB207" s="227">
        <f>M207*'[2]Transfer Price2011'!$HE$464</f>
        <v>0</v>
      </c>
      <c r="AC207" s="227">
        <f>N207*'[2]Transfer Price2011'!$HE$464</f>
        <v>0</v>
      </c>
      <c r="AD207" s="227">
        <f>O207*'[2]Transfer Price2011'!$HE$464</f>
        <v>38053572.555</v>
      </c>
      <c r="AE207" s="227">
        <f>P207*'[2]Transfer Price2011'!$HE$464</f>
        <v>35343706.605000004</v>
      </c>
      <c r="AF207" s="227">
        <f>Q207*'[2]Transfer Price2011'!$HE$464</f>
        <v>36067239</v>
      </c>
      <c r="AG207" s="227">
        <f>R207*'[2]Transfer Price2011'!$HE$464</f>
        <v>31729251.420000002</v>
      </c>
      <c r="AH207" s="227">
        <f>S207*'[2]Transfer Price2011'!$HE$464</f>
        <v>33527644.289999999</v>
      </c>
      <c r="AI207" s="214">
        <f>SUM(W207:AH207)</f>
        <v>309510183.78000003</v>
      </c>
      <c r="AJ207" s="228">
        <f>AI207/U207*1000</f>
        <v>504.71698113207555</v>
      </c>
    </row>
    <row r="208" spans="1:36" hidden="1">
      <c r="A208" s="62"/>
      <c r="B208" s="62"/>
      <c r="C208" s="278" t="s">
        <v>416</v>
      </c>
      <c r="D208" s="62" t="s">
        <v>121</v>
      </c>
      <c r="E208" s="62">
        <v>2732</v>
      </c>
      <c r="F208" s="62"/>
      <c r="G208" s="230"/>
      <c r="H208" s="800">
        <v>6987.7839999999997</v>
      </c>
      <c r="I208" s="225">
        <v>6363.3310000000001</v>
      </c>
      <c r="J208" s="225">
        <v>7043.8919999999998</v>
      </c>
      <c r="K208" s="225">
        <v>4410.2020000000002</v>
      </c>
      <c r="L208" s="225">
        <v>3156.5509999999999</v>
      </c>
      <c r="M208" s="225"/>
      <c r="N208" s="225"/>
      <c r="O208" s="225">
        <v>1242.0820000000001</v>
      </c>
      <c r="P208" s="225">
        <v>3821.0769999999993</v>
      </c>
      <c r="Q208" s="225">
        <v>3741.4720000000002</v>
      </c>
      <c r="R208" s="225">
        <v>3582.1120000000001</v>
      </c>
      <c r="S208" s="225">
        <v>3724.46</v>
      </c>
      <c r="T208" s="225">
        <f t="shared" si="104"/>
        <v>44072.962999999996</v>
      </c>
      <c r="U208" s="225">
        <f t="shared" si="105"/>
        <v>120407334.91599999</v>
      </c>
      <c r="V208" s="225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14"/>
      <c r="AJ208" s="228"/>
    </row>
    <row r="209" spans="1:36" hidden="1">
      <c r="A209" s="62"/>
      <c r="B209" s="62"/>
      <c r="C209" s="278" t="s">
        <v>417</v>
      </c>
      <c r="D209" s="62" t="s">
        <v>176</v>
      </c>
      <c r="E209" s="238">
        <f>'[2]Price&amp;Heating-Value'!$S$16/1000</f>
        <v>39.770000000000003</v>
      </c>
      <c r="F209" s="321">
        <f>'[2]Price&amp;Heating-Value'!$T$16</f>
        <v>0.98550000000000004</v>
      </c>
      <c r="G209" s="230">
        <f>'[2]Price&amp;Heating-Value'!$P$16*'[2]Price&amp;Heating-Value'!$T$16/1000</f>
        <v>17.944656726937499</v>
      </c>
      <c r="H209" s="793">
        <f>215231.54/F209</f>
        <v>218398.31557584982</v>
      </c>
      <c r="I209" s="225">
        <v>208034.59665144596</v>
      </c>
      <c r="J209" s="225">
        <v>272191.51598173514</v>
      </c>
      <c r="K209" s="254">
        <v>232140.2212075089</v>
      </c>
      <c r="L209" s="225">
        <v>301533.47031963465</v>
      </c>
      <c r="M209" s="225"/>
      <c r="N209" s="225"/>
      <c r="O209" s="225">
        <v>191946.58346017249</v>
      </c>
      <c r="P209" s="225">
        <v>342242.51648909179</v>
      </c>
      <c r="Q209" s="225">
        <v>387052.28411973617</v>
      </c>
      <c r="R209" s="225">
        <v>377188.52156265854</v>
      </c>
      <c r="S209" s="225">
        <v>405976.66159309994</v>
      </c>
      <c r="T209" s="225">
        <f t="shared" si="104"/>
        <v>2936704.6869609337</v>
      </c>
      <c r="U209" s="225">
        <f t="shared" si="105"/>
        <v>116792745.40043634</v>
      </c>
      <c r="V209" s="225">
        <f>F209*G209*T209</f>
        <v>51934034.231921814</v>
      </c>
      <c r="W209" s="227">
        <f>H209*'[2]Transfer Price2011'!$HE$331*'[2]Transfer Price2011'!$HE$5/1000/$F$209</f>
        <v>5219960.7449702574</v>
      </c>
      <c r="X209" s="227">
        <f>I209*'[2]Transfer Price2011'!$HE$331*'[2]Transfer Price2011'!$HE$5/1000/$F$209</f>
        <v>4972256.4263052847</v>
      </c>
      <c r="Y209" s="227">
        <f>J209*'[2]Transfer Price2011'!$HE$331*'[2]Transfer Price2011'!$HE$5/1000/$F$209</f>
        <v>6505677.5955085028</v>
      </c>
      <c r="Z209" s="227">
        <f>K209*'[2]Transfer Price2011'!$HE$331*'[2]Transfer Price2011'!$HE$5/1000/$F$209</f>
        <v>5548407.4537702324</v>
      </c>
      <c r="AA209" s="227">
        <f>L209*'[2]Transfer Price2011'!$HE$331*'[2]Transfer Price2011'!$HE$5/1000/$F$209</f>
        <v>7206982.6830532448</v>
      </c>
      <c r="AB209" s="227">
        <f>M209*'[2]Transfer Price2011'!$HE$331*'[2]Transfer Price2011'!$HE$5/1000/$F$209</f>
        <v>0</v>
      </c>
      <c r="AC209" s="227">
        <f>N209*'[2]Transfer Price2011'!$HE$331*'[2]Transfer Price2011'!$HE$5/1000/$F$209</f>
        <v>0</v>
      </c>
      <c r="AD209" s="227">
        <f>O209*'[2]Transfer Price2011'!$HE$331*'[2]Transfer Price2011'!$HE$5/1000/$F$209</f>
        <v>4587735.1578990491</v>
      </c>
      <c r="AE209" s="227">
        <f>P209*'[2]Transfer Price2011'!$HE$331*'[2]Transfer Price2011'!$HE$5/1000/$F$209</f>
        <v>8179973.8089666981</v>
      </c>
      <c r="AF209" s="227">
        <f>Q209*'[2]Transfer Price2011'!$HE$331*'[2]Transfer Price2011'!$HE$5/1000/$F$209</f>
        <v>9250976.7029517815</v>
      </c>
      <c r="AG209" s="227">
        <f>R209*'[2]Transfer Price2011'!$HE$331*'[2]Transfer Price2011'!$HE$5/1000/$F$209</f>
        <v>9015221.8931681365</v>
      </c>
      <c r="AH209" s="227">
        <f>S209*'[2]Transfer Price2011'!$HE$331*'[2]Transfer Price2011'!$HE$5/1000/$F$209</f>
        <v>9703290.2076301184</v>
      </c>
      <c r="AI209" s="214">
        <f>SUM(W209:AH209)</f>
        <v>70190482.674223304</v>
      </c>
      <c r="AJ209" s="228">
        <f>AI209/U209*1000</f>
        <v>600.98324115567095</v>
      </c>
    </row>
    <row r="210" spans="1:36" hidden="1">
      <c r="A210" s="62"/>
      <c r="B210" s="62"/>
      <c r="C210" s="278" t="s">
        <v>418</v>
      </c>
      <c r="D210" s="62" t="s">
        <v>102</v>
      </c>
      <c r="E210" s="62">
        <f>'[2]Price&amp;Heating-Value'!$R$23/1000</f>
        <v>50.22</v>
      </c>
      <c r="F210" s="62"/>
      <c r="G210" s="230">
        <f>'[2]Price&amp;Heating-Value'!$P$23/1000</f>
        <v>11.61472</v>
      </c>
      <c r="H210" s="793">
        <v>2011802.3</v>
      </c>
      <c r="I210" s="225">
        <v>1798624</v>
      </c>
      <c r="J210" s="225">
        <v>2041961.1</v>
      </c>
      <c r="K210" s="225">
        <v>1766528.72</v>
      </c>
      <c r="L210" s="225">
        <v>1982056.5999999999</v>
      </c>
      <c r="M210" s="225"/>
      <c r="N210" s="225"/>
      <c r="O210" s="225">
        <v>1503171.59</v>
      </c>
      <c r="P210" s="225">
        <v>2019991.93</v>
      </c>
      <c r="Q210" s="225">
        <v>2122262</v>
      </c>
      <c r="R210" s="225">
        <v>2136235.1</v>
      </c>
      <c r="S210" s="225">
        <v>2278814</v>
      </c>
      <c r="T210" s="225">
        <f t="shared" si="104"/>
        <v>19661447.34</v>
      </c>
      <c r="U210" s="225">
        <f t="shared" si="105"/>
        <v>987397885.41479993</v>
      </c>
      <c r="V210" s="225">
        <f>G210*T210</f>
        <v>228362205.64884481</v>
      </c>
      <c r="W210" s="227">
        <f>H210*'[2]Transfer Price2011'!$HE$339*'[2]Transfer Price2011'!$HE$5/1000</f>
        <v>47578923.214770004</v>
      </c>
      <c r="X210" s="227">
        <f>I210*'[2]Transfer Price2011'!$HE$339*'[2]Transfer Price2011'!$HE$5/1000</f>
        <v>42537277.737599999</v>
      </c>
      <c r="Y210" s="227">
        <f>J210*'[2]Transfer Price2011'!$HE$339*'[2]Transfer Price2011'!$HE$5/1000</f>
        <v>48292175.818890005</v>
      </c>
      <c r="Z210" s="227">
        <f>K210*'[2]Transfer Price2011'!$HE$339*'[2]Transfer Price2011'!$HE$5/1000</f>
        <v>41778227.575128004</v>
      </c>
      <c r="AA210" s="227">
        <f>L210*'[2]Transfer Price2011'!$HE$339*'[2]Transfer Price2011'!$HE$5/1000</f>
        <v>46875440.384339996</v>
      </c>
      <c r="AB210" s="227">
        <f>M210*'[2]Transfer Price2011'!$HE$339*'[2]Transfer Price2011'!$HE$5/1000</f>
        <v>0</v>
      </c>
      <c r="AC210" s="227">
        <f>N210*'[2]Transfer Price2011'!$HE$339*'[2]Transfer Price2011'!$HE$5/1000</f>
        <v>0</v>
      </c>
      <c r="AD210" s="227">
        <f>O210*'[2]Transfer Price2011'!$HE$339*'[2]Transfer Price2011'!$HE$5/1000</f>
        <v>35549857.786341004</v>
      </c>
      <c r="AE210" s="227">
        <f>P210*'[2]Transfer Price2011'!$HE$339*'[2]Transfer Price2011'!$HE$5/1000</f>
        <v>47772607.145306997</v>
      </c>
      <c r="AF210" s="227">
        <f>Q210*'[2]Transfer Price2011'!$HE$339*'[2]Transfer Price2011'!$HE$5/1000</f>
        <v>50191284.073800005</v>
      </c>
      <c r="AG210" s="227">
        <f>R210*'[2]Transfer Price2011'!$HE$339*'[2]Transfer Price2011'!$HE$5/1000</f>
        <v>50521746.491490006</v>
      </c>
      <c r="AH210" s="227">
        <f>S210*'[2]Transfer Price2011'!$HE$339*'[2]Transfer Price2011'!$HE$5/1000</f>
        <v>53893723.218600005</v>
      </c>
      <c r="AI210" s="214">
        <f>SUM(W210:AH210)</f>
        <v>464991263.44626606</v>
      </c>
      <c r="AJ210" s="228">
        <f>AI210/U210*1000</f>
        <v>470.92592592592604</v>
      </c>
    </row>
    <row r="211" spans="1:36" hidden="1">
      <c r="A211" s="62"/>
      <c r="B211" s="62"/>
      <c r="C211" s="278" t="s">
        <v>419</v>
      </c>
      <c r="D211" s="62" t="s">
        <v>176</v>
      </c>
      <c r="E211" s="62">
        <f>'[2]Price&amp;Heating-Value'!$R$18/'[2]Price&amp;Heating-Value'!$T$18/1000</f>
        <v>36.42</v>
      </c>
      <c r="F211" s="321">
        <f>'[2]Price&amp;Heating-Value'!$T$18</f>
        <v>0.83520000000000005</v>
      </c>
      <c r="G211" s="230">
        <f>'[2]Price&amp;Heating-Value'!$P$18*'[2]Price&amp;Heating-Value'!$T$18/1000</f>
        <v>25.160039938320001</v>
      </c>
      <c r="H211" s="793">
        <f>351191.199/F211</f>
        <v>420487.5466954023</v>
      </c>
      <c r="I211" s="339">
        <v>419118.27107279695</v>
      </c>
      <c r="J211" s="225">
        <v>444372.42576628347</v>
      </c>
      <c r="K211" s="254">
        <v>297132.04861111107</v>
      </c>
      <c r="L211" s="225">
        <v>481681.02131226053</v>
      </c>
      <c r="M211" s="225"/>
      <c r="N211" s="225"/>
      <c r="O211" s="225">
        <v>810085.03232758609</v>
      </c>
      <c r="P211" s="225">
        <v>405458.57279693487</v>
      </c>
      <c r="Q211" s="225">
        <v>233622.84243295019</v>
      </c>
      <c r="R211" s="225">
        <v>165602.90828544062</v>
      </c>
      <c r="S211" s="225">
        <v>169203.29741379307</v>
      </c>
      <c r="T211" s="225">
        <f t="shared" si="104"/>
        <v>3846763.9667145587</v>
      </c>
      <c r="U211" s="225">
        <f t="shared" si="105"/>
        <v>140099143.66774422</v>
      </c>
      <c r="V211" s="225">
        <f>G211*T211</f>
        <v>96784735.035828561</v>
      </c>
      <c r="W211" s="227">
        <f>H211*'[2]Transfer Price2011'!$HE$327*'[2]Transfer Price2011'!$HE$5/1000/$F$211</f>
        <v>16227700.384396816</v>
      </c>
      <c r="X211" s="227">
        <f>I211*'[2]Transfer Price2011'!$HE$327*'[2]Transfer Price2011'!$HE$5/1000/$F$211</f>
        <v>16174856.501808792</v>
      </c>
      <c r="Y211" s="227">
        <f>J211*'[2]Transfer Price2011'!$HE$327*'[2]Transfer Price2011'!$HE$5/1000/$F$211</f>
        <v>17149479.553187709</v>
      </c>
      <c r="Z211" s="227">
        <f>K211*'[2]Transfer Price2011'!$HE$327*'[2]Transfer Price2011'!$HE$5/1000/$F$211</f>
        <v>11467093.133571424</v>
      </c>
      <c r="AA211" s="227">
        <f>L211*'[2]Transfer Price2011'!$HE$327*'[2]Transfer Price2011'!$HE$5/1000/$F$211</f>
        <v>18589314.609043308</v>
      </c>
      <c r="AB211" s="227">
        <f>M211*'[2]Transfer Price2011'!$HE$327*'[2]Transfer Price2011'!$HE$5/1000/$F$211</f>
        <v>0</v>
      </c>
      <c r="AC211" s="227">
        <f>N211*'[2]Transfer Price2011'!$HE$327*'[2]Transfer Price2011'!$HE$5/1000/$F$211</f>
        <v>0</v>
      </c>
      <c r="AD211" s="227">
        <f>O211*'[2]Transfer Price2011'!$HE$327*'[2]Transfer Price2011'!$HE$5/1000/$F$211</f>
        <v>31263273.535230756</v>
      </c>
      <c r="AE211" s="227">
        <f>P211*'[2]Transfer Price2011'!$HE$327*'[2]Transfer Price2011'!$HE$5/1000/$F$211</f>
        <v>15647693.467602396</v>
      </c>
      <c r="AF211" s="227">
        <f>Q211*'[2]Transfer Price2011'!$HE$327*'[2]Transfer Price2011'!$HE$5/1000/$F$211</f>
        <v>9016108.8473313302</v>
      </c>
      <c r="AG211" s="227">
        <f>R211*'[2]Transfer Price2011'!$HE$327*'[2]Transfer Price2011'!$HE$5/1000/$F$211</f>
        <v>6391043.9192806175</v>
      </c>
      <c r="AH211" s="227">
        <f>S211*'[2]Transfer Price2011'!$HE$327*'[2]Transfer Price2011'!$HE$5/1000/$F$211</f>
        <v>6529992.2341625001</v>
      </c>
      <c r="AI211" s="214">
        <f>SUM(W211:AH211)</f>
        <v>148456556.18561566</v>
      </c>
      <c r="AJ211" s="228">
        <f>AI211/U211*1000</f>
        <v>1059.6535588946331</v>
      </c>
    </row>
    <row r="212" spans="1:36" hidden="1">
      <c r="A212" s="62"/>
      <c r="B212" s="62"/>
      <c r="C212" s="278" t="s">
        <v>420</v>
      </c>
      <c r="D212" s="62" t="s">
        <v>407</v>
      </c>
      <c r="E212" s="62">
        <v>58.02</v>
      </c>
      <c r="F212" s="321"/>
      <c r="G212" s="230"/>
      <c r="H212" s="793"/>
      <c r="I212" s="339"/>
      <c r="J212" s="225"/>
      <c r="K212" s="254"/>
      <c r="L212" s="225"/>
      <c r="M212" s="225"/>
      <c r="N212" s="225"/>
      <c r="O212" s="225">
        <v>108301.277</v>
      </c>
      <c r="P212" s="225">
        <v>147547.70000000001</v>
      </c>
      <c r="Q212" s="225">
        <v>538846.51699999999</v>
      </c>
      <c r="R212" s="225">
        <v>523525.99999999994</v>
      </c>
      <c r="S212" s="225">
        <v>545751.04200000002</v>
      </c>
      <c r="T212" s="225"/>
      <c r="U212" s="225"/>
      <c r="V212" s="225"/>
      <c r="W212" s="227"/>
      <c r="X212" s="227"/>
      <c r="Y212" s="227"/>
      <c r="Z212" s="227"/>
      <c r="AA212" s="227"/>
      <c r="AB212" s="227"/>
      <c r="AC212" s="227"/>
      <c r="AD212" s="227"/>
      <c r="AE212" s="227"/>
      <c r="AF212" s="227"/>
      <c r="AG212" s="227"/>
      <c r="AH212" s="227"/>
      <c r="AI212" s="214"/>
      <c r="AJ212" s="228"/>
    </row>
    <row r="213" spans="1:36" hidden="1">
      <c r="A213" s="62"/>
      <c r="B213" s="233"/>
      <c r="C213" s="325" t="s">
        <v>421</v>
      </c>
      <c r="D213" s="326" t="s">
        <v>147</v>
      </c>
      <c r="E213" s="233"/>
      <c r="F213" s="233"/>
      <c r="G213" s="235"/>
      <c r="H213" s="801">
        <v>19164.704524000001</v>
      </c>
      <c r="I213" s="802">
        <v>17751.307086999997</v>
      </c>
      <c r="J213" s="802">
        <v>20255.77116</v>
      </c>
      <c r="K213" s="802">
        <v>15959.788346999998</v>
      </c>
      <c r="L213" s="802">
        <v>19504.767581</v>
      </c>
      <c r="M213" s="802" t="s">
        <v>864</v>
      </c>
      <c r="N213" s="802" t="s">
        <v>864</v>
      </c>
      <c r="O213" s="802">
        <v>19007.434488999999</v>
      </c>
      <c r="P213" s="802">
        <v>23413.932756999999</v>
      </c>
      <c r="Q213" s="802">
        <v>24243.351118999999</v>
      </c>
      <c r="R213" s="802">
        <v>23693.702724000002</v>
      </c>
      <c r="S213" s="802">
        <v>24671.956406000001</v>
      </c>
      <c r="T213" s="236">
        <f>SUM(H213:S213)</f>
        <v>207666.71619400001</v>
      </c>
      <c r="U213" s="259"/>
      <c r="V213" s="785" t="e">
        <f>#REF!/T213</f>
        <v>#REF!</v>
      </c>
      <c r="W213" s="214">
        <f>SUM(W206:W211)</f>
        <v>103347578.06413707</v>
      </c>
      <c r="X213" s="214">
        <f t="shared" ref="X213:AJ213" si="106">SUM(X206:X211)</f>
        <v>94907720.560714081</v>
      </c>
      <c r="Y213" s="214">
        <f t="shared" si="106"/>
        <v>108901150.83758622</v>
      </c>
      <c r="Z213" s="214">
        <f t="shared" si="106"/>
        <v>89297198.627469659</v>
      </c>
      <c r="AA213" s="214">
        <f t="shared" si="106"/>
        <v>113398745.02643654</v>
      </c>
      <c r="AB213" s="214" t="e">
        <f t="shared" si="106"/>
        <v>#VALUE!</v>
      </c>
      <c r="AC213" s="214" t="e">
        <f t="shared" si="106"/>
        <v>#VALUE!</v>
      </c>
      <c r="AD213" s="214">
        <f t="shared" si="106"/>
        <v>116885384.37447082</v>
      </c>
      <c r="AE213" s="214">
        <f t="shared" si="106"/>
        <v>116703505.47687611</v>
      </c>
      <c r="AF213" s="214">
        <f t="shared" si="106"/>
        <v>114520727.13408312</v>
      </c>
      <c r="AG213" s="214">
        <f t="shared" si="106"/>
        <v>107201128.44393876</v>
      </c>
      <c r="AH213" s="214">
        <f t="shared" si="106"/>
        <v>113655640.82039262</v>
      </c>
      <c r="AI213" s="214" t="e">
        <f t="shared" si="106"/>
        <v>#VALUE!</v>
      </c>
      <c r="AJ213" s="214" t="e">
        <f t="shared" si="106"/>
        <v>#VALUE!</v>
      </c>
    </row>
    <row r="214" spans="1:36" hidden="1">
      <c r="A214" s="62"/>
      <c r="B214" s="327"/>
      <c r="C214" s="325" t="s">
        <v>422</v>
      </c>
      <c r="D214" s="326" t="s">
        <v>147</v>
      </c>
      <c r="E214" s="327"/>
      <c r="F214" s="327"/>
      <c r="G214" s="328"/>
      <c r="H214" s="801">
        <v>185.34700000000001</v>
      </c>
      <c r="I214" s="802">
        <v>183.017</v>
      </c>
      <c r="J214" s="802">
        <v>244.64</v>
      </c>
      <c r="K214" s="802">
        <v>220.30732699999999</v>
      </c>
      <c r="L214" s="802">
        <v>251.95699999999999</v>
      </c>
      <c r="M214" s="802"/>
      <c r="N214" s="802"/>
      <c r="O214" s="802">
        <v>208.90709899999999</v>
      </c>
      <c r="P214" s="802">
        <v>249.33816000000002</v>
      </c>
      <c r="Q214" s="802">
        <v>385.09</v>
      </c>
      <c r="R214" s="802">
        <v>369.16404499999999</v>
      </c>
      <c r="S214" s="802">
        <v>397.86096100000003</v>
      </c>
      <c r="T214" s="803"/>
      <c r="U214" s="329"/>
      <c r="V214" s="785"/>
      <c r="X214" s="214"/>
      <c r="Y214" s="214"/>
      <c r="Z214" s="214"/>
      <c r="AA214" s="214"/>
      <c r="AB214" s="214"/>
      <c r="AC214" s="214"/>
      <c r="AD214" s="214"/>
      <c r="AE214" s="214"/>
      <c r="AF214" s="214"/>
      <c r="AG214" s="214"/>
      <c r="AH214" s="214"/>
      <c r="AI214" s="214"/>
      <c r="AJ214" s="214"/>
    </row>
    <row r="215" spans="1:36" hidden="1">
      <c r="A215" s="62"/>
      <c r="B215" s="327"/>
      <c r="C215" s="325" t="s">
        <v>125</v>
      </c>
      <c r="D215" s="326" t="s">
        <v>147</v>
      </c>
      <c r="E215" s="327"/>
      <c r="F215" s="327"/>
      <c r="G215" s="328"/>
      <c r="H215" s="801">
        <v>620.24310199999991</v>
      </c>
      <c r="I215" s="802">
        <v>559.95787699999994</v>
      </c>
      <c r="J215" s="802">
        <v>642.75277700000004</v>
      </c>
      <c r="K215" s="802">
        <v>583.68404500000008</v>
      </c>
      <c r="L215" s="802">
        <v>623.48886800000002</v>
      </c>
      <c r="M215" s="802"/>
      <c r="N215" s="802"/>
      <c r="O215" s="802">
        <v>672.30850099999998</v>
      </c>
      <c r="P215" s="802">
        <v>874.86663700000008</v>
      </c>
      <c r="Q215" s="802">
        <v>971.21848799999998</v>
      </c>
      <c r="R215" s="802">
        <v>944.18846999999994</v>
      </c>
      <c r="S215" s="802">
        <v>945.46110900000008</v>
      </c>
      <c r="T215" s="803"/>
      <c r="U215" s="329"/>
      <c r="V215" s="785"/>
      <c r="X215" s="214"/>
      <c r="Y215" s="214"/>
      <c r="Z215" s="214"/>
      <c r="AA215" s="214"/>
      <c r="AB215" s="214"/>
      <c r="AC215" s="214"/>
      <c r="AD215" s="214"/>
      <c r="AE215" s="214"/>
      <c r="AF215" s="214"/>
      <c r="AG215" s="214"/>
      <c r="AH215" s="214"/>
      <c r="AI215" s="214"/>
      <c r="AJ215" s="214"/>
    </row>
    <row r="216" spans="1:36" hidden="1">
      <c r="A216" s="62"/>
      <c r="B216" s="253"/>
      <c r="C216" s="325" t="s">
        <v>423</v>
      </c>
      <c r="D216" s="326" t="s">
        <v>147</v>
      </c>
      <c r="E216" s="253"/>
      <c r="F216" s="253"/>
      <c r="G216" s="283"/>
      <c r="H216" s="801">
        <v>521.47967599999993</v>
      </c>
      <c r="I216" s="802">
        <v>425.568918</v>
      </c>
      <c r="J216" s="802">
        <v>500.47569500000003</v>
      </c>
      <c r="K216" s="802">
        <v>423.73231800000002</v>
      </c>
      <c r="L216" s="802">
        <v>577.40145700000005</v>
      </c>
      <c r="M216" s="802"/>
      <c r="N216" s="802"/>
      <c r="O216" s="802">
        <v>836.59970499999997</v>
      </c>
      <c r="P216" s="802">
        <v>681.22227899999996</v>
      </c>
      <c r="Q216" s="802">
        <v>759.27343900000005</v>
      </c>
      <c r="R216" s="802">
        <v>674.565471</v>
      </c>
      <c r="S216" s="802">
        <v>749.30228</v>
      </c>
      <c r="T216" s="277"/>
      <c r="U216" s="277"/>
      <c r="V216" s="771" t="s">
        <v>137</v>
      </c>
    </row>
    <row r="217" spans="1:36" hidden="1">
      <c r="A217" s="62"/>
      <c r="B217" s="62"/>
      <c r="C217" s="278" t="s">
        <v>138</v>
      </c>
      <c r="D217" s="62" t="s">
        <v>173</v>
      </c>
      <c r="E217" s="62"/>
      <c r="F217" s="62"/>
      <c r="G217" s="800"/>
      <c r="H217" s="796">
        <f t="shared" ref="H217:L222" si="107">H206*$E206/1000</f>
        <v>9677.0808000000015</v>
      </c>
      <c r="I217" s="796">
        <f t="shared" si="107"/>
        <v>9012.4956000000002</v>
      </c>
      <c r="J217" s="796">
        <f t="shared" si="107"/>
        <v>10123.066800000001</v>
      </c>
      <c r="K217" s="796">
        <f t="shared" si="107"/>
        <v>8237.1023999999998</v>
      </c>
      <c r="L217" s="796">
        <f t="shared" si="107"/>
        <v>9834.3539999999975</v>
      </c>
      <c r="M217" s="225"/>
      <c r="N217" s="225"/>
      <c r="O217" s="796">
        <v>8946.9575999999997</v>
      </c>
      <c r="P217" s="796">
        <v>11750.598</v>
      </c>
      <c r="Q217" s="796">
        <v>12034.2564</v>
      </c>
      <c r="R217" s="796">
        <v>11490.9408</v>
      </c>
      <c r="S217" s="225">
        <v>12041.326800000001</v>
      </c>
      <c r="T217" s="225">
        <f t="shared" ref="T217:T222" si="108">SUM(H217:S217)</f>
        <v>103148.1792</v>
      </c>
      <c r="U217" s="225"/>
      <c r="V217" s="225"/>
    </row>
    <row r="218" spans="1:36" hidden="1">
      <c r="A218" s="62"/>
      <c r="B218" s="62"/>
      <c r="C218" s="278" t="s">
        <v>415</v>
      </c>
      <c r="D218" s="62" t="s">
        <v>173</v>
      </c>
      <c r="E218" s="62"/>
      <c r="F218" s="62"/>
      <c r="G218" s="800"/>
      <c r="H218" s="796">
        <f t="shared" si="107"/>
        <v>52075.998</v>
      </c>
      <c r="I218" s="796">
        <f t="shared" si="107"/>
        <v>47032.203179999997</v>
      </c>
      <c r="J218" s="796">
        <f t="shared" si="107"/>
        <v>56558.525999999998</v>
      </c>
      <c r="K218" s="796">
        <f t="shared" si="107"/>
        <v>46881.916380000002</v>
      </c>
      <c r="L218" s="796">
        <f t="shared" si="107"/>
        <v>64509.479999999974</v>
      </c>
      <c r="M218" s="225"/>
      <c r="N218" s="225"/>
      <c r="O218" s="796">
        <v>75395.863379999995</v>
      </c>
      <c r="P218" s="796">
        <v>70026.783180000013</v>
      </c>
      <c r="Q218" s="796">
        <v>71460.323999999993</v>
      </c>
      <c r="R218" s="796">
        <v>62865.432720000004</v>
      </c>
      <c r="S218" s="225">
        <v>66428.603640000001</v>
      </c>
      <c r="T218" s="225">
        <f t="shared" si="108"/>
        <v>613235.13048000005</v>
      </c>
      <c r="U218" s="225"/>
      <c r="V218" s="225"/>
    </row>
    <row r="219" spans="1:36" hidden="1">
      <c r="A219" s="62"/>
      <c r="B219" s="62"/>
      <c r="C219" s="278" t="s">
        <v>416</v>
      </c>
      <c r="D219" s="62" t="s">
        <v>173</v>
      </c>
      <c r="E219" s="62"/>
      <c r="F219" s="62"/>
      <c r="G219" s="800"/>
      <c r="H219" s="796">
        <f t="shared" si="107"/>
        <v>19090.625887999999</v>
      </c>
      <c r="I219" s="796">
        <f t="shared" si="107"/>
        <v>17384.620292</v>
      </c>
      <c r="J219" s="796">
        <f t="shared" si="107"/>
        <v>19243.912944</v>
      </c>
      <c r="K219" s="796">
        <f t="shared" si="107"/>
        <v>12048.671864</v>
      </c>
      <c r="L219" s="796">
        <f t="shared" si="107"/>
        <v>8623.6973319999997</v>
      </c>
      <c r="M219" s="225"/>
      <c r="N219" s="225"/>
      <c r="O219" s="796">
        <v>3393.3680240000003</v>
      </c>
      <c r="P219" s="796">
        <v>10439.182363999998</v>
      </c>
      <c r="Q219" s="796">
        <v>10221.701504000001</v>
      </c>
      <c r="R219" s="796">
        <v>9786.3299840000018</v>
      </c>
      <c r="S219" s="225">
        <v>10175.22472</v>
      </c>
      <c r="T219" s="225">
        <f t="shared" si="108"/>
        <v>120407.33491599998</v>
      </c>
      <c r="U219" s="225"/>
      <c r="V219" s="225"/>
    </row>
    <row r="220" spans="1:36" hidden="1">
      <c r="A220" s="62"/>
      <c r="B220" s="62"/>
      <c r="C220" s="278" t="s">
        <v>424</v>
      </c>
      <c r="D220" s="62" t="s">
        <v>173</v>
      </c>
      <c r="E220" s="62"/>
      <c r="F220" s="62"/>
      <c r="G220" s="800"/>
      <c r="H220" s="796">
        <f t="shared" si="107"/>
        <v>8685.7010104515484</v>
      </c>
      <c r="I220" s="796">
        <f t="shared" si="107"/>
        <v>8273.5359088280056</v>
      </c>
      <c r="J220" s="796">
        <f t="shared" si="107"/>
        <v>10825.056590593607</v>
      </c>
      <c r="K220" s="796">
        <f t="shared" si="107"/>
        <v>9232.21659742263</v>
      </c>
      <c r="L220" s="796">
        <f t="shared" si="107"/>
        <v>11991.986114611871</v>
      </c>
      <c r="M220" s="225"/>
      <c r="N220" s="225"/>
      <c r="O220" s="796">
        <v>7633.7156242110605</v>
      </c>
      <c r="P220" s="796">
        <v>13610.984880771182</v>
      </c>
      <c r="Q220" s="796">
        <v>15393.069339441909</v>
      </c>
      <c r="R220" s="796">
        <v>15000.787502546931</v>
      </c>
      <c r="S220" s="225">
        <v>16145.691831557588</v>
      </c>
      <c r="T220" s="225">
        <f t="shared" si="108"/>
        <v>116792.74540043632</v>
      </c>
      <c r="U220" s="225"/>
      <c r="V220" s="225"/>
    </row>
    <row r="221" spans="1:36" hidden="1">
      <c r="A221" s="62"/>
      <c r="B221" s="62"/>
      <c r="C221" s="278" t="s">
        <v>418</v>
      </c>
      <c r="D221" s="62" t="s">
        <v>173</v>
      </c>
      <c r="E221" s="62"/>
      <c r="F221" s="62"/>
      <c r="G221" s="800"/>
      <c r="H221" s="796">
        <f t="shared" si="107"/>
        <v>101032.71150599999</v>
      </c>
      <c r="I221" s="796">
        <f t="shared" si="107"/>
        <v>90326.897280000005</v>
      </c>
      <c r="J221" s="796">
        <f t="shared" si="107"/>
        <v>102547.286442</v>
      </c>
      <c r="K221" s="796">
        <f t="shared" si="107"/>
        <v>88715.072318399994</v>
      </c>
      <c r="L221" s="796">
        <f t="shared" si="107"/>
        <v>99538.882451999991</v>
      </c>
      <c r="M221" s="225"/>
      <c r="N221" s="225"/>
      <c r="O221" s="796">
        <v>75489.277249799998</v>
      </c>
      <c r="P221" s="796">
        <v>101443.99472459999</v>
      </c>
      <c r="Q221" s="796">
        <v>106579.99764</v>
      </c>
      <c r="R221" s="796">
        <v>107281.72672200001</v>
      </c>
      <c r="S221" s="225">
        <v>114442.03908</v>
      </c>
      <c r="T221" s="225">
        <f t="shared" si="108"/>
        <v>987397.88541480002</v>
      </c>
      <c r="U221" s="225"/>
      <c r="V221" s="225"/>
    </row>
    <row r="222" spans="1:36" hidden="1">
      <c r="A222" s="62"/>
      <c r="B222" s="62"/>
      <c r="C222" s="278" t="s">
        <v>419</v>
      </c>
      <c r="D222" s="62" t="s">
        <v>173</v>
      </c>
      <c r="E222" s="62"/>
      <c r="F222" s="62"/>
      <c r="G222" s="800"/>
      <c r="H222" s="796">
        <f t="shared" si="107"/>
        <v>15314.156450646553</v>
      </c>
      <c r="I222" s="796">
        <f>I211*$E211/1000</f>
        <v>15264.287432471267</v>
      </c>
      <c r="J222" s="796">
        <f t="shared" si="107"/>
        <v>16184.043746408046</v>
      </c>
      <c r="K222" s="796">
        <f t="shared" si="107"/>
        <v>10821.549210416666</v>
      </c>
      <c r="L222" s="796">
        <f t="shared" si="107"/>
        <v>17542.822796192529</v>
      </c>
      <c r="M222" s="225"/>
      <c r="N222" s="225"/>
      <c r="O222" s="796">
        <v>29503.296877370685</v>
      </c>
      <c r="P222" s="796">
        <v>14766.801221264368</v>
      </c>
      <c r="Q222" s="796">
        <v>8508.5439214080452</v>
      </c>
      <c r="R222" s="796">
        <v>6031.2579197557479</v>
      </c>
      <c r="S222" s="225">
        <v>6162.3840918103442</v>
      </c>
      <c r="T222" s="225">
        <f t="shared" si="108"/>
        <v>140099.14366774424</v>
      </c>
      <c r="U222" s="225"/>
      <c r="V222" s="225"/>
    </row>
    <row r="223" spans="1:36" hidden="1">
      <c r="A223" s="62"/>
      <c r="B223" s="62"/>
      <c r="C223" s="278" t="s">
        <v>420</v>
      </c>
      <c r="D223" s="62"/>
      <c r="E223" s="354"/>
      <c r="F223" s="584"/>
      <c r="G223" s="804"/>
      <c r="H223" s="798"/>
      <c r="I223" s="798"/>
      <c r="J223" s="798"/>
      <c r="K223" s="798"/>
      <c r="L223" s="798"/>
      <c r="M223" s="277"/>
      <c r="N223" s="277"/>
      <c r="O223" s="798">
        <v>6283.64009154</v>
      </c>
      <c r="P223" s="798">
        <v>8560.7175540000007</v>
      </c>
      <c r="Q223" s="798">
        <v>31263.874916340003</v>
      </c>
      <c r="R223" s="798">
        <v>30374.978520000001</v>
      </c>
      <c r="S223" s="277">
        <v>31664.475456840002</v>
      </c>
      <c r="T223" s="277"/>
      <c r="U223" s="277"/>
      <c r="V223" s="225"/>
    </row>
    <row r="224" spans="1:36" hidden="1">
      <c r="A224" s="62"/>
      <c r="B224" s="62"/>
      <c r="C224" s="237" t="s">
        <v>425</v>
      </c>
      <c r="D224" s="62" t="s">
        <v>173</v>
      </c>
      <c r="E224" s="1771" t="s">
        <v>426</v>
      </c>
      <c r="F224" s="1772"/>
      <c r="G224" s="1773"/>
      <c r="H224" s="805">
        <v>205477.45706648065</v>
      </c>
      <c r="I224" s="805">
        <v>189601.91006670037</v>
      </c>
      <c r="J224" s="805">
        <v>212021.1049174135</v>
      </c>
      <c r="K224" s="805">
        <v>181880.42834453558</v>
      </c>
      <c r="L224" s="805">
        <v>210429.5810547453</v>
      </c>
      <c r="M224" s="277"/>
      <c r="N224" s="277"/>
      <c r="O224" s="805">
        <v>206646.11884692172</v>
      </c>
      <c r="P224" s="805">
        <v>230599.06192463555</v>
      </c>
      <c r="Q224" s="805">
        <v>255461.76772118991</v>
      </c>
      <c r="R224" s="805">
        <v>242831.45416830268</v>
      </c>
      <c r="S224" s="277">
        <v>257059.74562020795</v>
      </c>
      <c r="T224" s="279">
        <f>SUM(H224:S224)</f>
        <v>2192008.6297311331</v>
      </c>
      <c r="U224" s="277">
        <f>T224*12/11</f>
        <v>2391282.1415248723</v>
      </c>
      <c r="V224" s="786" t="e">
        <f>#REF!/T224</f>
        <v>#REF!</v>
      </c>
      <c r="W224" s="214">
        <f>T224*12/10</f>
        <v>2630410.3556773597</v>
      </c>
      <c r="X224" s="755">
        <f>W225-W224</f>
        <v>371699.47354989778</v>
      </c>
      <c r="Y224" s="214">
        <f>W225*0.5/100</f>
        <v>15010.549146136287</v>
      </c>
      <c r="Z224" s="252">
        <f>X224-Y224</f>
        <v>356688.92440376151</v>
      </c>
    </row>
    <row r="225" spans="1:36" hidden="1">
      <c r="A225" s="62"/>
      <c r="B225" s="62"/>
      <c r="C225" s="237" t="s">
        <v>345</v>
      </c>
      <c r="D225" s="62" t="s">
        <v>173</v>
      </c>
      <c r="E225" s="1783" t="s">
        <v>427</v>
      </c>
      <c r="F225" s="1784"/>
      <c r="G225" s="1785"/>
      <c r="H225" s="799">
        <f>7.9929*H213+48434</f>
        <v>201615.56678987961</v>
      </c>
      <c r="I225" s="799">
        <f>7.9929*I213+48434</f>
        <v>190318.42241568226</v>
      </c>
      <c r="J225" s="799">
        <f>7.9929*J213+48434</f>
        <v>210336.35330476399</v>
      </c>
      <c r="K225" s="799">
        <f>7.9929*K213+48434</f>
        <v>175998.99227873626</v>
      </c>
      <c r="L225" s="799">
        <f>7.9929*L213+48434</f>
        <v>204333.6567981749</v>
      </c>
      <c r="M225" s="799"/>
      <c r="N225" s="799"/>
      <c r="O225" s="799">
        <v>222889.86469431853</v>
      </c>
      <c r="P225" s="799">
        <v>252362.4794778424</v>
      </c>
      <c r="Q225" s="799">
        <v>267424.78553757805</v>
      </c>
      <c r="R225" s="799">
        <v>258727.5301174206</v>
      </c>
      <c r="S225" s="799">
        <v>267574.72050604696</v>
      </c>
      <c r="T225" s="279">
        <f>SUM(H225:S225)</f>
        <v>2251582.3719204431</v>
      </c>
      <c r="U225" s="277">
        <f>T225*12/11</f>
        <v>2456271.678458665</v>
      </c>
      <c r="V225" s="271"/>
      <c r="W225" s="214">
        <f>T225*12/9</f>
        <v>3002109.8292272575</v>
      </c>
    </row>
    <row r="226" spans="1:36" hidden="1">
      <c r="A226" s="62"/>
      <c r="B226" s="243" t="s">
        <v>174</v>
      </c>
      <c r="C226" s="244" t="s">
        <v>138</v>
      </c>
      <c r="D226" s="243" t="s">
        <v>347</v>
      </c>
      <c r="E226" s="243"/>
      <c r="F226" s="243"/>
      <c r="G226" s="248"/>
      <c r="H226" s="245">
        <f>H217/H213</f>
        <v>0.50494286451854098</v>
      </c>
      <c r="I226" s="245">
        <f>I217/I213</f>
        <v>0.50770884396452232</v>
      </c>
      <c r="J226" s="245">
        <f>J217/J213</f>
        <v>0.49976210335504206</v>
      </c>
      <c r="K226" s="245">
        <f>K217/K213</f>
        <v>0.51611601738743285</v>
      </c>
      <c r="L226" s="245">
        <f>L217/L213</f>
        <v>0.50420257299450455</v>
      </c>
      <c r="M226" s="245"/>
      <c r="N226" s="245"/>
      <c r="O226" s="245">
        <v>0.47070832232397231</v>
      </c>
      <c r="P226" s="245">
        <v>0.50186348965604488</v>
      </c>
      <c r="Q226" s="245">
        <v>0.49639409753746927</v>
      </c>
      <c r="R226" s="245">
        <v>0.48497868542769007</v>
      </c>
      <c r="S226" s="245">
        <v>0.48805723396429385</v>
      </c>
      <c r="T226" s="245">
        <f>T217/T213</f>
        <v>0.49670058394740579</v>
      </c>
      <c r="U226" s="246"/>
      <c r="V226" s="246"/>
    </row>
    <row r="227" spans="1:36" hidden="1">
      <c r="A227" s="62"/>
      <c r="B227" s="243"/>
      <c r="C227" s="244" t="s">
        <v>415</v>
      </c>
      <c r="D227" s="243" t="s">
        <v>347</v>
      </c>
      <c r="E227" s="243"/>
      <c r="F227" s="243"/>
      <c r="G227" s="248"/>
      <c r="H227" s="245">
        <f>H218/H213</f>
        <v>2.7172867671810499</v>
      </c>
      <c r="I227" s="245">
        <f>I218/I213</f>
        <v>2.6495064813815086</v>
      </c>
      <c r="J227" s="245">
        <f>J218/J213</f>
        <v>2.792217859949401</v>
      </c>
      <c r="K227" s="245">
        <f>K218/K213</f>
        <v>2.937502387919356</v>
      </c>
      <c r="L227" s="245">
        <f>L218/L213</f>
        <v>3.3073698382768733</v>
      </c>
      <c r="M227" s="245"/>
      <c r="N227" s="245"/>
      <c r="O227" s="245">
        <v>3.9666512292141878</v>
      </c>
      <c r="P227" s="245">
        <v>2.9908167887372232</v>
      </c>
      <c r="Q227" s="245">
        <v>2.9476256664861449</v>
      </c>
      <c r="R227" s="245">
        <v>2.6532548944459355</v>
      </c>
      <c r="S227" s="245">
        <v>2.6924741008315478</v>
      </c>
      <c r="T227" s="245">
        <f>T218/T213</f>
        <v>2.9529774521359617</v>
      </c>
      <c r="U227" s="246"/>
      <c r="V227" s="246"/>
    </row>
    <row r="228" spans="1:36" hidden="1">
      <c r="A228" s="62"/>
      <c r="B228" s="243"/>
      <c r="C228" s="244" t="s">
        <v>428</v>
      </c>
      <c r="D228" s="243" t="s">
        <v>347</v>
      </c>
      <c r="E228" s="243"/>
      <c r="F228" s="243"/>
      <c r="G228" s="248"/>
      <c r="H228" s="245">
        <f>H219/H213</f>
        <v>0.99613463197894692</v>
      </c>
      <c r="I228" s="245">
        <f>I219/I213</f>
        <v>0.97934311016068576</v>
      </c>
      <c r="J228" s="245">
        <f>J219/J213</f>
        <v>0.95004592972504731</v>
      </c>
      <c r="K228" s="245">
        <f>K219/K213</f>
        <v>0.75493932638930139</v>
      </c>
      <c r="L228" s="245">
        <f>L219/L213</f>
        <v>0.44213279118488563</v>
      </c>
      <c r="M228" s="245"/>
      <c r="N228" s="245"/>
      <c r="O228" s="245">
        <v>0.17852846084850713</v>
      </c>
      <c r="P228" s="245">
        <v>0.44585343574453656</v>
      </c>
      <c r="Q228" s="245">
        <v>0.42162906661814786</v>
      </c>
      <c r="R228" s="245">
        <v>0.41303506243822158</v>
      </c>
      <c r="S228" s="245">
        <v>0.41242066711521408</v>
      </c>
      <c r="T228" s="245"/>
      <c r="U228" s="246"/>
      <c r="V228" s="246"/>
    </row>
    <row r="229" spans="1:36" hidden="1">
      <c r="A229" s="62"/>
      <c r="B229" s="243"/>
      <c r="C229" s="244" t="s">
        <v>408</v>
      </c>
      <c r="D229" s="243" t="s">
        <v>347</v>
      </c>
      <c r="E229" s="243"/>
      <c r="F229" s="243"/>
      <c r="G229" s="248"/>
      <c r="H229" s="245">
        <f>H220/H213</f>
        <v>0.45321340590325443</v>
      </c>
      <c r="I229" s="245">
        <f>I220/I213</f>
        <v>0.46608037753383535</v>
      </c>
      <c r="J229" s="245">
        <f>J220/J213</f>
        <v>0.53441838896612059</v>
      </c>
      <c r="K229" s="245">
        <f>K220/K213</f>
        <v>0.578467357880597</v>
      </c>
      <c r="L229" s="245">
        <f>L220/L213</f>
        <v>0.61482332792796335</v>
      </c>
      <c r="M229" s="245"/>
      <c r="N229" s="245"/>
      <c r="O229" s="245">
        <v>0.40161735812525629</v>
      </c>
      <c r="P229" s="245">
        <v>0.58131989281902863</v>
      </c>
      <c r="Q229" s="245">
        <v>0.63493983417903199</v>
      </c>
      <c r="R229" s="245">
        <v>0.63311284341185814</v>
      </c>
      <c r="S229" s="245">
        <v>0.65441473573741804</v>
      </c>
      <c r="T229" s="245">
        <f>T220/T213</f>
        <v>0.5624047393869791</v>
      </c>
      <c r="U229" s="246"/>
      <c r="V229" s="246"/>
    </row>
    <row r="230" spans="1:36" hidden="1">
      <c r="A230" s="62"/>
      <c r="B230" s="243"/>
      <c r="C230" s="244" t="s">
        <v>429</v>
      </c>
      <c r="D230" s="243" t="s">
        <v>347</v>
      </c>
      <c r="E230" s="243"/>
      <c r="F230" s="243"/>
      <c r="G230" s="248"/>
      <c r="H230" s="245">
        <f>H221/H213</f>
        <v>5.2718115940413544</v>
      </c>
      <c r="I230" s="245">
        <f>I221/I213</f>
        <v>5.0884645754424502</v>
      </c>
      <c r="J230" s="245">
        <f>J221/J213</f>
        <v>5.0626207036000102</v>
      </c>
      <c r="K230" s="245">
        <f>K221/K213</f>
        <v>5.5586622071386049</v>
      </c>
      <c r="L230" s="245">
        <f>L221/L213</f>
        <v>5.1033103593073772</v>
      </c>
      <c r="M230" s="245"/>
      <c r="N230" s="245"/>
      <c r="O230" s="245">
        <v>3.9715658256503383</v>
      </c>
      <c r="P230" s="245">
        <v>4.3326337261420367</v>
      </c>
      <c r="Q230" s="245">
        <v>4.396256817667056</v>
      </c>
      <c r="R230" s="245">
        <v>4.5278582234144178</v>
      </c>
      <c r="S230" s="245">
        <v>4.6385473935163368</v>
      </c>
      <c r="T230" s="245">
        <f>T221/T213</f>
        <v>4.7547238359197799</v>
      </c>
      <c r="U230" s="246"/>
      <c r="V230" s="246"/>
    </row>
    <row r="231" spans="1:36" hidden="1">
      <c r="A231" s="62"/>
      <c r="B231" s="243"/>
      <c r="C231" s="244" t="s">
        <v>430</v>
      </c>
      <c r="D231" s="243" t="s">
        <v>347</v>
      </c>
      <c r="E231" s="243"/>
      <c r="F231" s="243"/>
      <c r="G231" s="248"/>
      <c r="H231" s="245">
        <f>H222/H213</f>
        <v>0.79908127106622495</v>
      </c>
      <c r="I231" s="245">
        <f>I222/I213</f>
        <v>0.85989653368398566</v>
      </c>
      <c r="J231" s="245">
        <f>J222/J213</f>
        <v>0.79898432987668322</v>
      </c>
      <c r="K231" s="245">
        <f>K222/K213</f>
        <v>0.67805092242660103</v>
      </c>
      <c r="L231" s="245">
        <f>L222/L213</f>
        <v>0.89941203981745255</v>
      </c>
      <c r="M231" s="245"/>
      <c r="N231" s="245"/>
      <c r="O231" s="245">
        <v>1.552197741070467</v>
      </c>
      <c r="P231" s="245">
        <v>0.63068436108195358</v>
      </c>
      <c r="Q231" s="245">
        <v>0.35096401811957956</v>
      </c>
      <c r="R231" s="245">
        <v>0.25455109275286558</v>
      </c>
      <c r="S231" s="245">
        <v>0.24977281859624667</v>
      </c>
      <c r="T231" s="245">
        <f>T222/T213</f>
        <v>0.67463455981489651</v>
      </c>
      <c r="U231" s="246"/>
      <c r="V231" s="246"/>
    </row>
    <row r="232" spans="1:36" ht="23.25" hidden="1">
      <c r="A232" s="62"/>
      <c r="B232" s="243"/>
      <c r="C232" s="249" t="s">
        <v>431</v>
      </c>
      <c r="D232" s="243" t="s">
        <v>347</v>
      </c>
      <c r="E232" s="243"/>
      <c r="F232" s="243"/>
      <c r="G232" s="248"/>
      <c r="H232" s="245">
        <f>H224/H213</f>
        <v>10.72166058230435</v>
      </c>
      <c r="I232" s="245">
        <f>I224/I213</f>
        <v>10.681011214410995</v>
      </c>
      <c r="J232" s="245">
        <f>J224/J213</f>
        <v>10.467194916582653</v>
      </c>
      <c r="K232" s="245">
        <f>K224/K213</f>
        <v>11.396167943462991</v>
      </c>
      <c r="L232" s="245">
        <f>L224/L213</f>
        <v>10.788622842126513</v>
      </c>
      <c r="M232" s="245"/>
      <c r="N232" s="245"/>
      <c r="O232" s="245">
        <f t="shared" ref="O232:T232" si="109">O224/O213</f>
        <v>10.871857481161499</v>
      </c>
      <c r="P232" s="245">
        <f t="shared" si="109"/>
        <v>9.8487966254064681</v>
      </c>
      <c r="Q232" s="245">
        <f t="shared" si="109"/>
        <v>10.537395035333189</v>
      </c>
      <c r="R232" s="245">
        <f t="shared" si="109"/>
        <v>10.24877609873665</v>
      </c>
      <c r="S232" s="245">
        <f t="shared" si="109"/>
        <v>10.419106672776598</v>
      </c>
      <c r="T232" s="250">
        <f t="shared" si="109"/>
        <v>10.555416245342764</v>
      </c>
      <c r="U232" s="246"/>
      <c r="V232" s="246"/>
    </row>
    <row r="233" spans="1:36" hidden="1">
      <c r="A233" s="62"/>
      <c r="B233" s="243"/>
      <c r="C233" s="249" t="s">
        <v>432</v>
      </c>
      <c r="D233" s="243"/>
      <c r="E233" s="243"/>
      <c r="F233" s="243"/>
      <c r="G233" s="243"/>
      <c r="H233" s="333">
        <f>H224/H225*100</f>
        <v>101.91547227135783</v>
      </c>
      <c r="I233" s="333">
        <f>I224/I225*100</f>
        <v>99.62351918438199</v>
      </c>
      <c r="J233" s="333">
        <f>J224/J225*100</f>
        <v>100.80097975750697</v>
      </c>
      <c r="K233" s="333">
        <f>K224/K225*100</f>
        <v>103.34174417117381</v>
      </c>
      <c r="L233" s="333">
        <f>L224/L225*100</f>
        <v>102.98331873079111</v>
      </c>
      <c r="M233" s="333"/>
      <c r="N233" s="333"/>
      <c r="O233" s="333">
        <f t="shared" ref="O233:T233" si="110">O224/O225*100</f>
        <v>92.712209741042173</v>
      </c>
      <c r="P233" s="333">
        <f t="shared" si="110"/>
        <v>91.376127862494826</v>
      </c>
      <c r="Q233" s="333">
        <f t="shared" si="110"/>
        <v>95.526585992266931</v>
      </c>
      <c r="R233" s="333">
        <f t="shared" si="110"/>
        <v>93.856055464254752</v>
      </c>
      <c r="S233" s="333">
        <f t="shared" si="110"/>
        <v>96.070265955635605</v>
      </c>
      <c r="T233" s="333">
        <f t="shared" si="110"/>
        <v>97.354138896615282</v>
      </c>
      <c r="U233" s="246"/>
      <c r="V233" s="246"/>
    </row>
    <row r="234" spans="1:36" hidden="1">
      <c r="A234" s="62"/>
      <c r="B234" s="243"/>
      <c r="C234" s="249" t="s">
        <v>398</v>
      </c>
      <c r="D234" s="243" t="s">
        <v>173</v>
      </c>
      <c r="E234" s="243"/>
      <c r="F234" s="243"/>
      <c r="G234" s="243"/>
      <c r="H234" s="251">
        <f t="shared" ref="H234:S235" si="111">H198+H224</f>
        <v>297159.28520348063</v>
      </c>
      <c r="I234" s="251">
        <f t="shared" si="111"/>
        <v>270202.9175097004</v>
      </c>
      <c r="J234" s="251">
        <f t="shared" si="111"/>
        <v>305935.75004641351</v>
      </c>
      <c r="K234" s="251">
        <f t="shared" si="111"/>
        <v>273471.34825301811</v>
      </c>
      <c r="L234" s="251">
        <f t="shared" si="111"/>
        <v>307730.46239674534</v>
      </c>
      <c r="M234" s="251">
        <f t="shared" si="111"/>
        <v>89986.844614000001</v>
      </c>
      <c r="N234" s="251">
        <f t="shared" si="111"/>
        <v>86415.580868226796</v>
      </c>
      <c r="O234" s="251">
        <f t="shared" si="111"/>
        <v>288749.26817370002</v>
      </c>
      <c r="P234" s="251">
        <f t="shared" si="111"/>
        <v>317959.66820763552</v>
      </c>
      <c r="Q234" s="251">
        <f t="shared" si="111"/>
        <v>351537.78169618989</v>
      </c>
      <c r="R234" s="251">
        <f t="shared" si="111"/>
        <v>336226.02054830268</v>
      </c>
      <c r="S234" s="251">
        <f t="shared" si="111"/>
        <v>349806.47869420797</v>
      </c>
      <c r="T234" s="251">
        <f>SUM(H234:S234)</f>
        <v>3275181.4062116211</v>
      </c>
      <c r="U234" s="246"/>
      <c r="V234" s="246"/>
    </row>
    <row r="235" spans="1:36" hidden="1">
      <c r="A235" s="62"/>
      <c r="B235" s="243"/>
      <c r="C235" s="249" t="s">
        <v>399</v>
      </c>
      <c r="D235" s="243" t="s">
        <v>173</v>
      </c>
      <c r="E235" s="243"/>
      <c r="F235" s="243"/>
      <c r="G235" s="243"/>
      <c r="H235" s="251">
        <f t="shared" si="111"/>
        <v>292699.11455957626</v>
      </c>
      <c r="I235" s="251">
        <f t="shared" si="111"/>
        <v>274849.48760597501</v>
      </c>
      <c r="J235" s="251">
        <f t="shared" si="111"/>
        <v>302317.55519309093</v>
      </c>
      <c r="K235" s="251">
        <f t="shared" si="111"/>
        <v>266459.50624972826</v>
      </c>
      <c r="L235" s="251">
        <f t="shared" si="111"/>
        <v>301981.36465550505</v>
      </c>
      <c r="M235" s="251">
        <f t="shared" si="111"/>
        <v>90416.705637709994</v>
      </c>
      <c r="N235" s="251">
        <f t="shared" si="111"/>
        <v>86698.229885755325</v>
      </c>
      <c r="O235" s="251">
        <f t="shared" si="111"/>
        <v>307455.13249341905</v>
      </c>
      <c r="P235" s="251">
        <f t="shared" si="111"/>
        <v>339749.7251449218</v>
      </c>
      <c r="Q235" s="251">
        <f t="shared" si="111"/>
        <v>364123.03895549732</v>
      </c>
      <c r="R235" s="251">
        <f t="shared" si="111"/>
        <v>353066.08297590818</v>
      </c>
      <c r="S235" s="251">
        <f t="shared" si="111"/>
        <v>360496.10734260344</v>
      </c>
      <c r="T235" s="251">
        <f>T199+T225</f>
        <v>3340312.0506996904</v>
      </c>
      <c r="U235" s="246"/>
      <c r="V235" s="246"/>
    </row>
    <row r="236" spans="1:36" hidden="1">
      <c r="A236" s="62"/>
      <c r="B236" s="243"/>
      <c r="C236" s="249" t="s">
        <v>433</v>
      </c>
      <c r="D236" s="243"/>
      <c r="E236" s="243"/>
      <c r="F236" s="243"/>
      <c r="G236" s="243"/>
      <c r="H236" s="251">
        <f>H234/H235*100</f>
        <v>101.52380735781028</v>
      </c>
      <c r="I236" s="251">
        <f>I234/I235*100</f>
        <v>98.309412858380171</v>
      </c>
      <c r="J236" s="251">
        <f t="shared" ref="J236:S236" si="112">J234/J235*100</f>
        <v>101.19681930181383</v>
      </c>
      <c r="K236" s="251">
        <f t="shared" si="112"/>
        <v>102.63148502448934</v>
      </c>
      <c r="L236" s="251">
        <f>L234/L235*100</f>
        <v>101.90379222499332</v>
      </c>
      <c r="M236" s="251">
        <f t="shared" si="112"/>
        <v>99.524577874544121</v>
      </c>
      <c r="N236" s="251">
        <f t="shared" si="112"/>
        <v>99.673985249870739</v>
      </c>
      <c r="O236" s="251">
        <f t="shared" si="112"/>
        <v>93.915904357160343</v>
      </c>
      <c r="P236" s="251">
        <f t="shared" si="112"/>
        <v>93.586438685714427</v>
      </c>
      <c r="Q236" s="251">
        <f t="shared" si="112"/>
        <v>96.543680044138711</v>
      </c>
      <c r="R236" s="251">
        <f t="shared" si="112"/>
        <v>95.230336971009876</v>
      </c>
      <c r="S236" s="251">
        <f t="shared" si="112"/>
        <v>97.034745055308903</v>
      </c>
      <c r="T236" s="251">
        <f>T234/T235*100</f>
        <v>98.050162874021723</v>
      </c>
      <c r="U236" s="246"/>
      <c r="V236" s="246"/>
      <c r="W236" s="214" t="s">
        <v>29</v>
      </c>
      <c r="X236" s="215" t="s">
        <v>30</v>
      </c>
      <c r="Y236" s="215" t="s">
        <v>31</v>
      </c>
      <c r="Z236" s="215" t="s">
        <v>32</v>
      </c>
      <c r="AA236" s="215" t="s">
        <v>33</v>
      </c>
      <c r="AB236" s="215" t="s">
        <v>34</v>
      </c>
      <c r="AC236" s="215" t="s">
        <v>35</v>
      </c>
      <c r="AD236" s="215" t="s">
        <v>36</v>
      </c>
      <c r="AE236" s="215" t="s">
        <v>37</v>
      </c>
      <c r="AF236" s="215" t="s">
        <v>38</v>
      </c>
      <c r="AG236" s="215" t="s">
        <v>39</v>
      </c>
      <c r="AH236" s="215" t="s">
        <v>40</v>
      </c>
      <c r="AI236" s="215" t="s">
        <v>25</v>
      </c>
      <c r="AJ236" s="219" t="s">
        <v>158</v>
      </c>
    </row>
    <row r="237" spans="1:36" hidden="1">
      <c r="A237" s="62">
        <v>11</v>
      </c>
      <c r="B237" s="240" t="s">
        <v>122</v>
      </c>
      <c r="C237" s="278" t="s">
        <v>138</v>
      </c>
      <c r="D237" s="62" t="s">
        <v>90</v>
      </c>
      <c r="E237" s="238">
        <f>'[2]Price&amp;Heating-Value'!$R$6</f>
        <v>3.6</v>
      </c>
      <c r="F237" s="62"/>
      <c r="G237" s="256">
        <f>'[2]Price&amp;Heating-Value'!$P$6</f>
        <v>2.7124999999999999</v>
      </c>
      <c r="H237" s="360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>
        <f>SUM(H237:S237)</f>
        <v>0</v>
      </c>
      <c r="U237" s="225">
        <f>T237*E237</f>
        <v>0</v>
      </c>
      <c r="V237" s="225">
        <f>G237*T237</f>
        <v>0</v>
      </c>
      <c r="W237" s="227">
        <f>H237*'[2]Transfer Price2011'!$HE$459</f>
        <v>0</v>
      </c>
      <c r="X237" s="227">
        <f>I237*'[2]Transfer Price2011'!$HE$459</f>
        <v>0</v>
      </c>
      <c r="Y237" s="227">
        <f>J237*'[2]Transfer Price2011'!$HE$459</f>
        <v>0</v>
      </c>
      <c r="Z237" s="227">
        <f>K237*'[2]Transfer Price2011'!$HE$459</f>
        <v>0</v>
      </c>
      <c r="AA237" s="227">
        <f>L237*'[2]Transfer Price2011'!$HE$459</f>
        <v>0</v>
      </c>
      <c r="AB237" s="227">
        <f>M237*'[2]Transfer Price2011'!$HE$459</f>
        <v>0</v>
      </c>
      <c r="AC237" s="227">
        <f>N237*'[2]Transfer Price2011'!$HE$459</f>
        <v>0</v>
      </c>
      <c r="AD237" s="227">
        <f>O237*'[2]Transfer Price2011'!$HE$459</f>
        <v>0</v>
      </c>
      <c r="AE237" s="227">
        <f>P237*'[2]Transfer Price2011'!$HE$459</f>
        <v>0</v>
      </c>
      <c r="AF237" s="227">
        <f>Q237*'[2]Transfer Price2011'!$HE$459</f>
        <v>0</v>
      </c>
      <c r="AG237" s="227">
        <f>R237*'[2]Transfer Price2011'!$HE$459</f>
        <v>0</v>
      </c>
      <c r="AH237" s="227">
        <f>S237*'[2]Transfer Price2011'!$HE$459</f>
        <v>0</v>
      </c>
      <c r="AI237" s="214">
        <f>SUM(W237:AH237)</f>
        <v>0</v>
      </c>
      <c r="AJ237" s="228" t="e">
        <f>AI237/U237*1000</f>
        <v>#DIV/0!</v>
      </c>
    </row>
    <row r="238" spans="1:36" hidden="1">
      <c r="A238" s="62"/>
      <c r="B238" s="62"/>
      <c r="C238" s="278" t="s">
        <v>152</v>
      </c>
      <c r="D238" s="62" t="s">
        <v>121</v>
      </c>
      <c r="E238" s="62">
        <f>'[2]Price&amp;Heating-Value'!$R$9</f>
        <v>2803</v>
      </c>
      <c r="F238" s="62"/>
      <c r="G238" s="230">
        <f>'[2]Price&amp;Heating-Value'!$P$9</f>
        <v>1301.5833333333333</v>
      </c>
      <c r="H238" s="360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>
        <f>SUM(H238:S238)</f>
        <v>0</v>
      </c>
      <c r="U238" s="225">
        <f>T238*E238</f>
        <v>0</v>
      </c>
      <c r="V238" s="225">
        <f>G238*T238</f>
        <v>0</v>
      </c>
      <c r="W238" s="232">
        <f>'[2]Price&amp;Heating-Value'!D$9</f>
        <v>1210</v>
      </c>
      <c r="X238" s="232">
        <f>'[2]Price&amp;Heating-Value'!E$9</f>
        <v>1218</v>
      </c>
      <c r="Y238" s="232">
        <f>'[2]Price&amp;Heating-Value'!F$9</f>
        <v>1207</v>
      </c>
      <c r="Z238" s="232">
        <f>'[2]Price&amp;Heating-Value'!G$9</f>
        <v>1232</v>
      </c>
      <c r="AA238" s="232">
        <f>'[2]Price&amp;Heating-Value'!H$9</f>
        <v>1352</v>
      </c>
      <c r="AB238" s="232">
        <f>'[2]Price&amp;Heating-Value'!I$9</f>
        <v>1491</v>
      </c>
      <c r="AC238" s="232">
        <f>'[2]Price&amp;Heating-Value'!J$9</f>
        <v>1588</v>
      </c>
    </row>
    <row r="239" spans="1:36" hidden="1">
      <c r="A239" s="62"/>
      <c r="B239" s="62"/>
      <c r="C239" s="278" t="s">
        <v>434</v>
      </c>
      <c r="D239" s="62" t="s">
        <v>176</v>
      </c>
      <c r="E239" s="62">
        <f>'[2]Price&amp;Heating-Value'!$R$18/'[2]Price&amp;Heating-Value'!$T$18/1000</f>
        <v>36.42</v>
      </c>
      <c r="F239" s="238">
        <f>'[2]Price&amp;Heating-Value'!$T$18</f>
        <v>0.83520000000000005</v>
      </c>
      <c r="G239" s="230">
        <f>'[2]Price&amp;Heating-Value'!$P$18*'[2]Price&amp;Heating-Value'!$T$18/1000</f>
        <v>25.160039938320001</v>
      </c>
      <c r="H239" s="360"/>
      <c r="I239" s="225"/>
      <c r="J239" s="254"/>
      <c r="K239" s="254"/>
      <c r="L239" s="225"/>
      <c r="M239" s="225"/>
      <c r="N239" s="225"/>
      <c r="O239" s="225"/>
      <c r="P239" s="225"/>
      <c r="Q239" s="254"/>
      <c r="R239" s="225"/>
      <c r="S239" s="225"/>
      <c r="T239" s="225">
        <f>SUM(H239:S239)</f>
        <v>0</v>
      </c>
      <c r="U239" s="225">
        <f>T239*E239</f>
        <v>0</v>
      </c>
      <c r="V239" s="225">
        <f>F239*G239*T239</f>
        <v>0</v>
      </c>
      <c r="W239" s="227">
        <f>'[2]Price&amp;Heating-Value'!D$18*'[2]Price&amp;Heating-Value'!$T$18/1000</f>
        <v>22.986641664000004</v>
      </c>
      <c r="X239" s="227">
        <f>'[2]Price&amp;Heating-Value'!E$18*'[2]Price&amp;Heating-Value'!$T$18/1000</f>
        <v>22.963013856000003</v>
      </c>
      <c r="Y239" s="227">
        <f>'[2]Price&amp;Heating-Value'!F$18*'[2]Price&amp;Heating-Value'!$T$18/1000</f>
        <v>24.774545952</v>
      </c>
      <c r="Z239" s="227">
        <f>'[2]Price&amp;Heating-Value'!G$18*'[2]Price&amp;Heating-Value'!$T$18/1000</f>
        <v>27.366797952000002</v>
      </c>
      <c r="AA239" s="227">
        <f>'[2]Price&amp;Heating-Value'!H$18*'[2]Price&amp;Heating-Value'!$T$18/1000</f>
        <v>31.132931903999999</v>
      </c>
      <c r="AB239" s="227">
        <f>'[2]Price&amp;Heating-Value'!I$18*'[2]Price&amp;Heating-Value'!$T$18/1000</f>
        <v>34.244001792000006</v>
      </c>
      <c r="AC239" s="227">
        <f>'[2]Price&amp;Heating-Value'!J$18*'[2]Price&amp;Heating-Value'!$T$18/1000</f>
        <v>35.755738848000007</v>
      </c>
    </row>
    <row r="240" spans="1:36" hidden="1">
      <c r="A240" s="62"/>
      <c r="B240" s="62"/>
      <c r="C240" s="237" t="s">
        <v>383</v>
      </c>
      <c r="D240" s="62"/>
      <c r="E240" s="62"/>
      <c r="F240" s="62"/>
      <c r="G240" s="238"/>
      <c r="H240" s="806"/>
      <c r="I240" s="257"/>
      <c r="J240" s="257"/>
      <c r="K240" s="257"/>
      <c r="L240" s="257"/>
      <c r="M240" s="257"/>
      <c r="N240" s="257"/>
      <c r="O240" s="257"/>
      <c r="P240" s="257"/>
      <c r="Q240" s="257"/>
      <c r="R240" s="257"/>
      <c r="S240" s="257"/>
      <c r="T240" s="257">
        <f>SUM(H240:S240)</f>
        <v>0</v>
      </c>
      <c r="U240" s="225"/>
      <c r="V240" s="768">
        <f>SUM(V237:V239)</f>
        <v>0</v>
      </c>
    </row>
    <row r="241" spans="1:36" hidden="1">
      <c r="A241" s="62"/>
      <c r="B241" s="233"/>
      <c r="C241" s="234" t="s">
        <v>107</v>
      </c>
      <c r="D241" s="233" t="s">
        <v>147</v>
      </c>
      <c r="E241" s="233"/>
      <c r="F241" s="233"/>
      <c r="G241" s="238"/>
      <c r="H241" s="807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36">
        <f>SUM(H241:S241)</f>
        <v>0</v>
      </c>
      <c r="U241" s="259"/>
      <c r="V241" s="785" t="e">
        <f>V240/T241</f>
        <v>#DIV/0!</v>
      </c>
    </row>
    <row r="242" spans="1:36" hidden="1">
      <c r="A242" s="62"/>
      <c r="B242" s="281"/>
      <c r="C242" s="808" t="s">
        <v>435</v>
      </c>
      <c r="D242" s="281"/>
      <c r="E242" s="281"/>
      <c r="F242" s="281"/>
      <c r="G242" s="241"/>
      <c r="H242" s="296"/>
      <c r="I242" s="296"/>
      <c r="J242" s="296"/>
      <c r="K242" s="296"/>
      <c r="L242" s="296"/>
      <c r="M242" s="809"/>
      <c r="N242" s="809"/>
      <c r="O242" s="809"/>
      <c r="P242" s="809"/>
      <c r="Q242" s="809"/>
      <c r="R242" s="809"/>
      <c r="S242" s="809"/>
      <c r="T242" s="803"/>
      <c r="U242" s="329"/>
      <c r="V242" s="785"/>
    </row>
    <row r="243" spans="1:36" hidden="1">
      <c r="A243" s="62"/>
      <c r="B243" s="281"/>
      <c r="C243" s="808" t="s">
        <v>436</v>
      </c>
      <c r="D243" s="281"/>
      <c r="E243" s="281"/>
      <c r="F243" s="281"/>
      <c r="G243" s="241"/>
      <c r="H243" s="296"/>
      <c r="I243" s="296"/>
      <c r="J243" s="296"/>
      <c r="K243" s="296"/>
      <c r="L243" s="296"/>
      <c r="M243" s="790"/>
      <c r="N243" s="790"/>
      <c r="O243" s="790"/>
      <c r="P243" s="790"/>
      <c r="Q243" s="790"/>
      <c r="R243" s="790"/>
      <c r="S243" s="790"/>
      <c r="T243" s="277"/>
      <c r="U243" s="277"/>
      <c r="V243" s="771" t="s">
        <v>137</v>
      </c>
    </row>
    <row r="244" spans="1:36" hidden="1">
      <c r="A244" s="62"/>
      <c r="B244" s="62"/>
      <c r="C244" s="278" t="s">
        <v>138</v>
      </c>
      <c r="D244" s="62" t="s">
        <v>173</v>
      </c>
      <c r="E244" s="62"/>
      <c r="F244" s="62"/>
      <c r="G244" s="238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>
        <f>SUM(H244:S244)</f>
        <v>0</v>
      </c>
      <c r="U244" s="225"/>
      <c r="V244" s="225"/>
    </row>
    <row r="245" spans="1:36" hidden="1">
      <c r="A245" s="62"/>
      <c r="B245" s="62"/>
      <c r="C245" s="278" t="s">
        <v>152</v>
      </c>
      <c r="D245" s="62" t="s">
        <v>173</v>
      </c>
      <c r="E245" s="62"/>
      <c r="F245" s="62"/>
      <c r="G245" s="238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>
        <f>SUM(H245:S245)</f>
        <v>0</v>
      </c>
      <c r="U245" s="225"/>
      <c r="V245" s="225"/>
    </row>
    <row r="246" spans="1:36" hidden="1">
      <c r="A246" s="62"/>
      <c r="B246" s="62"/>
      <c r="C246" s="278" t="s">
        <v>434</v>
      </c>
      <c r="D246" s="62" t="s">
        <v>173</v>
      </c>
      <c r="E246" s="62"/>
      <c r="F246" s="62"/>
      <c r="G246" s="238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>
        <f>SUM(H246:S246)</f>
        <v>0</v>
      </c>
      <c r="U246" s="225"/>
      <c r="V246" s="225"/>
    </row>
    <row r="247" spans="1:36" hidden="1">
      <c r="A247" s="62"/>
      <c r="B247" s="62"/>
      <c r="C247" s="237" t="s">
        <v>437</v>
      </c>
      <c r="D247" s="62" t="s">
        <v>173</v>
      </c>
      <c r="E247" s="1771" t="s">
        <v>865</v>
      </c>
      <c r="F247" s="1772"/>
      <c r="G247" s="1773"/>
      <c r="H247" s="335">
        <v>3084.5794839999999</v>
      </c>
      <c r="I247" s="335">
        <v>2866.1604600000005</v>
      </c>
      <c r="J247" s="277">
        <v>3091.207476</v>
      </c>
      <c r="K247" s="277">
        <v>3143.4382519999999</v>
      </c>
      <c r="L247" s="277">
        <v>2589.3520779999999</v>
      </c>
      <c r="M247" s="277">
        <v>2485.8678334000001</v>
      </c>
      <c r="N247" s="277">
        <v>2974.1933899999999</v>
      </c>
      <c r="O247" s="277">
        <v>2951.8067199999996</v>
      </c>
      <c r="P247" s="277">
        <v>2495.1837800000003</v>
      </c>
      <c r="Q247" s="277">
        <v>3163.0661600000003</v>
      </c>
      <c r="R247" s="277">
        <v>2778.1248399999999</v>
      </c>
      <c r="S247" s="277">
        <v>2325.6733200000003</v>
      </c>
      <c r="T247" s="279">
        <f>SUM(H247:S247)</f>
        <v>33948.653793400001</v>
      </c>
      <c r="U247" s="277">
        <f>T247*12/11</f>
        <v>37034.895047345453</v>
      </c>
      <c r="V247" s="786">
        <f>V240/T247</f>
        <v>0</v>
      </c>
    </row>
    <row r="248" spans="1:36" hidden="1">
      <c r="A248" s="62"/>
      <c r="B248" s="62"/>
      <c r="C248" s="237" t="s">
        <v>345</v>
      </c>
      <c r="D248" s="62" t="s">
        <v>173</v>
      </c>
      <c r="E248" s="1771" t="s">
        <v>866</v>
      </c>
      <c r="F248" s="1772"/>
      <c r="G248" s="1773"/>
      <c r="H248" s="790">
        <v>3081.3949680381575</v>
      </c>
      <c r="I248" s="790">
        <v>2892.7941227623719</v>
      </c>
      <c r="J248" s="790">
        <v>3062.6195111543657</v>
      </c>
      <c r="K248" s="790">
        <v>3149.8643933648659</v>
      </c>
      <c r="L248" s="790">
        <v>2301.419356039507</v>
      </c>
      <c r="M248" s="790">
        <v>2679.9517042859497</v>
      </c>
      <c r="N248" s="790">
        <v>3179.2995078035688</v>
      </c>
      <c r="O248" s="790">
        <v>3102.9244214456662</v>
      </c>
      <c r="P248" s="790">
        <v>3448.8775927711922</v>
      </c>
      <c r="Q248" s="790">
        <v>3889.2435378038608</v>
      </c>
      <c r="R248" s="790">
        <v>3201.4222434966346</v>
      </c>
      <c r="S248" s="790">
        <v>2595.1191111960461</v>
      </c>
      <c r="T248" s="279">
        <f>SUM(H248:S248)</f>
        <v>36584.93047016218</v>
      </c>
      <c r="U248" s="277">
        <f>T248*12/11</f>
        <v>39910.833240176922</v>
      </c>
      <c r="V248" s="271" t="s">
        <v>158</v>
      </c>
    </row>
    <row r="249" spans="1:36" hidden="1">
      <c r="A249" s="62"/>
      <c r="B249" s="243" t="s">
        <v>174</v>
      </c>
      <c r="C249" s="244" t="s">
        <v>138</v>
      </c>
      <c r="D249" s="243" t="s">
        <v>347</v>
      </c>
      <c r="E249" s="243"/>
      <c r="F249" s="243"/>
      <c r="G249" s="238"/>
      <c r="H249" s="245" t="e">
        <f t="shared" ref="H249:T249" si="113">H244/H241</f>
        <v>#DIV/0!</v>
      </c>
      <c r="I249" s="245" t="e">
        <f t="shared" si="113"/>
        <v>#DIV/0!</v>
      </c>
      <c r="J249" s="245" t="e">
        <f t="shared" si="113"/>
        <v>#DIV/0!</v>
      </c>
      <c r="K249" s="245" t="e">
        <f t="shared" si="113"/>
        <v>#DIV/0!</v>
      </c>
      <c r="L249" s="245" t="e">
        <f t="shared" si="113"/>
        <v>#DIV/0!</v>
      </c>
      <c r="M249" s="245" t="e">
        <f t="shared" si="113"/>
        <v>#DIV/0!</v>
      </c>
      <c r="N249" s="245" t="e">
        <f t="shared" si="113"/>
        <v>#DIV/0!</v>
      </c>
      <c r="O249" s="245" t="e">
        <f t="shared" si="113"/>
        <v>#DIV/0!</v>
      </c>
      <c r="P249" s="245" t="e">
        <f t="shared" si="113"/>
        <v>#DIV/0!</v>
      </c>
      <c r="Q249" s="245" t="e">
        <f t="shared" si="113"/>
        <v>#DIV/0!</v>
      </c>
      <c r="R249" s="245" t="e">
        <f t="shared" si="113"/>
        <v>#DIV/0!</v>
      </c>
      <c r="S249" s="245" t="e">
        <f t="shared" si="113"/>
        <v>#DIV/0!</v>
      </c>
      <c r="T249" s="245" t="e">
        <f t="shared" si="113"/>
        <v>#DIV/0!</v>
      </c>
      <c r="U249" s="246"/>
      <c r="V249" s="246"/>
    </row>
    <row r="250" spans="1:36" hidden="1">
      <c r="A250" s="62"/>
      <c r="B250" s="243"/>
      <c r="C250" s="244" t="s">
        <v>152</v>
      </c>
      <c r="D250" s="243" t="s">
        <v>347</v>
      </c>
      <c r="E250" s="243"/>
      <c r="F250" s="243"/>
      <c r="G250" s="238"/>
      <c r="H250" s="245" t="e">
        <f t="shared" ref="H250:T250" si="114">H245/H241</f>
        <v>#DIV/0!</v>
      </c>
      <c r="I250" s="245" t="e">
        <f t="shared" si="114"/>
        <v>#DIV/0!</v>
      </c>
      <c r="J250" s="245" t="e">
        <f t="shared" si="114"/>
        <v>#DIV/0!</v>
      </c>
      <c r="K250" s="245" t="e">
        <f t="shared" si="114"/>
        <v>#DIV/0!</v>
      </c>
      <c r="L250" s="245" t="e">
        <f t="shared" si="114"/>
        <v>#DIV/0!</v>
      </c>
      <c r="M250" s="245" t="e">
        <f t="shared" si="114"/>
        <v>#DIV/0!</v>
      </c>
      <c r="N250" s="245" t="e">
        <f t="shared" si="114"/>
        <v>#DIV/0!</v>
      </c>
      <c r="O250" s="245" t="e">
        <f t="shared" si="114"/>
        <v>#DIV/0!</v>
      </c>
      <c r="P250" s="245" t="e">
        <f t="shared" si="114"/>
        <v>#DIV/0!</v>
      </c>
      <c r="Q250" s="245" t="e">
        <f t="shared" si="114"/>
        <v>#DIV/0!</v>
      </c>
      <c r="R250" s="245" t="e">
        <f t="shared" si="114"/>
        <v>#DIV/0!</v>
      </c>
      <c r="S250" s="245" t="e">
        <f t="shared" si="114"/>
        <v>#DIV/0!</v>
      </c>
      <c r="T250" s="245" t="e">
        <f t="shared" si="114"/>
        <v>#DIV/0!</v>
      </c>
      <c r="U250" s="246"/>
      <c r="V250" s="246"/>
    </row>
    <row r="251" spans="1:36" hidden="1">
      <c r="A251" s="62"/>
      <c r="B251" s="243"/>
      <c r="C251" s="337" t="s">
        <v>434</v>
      </c>
      <c r="D251" s="243" t="s">
        <v>347</v>
      </c>
      <c r="E251" s="243"/>
      <c r="F251" s="243"/>
      <c r="G251" s="238"/>
      <c r="H251" s="245" t="e">
        <f t="shared" ref="H251:T251" si="115">H246/H241</f>
        <v>#DIV/0!</v>
      </c>
      <c r="I251" s="245" t="e">
        <f t="shared" si="115"/>
        <v>#DIV/0!</v>
      </c>
      <c r="J251" s="245" t="e">
        <f t="shared" si="115"/>
        <v>#DIV/0!</v>
      </c>
      <c r="K251" s="245" t="e">
        <f t="shared" si="115"/>
        <v>#DIV/0!</v>
      </c>
      <c r="L251" s="245" t="e">
        <f t="shared" si="115"/>
        <v>#DIV/0!</v>
      </c>
      <c r="M251" s="245" t="e">
        <f t="shared" si="115"/>
        <v>#DIV/0!</v>
      </c>
      <c r="N251" s="245" t="e">
        <f t="shared" si="115"/>
        <v>#DIV/0!</v>
      </c>
      <c r="O251" s="245" t="e">
        <f t="shared" si="115"/>
        <v>#DIV/0!</v>
      </c>
      <c r="P251" s="245" t="e">
        <f t="shared" si="115"/>
        <v>#DIV/0!</v>
      </c>
      <c r="Q251" s="245" t="e">
        <f t="shared" si="115"/>
        <v>#DIV/0!</v>
      </c>
      <c r="R251" s="245" t="e">
        <f t="shared" si="115"/>
        <v>#DIV/0!</v>
      </c>
      <c r="S251" s="245" t="e">
        <f t="shared" si="115"/>
        <v>#DIV/0!</v>
      </c>
      <c r="T251" s="245" t="e">
        <f t="shared" si="115"/>
        <v>#DIV/0!</v>
      </c>
      <c r="U251" s="246"/>
      <c r="V251" s="246"/>
    </row>
    <row r="252" spans="1:36" ht="23.25" hidden="1">
      <c r="A252" s="62"/>
      <c r="B252" s="243"/>
      <c r="C252" s="249" t="s">
        <v>438</v>
      </c>
      <c r="D252" s="243" t="s">
        <v>347</v>
      </c>
      <c r="E252" s="243"/>
      <c r="F252" s="243"/>
      <c r="G252" s="238"/>
      <c r="H252" s="245" t="e">
        <f t="shared" ref="H252:T252" si="116">H247/H241</f>
        <v>#DIV/0!</v>
      </c>
      <c r="I252" s="245" t="e">
        <f t="shared" si="116"/>
        <v>#DIV/0!</v>
      </c>
      <c r="J252" s="245" t="e">
        <f t="shared" si="116"/>
        <v>#DIV/0!</v>
      </c>
      <c r="K252" s="245" t="e">
        <f t="shared" si="116"/>
        <v>#DIV/0!</v>
      </c>
      <c r="L252" s="245" t="e">
        <f t="shared" si="116"/>
        <v>#DIV/0!</v>
      </c>
      <c r="M252" s="245" t="e">
        <f t="shared" si="116"/>
        <v>#DIV/0!</v>
      </c>
      <c r="N252" s="245" t="e">
        <f t="shared" si="116"/>
        <v>#DIV/0!</v>
      </c>
      <c r="O252" s="245" t="e">
        <f t="shared" si="116"/>
        <v>#DIV/0!</v>
      </c>
      <c r="P252" s="245" t="e">
        <f t="shared" si="116"/>
        <v>#DIV/0!</v>
      </c>
      <c r="Q252" s="245" t="e">
        <f t="shared" si="116"/>
        <v>#DIV/0!</v>
      </c>
      <c r="R252" s="245" t="e">
        <f t="shared" si="116"/>
        <v>#DIV/0!</v>
      </c>
      <c r="S252" s="245" t="e">
        <f t="shared" si="116"/>
        <v>#DIV/0!</v>
      </c>
      <c r="T252" s="250" t="e">
        <f t="shared" si="116"/>
        <v>#DIV/0!</v>
      </c>
      <c r="U252" s="246"/>
      <c r="V252" s="246"/>
    </row>
    <row r="253" spans="1:36" hidden="1">
      <c r="A253" s="62"/>
      <c r="B253" s="243"/>
      <c r="C253" s="249" t="s">
        <v>439</v>
      </c>
      <c r="D253" s="243"/>
      <c r="E253" s="243"/>
      <c r="F253" s="243"/>
      <c r="G253" s="238"/>
      <c r="H253" s="251">
        <f t="shared" ref="H253:T253" si="117">H247/H248*100</f>
        <v>100.10334656851438</v>
      </c>
      <c r="I253" s="251">
        <f t="shared" si="117"/>
        <v>99.079310119140501</v>
      </c>
      <c r="J253" s="251">
        <f t="shared" si="117"/>
        <v>100.93344813946081</v>
      </c>
      <c r="K253" s="251">
        <f t="shared" si="117"/>
        <v>99.795986729511199</v>
      </c>
      <c r="L253" s="251">
        <f t="shared" si="117"/>
        <v>112.5110932609863</v>
      </c>
      <c r="M253" s="251">
        <f t="shared" si="117"/>
        <v>92.757934011439147</v>
      </c>
      <c r="N253" s="251">
        <f t="shared" si="117"/>
        <v>93.548700985857508</v>
      </c>
      <c r="O253" s="251">
        <f t="shared" si="117"/>
        <v>95.129829769580397</v>
      </c>
      <c r="P253" s="251">
        <f t="shared" si="117"/>
        <v>72.347704807786656</v>
      </c>
      <c r="Q253" s="251">
        <f t="shared" si="117"/>
        <v>81.328570177070702</v>
      </c>
      <c r="R253" s="251">
        <f t="shared" si="117"/>
        <v>86.777832747413413</v>
      </c>
      <c r="S253" s="251">
        <f t="shared" si="117"/>
        <v>89.617209089417756</v>
      </c>
      <c r="T253" s="251">
        <f t="shared" si="117"/>
        <v>92.794091329728602</v>
      </c>
      <c r="U253" s="246"/>
      <c r="V253" s="246"/>
      <c r="W253" s="214" t="s">
        <v>29</v>
      </c>
      <c r="X253" s="215" t="s">
        <v>30</v>
      </c>
      <c r="Y253" s="215" t="s">
        <v>31</v>
      </c>
      <c r="Z253" s="215" t="s">
        <v>32</v>
      </c>
      <c r="AA253" s="215" t="s">
        <v>33</v>
      </c>
      <c r="AB253" s="215" t="s">
        <v>34</v>
      </c>
      <c r="AC253" s="215" t="s">
        <v>35</v>
      </c>
      <c r="AD253" s="215" t="s">
        <v>36</v>
      </c>
      <c r="AE253" s="215" t="s">
        <v>37</v>
      </c>
      <c r="AF253" s="215" t="s">
        <v>38</v>
      </c>
      <c r="AG253" s="215" t="s">
        <v>39</v>
      </c>
      <c r="AH253" s="215" t="s">
        <v>40</v>
      </c>
      <c r="AI253" s="215" t="s">
        <v>25</v>
      </c>
      <c r="AJ253" s="219" t="s">
        <v>158</v>
      </c>
    </row>
    <row r="254" spans="1:36" hidden="1">
      <c r="A254" s="62">
        <v>12</v>
      </c>
      <c r="B254" s="240" t="s">
        <v>126</v>
      </c>
      <c r="C254" s="278" t="s">
        <v>138</v>
      </c>
      <c r="D254" s="62" t="s">
        <v>90</v>
      </c>
      <c r="E254" s="238">
        <f>'[2]Price&amp;Heating-Value'!$R$6</f>
        <v>3.6</v>
      </c>
      <c r="F254" s="62"/>
      <c r="G254" s="256">
        <f>'[2]Price&amp;Heating-Value'!$P$6</f>
        <v>2.7124999999999999</v>
      </c>
      <c r="H254" s="225">
        <v>1071798.4299999997</v>
      </c>
      <c r="I254" s="225">
        <v>1005200</v>
      </c>
      <c r="J254" s="225">
        <v>1092602</v>
      </c>
      <c r="K254" s="225">
        <v>970009.46068300004</v>
      </c>
      <c r="L254" s="225"/>
      <c r="M254" s="225"/>
      <c r="N254" s="225"/>
      <c r="O254" s="225"/>
      <c r="P254" s="225"/>
      <c r="Q254" s="225"/>
      <c r="R254" s="225"/>
      <c r="S254" s="225"/>
      <c r="T254" s="225">
        <f>SUM(H254:S254)</f>
        <v>4139609.890683</v>
      </c>
      <c r="U254" s="225">
        <f>T254*E254</f>
        <v>14902595.6064588</v>
      </c>
      <c r="V254" s="225">
        <f>G254*T254</f>
        <v>11228691.828477638</v>
      </c>
      <c r="W254" s="227">
        <f>H254*'[2]Transfer Price2011'!$HE$459</f>
        <v>3204677.3056999994</v>
      </c>
      <c r="X254" s="227">
        <f>I254*'[2]Transfer Price2011'!$HE$459</f>
        <v>3005548</v>
      </c>
      <c r="Y254" s="227">
        <f>J254*'[2]Transfer Price2011'!$HE$459</f>
        <v>3266879.9800000004</v>
      </c>
      <c r="Z254" s="227">
        <f>K254*'[2]Transfer Price2011'!$HE$459</f>
        <v>2900328.2874421705</v>
      </c>
      <c r="AA254" s="227">
        <f>L254*'[2]Transfer Price2011'!$HE$459</f>
        <v>0</v>
      </c>
      <c r="AB254" s="227">
        <f>M254*'[2]Transfer Price2011'!$HE$459</f>
        <v>0</v>
      </c>
      <c r="AC254" s="227">
        <f>N254*'[2]Transfer Price2011'!$HE$459</f>
        <v>0</v>
      </c>
      <c r="AD254" s="227">
        <f>O254*'[2]Transfer Price2011'!$HE$459</f>
        <v>0</v>
      </c>
      <c r="AE254" s="227">
        <f>P254*'[2]Transfer Price2011'!$HE$459</f>
        <v>0</v>
      </c>
      <c r="AF254" s="227">
        <f>Q254*'[2]Transfer Price2011'!$HE$459</f>
        <v>0</v>
      </c>
      <c r="AG254" s="227">
        <f>R254*'[2]Transfer Price2011'!$HE$459</f>
        <v>0</v>
      </c>
      <c r="AH254" s="227">
        <f>S254*'[2]Transfer Price2011'!$HE$459</f>
        <v>0</v>
      </c>
      <c r="AI254" s="214">
        <f>SUM(W254:AH254)</f>
        <v>12377433.573142171</v>
      </c>
      <c r="AJ254" s="228">
        <f>AI254/U254*1000</f>
        <v>830.55555555555566</v>
      </c>
    </row>
    <row r="255" spans="1:36" hidden="1">
      <c r="A255" s="62"/>
      <c r="B255" s="62"/>
      <c r="C255" s="278" t="s">
        <v>152</v>
      </c>
      <c r="D255" s="62" t="s">
        <v>121</v>
      </c>
      <c r="E255" s="62">
        <f>'[2]Price&amp;Heating-Value'!$R$9</f>
        <v>2803</v>
      </c>
      <c r="F255" s="62"/>
      <c r="G255" s="230">
        <f>'[2]Price&amp;Heating-Value'!$P$9</f>
        <v>1301.5833333333333</v>
      </c>
      <c r="H255" s="254">
        <v>196.07</v>
      </c>
      <c r="I255" s="254">
        <v>178.64499999999998</v>
      </c>
      <c r="J255" s="254">
        <v>195.29199999999997</v>
      </c>
      <c r="K255" s="254">
        <v>178.58656991399999</v>
      </c>
      <c r="L255" s="254"/>
      <c r="M255" s="254"/>
      <c r="N255" s="254"/>
      <c r="O255" s="254"/>
      <c r="P255" s="254"/>
      <c r="Q255" s="254"/>
      <c r="R255" s="254"/>
      <c r="S255" s="225"/>
      <c r="T255" s="225">
        <f>SUM(H255:S255)</f>
        <v>748.593569914</v>
      </c>
      <c r="U255" s="225">
        <f>T255*E255</f>
        <v>2098307.7764689419</v>
      </c>
      <c r="V255" s="225">
        <f>G255*T255</f>
        <v>974356.91404056374</v>
      </c>
      <c r="W255" s="232">
        <f>'[2]Price&amp;Heating-Value'!D$9</f>
        <v>1210</v>
      </c>
      <c r="X255" s="232">
        <f>'[2]Price&amp;Heating-Value'!E$9</f>
        <v>1218</v>
      </c>
      <c r="Y255" s="232">
        <f>'[2]Price&amp;Heating-Value'!F$9</f>
        <v>1207</v>
      </c>
      <c r="Z255" s="232">
        <f>'[2]Price&amp;Heating-Value'!G$9</f>
        <v>1232</v>
      </c>
      <c r="AA255" s="232">
        <f>'[2]Price&amp;Heating-Value'!H$9</f>
        <v>1352</v>
      </c>
      <c r="AB255" s="232">
        <f>'[2]Price&amp;Heating-Value'!I$9</f>
        <v>1491</v>
      </c>
      <c r="AC255" s="232">
        <f>'[2]Price&amp;Heating-Value'!J$9</f>
        <v>1588</v>
      </c>
    </row>
    <row r="256" spans="1:36" hidden="1">
      <c r="A256" s="62"/>
      <c r="B256" s="62"/>
      <c r="C256" s="278" t="s">
        <v>408</v>
      </c>
      <c r="D256" s="62" t="s">
        <v>176</v>
      </c>
      <c r="E256" s="238">
        <f>'[2]Price&amp;Heating-Value'!$S$16/1000</f>
        <v>39.770000000000003</v>
      </c>
      <c r="F256" s="321">
        <f>'[2]Price&amp;Heating-Value'!$T$16</f>
        <v>0.98550000000000004</v>
      </c>
      <c r="G256" s="230">
        <f>'[2]Price&amp;Heating-Value'!$P$16*'[2]Price&amp;Heating-Value'!$T$16/1000</f>
        <v>17.944656726937499</v>
      </c>
      <c r="H256" s="225"/>
      <c r="I256" s="225"/>
      <c r="J256" s="225"/>
      <c r="K256" s="225"/>
      <c r="L256" s="225"/>
      <c r="M256" s="225"/>
      <c r="N256" s="225"/>
      <c r="O256" s="225"/>
      <c r="P256" s="225"/>
      <c r="Q256" s="254"/>
      <c r="R256" s="225"/>
      <c r="S256" s="225"/>
      <c r="T256" s="225">
        <f>SUM(H256:S256)</f>
        <v>0</v>
      </c>
      <c r="U256" s="225">
        <f>T256*E256</f>
        <v>0</v>
      </c>
      <c r="V256" s="225">
        <f>F256*G256*T256</f>
        <v>0</v>
      </c>
      <c r="W256" s="322">
        <f>'[2]Price&amp;Heating-Value'!D$16*'[2]Price&amp;Heating-Value'!$T$16/1000</f>
        <v>16.779635460000002</v>
      </c>
      <c r="X256" s="232">
        <f>'[2]Price&amp;Heating-Value'!E$16*'[2]Price&amp;Heating-Value'!$T$16/1000</f>
        <v>16.47036585</v>
      </c>
      <c r="Y256" s="232">
        <f>'[2]Price&amp;Heating-Value'!F$16*'[2]Price&amp;Heating-Value'!$T$16/1000</f>
        <v>16.780118354999999</v>
      </c>
      <c r="Z256" s="232">
        <f>'[2]Price&amp;Heating-Value'!G$16*'[2]Price&amp;Heating-Value'!$T$16/1000</f>
        <v>18.287135100000004</v>
      </c>
      <c r="AA256" s="232">
        <f>'[2]Price&amp;Heating-Value'!H$16*'[2]Price&amp;Heating-Value'!$T$16/1000</f>
        <v>20.715278985000001</v>
      </c>
      <c r="AB256" s="232">
        <f>'[2]Price&amp;Heating-Value'!I$16*'[2]Price&amp;Heating-Value'!$T$16/1000</f>
        <v>22.335056640000001</v>
      </c>
      <c r="AC256" s="232">
        <f>'[2]Price&amp;Heating-Value'!J$16*'[2]Price&amp;Heating-Value'!$T$16/1000</f>
        <v>25.718475240000004</v>
      </c>
    </row>
    <row r="257" spans="1:29" hidden="1">
      <c r="A257" s="62"/>
      <c r="B257" s="62"/>
      <c r="C257" s="278" t="s">
        <v>429</v>
      </c>
      <c r="D257" s="62" t="s">
        <v>102</v>
      </c>
      <c r="E257" s="62">
        <v>43.993000000000002</v>
      </c>
      <c r="F257" s="62"/>
      <c r="G257" s="230">
        <f>'[2]Price&amp;Heating-Value'!$P$23/1000</f>
        <v>11.61472</v>
      </c>
      <c r="H257" s="225">
        <v>58481</v>
      </c>
      <c r="I257" s="225">
        <v>77351</v>
      </c>
      <c r="J257" s="225">
        <v>78126</v>
      </c>
      <c r="K257" s="225">
        <v>46210.617989999999</v>
      </c>
      <c r="L257" s="225"/>
      <c r="M257" s="225"/>
      <c r="N257" s="225"/>
      <c r="O257" s="225"/>
      <c r="P257" s="225"/>
      <c r="Q257" s="225"/>
      <c r="R257" s="225"/>
      <c r="S257" s="225"/>
      <c r="T257" s="225">
        <f>SUM(H257:S257)</f>
        <v>260168.61799</v>
      </c>
      <c r="U257" s="225">
        <f>T257*E257</f>
        <v>11445598.011234071</v>
      </c>
      <c r="V257" s="225">
        <f>G257*T257</f>
        <v>3021785.650740813</v>
      </c>
      <c r="W257" s="232">
        <f>'[2]Price&amp;Heating-Value'!D$23/1000</f>
        <v>11.61472</v>
      </c>
      <c r="X257" s="232">
        <f>'[2]Price&amp;Heating-Value'!E$23/1000</f>
        <v>11.61472</v>
      </c>
      <c r="Y257" s="232">
        <f>'[2]Price&amp;Heating-Value'!F$23/1000</f>
        <v>11.61472</v>
      </c>
      <c r="Z257" s="232">
        <f>'[2]Price&amp;Heating-Value'!G$23/1000</f>
        <v>11.61472</v>
      </c>
      <c r="AA257" s="232">
        <f>'[2]Price&amp;Heating-Value'!H$23/1000</f>
        <v>11.61472</v>
      </c>
      <c r="AB257" s="232">
        <f>'[2]Price&amp;Heating-Value'!I$23/1000</f>
        <v>11.61472</v>
      </c>
      <c r="AC257" s="232">
        <f>'[2]Price&amp;Heating-Value'!J$23/1000</f>
        <v>11.61472</v>
      </c>
    </row>
    <row r="258" spans="1:29" hidden="1">
      <c r="A258" s="62"/>
      <c r="B258" s="62"/>
      <c r="C258" s="278" t="s">
        <v>441</v>
      </c>
      <c r="D258" s="62" t="s">
        <v>121</v>
      </c>
      <c r="E258" s="62">
        <f>'[2]Price&amp;Heating-Value'!$R$25</f>
        <v>39710</v>
      </c>
      <c r="F258" s="62"/>
      <c r="G258" s="338">
        <v>0</v>
      </c>
      <c r="H258" s="254">
        <v>49.029300000000006</v>
      </c>
      <c r="I258" s="254">
        <v>44.694900000000004</v>
      </c>
      <c r="J258" s="254">
        <v>37.775700000000001</v>
      </c>
      <c r="K258" s="225">
        <v>61.952887441800002</v>
      </c>
      <c r="L258" s="225"/>
      <c r="M258" s="225"/>
      <c r="N258" s="225"/>
      <c r="O258" s="225"/>
      <c r="P258" s="225"/>
      <c r="Q258" s="225"/>
      <c r="R258" s="225"/>
      <c r="S258" s="225"/>
      <c r="T258" s="225">
        <f>SUM(H258:S258)</f>
        <v>193.45278744180001</v>
      </c>
      <c r="U258" s="225">
        <f>T258*E258</f>
        <v>7682010.1893138783</v>
      </c>
      <c r="V258" s="225">
        <f>G258*T258</f>
        <v>0</v>
      </c>
      <c r="W258" s="214">
        <v>0</v>
      </c>
      <c r="X258" s="214">
        <v>0</v>
      </c>
      <c r="Y258" s="214">
        <v>0</v>
      </c>
      <c r="Z258" s="214">
        <v>0</v>
      </c>
      <c r="AA258" s="214">
        <v>0</v>
      </c>
      <c r="AB258" s="214">
        <v>0</v>
      </c>
      <c r="AC258" s="214">
        <v>0</v>
      </c>
    </row>
    <row r="259" spans="1:29" hidden="1">
      <c r="A259" s="62"/>
      <c r="B259" s="62"/>
      <c r="C259" s="237"/>
      <c r="D259" s="62"/>
      <c r="E259" s="62"/>
      <c r="F259" s="62"/>
      <c r="G259" s="62"/>
      <c r="H259" s="810"/>
      <c r="I259" s="810"/>
      <c r="J259" s="262"/>
      <c r="K259" s="262"/>
      <c r="L259" s="262"/>
      <c r="M259" s="262"/>
      <c r="N259" s="262"/>
      <c r="O259" s="262"/>
      <c r="P259" s="262"/>
      <c r="Q259" s="262"/>
      <c r="R259" s="262"/>
      <c r="S259" s="262"/>
      <c r="T259" s="257"/>
      <c r="U259" s="257">
        <f>SUM(U254:U258)</f>
        <v>36128511.583475694</v>
      </c>
      <c r="V259" s="768">
        <f>SUM(V254:V258)</f>
        <v>15224834.393259015</v>
      </c>
    </row>
    <row r="260" spans="1:29" hidden="1">
      <c r="A260" s="62"/>
      <c r="B260" s="62"/>
      <c r="C260" s="237" t="s">
        <v>289</v>
      </c>
      <c r="D260" s="62"/>
      <c r="E260" s="62"/>
      <c r="F260" s="62"/>
      <c r="G260" s="62"/>
      <c r="H260" s="409">
        <v>6196.3215999999984</v>
      </c>
      <c r="I260" s="409">
        <v>4615.8562999999995</v>
      </c>
      <c r="J260" s="409">
        <v>5836.6509999999998</v>
      </c>
      <c r="K260" s="409">
        <v>5190.0190000000002</v>
      </c>
      <c r="L260" s="409"/>
      <c r="M260" s="409"/>
      <c r="N260" s="409"/>
      <c r="O260" s="409"/>
      <c r="P260" s="409"/>
      <c r="Q260" s="409"/>
      <c r="R260" s="409"/>
      <c r="S260" s="409"/>
      <c r="T260" s="339">
        <f>SUM(H260:S260)</f>
        <v>21838.847900000001</v>
      </c>
      <c r="U260" s="225"/>
      <c r="V260" s="768"/>
    </row>
    <row r="261" spans="1:29" hidden="1">
      <c r="A261" s="62"/>
      <c r="B261" s="62"/>
      <c r="C261" s="237" t="s">
        <v>290</v>
      </c>
      <c r="D261" s="62"/>
      <c r="E261" s="62"/>
      <c r="F261" s="62"/>
      <c r="G261" s="62"/>
      <c r="H261" s="409">
        <v>5808.4459999999999</v>
      </c>
      <c r="I261" s="409">
        <v>5083.1758959999997</v>
      </c>
      <c r="J261" s="409">
        <v>5750.1577000000007</v>
      </c>
      <c r="K261" s="409">
        <v>4805.7513865697993</v>
      </c>
      <c r="L261" s="409"/>
      <c r="M261" s="409"/>
      <c r="N261" s="409"/>
      <c r="O261" s="409"/>
      <c r="P261" s="409"/>
      <c r="Q261" s="409"/>
      <c r="R261" s="409"/>
      <c r="S261" s="409"/>
      <c r="T261" s="339">
        <f>SUM(H261:S261)</f>
        <v>21447.530982569799</v>
      </c>
      <c r="U261" s="225"/>
      <c r="V261" s="768"/>
    </row>
    <row r="262" spans="1:29" hidden="1">
      <c r="A262" s="62"/>
      <c r="B262" s="233"/>
      <c r="C262" s="234" t="s">
        <v>107</v>
      </c>
      <c r="D262" s="233" t="s">
        <v>121</v>
      </c>
      <c r="E262" s="233"/>
      <c r="F262" s="233"/>
      <c r="G262" s="62"/>
      <c r="H262" s="811">
        <f>H260+H261</f>
        <v>12004.767599999999</v>
      </c>
      <c r="I262" s="811">
        <f t="shared" ref="I262:K262" si="118">I260+I261</f>
        <v>9699.0321960000001</v>
      </c>
      <c r="J262" s="811">
        <f t="shared" si="118"/>
        <v>11586.808700000001</v>
      </c>
      <c r="K262" s="811">
        <f t="shared" si="118"/>
        <v>9995.7703865697986</v>
      </c>
      <c r="L262" s="264"/>
      <c r="M262" s="264"/>
      <c r="N262" s="264"/>
      <c r="O262" s="264"/>
      <c r="P262" s="264"/>
      <c r="Q262" s="264"/>
      <c r="R262" s="264"/>
      <c r="S262" s="264"/>
      <c r="T262" s="236">
        <f>SUM(H262:S262)</f>
        <v>43286.378882569799</v>
      </c>
      <c r="U262" s="259"/>
      <c r="V262" s="785">
        <f>V259/T262</f>
        <v>351.72344710473402</v>
      </c>
    </row>
    <row r="263" spans="1:29" hidden="1">
      <c r="A263" s="62"/>
      <c r="B263" s="253"/>
      <c r="C263" s="276"/>
      <c r="D263" s="253"/>
      <c r="E263" s="253"/>
      <c r="F263" s="253"/>
      <c r="G263" s="62"/>
      <c r="H263" s="277"/>
      <c r="I263" s="277"/>
      <c r="J263" s="277"/>
      <c r="K263" s="277"/>
      <c r="L263" s="277"/>
      <c r="M263" s="277"/>
      <c r="N263" s="277"/>
      <c r="O263" s="277"/>
      <c r="P263" s="277"/>
      <c r="Q263" s="277"/>
      <c r="R263" s="277"/>
      <c r="S263" s="277"/>
      <c r="T263" s="277"/>
      <c r="U263" s="277"/>
      <c r="V263" s="771" t="s">
        <v>137</v>
      </c>
    </row>
    <row r="264" spans="1:29" hidden="1">
      <c r="A264" s="62"/>
      <c r="B264" s="62"/>
      <c r="C264" s="278" t="s">
        <v>138</v>
      </c>
      <c r="D264" s="62" t="s">
        <v>173</v>
      </c>
      <c r="E264" s="62"/>
      <c r="F264" s="62"/>
      <c r="G264" s="62"/>
      <c r="H264" s="225">
        <f>H254*$E254/1000</f>
        <v>3858.4743479999988</v>
      </c>
      <c r="I264" s="225">
        <f t="shared" ref="I264:K264" si="119">I254*$E254/1000</f>
        <v>3618.72</v>
      </c>
      <c r="J264" s="225">
        <f t="shared" si="119"/>
        <v>3933.3672000000001</v>
      </c>
      <c r="K264" s="225">
        <f t="shared" si="119"/>
        <v>3492.0340584588002</v>
      </c>
      <c r="L264" s="225"/>
      <c r="M264" s="225"/>
      <c r="N264" s="225"/>
      <c r="O264" s="225"/>
      <c r="P264" s="225"/>
      <c r="Q264" s="225"/>
      <c r="R264" s="225"/>
      <c r="S264" s="225"/>
      <c r="T264" s="225">
        <f t="shared" ref="T264:T270" si="120">SUM(H264:S264)</f>
        <v>14902.595606458799</v>
      </c>
      <c r="U264" s="225"/>
      <c r="V264" s="225"/>
    </row>
    <row r="265" spans="1:29" hidden="1">
      <c r="A265" s="62"/>
      <c r="B265" s="62"/>
      <c r="C265" s="278" t="s">
        <v>152</v>
      </c>
      <c r="D265" s="62" t="s">
        <v>173</v>
      </c>
      <c r="E265" s="62"/>
      <c r="F265" s="62"/>
      <c r="G265" s="62"/>
      <c r="H265" s="225">
        <f t="shared" ref="H265:K268" si="121">H255*$E255/1000</f>
        <v>549.58420999999998</v>
      </c>
      <c r="I265" s="225">
        <f t="shared" si="121"/>
        <v>500.74193499999996</v>
      </c>
      <c r="J265" s="225">
        <f t="shared" si="121"/>
        <v>547.40347599999996</v>
      </c>
      <c r="K265" s="225">
        <f t="shared" si="121"/>
        <v>500.57815546894193</v>
      </c>
      <c r="L265" s="225"/>
      <c r="M265" s="225"/>
      <c r="N265" s="225"/>
      <c r="O265" s="225"/>
      <c r="P265" s="225"/>
      <c r="Q265" s="225"/>
      <c r="R265" s="225"/>
      <c r="S265" s="225"/>
      <c r="T265" s="225">
        <f t="shared" si="120"/>
        <v>2098.3077764689419</v>
      </c>
      <c r="U265" s="225"/>
      <c r="V265" s="225"/>
    </row>
    <row r="266" spans="1:29" hidden="1">
      <c r="A266" s="62"/>
      <c r="B266" s="62"/>
      <c r="C266" s="278" t="s">
        <v>408</v>
      </c>
      <c r="D266" s="62" t="s">
        <v>173</v>
      </c>
      <c r="E266" s="62"/>
      <c r="F266" s="62"/>
      <c r="G266" s="62"/>
      <c r="H266" s="225">
        <f t="shared" si="121"/>
        <v>0</v>
      </c>
      <c r="I266" s="225">
        <f t="shared" si="121"/>
        <v>0</v>
      </c>
      <c r="J266" s="225">
        <f t="shared" si="121"/>
        <v>0</v>
      </c>
      <c r="K266" s="225">
        <f t="shared" si="121"/>
        <v>0</v>
      </c>
      <c r="L266" s="225"/>
      <c r="M266" s="225"/>
      <c r="N266" s="225"/>
      <c r="O266" s="225"/>
      <c r="P266" s="225"/>
      <c r="Q266" s="225"/>
      <c r="R266" s="225"/>
      <c r="S266" s="225"/>
      <c r="T266" s="225">
        <f t="shared" si="120"/>
        <v>0</v>
      </c>
      <c r="U266" s="225"/>
      <c r="V266" s="225"/>
    </row>
    <row r="267" spans="1:29" hidden="1">
      <c r="A267" s="62"/>
      <c r="B267" s="62"/>
      <c r="C267" s="278" t="s">
        <v>429</v>
      </c>
      <c r="D267" s="62" t="s">
        <v>173</v>
      </c>
      <c r="E267" s="62"/>
      <c r="F267" s="62"/>
      <c r="G267" s="62"/>
      <c r="H267" s="225">
        <f t="shared" si="121"/>
        <v>2572.754633</v>
      </c>
      <c r="I267" s="225">
        <f t="shared" si="121"/>
        <v>3402.9025430000002</v>
      </c>
      <c r="J267" s="225">
        <f t="shared" si="121"/>
        <v>3436.9971180000002</v>
      </c>
      <c r="K267" s="225">
        <f t="shared" si="121"/>
        <v>2032.9437172340699</v>
      </c>
      <c r="L267" s="225"/>
      <c r="M267" s="225"/>
      <c r="N267" s="225"/>
      <c r="O267" s="225"/>
      <c r="P267" s="225"/>
      <c r="Q267" s="225"/>
      <c r="R267" s="225"/>
      <c r="S267" s="225"/>
      <c r="T267" s="225">
        <f t="shared" si="120"/>
        <v>11445.598011234069</v>
      </c>
      <c r="U267" s="225"/>
      <c r="V267" s="225"/>
    </row>
    <row r="268" spans="1:29" hidden="1">
      <c r="A268" s="62"/>
      <c r="B268" s="62"/>
      <c r="C268" s="278" t="s">
        <v>441</v>
      </c>
      <c r="D268" s="62" t="s">
        <v>173</v>
      </c>
      <c r="E268" s="62"/>
      <c r="F268" s="62"/>
      <c r="G268" s="62"/>
      <c r="H268" s="225">
        <f t="shared" si="121"/>
        <v>1946.9535030000002</v>
      </c>
      <c r="I268" s="225">
        <f t="shared" si="121"/>
        <v>1774.8344790000001</v>
      </c>
      <c r="J268" s="225">
        <f t="shared" si="121"/>
        <v>1500.0730470000001</v>
      </c>
      <c r="K268" s="225">
        <f t="shared" si="121"/>
        <v>2460.1491603138784</v>
      </c>
      <c r="L268" s="225"/>
      <c r="M268" s="225"/>
      <c r="N268" s="225"/>
      <c r="O268" s="225"/>
      <c r="P268" s="225"/>
      <c r="Q268" s="225"/>
      <c r="R268" s="225"/>
      <c r="S268" s="225"/>
      <c r="T268" s="225">
        <f t="shared" si="120"/>
        <v>7682.010189313879</v>
      </c>
      <c r="U268" s="225"/>
      <c r="V268" s="225"/>
    </row>
    <row r="269" spans="1:29" hidden="1">
      <c r="A269" s="62"/>
      <c r="B269" s="62"/>
      <c r="C269" s="237" t="s">
        <v>442</v>
      </c>
      <c r="D269" s="62" t="s">
        <v>173</v>
      </c>
      <c r="E269" s="253"/>
      <c r="F269" s="253"/>
      <c r="G269" s="62"/>
      <c r="H269" s="340">
        <f>SUM(H264:H268)</f>
        <v>8927.7666939999999</v>
      </c>
      <c r="I269" s="340">
        <f t="shared" ref="I269:K269" si="122">SUM(I264:I268)</f>
        <v>9297.1989570000005</v>
      </c>
      <c r="J269" s="340">
        <f t="shared" si="122"/>
        <v>9417.8408410000011</v>
      </c>
      <c r="K269" s="340">
        <f t="shared" si="122"/>
        <v>8485.705091475691</v>
      </c>
      <c r="L269" s="277">
        <v>9735.2567149999995</v>
      </c>
      <c r="M269" s="277">
        <v>10296.929457</v>
      </c>
      <c r="N269" s="277">
        <v>3800.4233375000003</v>
      </c>
      <c r="O269" s="277">
        <v>7782.5628429999997</v>
      </c>
      <c r="P269" s="277">
        <v>10036.687775</v>
      </c>
      <c r="Q269" s="277">
        <v>9338.8280339999983</v>
      </c>
      <c r="R269" s="277">
        <v>9779.1089630000024</v>
      </c>
      <c r="S269" s="277">
        <v>9279.4242159999994</v>
      </c>
      <c r="T269" s="279">
        <f t="shared" si="120"/>
        <v>106177.73292397569</v>
      </c>
      <c r="U269" s="277">
        <f>T269*12/11</f>
        <v>115830.25409888258</v>
      </c>
      <c r="V269" s="786">
        <f>V259/T269</f>
        <v>143.39008729975566</v>
      </c>
    </row>
    <row r="270" spans="1:29" hidden="1">
      <c r="A270" s="62"/>
      <c r="B270" s="62"/>
      <c r="C270" s="237" t="s">
        <v>345</v>
      </c>
      <c r="D270" s="62" t="s">
        <v>173</v>
      </c>
      <c r="E270" s="62"/>
      <c r="F270" s="62"/>
      <c r="G270" s="62"/>
      <c r="H270" s="351">
        <v>8818.1479690160704</v>
      </c>
      <c r="I270" s="351">
        <v>8993.7970599840992</v>
      </c>
      <c r="J270" s="351">
        <v>9192.0925509085246</v>
      </c>
      <c r="K270" s="351">
        <v>8357.8844852729471</v>
      </c>
      <c r="L270" s="225">
        <v>9738.5934645527559</v>
      </c>
      <c r="M270" s="225">
        <v>9973.1598562638956</v>
      </c>
      <c r="N270" s="225">
        <v>3833.3309964473547</v>
      </c>
      <c r="O270" s="225">
        <v>7497.0410354070264</v>
      </c>
      <c r="P270" s="225">
        <v>9893.6378708580505</v>
      </c>
      <c r="Q270" s="225">
        <v>9870.5603590916162</v>
      </c>
      <c r="R270" s="277">
        <v>10170.309653281574</v>
      </c>
      <c r="S270" s="225">
        <v>9283.7562494953545</v>
      </c>
      <c r="T270" s="279">
        <f t="shared" si="120"/>
        <v>105622.31155057927</v>
      </c>
      <c r="U270" s="277">
        <f>T270*12/11</f>
        <v>115224.3398733592</v>
      </c>
      <c r="V270" s="271" t="s">
        <v>158</v>
      </c>
    </row>
    <row r="271" spans="1:29" hidden="1">
      <c r="A271" s="62"/>
      <c r="B271" s="243" t="s">
        <v>174</v>
      </c>
      <c r="C271" s="244" t="s">
        <v>138</v>
      </c>
      <c r="D271" s="243" t="s">
        <v>347</v>
      </c>
      <c r="E271" s="243"/>
      <c r="F271" s="243"/>
      <c r="G271" s="62"/>
      <c r="H271" s="245">
        <f>H264/H262</f>
        <v>0.32141183207911489</v>
      </c>
      <c r="I271" s="245">
        <f t="shared" ref="I271:T271" si="123">I264/I262</f>
        <v>0.37310114317306881</v>
      </c>
      <c r="J271" s="245">
        <f t="shared" si="123"/>
        <v>0.33946941749370557</v>
      </c>
      <c r="K271" s="245">
        <f t="shared" si="123"/>
        <v>0.34935116788503434</v>
      </c>
      <c r="L271" s="245" t="e">
        <f t="shared" si="123"/>
        <v>#DIV/0!</v>
      </c>
      <c r="M271" s="245" t="e">
        <f t="shared" si="123"/>
        <v>#DIV/0!</v>
      </c>
      <c r="N271" s="245" t="e">
        <f t="shared" si="123"/>
        <v>#DIV/0!</v>
      </c>
      <c r="O271" s="245" t="e">
        <f t="shared" si="123"/>
        <v>#DIV/0!</v>
      </c>
      <c r="P271" s="245" t="e">
        <f t="shared" si="123"/>
        <v>#DIV/0!</v>
      </c>
      <c r="Q271" s="245" t="e">
        <f t="shared" si="123"/>
        <v>#DIV/0!</v>
      </c>
      <c r="R271" s="245" t="e">
        <f t="shared" si="123"/>
        <v>#DIV/0!</v>
      </c>
      <c r="S271" s="245" t="e">
        <f t="shared" si="123"/>
        <v>#DIV/0!</v>
      </c>
      <c r="T271" s="245">
        <f t="shared" si="123"/>
        <v>0.34427910098203324</v>
      </c>
      <c r="U271" s="246"/>
      <c r="V271" s="246"/>
      <c r="W271" s="227">
        <f>'[2]Price&amp;Heating-Value'!D$6</f>
        <v>2.4500000000000002</v>
      </c>
      <c r="X271" s="227">
        <f>'[2]Price&amp;Heating-Value'!E$6</f>
        <v>2.54</v>
      </c>
      <c r="Y271" s="227">
        <f>'[2]Price&amp;Heating-Value'!F$6</f>
        <v>2.58</v>
      </c>
      <c r="Z271" s="227">
        <f>'[2]Price&amp;Heating-Value'!G$6</f>
        <v>2.67</v>
      </c>
      <c r="AA271" s="227">
        <f>'[2]Price&amp;Heating-Value'!H$6</f>
        <v>2.67</v>
      </c>
      <c r="AB271" s="227">
        <f>'[2]Price&amp;Heating-Value'!I$6</f>
        <v>2.67</v>
      </c>
      <c r="AC271" s="227">
        <f>'[2]Price&amp;Heating-Value'!J$6</f>
        <v>2.62</v>
      </c>
    </row>
    <row r="272" spans="1:29" hidden="1">
      <c r="A272" s="62"/>
      <c r="B272" s="243"/>
      <c r="C272" s="244" t="s">
        <v>152</v>
      </c>
      <c r="D272" s="243" t="s">
        <v>347</v>
      </c>
      <c r="E272" s="243"/>
      <c r="F272" s="243"/>
      <c r="G272" s="62"/>
      <c r="H272" s="245">
        <f>H265/H262</f>
        <v>4.5780495575774412E-2</v>
      </c>
      <c r="I272" s="245">
        <f t="shared" ref="I272:T272" si="124">I265/I262</f>
        <v>5.1628031011847972E-2</v>
      </c>
      <c r="J272" s="245">
        <f t="shared" si="124"/>
        <v>4.7243679443848927E-2</v>
      </c>
      <c r="K272" s="245">
        <f t="shared" si="124"/>
        <v>5.0078997026733719E-2</v>
      </c>
      <c r="L272" s="245" t="e">
        <f t="shared" si="124"/>
        <v>#DIV/0!</v>
      </c>
      <c r="M272" s="245" t="e">
        <f t="shared" si="124"/>
        <v>#DIV/0!</v>
      </c>
      <c r="N272" s="245" t="e">
        <f t="shared" si="124"/>
        <v>#DIV/0!</v>
      </c>
      <c r="O272" s="245" t="e">
        <f t="shared" si="124"/>
        <v>#DIV/0!</v>
      </c>
      <c r="P272" s="245" t="e">
        <f t="shared" si="124"/>
        <v>#DIV/0!</v>
      </c>
      <c r="Q272" s="245" t="e">
        <f t="shared" si="124"/>
        <v>#DIV/0!</v>
      </c>
      <c r="R272" s="245" t="e">
        <f t="shared" si="124"/>
        <v>#DIV/0!</v>
      </c>
      <c r="S272" s="245" t="e">
        <f t="shared" si="124"/>
        <v>#DIV/0!</v>
      </c>
      <c r="T272" s="245">
        <f t="shared" si="124"/>
        <v>4.8475012940245532E-2</v>
      </c>
      <c r="U272" s="246"/>
      <c r="V272" s="246"/>
    </row>
    <row r="273" spans="1:36" hidden="1">
      <c r="A273" s="62"/>
      <c r="B273" s="243"/>
      <c r="C273" s="337" t="s">
        <v>408</v>
      </c>
      <c r="D273" s="243" t="s">
        <v>347</v>
      </c>
      <c r="E273" s="243"/>
      <c r="F273" s="243"/>
      <c r="G273" s="62"/>
      <c r="H273" s="245">
        <f>H266/H262</f>
        <v>0</v>
      </c>
      <c r="I273" s="245">
        <f t="shared" ref="I273:T273" si="125">I266/I262</f>
        <v>0</v>
      </c>
      <c r="J273" s="245">
        <f t="shared" si="125"/>
        <v>0</v>
      </c>
      <c r="K273" s="245">
        <f t="shared" si="125"/>
        <v>0</v>
      </c>
      <c r="L273" s="245" t="e">
        <f t="shared" si="125"/>
        <v>#DIV/0!</v>
      </c>
      <c r="M273" s="245" t="e">
        <f t="shared" si="125"/>
        <v>#DIV/0!</v>
      </c>
      <c r="N273" s="245" t="e">
        <f t="shared" si="125"/>
        <v>#DIV/0!</v>
      </c>
      <c r="O273" s="245" t="e">
        <f t="shared" si="125"/>
        <v>#DIV/0!</v>
      </c>
      <c r="P273" s="245" t="e">
        <f t="shared" si="125"/>
        <v>#DIV/0!</v>
      </c>
      <c r="Q273" s="245" t="e">
        <f t="shared" si="125"/>
        <v>#DIV/0!</v>
      </c>
      <c r="R273" s="245" t="e">
        <f t="shared" si="125"/>
        <v>#DIV/0!</v>
      </c>
      <c r="S273" s="245" t="e">
        <f t="shared" si="125"/>
        <v>#DIV/0!</v>
      </c>
      <c r="T273" s="245">
        <f t="shared" si="125"/>
        <v>0</v>
      </c>
      <c r="U273" s="246"/>
      <c r="V273" s="246"/>
    </row>
    <row r="274" spans="1:36" hidden="1">
      <c r="A274" s="62"/>
      <c r="B274" s="243"/>
      <c r="C274" s="337" t="s">
        <v>429</v>
      </c>
      <c r="D274" s="243" t="s">
        <v>347</v>
      </c>
      <c r="E274" s="243"/>
      <c r="F274" s="243"/>
      <c r="G274" s="62"/>
      <c r="H274" s="245">
        <f>H267/H262</f>
        <v>0.21431107362711463</v>
      </c>
      <c r="I274" s="245">
        <f t="shared" ref="I274:T274" si="126">I267/I262</f>
        <v>0.35084970069523008</v>
      </c>
      <c r="J274" s="245">
        <f t="shared" si="126"/>
        <v>0.29663017721178048</v>
      </c>
      <c r="K274" s="245">
        <f t="shared" si="126"/>
        <v>0.20338039376789904</v>
      </c>
      <c r="L274" s="245" t="e">
        <f t="shared" si="126"/>
        <v>#DIV/0!</v>
      </c>
      <c r="M274" s="245" t="e">
        <f t="shared" si="126"/>
        <v>#DIV/0!</v>
      </c>
      <c r="N274" s="245" t="e">
        <f t="shared" si="126"/>
        <v>#DIV/0!</v>
      </c>
      <c r="O274" s="245" t="e">
        <f t="shared" si="126"/>
        <v>#DIV/0!</v>
      </c>
      <c r="P274" s="245" t="e">
        <f t="shared" si="126"/>
        <v>#DIV/0!</v>
      </c>
      <c r="Q274" s="245" t="e">
        <f t="shared" si="126"/>
        <v>#DIV/0!</v>
      </c>
      <c r="R274" s="245" t="e">
        <f t="shared" si="126"/>
        <v>#DIV/0!</v>
      </c>
      <c r="S274" s="245" t="e">
        <f t="shared" si="126"/>
        <v>#DIV/0!</v>
      </c>
      <c r="T274" s="245">
        <f t="shared" si="126"/>
        <v>0.26441569626982331</v>
      </c>
      <c r="U274" s="246"/>
      <c r="V274" s="246"/>
    </row>
    <row r="275" spans="1:36" hidden="1">
      <c r="A275" s="62"/>
      <c r="B275" s="243"/>
      <c r="C275" s="337" t="s">
        <v>441</v>
      </c>
      <c r="D275" s="243" t="s">
        <v>347</v>
      </c>
      <c r="E275" s="243"/>
      <c r="F275" s="243"/>
      <c r="G275" s="62"/>
      <c r="H275" s="245">
        <f>H268/H262</f>
        <v>0.16218169046437853</v>
      </c>
      <c r="I275" s="245">
        <f t="shared" ref="I275:T275" si="127">I268/I262</f>
        <v>0.18299088436184011</v>
      </c>
      <c r="J275" s="245">
        <f t="shared" si="127"/>
        <v>0.12946386583563771</v>
      </c>
      <c r="K275" s="245">
        <f t="shared" si="127"/>
        <v>0.24611901486045601</v>
      </c>
      <c r="L275" s="245" t="e">
        <f t="shared" si="127"/>
        <v>#DIV/0!</v>
      </c>
      <c r="M275" s="245" t="e">
        <f t="shared" si="127"/>
        <v>#DIV/0!</v>
      </c>
      <c r="N275" s="245" t="e">
        <f t="shared" si="127"/>
        <v>#DIV/0!</v>
      </c>
      <c r="O275" s="245" t="e">
        <f t="shared" si="127"/>
        <v>#DIV/0!</v>
      </c>
      <c r="P275" s="245" t="e">
        <f t="shared" si="127"/>
        <v>#DIV/0!</v>
      </c>
      <c r="Q275" s="245" t="e">
        <f t="shared" si="127"/>
        <v>#DIV/0!</v>
      </c>
      <c r="R275" s="245" t="e">
        <f t="shared" si="127"/>
        <v>#DIV/0!</v>
      </c>
      <c r="S275" s="245" t="e">
        <f t="shared" si="127"/>
        <v>#DIV/0!</v>
      </c>
      <c r="T275" s="245">
        <f t="shared" si="127"/>
        <v>0.17746945777456122</v>
      </c>
      <c r="U275" s="246"/>
      <c r="V275" s="246"/>
    </row>
    <row r="276" spans="1:36" ht="23.25" hidden="1">
      <c r="A276" s="62"/>
      <c r="B276" s="243"/>
      <c r="C276" s="249" t="s">
        <v>443</v>
      </c>
      <c r="D276" s="243" t="s">
        <v>347</v>
      </c>
      <c r="E276" s="243"/>
      <c r="F276" s="243"/>
      <c r="G276" s="62"/>
      <c r="H276" s="245">
        <f>H269/H262</f>
        <v>0.74368509174638253</v>
      </c>
      <c r="I276" s="245">
        <f t="shared" ref="I276:S276" si="128">I269/I262</f>
        <v>0.95856975924198695</v>
      </c>
      <c r="J276" s="245">
        <f t="shared" si="128"/>
        <v>0.81280713998497278</v>
      </c>
      <c r="K276" s="245">
        <f t="shared" si="128"/>
        <v>0.84892957354012311</v>
      </c>
      <c r="L276" s="245" t="e">
        <f t="shared" si="128"/>
        <v>#DIV/0!</v>
      </c>
      <c r="M276" s="245" t="e">
        <f t="shared" si="128"/>
        <v>#DIV/0!</v>
      </c>
      <c r="N276" s="245" t="e">
        <f t="shared" si="128"/>
        <v>#DIV/0!</v>
      </c>
      <c r="O276" s="245" t="e">
        <f t="shared" si="128"/>
        <v>#DIV/0!</v>
      </c>
      <c r="P276" s="245" t="e">
        <f t="shared" si="128"/>
        <v>#DIV/0!</v>
      </c>
      <c r="Q276" s="245" t="e">
        <f t="shared" si="128"/>
        <v>#DIV/0!</v>
      </c>
      <c r="R276" s="245" t="e">
        <f t="shared" si="128"/>
        <v>#DIV/0!</v>
      </c>
      <c r="S276" s="245" t="e">
        <f t="shared" si="128"/>
        <v>#DIV/0!</v>
      </c>
      <c r="T276" s="250">
        <f>T269/T262</f>
        <v>2.4529132642862503</v>
      </c>
      <c r="U276" s="246"/>
      <c r="V276" s="246"/>
    </row>
    <row r="277" spans="1:36" hidden="1">
      <c r="A277" s="62"/>
      <c r="B277" s="243"/>
      <c r="C277" s="249" t="s">
        <v>444</v>
      </c>
      <c r="D277" s="243"/>
      <c r="E277" s="243"/>
      <c r="F277" s="243"/>
      <c r="G277" s="62"/>
      <c r="H277" s="333">
        <f>H269/H270*100</f>
        <v>101.24310371485137</v>
      </c>
      <c r="I277" s="333">
        <f t="shared" ref="I277:T277" si="129">I269/I270*100</f>
        <v>103.37345722826925</v>
      </c>
      <c r="J277" s="333">
        <f t="shared" si="129"/>
        <v>102.45589661811188</v>
      </c>
      <c r="K277" s="333">
        <f>K269/K270*100</f>
        <v>101.52934162260763</v>
      </c>
      <c r="L277" s="333">
        <f t="shared" si="129"/>
        <v>99.96573684316013</v>
      </c>
      <c r="M277" s="333">
        <f t="shared" si="129"/>
        <v>103.24640941689862</v>
      </c>
      <c r="N277" s="333">
        <f t="shared" si="129"/>
        <v>99.141538808470955</v>
      </c>
      <c r="O277" s="333">
        <f t="shared" si="129"/>
        <v>103.80845998100466</v>
      </c>
      <c r="P277" s="333">
        <f t="shared" si="129"/>
        <v>101.44587770453279</v>
      </c>
      <c r="Q277" s="333">
        <f t="shared" si="129"/>
        <v>94.61294692755871</v>
      </c>
      <c r="R277" s="333">
        <f t="shared" si="129"/>
        <v>96.153502660016386</v>
      </c>
      <c r="S277" s="333">
        <f t="shared" si="129"/>
        <v>99.953337492078262</v>
      </c>
      <c r="T277" s="333">
        <f t="shared" si="129"/>
        <v>100.52585610487274</v>
      </c>
      <c r="U277" s="246"/>
      <c r="V277" s="246"/>
      <c r="W277" s="214" t="s">
        <v>29</v>
      </c>
      <c r="X277" s="215" t="s">
        <v>30</v>
      </c>
      <c r="Y277" s="215" t="s">
        <v>31</v>
      </c>
      <c r="Z277" s="215" t="s">
        <v>32</v>
      </c>
      <c r="AA277" s="215" t="s">
        <v>33</v>
      </c>
      <c r="AB277" s="215" t="s">
        <v>34</v>
      </c>
      <c r="AC277" s="215" t="s">
        <v>35</v>
      </c>
      <c r="AD277" s="215" t="s">
        <v>36</v>
      </c>
      <c r="AE277" s="215" t="s">
        <v>37</v>
      </c>
      <c r="AF277" s="215" t="s">
        <v>38</v>
      </c>
      <c r="AG277" s="215" t="s">
        <v>39</v>
      </c>
      <c r="AH277" s="215" t="s">
        <v>40</v>
      </c>
      <c r="AI277" s="215" t="s">
        <v>25</v>
      </c>
      <c r="AJ277" s="219" t="s">
        <v>158</v>
      </c>
    </row>
    <row r="278" spans="1:36" hidden="1">
      <c r="A278" s="62">
        <v>13</v>
      </c>
      <c r="B278" s="240" t="s">
        <v>129</v>
      </c>
      <c r="C278" s="278" t="s">
        <v>138</v>
      </c>
      <c r="D278" s="62" t="s">
        <v>90</v>
      </c>
      <c r="E278" s="238">
        <f>'[2]Price&amp;Heating-Value'!$R$6</f>
        <v>3.6</v>
      </c>
      <c r="F278" s="62"/>
      <c r="G278" s="256">
        <f>'[2]Price&amp;Heating-Value'!$P$6</f>
        <v>2.7124999999999999</v>
      </c>
      <c r="H278" s="225">
        <v>995120</v>
      </c>
      <c r="I278" s="225">
        <v>1363215</v>
      </c>
      <c r="J278" s="225">
        <v>1606500</v>
      </c>
      <c r="K278" s="225">
        <v>1432400</v>
      </c>
      <c r="L278" s="225"/>
      <c r="M278" s="225"/>
      <c r="N278" s="225"/>
      <c r="O278" s="225"/>
      <c r="P278" s="225"/>
      <c r="Q278" s="225"/>
      <c r="R278" s="225"/>
      <c r="S278" s="225"/>
      <c r="T278" s="225">
        <f>SUM(H278:S278)</f>
        <v>5397235</v>
      </c>
      <c r="U278" s="225">
        <f>T278*E278</f>
        <v>19430046</v>
      </c>
      <c r="V278" s="225">
        <f>G278*T278</f>
        <v>14639999.9375</v>
      </c>
      <c r="W278" s="227">
        <f>H278*'[2]Transfer Price2011'!$HE$459</f>
        <v>2975408.8000000003</v>
      </c>
      <c r="X278" s="227">
        <f>I278*'[2]Transfer Price2011'!$HE$459</f>
        <v>4076012.85</v>
      </c>
      <c r="Y278" s="227">
        <f>J278*'[2]Transfer Price2011'!$HE$459</f>
        <v>4803435</v>
      </c>
      <c r="Z278" s="227">
        <f>K278*'[2]Transfer Price2011'!$HE$459</f>
        <v>4282876</v>
      </c>
      <c r="AA278" s="227">
        <f>L278*'[2]Transfer Price2011'!$HE$459</f>
        <v>0</v>
      </c>
      <c r="AB278" s="227">
        <f>M278*'[2]Transfer Price2011'!$HE$459</f>
        <v>0</v>
      </c>
      <c r="AC278" s="227">
        <f>N278*'[2]Transfer Price2011'!$HE$459</f>
        <v>0</v>
      </c>
      <c r="AD278" s="227">
        <f>O278*'[2]Transfer Price2011'!$HE$459</f>
        <v>0</v>
      </c>
      <c r="AE278" s="227">
        <f>P278*'[2]Transfer Price2011'!$HE$459</f>
        <v>0</v>
      </c>
      <c r="AF278" s="227">
        <f>Q278*'[2]Transfer Price2011'!$HE$459</f>
        <v>0</v>
      </c>
      <c r="AG278" s="227">
        <f>R278*'[2]Transfer Price2011'!$HE$459</f>
        <v>0</v>
      </c>
      <c r="AH278" s="227">
        <f>S278*'[2]Transfer Price2011'!$HE$459</f>
        <v>0</v>
      </c>
      <c r="AI278" s="214">
        <f>SUM(W278:AH278)</f>
        <v>16137732.65</v>
      </c>
      <c r="AJ278" s="228">
        <f>AI278/U278*1000</f>
        <v>830.55555555555566</v>
      </c>
    </row>
    <row r="279" spans="1:36" hidden="1">
      <c r="A279" s="62"/>
      <c r="B279" s="62"/>
      <c r="C279" s="278" t="s">
        <v>152</v>
      </c>
      <c r="D279" s="62" t="s">
        <v>121</v>
      </c>
      <c r="E279" s="62">
        <f>'[2]Price&amp;Heating-Value'!$R$9</f>
        <v>2803</v>
      </c>
      <c r="F279" s="62"/>
      <c r="G279" s="230">
        <f>'[2]Price&amp;Heating-Value'!$P$9</f>
        <v>1301.5833333333333</v>
      </c>
      <c r="H279" s="225">
        <v>661.82100000000003</v>
      </c>
      <c r="I279" s="225">
        <v>658.29700000000003</v>
      </c>
      <c r="J279" s="225">
        <v>604.77800000000002</v>
      </c>
      <c r="K279" s="225">
        <v>594.30600000000004</v>
      </c>
      <c r="L279" s="225"/>
      <c r="M279" s="277"/>
      <c r="N279" s="225"/>
      <c r="O279" s="225"/>
      <c r="P279" s="225"/>
      <c r="Q279" s="225"/>
      <c r="R279" s="225"/>
      <c r="S279" s="225"/>
      <c r="T279" s="225">
        <f>SUM(H279:S279)</f>
        <v>2519.2020000000002</v>
      </c>
      <c r="U279" s="225">
        <f>T279*E279</f>
        <v>7061323.2060000002</v>
      </c>
      <c r="V279" s="225">
        <f>G279*T279</f>
        <v>3278951.3365000002</v>
      </c>
      <c r="W279" s="232">
        <f>'[2]Price&amp;Heating-Value'!D$9</f>
        <v>1210</v>
      </c>
      <c r="X279" s="232">
        <f>'[2]Price&amp;Heating-Value'!E$9</f>
        <v>1218</v>
      </c>
      <c r="Y279" s="232">
        <f>'[2]Price&amp;Heating-Value'!F$9</f>
        <v>1207</v>
      </c>
      <c r="Z279" s="232">
        <f>'[2]Price&amp;Heating-Value'!G$9</f>
        <v>1232</v>
      </c>
      <c r="AA279" s="232">
        <f>'[2]Price&amp;Heating-Value'!H$9</f>
        <v>1352</v>
      </c>
      <c r="AB279" s="232">
        <f>'[2]Price&amp;Heating-Value'!I$9</f>
        <v>1491</v>
      </c>
      <c r="AC279" s="232">
        <f>'[2]Price&amp;Heating-Value'!J$9</f>
        <v>1588</v>
      </c>
    </row>
    <row r="280" spans="1:36" hidden="1">
      <c r="A280" s="253"/>
      <c r="B280" s="253"/>
      <c r="C280" s="341" t="s">
        <v>406</v>
      </c>
      <c r="D280" s="253" t="s">
        <v>102</v>
      </c>
      <c r="E280" s="812">
        <v>43.993000000000002</v>
      </c>
      <c r="F280" s="62"/>
      <c r="G280" s="230"/>
      <c r="H280" s="277">
        <v>113047</v>
      </c>
      <c r="I280" s="277">
        <v>128175</v>
      </c>
      <c r="J280" s="277">
        <v>162408</v>
      </c>
      <c r="K280" s="277">
        <v>145793</v>
      </c>
      <c r="L280" s="277"/>
      <c r="M280" s="277"/>
      <c r="N280" s="277"/>
      <c r="O280" s="277"/>
      <c r="P280" s="277"/>
      <c r="Q280" s="277"/>
      <c r="R280" s="277"/>
      <c r="S280" s="277"/>
      <c r="T280" s="277"/>
      <c r="U280" s="277"/>
      <c r="V280" s="277"/>
      <c r="W280" s="232"/>
      <c r="X280" s="232"/>
      <c r="Y280" s="232"/>
      <c r="Z280" s="232"/>
      <c r="AA280" s="232"/>
      <c r="AB280" s="232"/>
      <c r="AC280" s="232"/>
    </row>
    <row r="281" spans="1:36" hidden="1">
      <c r="A281" s="253"/>
      <c r="B281" s="253"/>
      <c r="C281" s="341" t="s">
        <v>445</v>
      </c>
      <c r="D281" s="253" t="s">
        <v>102</v>
      </c>
      <c r="E281" s="813">
        <f>'[2]Price&amp;Heating-Value'!$R$26/1000</f>
        <v>40.887839999999997</v>
      </c>
      <c r="F281" s="62"/>
      <c r="G281" s="62">
        <v>56.63</v>
      </c>
      <c r="H281" s="277">
        <v>0</v>
      </c>
      <c r="I281" s="277">
        <v>0</v>
      </c>
      <c r="J281" s="277">
        <v>0</v>
      </c>
      <c r="K281" s="277">
        <v>0</v>
      </c>
      <c r="L281" s="277"/>
      <c r="M281" s="277"/>
      <c r="N281" s="277"/>
      <c r="O281" s="339"/>
      <c r="P281" s="277"/>
      <c r="Q281" s="277"/>
      <c r="R281" s="277"/>
      <c r="S281" s="277"/>
      <c r="T281" s="277">
        <f t="shared" ref="T281:T288" si="130">SUM(H281:S281)</f>
        <v>0</v>
      </c>
      <c r="U281" s="277">
        <f>T281*E281</f>
        <v>0</v>
      </c>
      <c r="V281" s="277"/>
      <c r="W281" s="232"/>
      <c r="X281" s="232"/>
      <c r="Y281" s="232"/>
      <c r="Z281" s="232"/>
      <c r="AA281" s="232"/>
      <c r="AB281" s="232"/>
      <c r="AC281" s="232"/>
    </row>
    <row r="282" spans="1:36" hidden="1">
      <c r="A282" s="253"/>
      <c r="B282" s="233"/>
      <c r="C282" s="234" t="s">
        <v>107</v>
      </c>
      <c r="D282" s="233" t="s">
        <v>121</v>
      </c>
      <c r="E282" s="233"/>
      <c r="F282" s="233"/>
      <c r="G282" s="253"/>
      <c r="H282" s="264">
        <v>3444.37</v>
      </c>
      <c r="I282" s="264">
        <v>4149.66</v>
      </c>
      <c r="J282" s="264">
        <v>5034.7</v>
      </c>
      <c r="K282" s="264">
        <v>4628.55</v>
      </c>
      <c r="L282" s="264"/>
      <c r="M282" s="264"/>
      <c r="N282" s="264"/>
      <c r="O282" s="264"/>
      <c r="P282" s="264"/>
      <c r="Q282" s="264"/>
      <c r="R282" s="264"/>
      <c r="S282" s="264"/>
      <c r="T282" s="236">
        <f t="shared" si="130"/>
        <v>17257.28</v>
      </c>
      <c r="U282" s="259"/>
      <c r="V282" s="785" t="e">
        <f>#REF!/T282</f>
        <v>#REF!</v>
      </c>
    </row>
    <row r="283" spans="1:36" hidden="1">
      <c r="A283" s="253"/>
      <c r="B283" s="253"/>
      <c r="C283" s="278" t="s">
        <v>138</v>
      </c>
      <c r="D283" s="253" t="s">
        <v>173</v>
      </c>
      <c r="E283" s="62"/>
      <c r="F283" s="62"/>
      <c r="G283" s="253"/>
      <c r="H283" s="225">
        <f t="shared" ref="H283:K286" si="131">H278*$E278/1000</f>
        <v>3582.4319999999998</v>
      </c>
      <c r="I283" s="225">
        <f t="shared" si="131"/>
        <v>4907.5739999999996</v>
      </c>
      <c r="J283" s="225">
        <f t="shared" si="131"/>
        <v>5783.4</v>
      </c>
      <c r="K283" s="225">
        <f t="shared" si="131"/>
        <v>5156.6400000000003</v>
      </c>
      <c r="L283" s="277"/>
      <c r="M283" s="277"/>
      <c r="N283" s="277"/>
      <c r="O283" s="277"/>
      <c r="P283" s="277"/>
      <c r="Q283" s="277"/>
      <c r="R283" s="277"/>
      <c r="S283" s="277"/>
      <c r="T283" s="277">
        <f t="shared" si="130"/>
        <v>19430.045999999998</v>
      </c>
      <c r="U283" s="277"/>
      <c r="V283" s="277"/>
    </row>
    <row r="284" spans="1:36" hidden="1">
      <c r="A284" s="253"/>
      <c r="B284" s="253"/>
      <c r="C284" s="278" t="s">
        <v>152</v>
      </c>
      <c r="D284" s="253" t="s">
        <v>173</v>
      </c>
      <c r="E284" s="62"/>
      <c r="F284" s="62"/>
      <c r="G284" s="253"/>
      <c r="H284" s="225">
        <f t="shared" si="131"/>
        <v>1855.084263</v>
      </c>
      <c r="I284" s="225">
        <f t="shared" si="131"/>
        <v>1845.2064910000001</v>
      </c>
      <c r="J284" s="225">
        <f t="shared" si="131"/>
        <v>1695.1927340000002</v>
      </c>
      <c r="K284" s="225">
        <f t="shared" si="131"/>
        <v>1665.8397180000002</v>
      </c>
      <c r="L284" s="277"/>
      <c r="M284" s="277"/>
      <c r="N284" s="277"/>
      <c r="O284" s="277"/>
      <c r="P284" s="277"/>
      <c r="Q284" s="277"/>
      <c r="R284" s="277"/>
      <c r="S284" s="277"/>
      <c r="T284" s="277">
        <f t="shared" si="130"/>
        <v>7061.323206</v>
      </c>
      <c r="U284" s="277"/>
      <c r="V284" s="277"/>
    </row>
    <row r="285" spans="1:36" hidden="1">
      <c r="A285" s="253"/>
      <c r="B285" s="253"/>
      <c r="C285" s="341" t="s">
        <v>406</v>
      </c>
      <c r="D285" s="253" t="s">
        <v>173</v>
      </c>
      <c r="E285" s="253"/>
      <c r="F285" s="253"/>
      <c r="G285" s="253"/>
      <c r="H285" s="225">
        <f t="shared" si="131"/>
        <v>4973.2766710000005</v>
      </c>
      <c r="I285" s="225">
        <f t="shared" si="131"/>
        <v>5638.8027750000001</v>
      </c>
      <c r="J285" s="225">
        <f t="shared" si="131"/>
        <v>7144.8151440000001</v>
      </c>
      <c r="K285" s="225">
        <f t="shared" si="131"/>
        <v>6413.8714490000002</v>
      </c>
      <c r="L285" s="277"/>
      <c r="M285" s="277"/>
      <c r="N285" s="277"/>
      <c r="O285" s="277"/>
      <c r="P285" s="277"/>
      <c r="Q285" s="277"/>
      <c r="R285" s="277"/>
      <c r="S285" s="277"/>
      <c r="T285" s="277">
        <f t="shared" si="130"/>
        <v>24170.766039000002</v>
      </c>
      <c r="U285" s="277"/>
      <c r="V285" s="277"/>
    </row>
    <row r="286" spans="1:36" hidden="1">
      <c r="A286" s="253"/>
      <c r="B286" s="253"/>
      <c r="C286" s="341" t="s">
        <v>445</v>
      </c>
      <c r="D286" s="253" t="s">
        <v>173</v>
      </c>
      <c r="E286" s="253"/>
      <c r="F286" s="253"/>
      <c r="G286" s="253"/>
      <c r="H286" s="225">
        <f t="shared" si="131"/>
        <v>0</v>
      </c>
      <c r="I286" s="225">
        <f t="shared" si="131"/>
        <v>0</v>
      </c>
      <c r="J286" s="225">
        <f t="shared" si="131"/>
        <v>0</v>
      </c>
      <c r="K286" s="225">
        <f t="shared" si="131"/>
        <v>0</v>
      </c>
      <c r="L286" s="277"/>
      <c r="M286" s="277"/>
      <c r="N286" s="277"/>
      <c r="O286" s="277"/>
      <c r="P286" s="277"/>
      <c r="Q286" s="277"/>
      <c r="R286" s="277"/>
      <c r="S286" s="277"/>
      <c r="T286" s="277">
        <f t="shared" si="130"/>
        <v>0</v>
      </c>
      <c r="U286" s="277"/>
      <c r="V286" s="277"/>
    </row>
    <row r="287" spans="1:36" hidden="1">
      <c r="A287" s="253"/>
      <c r="B287" s="62"/>
      <c r="C287" s="237" t="s">
        <v>446</v>
      </c>
      <c r="D287" s="62" t="s">
        <v>173</v>
      </c>
      <c r="E287" s="253"/>
      <c r="F287" s="253"/>
      <c r="G287" s="253"/>
      <c r="H287" s="340">
        <v>10410.792934000001</v>
      </c>
      <c r="I287" s="340">
        <v>12391.583266000001</v>
      </c>
      <c r="J287" s="340">
        <v>14623.407878</v>
      </c>
      <c r="K287" s="340">
        <v>13236.351166999999</v>
      </c>
      <c r="L287" s="277">
        <v>14391.242401000001</v>
      </c>
      <c r="M287" s="277">
        <v>14194.144798000001</v>
      </c>
      <c r="N287" s="277">
        <v>10712.282277</v>
      </c>
      <c r="O287" s="277">
        <v>14128.749892000002</v>
      </c>
      <c r="P287" s="277">
        <v>9569.8286690000004</v>
      </c>
      <c r="Q287" s="277">
        <v>11567.738957000001</v>
      </c>
      <c r="R287" s="277">
        <v>10788.115833</v>
      </c>
      <c r="S287" s="277">
        <v>12981.640214000001</v>
      </c>
      <c r="T287" s="279">
        <f t="shared" si="130"/>
        <v>148995.87828600002</v>
      </c>
      <c r="U287" s="277">
        <f>T287*12/11</f>
        <v>162540.95813018185</v>
      </c>
      <c r="V287" s="786" t="e">
        <f>#REF!/T287</f>
        <v>#REF!</v>
      </c>
    </row>
    <row r="288" spans="1:36" hidden="1">
      <c r="A288" s="253"/>
      <c r="B288" s="62"/>
      <c r="C288" s="237" t="s">
        <v>345</v>
      </c>
      <c r="D288" s="62" t="s">
        <v>173</v>
      </c>
      <c r="E288" s="62"/>
      <c r="F288" s="62"/>
      <c r="G288" s="253"/>
      <c r="H288" s="351">
        <v>10725.239780562824</v>
      </c>
      <c r="I288" s="351">
        <v>11966.035795575568</v>
      </c>
      <c r="J288" s="351">
        <v>13523.06071458318</v>
      </c>
      <c r="K288" s="351">
        <v>12808.532929562232</v>
      </c>
      <c r="L288" s="225">
        <v>13226.148602609806</v>
      </c>
      <c r="M288" s="225">
        <v>12969.928421370238</v>
      </c>
      <c r="N288" s="225">
        <v>11095.284774533788</v>
      </c>
      <c r="O288" s="225">
        <v>13929.909651094185</v>
      </c>
      <c r="P288" s="225">
        <v>11123.521068882148</v>
      </c>
      <c r="Q288" s="225">
        <v>12507.60968044778</v>
      </c>
      <c r="R288" s="225">
        <v>11752.090888678122</v>
      </c>
      <c r="S288" s="225">
        <v>14041.852044202356</v>
      </c>
      <c r="T288" s="279">
        <f t="shared" si="130"/>
        <v>149669.21435210225</v>
      </c>
      <c r="U288" s="277">
        <f>T288*12/11</f>
        <v>163275.50656592974</v>
      </c>
      <c r="V288" s="271" t="s">
        <v>158</v>
      </c>
    </row>
    <row r="289" spans="1:36" hidden="1">
      <c r="A289" s="253"/>
      <c r="B289" s="243" t="s">
        <v>174</v>
      </c>
      <c r="C289" s="244" t="s">
        <v>138</v>
      </c>
      <c r="D289" s="243" t="s">
        <v>347</v>
      </c>
      <c r="E289" s="243"/>
      <c r="F289" s="243"/>
      <c r="G289" s="253"/>
      <c r="H289" s="245">
        <f t="shared" ref="H289:T293" si="132">H283/H$282</f>
        <v>1.0400833824472979</v>
      </c>
      <c r="I289" s="245">
        <f t="shared" si="132"/>
        <v>1.1826448431919723</v>
      </c>
      <c r="J289" s="245">
        <f t="shared" si="132"/>
        <v>1.1487079667110254</v>
      </c>
      <c r="K289" s="245">
        <f t="shared" si="132"/>
        <v>1.1140940467316978</v>
      </c>
      <c r="L289" s="245" t="e">
        <f t="shared" si="132"/>
        <v>#DIV/0!</v>
      </c>
      <c r="M289" s="245" t="e">
        <f t="shared" si="132"/>
        <v>#DIV/0!</v>
      </c>
      <c r="N289" s="245" t="e">
        <f t="shared" si="132"/>
        <v>#DIV/0!</v>
      </c>
      <c r="O289" s="245" t="e">
        <f t="shared" si="132"/>
        <v>#DIV/0!</v>
      </c>
      <c r="P289" s="245" t="e">
        <f t="shared" si="132"/>
        <v>#DIV/0!</v>
      </c>
      <c r="Q289" s="245" t="e">
        <f t="shared" si="132"/>
        <v>#DIV/0!</v>
      </c>
      <c r="R289" s="245" t="e">
        <f t="shared" si="132"/>
        <v>#DIV/0!</v>
      </c>
      <c r="S289" s="245" t="e">
        <f t="shared" si="132"/>
        <v>#DIV/0!</v>
      </c>
      <c r="T289" s="245">
        <f t="shared" si="132"/>
        <v>1.1259043140054517</v>
      </c>
      <c r="U289" s="246"/>
      <c r="V289" s="246"/>
    </row>
    <row r="290" spans="1:36" hidden="1">
      <c r="A290" s="253"/>
      <c r="B290" s="243"/>
      <c r="C290" s="244" t="s">
        <v>152</v>
      </c>
      <c r="D290" s="243" t="s">
        <v>347</v>
      </c>
      <c r="E290" s="243"/>
      <c r="F290" s="243"/>
      <c r="G290" s="253"/>
      <c r="H290" s="245">
        <f t="shared" si="132"/>
        <v>0.53858449092286831</v>
      </c>
      <c r="I290" s="245">
        <f t="shared" si="132"/>
        <v>0.44466450046509842</v>
      </c>
      <c r="J290" s="245">
        <f t="shared" si="132"/>
        <v>0.33670183605775922</v>
      </c>
      <c r="K290" s="245">
        <f t="shared" si="132"/>
        <v>0.35990530900606021</v>
      </c>
      <c r="L290" s="245" t="e">
        <f t="shared" si="132"/>
        <v>#DIV/0!</v>
      </c>
      <c r="M290" s="245" t="e">
        <f t="shared" si="132"/>
        <v>#DIV/0!</v>
      </c>
      <c r="N290" s="245" t="e">
        <f t="shared" si="132"/>
        <v>#DIV/0!</v>
      </c>
      <c r="O290" s="245" t="e">
        <f t="shared" si="132"/>
        <v>#DIV/0!</v>
      </c>
      <c r="P290" s="245" t="e">
        <f t="shared" si="132"/>
        <v>#DIV/0!</v>
      </c>
      <c r="Q290" s="245" t="e">
        <f t="shared" si="132"/>
        <v>#DIV/0!</v>
      </c>
      <c r="R290" s="245" t="e">
        <f t="shared" si="132"/>
        <v>#DIV/0!</v>
      </c>
      <c r="S290" s="245" t="e">
        <f t="shared" si="132"/>
        <v>#DIV/0!</v>
      </c>
      <c r="T290" s="245">
        <f t="shared" si="132"/>
        <v>0.40917938435257473</v>
      </c>
      <c r="U290" s="246"/>
      <c r="V290" s="246"/>
    </row>
    <row r="291" spans="1:36" hidden="1">
      <c r="A291" s="253"/>
      <c r="B291" s="243"/>
      <c r="C291" s="337" t="s">
        <v>406</v>
      </c>
      <c r="D291" s="243" t="s">
        <v>347</v>
      </c>
      <c r="E291" s="243"/>
      <c r="F291" s="243"/>
      <c r="G291" s="253"/>
      <c r="H291" s="245">
        <f t="shared" si="132"/>
        <v>1.4438857239495178</v>
      </c>
      <c r="I291" s="245">
        <f t="shared" si="132"/>
        <v>1.3588589848324923</v>
      </c>
      <c r="J291" s="245">
        <f t="shared" si="132"/>
        <v>1.4191143750372417</v>
      </c>
      <c r="K291" s="245">
        <f t="shared" si="132"/>
        <v>1.3857193827440559</v>
      </c>
      <c r="L291" s="245" t="e">
        <f t="shared" si="132"/>
        <v>#DIV/0!</v>
      </c>
      <c r="M291" s="245" t="e">
        <f t="shared" si="132"/>
        <v>#DIV/0!</v>
      </c>
      <c r="N291" s="245" t="e">
        <f t="shared" si="132"/>
        <v>#DIV/0!</v>
      </c>
      <c r="O291" s="245" t="e">
        <f t="shared" si="132"/>
        <v>#DIV/0!</v>
      </c>
      <c r="P291" s="245" t="e">
        <f t="shared" si="132"/>
        <v>#DIV/0!</v>
      </c>
      <c r="Q291" s="245" t="e">
        <f t="shared" si="132"/>
        <v>#DIV/0!</v>
      </c>
      <c r="R291" s="245" t="e">
        <f t="shared" si="132"/>
        <v>#DIV/0!</v>
      </c>
      <c r="S291" s="245" t="e">
        <f t="shared" si="132"/>
        <v>#DIV/0!</v>
      </c>
      <c r="T291" s="245">
        <f t="shared" si="132"/>
        <v>1.4006127291786425</v>
      </c>
      <c r="U291" s="246"/>
      <c r="V291" s="246"/>
    </row>
    <row r="292" spans="1:36" hidden="1">
      <c r="A292" s="253"/>
      <c r="B292" s="243"/>
      <c r="C292" s="337" t="s">
        <v>445</v>
      </c>
      <c r="D292" s="243" t="s">
        <v>347</v>
      </c>
      <c r="E292" s="243"/>
      <c r="F292" s="243"/>
      <c r="G292" s="253"/>
      <c r="H292" s="245">
        <f t="shared" si="132"/>
        <v>0</v>
      </c>
      <c r="I292" s="245">
        <f t="shared" si="132"/>
        <v>0</v>
      </c>
      <c r="J292" s="245">
        <f t="shared" si="132"/>
        <v>0</v>
      </c>
      <c r="K292" s="245">
        <f t="shared" si="132"/>
        <v>0</v>
      </c>
      <c r="L292" s="245" t="e">
        <f t="shared" si="132"/>
        <v>#DIV/0!</v>
      </c>
      <c r="M292" s="245" t="e">
        <f t="shared" si="132"/>
        <v>#DIV/0!</v>
      </c>
      <c r="N292" s="245" t="e">
        <f t="shared" si="132"/>
        <v>#DIV/0!</v>
      </c>
      <c r="O292" s="245" t="e">
        <f t="shared" si="132"/>
        <v>#DIV/0!</v>
      </c>
      <c r="P292" s="245" t="e">
        <f t="shared" si="132"/>
        <v>#DIV/0!</v>
      </c>
      <c r="Q292" s="245" t="e">
        <f t="shared" si="132"/>
        <v>#DIV/0!</v>
      </c>
      <c r="R292" s="245" t="e">
        <f t="shared" si="132"/>
        <v>#DIV/0!</v>
      </c>
      <c r="S292" s="245" t="e">
        <f t="shared" si="132"/>
        <v>#DIV/0!</v>
      </c>
      <c r="T292" s="245">
        <f t="shared" si="132"/>
        <v>0</v>
      </c>
      <c r="U292" s="246"/>
      <c r="V292" s="246"/>
    </row>
    <row r="293" spans="1:36" ht="23.25" hidden="1">
      <c r="A293" s="253"/>
      <c r="B293" s="243"/>
      <c r="C293" s="249" t="s">
        <v>447</v>
      </c>
      <c r="D293" s="243" t="s">
        <v>347</v>
      </c>
      <c r="E293" s="243"/>
      <c r="F293" s="243"/>
      <c r="G293" s="253"/>
      <c r="H293" s="245">
        <f t="shared" si="132"/>
        <v>3.0225535973196842</v>
      </c>
      <c r="I293" s="245">
        <f t="shared" si="132"/>
        <v>2.9861683284895633</v>
      </c>
      <c r="J293" s="245">
        <f t="shared" si="132"/>
        <v>2.9045241778060262</v>
      </c>
      <c r="K293" s="245">
        <f t="shared" si="132"/>
        <v>2.8597187384818135</v>
      </c>
      <c r="L293" s="245" t="e">
        <f t="shared" si="132"/>
        <v>#DIV/0!</v>
      </c>
      <c r="M293" s="245" t="e">
        <f t="shared" si="132"/>
        <v>#DIV/0!</v>
      </c>
      <c r="N293" s="245" t="e">
        <f t="shared" si="132"/>
        <v>#DIV/0!</v>
      </c>
      <c r="O293" s="245" t="e">
        <f t="shared" si="132"/>
        <v>#DIV/0!</v>
      </c>
      <c r="P293" s="245" t="e">
        <f t="shared" si="132"/>
        <v>#DIV/0!</v>
      </c>
      <c r="Q293" s="245" t="e">
        <f t="shared" si="132"/>
        <v>#DIV/0!</v>
      </c>
      <c r="R293" s="245" t="e">
        <f t="shared" si="132"/>
        <v>#DIV/0!</v>
      </c>
      <c r="S293" s="245" t="e">
        <f t="shared" si="132"/>
        <v>#DIV/0!</v>
      </c>
      <c r="T293" s="250">
        <f>T287/T282</f>
        <v>8.6337985062535942</v>
      </c>
      <c r="U293" s="246"/>
      <c r="V293" s="246"/>
    </row>
    <row r="294" spans="1:36" hidden="1">
      <c r="A294" s="253"/>
      <c r="B294" s="243"/>
      <c r="C294" s="249" t="s">
        <v>448</v>
      </c>
      <c r="D294" s="243"/>
      <c r="E294" s="243"/>
      <c r="F294" s="243"/>
      <c r="G294" s="253"/>
      <c r="H294" s="251">
        <f t="shared" ref="H294:T294" si="133">H287/H288*100</f>
        <v>97.068160218359964</v>
      </c>
      <c r="I294" s="251">
        <f t="shared" si="133"/>
        <v>103.55629447959515</v>
      </c>
      <c r="J294" s="251">
        <f t="shared" si="133"/>
        <v>108.13682040361034</v>
      </c>
      <c r="K294" s="251">
        <f t="shared" si="133"/>
        <v>103.34010334977832</v>
      </c>
      <c r="L294" s="251">
        <f t="shared" si="133"/>
        <v>108.80901790382347</v>
      </c>
      <c r="M294" s="251">
        <f t="shared" si="133"/>
        <v>109.4388830597758</v>
      </c>
      <c r="N294" s="251">
        <f t="shared" si="133"/>
        <v>96.548060682382257</v>
      </c>
      <c r="O294" s="251">
        <f t="shared" si="133"/>
        <v>101.42743381605635</v>
      </c>
      <c r="P294" s="251">
        <f t="shared" si="133"/>
        <v>86.032368795267772</v>
      </c>
      <c r="Q294" s="251">
        <f t="shared" si="133"/>
        <v>92.485608781692235</v>
      </c>
      <c r="R294" s="251">
        <f t="shared" si="133"/>
        <v>91.797416606037245</v>
      </c>
      <c r="S294" s="251">
        <f t="shared" si="133"/>
        <v>92.449629672318764</v>
      </c>
      <c r="T294" s="251">
        <f t="shared" si="133"/>
        <v>99.550117190754946</v>
      </c>
      <c r="U294" s="246"/>
      <c r="V294" s="246"/>
      <c r="W294" s="214" t="s">
        <v>29</v>
      </c>
      <c r="X294" s="215" t="s">
        <v>30</v>
      </c>
      <c r="Y294" s="215" t="s">
        <v>31</v>
      </c>
      <c r="Z294" s="215" t="s">
        <v>32</v>
      </c>
      <c r="AA294" s="215" t="s">
        <v>33</v>
      </c>
      <c r="AB294" s="215" t="s">
        <v>34</v>
      </c>
      <c r="AC294" s="215" t="s">
        <v>35</v>
      </c>
      <c r="AD294" s="215" t="s">
        <v>36</v>
      </c>
      <c r="AE294" s="215" t="s">
        <v>37</v>
      </c>
      <c r="AF294" s="215" t="s">
        <v>38</v>
      </c>
      <c r="AG294" s="215" t="s">
        <v>39</v>
      </c>
      <c r="AH294" s="215" t="s">
        <v>40</v>
      </c>
      <c r="AI294" s="215" t="s">
        <v>25</v>
      </c>
      <c r="AJ294" s="219" t="s">
        <v>158</v>
      </c>
    </row>
    <row r="295" spans="1:36" hidden="1">
      <c r="A295" s="229">
        <v>14</v>
      </c>
      <c r="B295" s="343" t="s">
        <v>131</v>
      </c>
      <c r="C295" s="320" t="s">
        <v>138</v>
      </c>
      <c r="D295" s="229" t="s">
        <v>90</v>
      </c>
      <c r="E295" s="238">
        <f>'[2]Price&amp;Heating-Value'!$R$6</f>
        <v>3.6</v>
      </c>
      <c r="F295" s="62"/>
      <c r="G295" s="256">
        <f>'[2]Price&amp;Heating-Value'!$P$6</f>
        <v>2.7124999999999999</v>
      </c>
      <c r="H295" s="275">
        <v>1051440.5</v>
      </c>
      <c r="I295" s="275">
        <v>978196.7</v>
      </c>
      <c r="J295" s="275">
        <v>886116.245</v>
      </c>
      <c r="K295" s="275">
        <v>774844.63</v>
      </c>
      <c r="L295" s="275"/>
      <c r="M295" s="275"/>
      <c r="N295" s="275"/>
      <c r="O295" s="275"/>
      <c r="P295" s="275"/>
      <c r="Q295" s="275"/>
      <c r="R295" s="275"/>
      <c r="S295" s="275"/>
      <c r="T295" s="275">
        <f>SUM(H295:S295)</f>
        <v>3690598.0749999997</v>
      </c>
      <c r="U295" s="275">
        <f>T295*E295</f>
        <v>13286153.069999998</v>
      </c>
      <c r="V295" s="275">
        <f>G295*T295</f>
        <v>10010747.278437499</v>
      </c>
      <c r="W295" s="227">
        <f>H295*'[2]Transfer Price2011'!$HE$459</f>
        <v>3143807.0950000002</v>
      </c>
      <c r="X295" s="227">
        <f>I295*'[2]Transfer Price2011'!$HE$459</f>
        <v>2924808.1329999999</v>
      </c>
      <c r="Y295" s="227">
        <f>J295*'[2]Transfer Price2011'!$HE$459</f>
        <v>2649487.5725500002</v>
      </c>
      <c r="Z295" s="227">
        <f>K295*'[2]Transfer Price2011'!$HE$459</f>
        <v>2316785.4437000002</v>
      </c>
      <c r="AA295" s="227">
        <f>L295*'[2]Transfer Price2011'!$HE$459</f>
        <v>0</v>
      </c>
      <c r="AB295" s="227">
        <f>M295*'[2]Transfer Price2011'!$HE$459</f>
        <v>0</v>
      </c>
      <c r="AC295" s="227">
        <f>N295*'[2]Transfer Price2011'!$HE$459</f>
        <v>0</v>
      </c>
      <c r="AD295" s="227">
        <f>O295*'[2]Transfer Price2011'!$HE$459</f>
        <v>0</v>
      </c>
      <c r="AE295" s="227">
        <f>P295*'[2]Transfer Price2011'!$HE$459</f>
        <v>0</v>
      </c>
      <c r="AF295" s="227">
        <f>Q295*'[2]Transfer Price2011'!$HE$459</f>
        <v>0</v>
      </c>
      <c r="AG295" s="227">
        <f>R295*'[2]Transfer Price2011'!$HE$459</f>
        <v>0</v>
      </c>
      <c r="AH295" s="227">
        <f>S295*'[2]Transfer Price2011'!$HE$459</f>
        <v>0</v>
      </c>
      <c r="AI295" s="214">
        <f>SUM(W295:AH295)</f>
        <v>11034888.244250001</v>
      </c>
      <c r="AJ295" s="228">
        <f>AI295/U295*1000</f>
        <v>830.55555555555566</v>
      </c>
    </row>
    <row r="296" spans="1:36" hidden="1">
      <c r="A296" s="253"/>
      <c r="B296" s="233"/>
      <c r="C296" s="234" t="s">
        <v>107</v>
      </c>
      <c r="D296" s="233" t="s">
        <v>147</v>
      </c>
      <c r="E296" s="233"/>
      <c r="F296" s="233"/>
      <c r="G296" s="253"/>
      <c r="H296" s="264">
        <v>1517.37</v>
      </c>
      <c r="I296" s="264">
        <v>672.68499999999995</v>
      </c>
      <c r="J296" s="264">
        <v>1176.07</v>
      </c>
      <c r="K296" s="264">
        <v>1038.4090000000001</v>
      </c>
      <c r="L296" s="264"/>
      <c r="M296" s="264"/>
      <c r="N296" s="264"/>
      <c r="O296" s="264"/>
      <c r="P296" s="264"/>
      <c r="Q296" s="264"/>
      <c r="R296" s="264"/>
      <c r="S296" s="264"/>
      <c r="T296" s="236">
        <f>SUM(H296:S296)</f>
        <v>4404.5339999999997</v>
      </c>
      <c r="U296" s="259"/>
      <c r="V296" s="785" t="e">
        <f>#REF!/T296</f>
        <v>#REF!</v>
      </c>
    </row>
    <row r="297" spans="1:36" hidden="1">
      <c r="A297" s="253"/>
      <c r="B297" s="253"/>
      <c r="C297" s="276"/>
      <c r="D297" s="253"/>
      <c r="E297" s="253"/>
      <c r="F297" s="253"/>
      <c r="G297" s="253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277"/>
      <c r="V297" s="771" t="s">
        <v>137</v>
      </c>
    </row>
    <row r="298" spans="1:36" hidden="1">
      <c r="A298" s="253"/>
      <c r="B298" s="253"/>
      <c r="C298" s="278" t="s">
        <v>138</v>
      </c>
      <c r="D298" s="253" t="s">
        <v>173</v>
      </c>
      <c r="E298" s="62"/>
      <c r="F298" s="62"/>
      <c r="G298" s="253"/>
      <c r="H298" s="277">
        <f>H295*$E295/1000</f>
        <v>3785.1858000000002</v>
      </c>
      <c r="I298" s="277">
        <f t="shared" ref="I298:K298" si="134">I295*$E295/1000</f>
        <v>3521.50812</v>
      </c>
      <c r="J298" s="277">
        <f t="shared" si="134"/>
        <v>3190.0184819999999</v>
      </c>
      <c r="K298" s="277">
        <f t="shared" si="134"/>
        <v>2789.4406680000002</v>
      </c>
      <c r="L298" s="277"/>
      <c r="M298" s="277"/>
      <c r="N298" s="277"/>
      <c r="O298" s="277"/>
      <c r="P298" s="277"/>
      <c r="Q298" s="277"/>
      <c r="R298" s="277"/>
      <c r="S298" s="277"/>
      <c r="T298" s="277">
        <f>SUM(H298:S298)</f>
        <v>13286.15307</v>
      </c>
      <c r="U298" s="277"/>
      <c r="V298" s="277"/>
    </row>
    <row r="299" spans="1:36" hidden="1">
      <c r="A299" s="253"/>
      <c r="B299" s="62"/>
      <c r="C299" s="237" t="s">
        <v>449</v>
      </c>
      <c r="D299" s="62" t="s">
        <v>173</v>
      </c>
      <c r="E299" s="253"/>
      <c r="F299" s="253"/>
      <c r="G299" s="253"/>
      <c r="H299" s="340">
        <v>3785.1857999999997</v>
      </c>
      <c r="I299" s="340">
        <v>3521.5081199999995</v>
      </c>
      <c r="J299" s="340">
        <v>3190.0184819999995</v>
      </c>
      <c r="K299" s="277">
        <v>2789.4406680000002</v>
      </c>
      <c r="L299" s="277">
        <v>3099.7551959999996</v>
      </c>
      <c r="M299" s="277">
        <v>3248.8606800000007</v>
      </c>
      <c r="N299" s="277">
        <v>3256.5200400000003</v>
      </c>
      <c r="O299" s="277">
        <v>3160.3571999999999</v>
      </c>
      <c r="P299" s="277">
        <v>3424.3164000000002</v>
      </c>
      <c r="Q299" s="277">
        <v>3534.4223999999999</v>
      </c>
      <c r="R299" s="277">
        <v>3277.8216000000002</v>
      </c>
      <c r="S299" s="277"/>
      <c r="T299" s="279">
        <f>SUM(H299:S299)</f>
        <v>36288.206586</v>
      </c>
      <c r="U299" s="277">
        <f>T299*12/11</f>
        <v>39587.134457454544</v>
      </c>
      <c r="V299" s="786" t="e">
        <f>#REF!/T299</f>
        <v>#REF!</v>
      </c>
    </row>
    <row r="300" spans="1:36" hidden="1">
      <c r="A300" s="253"/>
      <c r="B300" s="253"/>
      <c r="C300" s="237" t="s">
        <v>345</v>
      </c>
      <c r="D300" s="62" t="s">
        <v>173</v>
      </c>
      <c r="E300" s="253"/>
      <c r="F300" s="253"/>
      <c r="G300" s="253"/>
      <c r="H300" s="340">
        <v>3965.1236453136717</v>
      </c>
      <c r="I300" s="340">
        <v>3791.5281121739408</v>
      </c>
      <c r="J300" s="340">
        <v>3788.2713198867909</v>
      </c>
      <c r="K300" s="277">
        <v>3124.1386162834383</v>
      </c>
      <c r="L300" s="277">
        <v>3593.9884226394456</v>
      </c>
      <c r="M300" s="277">
        <v>3789.4191772418262</v>
      </c>
      <c r="N300" s="277">
        <v>4014.4262640884363</v>
      </c>
      <c r="O300" s="277">
        <v>3987.7792954882025</v>
      </c>
      <c r="P300" s="277">
        <v>3743.3420248957937</v>
      </c>
      <c r="Q300" s="277">
        <v>3801.2007908757923</v>
      </c>
      <c r="R300" s="277">
        <v>3508.7419122404876</v>
      </c>
      <c r="S300" s="277"/>
      <c r="T300" s="279">
        <f>SUM(H300:S300)</f>
        <v>41107.959581127834</v>
      </c>
      <c r="U300" s="277">
        <f>T300*12/11</f>
        <v>44845.046815775822</v>
      </c>
      <c r="V300" s="271" t="s">
        <v>158</v>
      </c>
    </row>
    <row r="301" spans="1:36" hidden="1">
      <c r="A301" s="253"/>
      <c r="B301" s="243" t="s">
        <v>174</v>
      </c>
      <c r="C301" s="244" t="s">
        <v>138</v>
      </c>
      <c r="D301" s="243" t="s">
        <v>347</v>
      </c>
      <c r="E301" s="243"/>
      <c r="F301" s="243"/>
      <c r="G301" s="253"/>
      <c r="H301" s="245">
        <f>H298/H296</f>
        <v>2.4945700784910736</v>
      </c>
      <c r="I301" s="245">
        <f t="shared" ref="I301:S301" si="135">I298/I296</f>
        <v>5.2350031887138861</v>
      </c>
      <c r="J301" s="245">
        <f t="shared" si="135"/>
        <v>2.7124392952800429</v>
      </c>
      <c r="K301" s="245">
        <f t="shared" si="135"/>
        <v>2.6862639557245749</v>
      </c>
      <c r="L301" s="245" t="e">
        <f t="shared" si="135"/>
        <v>#DIV/0!</v>
      </c>
      <c r="M301" s="245" t="e">
        <f t="shared" si="135"/>
        <v>#DIV/0!</v>
      </c>
      <c r="N301" s="245" t="e">
        <f t="shared" si="135"/>
        <v>#DIV/0!</v>
      </c>
      <c r="O301" s="245" t="e">
        <f t="shared" si="135"/>
        <v>#DIV/0!</v>
      </c>
      <c r="P301" s="245" t="e">
        <f t="shared" si="135"/>
        <v>#DIV/0!</v>
      </c>
      <c r="Q301" s="245" t="e">
        <f t="shared" si="135"/>
        <v>#DIV/0!</v>
      </c>
      <c r="R301" s="245" t="e">
        <f t="shared" si="135"/>
        <v>#DIV/0!</v>
      </c>
      <c r="S301" s="245" t="e">
        <f t="shared" si="135"/>
        <v>#DIV/0!</v>
      </c>
      <c r="T301" s="245">
        <f>T296/T$282</f>
        <v>0.25522759090656233</v>
      </c>
      <c r="U301" s="246"/>
      <c r="V301" s="246"/>
    </row>
    <row r="302" spans="1:36" ht="23.25" hidden="1">
      <c r="A302" s="253"/>
      <c r="B302" s="243"/>
      <c r="C302" s="249" t="s">
        <v>450</v>
      </c>
      <c r="D302" s="243" t="s">
        <v>347</v>
      </c>
      <c r="E302" s="243"/>
      <c r="F302" s="243"/>
      <c r="G302" s="253"/>
      <c r="H302" s="245">
        <f>H299/H296</f>
        <v>2.4945700784910736</v>
      </c>
      <c r="I302" s="245">
        <f t="shared" ref="I302:S302" si="136">I299/I296</f>
        <v>5.2350031887138853</v>
      </c>
      <c r="J302" s="245">
        <f t="shared" si="136"/>
        <v>2.7124392952800425</v>
      </c>
      <c r="K302" s="245">
        <f t="shared" si="136"/>
        <v>2.6862639557245749</v>
      </c>
      <c r="L302" s="245" t="e">
        <f t="shared" si="136"/>
        <v>#DIV/0!</v>
      </c>
      <c r="M302" s="245" t="e">
        <f t="shared" si="136"/>
        <v>#DIV/0!</v>
      </c>
      <c r="N302" s="245" t="e">
        <f t="shared" si="136"/>
        <v>#DIV/0!</v>
      </c>
      <c r="O302" s="245" t="e">
        <f t="shared" si="136"/>
        <v>#DIV/0!</v>
      </c>
      <c r="P302" s="245" t="e">
        <f t="shared" si="136"/>
        <v>#DIV/0!</v>
      </c>
      <c r="Q302" s="245" t="e">
        <f t="shared" si="136"/>
        <v>#DIV/0!</v>
      </c>
      <c r="R302" s="245" t="e">
        <f t="shared" si="136"/>
        <v>#DIV/0!</v>
      </c>
      <c r="S302" s="245" t="e">
        <f t="shared" si="136"/>
        <v>#DIV/0!</v>
      </c>
      <c r="T302" s="250">
        <f>T299/T296</f>
        <v>8.2388299388766217</v>
      </c>
      <c r="U302" s="246"/>
      <c r="V302" s="246"/>
    </row>
    <row r="303" spans="1:36" hidden="1">
      <c r="A303" s="253"/>
      <c r="B303" s="243"/>
      <c r="C303" s="249" t="s">
        <v>451</v>
      </c>
      <c r="D303" s="243"/>
      <c r="E303" s="243"/>
      <c r="F303" s="243"/>
      <c r="G303" s="253"/>
      <c r="H303" s="251">
        <f>H299/H300*100</f>
        <v>95.461986525279272</v>
      </c>
      <c r="I303" s="251">
        <f t="shared" ref="I303:T303" si="137">I299/I300*100</f>
        <v>92.878333374162409</v>
      </c>
      <c r="J303" s="251">
        <f t="shared" si="137"/>
        <v>84.207761604977392</v>
      </c>
      <c r="K303" s="251">
        <f t="shared" si="137"/>
        <v>89.286712614512481</v>
      </c>
      <c r="L303" s="251">
        <f t="shared" si="137"/>
        <v>86.248335594902159</v>
      </c>
      <c r="M303" s="251">
        <f t="shared" si="137"/>
        <v>85.735056694485905</v>
      </c>
      <c r="N303" s="251">
        <f t="shared" si="137"/>
        <v>81.120434796165441</v>
      </c>
      <c r="O303" s="251">
        <f t="shared" si="137"/>
        <v>79.251055934204956</v>
      </c>
      <c r="P303" s="251">
        <f t="shared" si="137"/>
        <v>91.477518677853794</v>
      </c>
      <c r="Q303" s="251">
        <f t="shared" si="137"/>
        <v>92.981733784856786</v>
      </c>
      <c r="R303" s="251">
        <f t="shared" si="137"/>
        <v>93.418714798175785</v>
      </c>
      <c r="S303" s="251" t="e">
        <f t="shared" si="137"/>
        <v>#DIV/0!</v>
      </c>
      <c r="T303" s="251">
        <f t="shared" si="137"/>
        <v>88.275377702423057</v>
      </c>
      <c r="U303" s="246"/>
      <c r="V303" s="246"/>
      <c r="W303" s="214" t="s">
        <v>29</v>
      </c>
      <c r="X303" s="215" t="s">
        <v>30</v>
      </c>
      <c r="Y303" s="215" t="s">
        <v>31</v>
      </c>
      <c r="Z303" s="215" t="s">
        <v>32</v>
      </c>
      <c r="AA303" s="215" t="s">
        <v>33</v>
      </c>
      <c r="AB303" s="215" t="s">
        <v>34</v>
      </c>
      <c r="AC303" s="215" t="s">
        <v>35</v>
      </c>
      <c r="AD303" s="215" t="s">
        <v>36</v>
      </c>
      <c r="AE303" s="215" t="s">
        <v>37</v>
      </c>
      <c r="AF303" s="215" t="s">
        <v>38</v>
      </c>
      <c r="AG303" s="215" t="s">
        <v>39</v>
      </c>
      <c r="AH303" s="215" t="s">
        <v>40</v>
      </c>
      <c r="AI303" s="215" t="s">
        <v>25</v>
      </c>
      <c r="AJ303" s="219" t="s">
        <v>158</v>
      </c>
    </row>
    <row r="304" spans="1:36" s="258" customFormat="1" hidden="1">
      <c r="A304" s="347"/>
      <c r="B304" s="343" t="s">
        <v>133</v>
      </c>
      <c r="C304" s="320" t="s">
        <v>138</v>
      </c>
      <c r="D304" s="229" t="s">
        <v>90</v>
      </c>
      <c r="E304" s="238">
        <f>'[2]Price&amp;Heating-Value'!$R$6</f>
        <v>3.6</v>
      </c>
      <c r="F304" s="62"/>
      <c r="G304" s="256">
        <f>'[2]Price&amp;Heating-Value'!$P$6</f>
        <v>2.7124999999999999</v>
      </c>
      <c r="H304" s="275">
        <f>H308*1000/3.6</f>
        <v>19856.104262447512</v>
      </c>
      <c r="I304" s="275">
        <f t="shared" ref="I304:K304" si="138">I308*1000/3.6</f>
        <v>19542.467962869752</v>
      </c>
      <c r="J304" s="275">
        <f t="shared" si="138"/>
        <v>20247.254179339285</v>
      </c>
      <c r="K304" s="275">
        <f t="shared" si="138"/>
        <v>20966.929268125303</v>
      </c>
      <c r="L304" s="275"/>
      <c r="M304" s="275"/>
      <c r="N304" s="275"/>
      <c r="O304" s="275"/>
      <c r="P304" s="275"/>
      <c r="Q304" s="275"/>
      <c r="R304" s="275"/>
      <c r="S304" s="275"/>
      <c r="T304" s="275">
        <f>SUM(H304:S304)</f>
        <v>80612.755672781845</v>
      </c>
      <c r="U304" s="275">
        <f>T304*E304</f>
        <v>290205.92042201466</v>
      </c>
      <c r="V304" s="351"/>
      <c r="W304" s="346"/>
    </row>
    <row r="305" spans="1:36" s="258" customFormat="1" hidden="1">
      <c r="A305" s="347"/>
      <c r="B305" s="233"/>
      <c r="C305" s="234" t="s">
        <v>107</v>
      </c>
      <c r="D305" s="233" t="s">
        <v>147</v>
      </c>
      <c r="E305" s="233"/>
      <c r="F305" s="233"/>
      <c r="G305" s="253"/>
      <c r="H305" s="264">
        <v>994.2883469532228</v>
      </c>
      <c r="I305" s="264">
        <v>732.29378218753777</v>
      </c>
      <c r="J305" s="264">
        <v>1193.7618273351461</v>
      </c>
      <c r="K305" s="264">
        <v>1178.8661787657099</v>
      </c>
      <c r="L305" s="264"/>
      <c r="M305" s="264"/>
      <c r="N305" s="264"/>
      <c r="O305" s="264"/>
      <c r="P305" s="264"/>
      <c r="Q305" s="264"/>
      <c r="R305" s="264"/>
      <c r="S305" s="264"/>
      <c r="T305" s="236">
        <f>SUM(H305:S305)</f>
        <v>4099.2101352416166</v>
      </c>
      <c r="U305" s="259"/>
      <c r="V305" s="351"/>
      <c r="W305" s="346"/>
    </row>
    <row r="306" spans="1:36" s="258" customFormat="1" hidden="1">
      <c r="A306" s="347"/>
      <c r="B306" s="348"/>
      <c r="C306" s="349"/>
      <c r="D306" s="348"/>
      <c r="E306" s="347"/>
      <c r="F306" s="347"/>
      <c r="G306" s="347"/>
      <c r="H306" s="350"/>
      <c r="I306" s="350"/>
      <c r="J306" s="350"/>
      <c r="K306" s="350"/>
      <c r="L306" s="350"/>
      <c r="M306" s="350"/>
      <c r="N306" s="350"/>
      <c r="O306" s="350"/>
      <c r="P306" s="350"/>
      <c r="Q306" s="350"/>
      <c r="R306" s="350"/>
      <c r="S306" s="350"/>
      <c r="T306" s="350"/>
      <c r="U306" s="340"/>
      <c r="V306" s="351"/>
      <c r="W306" s="346"/>
    </row>
    <row r="307" spans="1:36" s="258" customFormat="1" hidden="1">
      <c r="A307" s="347"/>
      <c r="B307" s="348"/>
      <c r="C307" s="349"/>
      <c r="D307" s="348"/>
      <c r="E307" s="347"/>
      <c r="F307" s="347"/>
      <c r="G307" s="347"/>
      <c r="H307" s="350"/>
      <c r="I307" s="350"/>
      <c r="J307" s="350"/>
      <c r="K307" s="350"/>
      <c r="L307" s="350"/>
      <c r="M307" s="350"/>
      <c r="N307" s="350"/>
      <c r="O307" s="350"/>
      <c r="P307" s="350"/>
      <c r="Q307" s="350"/>
      <c r="R307" s="350"/>
      <c r="S307" s="350"/>
      <c r="T307" s="350"/>
      <c r="U307" s="340"/>
      <c r="V307" s="351"/>
      <c r="W307" s="346"/>
    </row>
    <row r="308" spans="1:36" hidden="1">
      <c r="A308" s="253"/>
      <c r="B308" s="62"/>
      <c r="C308" s="237" t="s">
        <v>398</v>
      </c>
      <c r="D308" s="62" t="s">
        <v>173</v>
      </c>
      <c r="E308" s="253"/>
      <c r="F308" s="253"/>
      <c r="G308" s="253"/>
      <c r="H308" s="340">
        <v>71.481975344811048</v>
      </c>
      <c r="I308" s="340">
        <v>70.352884666331107</v>
      </c>
      <c r="J308" s="340">
        <v>72.890115045621428</v>
      </c>
      <c r="K308" s="277">
        <v>75.480945365251088</v>
      </c>
      <c r="L308" s="277">
        <v>67.740113346254304</v>
      </c>
      <c r="M308" s="277">
        <v>65.317142635536044</v>
      </c>
      <c r="N308" s="277">
        <v>69.452620472258459</v>
      </c>
      <c r="O308" s="277">
        <v>63.930128256169731</v>
      </c>
      <c r="P308" s="277">
        <v>69.062828061039937</v>
      </c>
      <c r="Q308" s="277">
        <v>70.796563599327854</v>
      </c>
      <c r="R308" s="277">
        <v>61.493237526651896</v>
      </c>
      <c r="S308" s="277"/>
      <c r="T308" s="279">
        <f>SUM(H308:S308)</f>
        <v>757.99855431925289</v>
      </c>
      <c r="U308" s="284">
        <f>T308*12/11</f>
        <v>826.90751380282131</v>
      </c>
      <c r="V308" s="786" t="e">
        <f>#REF!/T308</f>
        <v>#REF!</v>
      </c>
    </row>
    <row r="309" spans="1:36" hidden="1">
      <c r="A309" s="253"/>
      <c r="B309" s="253"/>
      <c r="C309" s="237" t="s">
        <v>345</v>
      </c>
      <c r="D309" s="62" t="s">
        <v>173</v>
      </c>
      <c r="E309" s="253"/>
      <c r="F309" s="253"/>
      <c r="G309" s="253"/>
      <c r="H309" s="340">
        <v>80.555707537481624</v>
      </c>
      <c r="I309" s="340">
        <v>67.010588539095707</v>
      </c>
      <c r="J309" s="340">
        <v>90.868486473227051</v>
      </c>
      <c r="K309" s="277">
        <v>90.098381442187204</v>
      </c>
      <c r="L309" s="277">
        <v>80.066756769704654</v>
      </c>
      <c r="M309" s="277">
        <v>85.118844157572838</v>
      </c>
      <c r="N309" s="277">
        <v>88.195496053103852</v>
      </c>
      <c r="O309" s="277">
        <v>87.548608456738506</v>
      </c>
      <c r="P309" s="277">
        <v>90.601385993593595</v>
      </c>
      <c r="Q309" s="277">
        <v>90.171937843910854</v>
      </c>
      <c r="R309" s="277">
        <v>85.429335461262838</v>
      </c>
      <c r="S309" s="277"/>
      <c r="T309" s="279">
        <f>SUM(H309:S309)</f>
        <v>935.66552872787861</v>
      </c>
      <c r="U309" s="277">
        <f>T309*12/11</f>
        <v>1020.7260313395039</v>
      </c>
      <c r="V309" s="271" t="s">
        <v>158</v>
      </c>
    </row>
    <row r="310" spans="1:36" hidden="1">
      <c r="A310" s="253"/>
      <c r="B310" s="243"/>
      <c r="C310" s="249" t="s">
        <v>452</v>
      </c>
      <c r="D310" s="243"/>
      <c r="E310" s="243"/>
      <c r="F310" s="243"/>
      <c r="G310" s="253"/>
      <c r="H310" s="251">
        <f>H308/H309*100</f>
        <v>88.736077839737575</v>
      </c>
      <c r="I310" s="251">
        <f t="shared" ref="I310:T310" si="139">I308/I309*100</f>
        <v>104.98771343469909</v>
      </c>
      <c r="J310" s="251">
        <f t="shared" si="139"/>
        <v>80.214954462895491</v>
      </c>
      <c r="K310" s="251">
        <f t="shared" si="139"/>
        <v>83.776139101549134</v>
      </c>
      <c r="L310" s="251">
        <f t="shared" si="139"/>
        <v>84.604542608232066</v>
      </c>
      <c r="M310" s="251">
        <f t="shared" si="139"/>
        <v>76.736406940183898</v>
      </c>
      <c r="N310" s="251">
        <f t="shared" si="139"/>
        <v>78.748488959617589</v>
      </c>
      <c r="O310" s="251">
        <f t="shared" si="139"/>
        <v>73.022437915458511</v>
      </c>
      <c r="P310" s="251">
        <f t="shared" si="139"/>
        <v>76.227120924974983</v>
      </c>
      <c r="Q310" s="251">
        <f t="shared" si="139"/>
        <v>78.512855875270077</v>
      </c>
      <c r="R310" s="251">
        <f t="shared" si="139"/>
        <v>71.981406848863344</v>
      </c>
      <c r="S310" s="251" t="e">
        <f t="shared" si="139"/>
        <v>#DIV/0!</v>
      </c>
      <c r="T310" s="251">
        <f t="shared" si="139"/>
        <v>81.011700340165362</v>
      </c>
      <c r="U310" s="246"/>
      <c r="V310" s="246"/>
      <c r="W310" s="214" t="s">
        <v>29</v>
      </c>
      <c r="X310" s="215" t="s">
        <v>30</v>
      </c>
      <c r="Y310" s="215" t="s">
        <v>31</v>
      </c>
      <c r="Z310" s="215" t="s">
        <v>32</v>
      </c>
      <c r="AA310" s="215" t="s">
        <v>33</v>
      </c>
      <c r="AB310" s="215" t="s">
        <v>34</v>
      </c>
      <c r="AC310" s="215" t="s">
        <v>35</v>
      </c>
      <c r="AD310" s="215" t="s">
        <v>36</v>
      </c>
      <c r="AE310" s="215" t="s">
        <v>37</v>
      </c>
      <c r="AF310" s="215" t="s">
        <v>38</v>
      </c>
      <c r="AG310" s="215" t="s">
        <v>39</v>
      </c>
      <c r="AH310" s="215" t="s">
        <v>40</v>
      </c>
      <c r="AI310" s="215" t="s">
        <v>25</v>
      </c>
      <c r="AJ310" s="219" t="s">
        <v>158</v>
      </c>
    </row>
    <row r="311" spans="1:36" s="258" customFormat="1" hidden="1">
      <c r="A311" s="347"/>
      <c r="B311" s="348"/>
      <c r="C311" s="349"/>
      <c r="D311" s="348"/>
      <c r="E311" s="348"/>
      <c r="F311" s="348"/>
      <c r="G311" s="347"/>
      <c r="H311" s="334"/>
      <c r="I311" s="334"/>
      <c r="J311" s="334"/>
      <c r="K311" s="334"/>
      <c r="L311" s="334"/>
      <c r="M311" s="334"/>
      <c r="N311" s="334"/>
      <c r="O311" s="334"/>
      <c r="P311" s="334"/>
      <c r="Q311" s="814"/>
      <c r="R311" s="334"/>
      <c r="S311" s="334"/>
      <c r="T311" s="334"/>
      <c r="U311" s="351"/>
      <c r="V311" s="351"/>
      <c r="W311" s="346"/>
    </row>
    <row r="312" spans="1:36" hidden="1">
      <c r="A312" s="62">
        <v>15</v>
      </c>
      <c r="B312" s="62" t="s">
        <v>453</v>
      </c>
      <c r="C312" s="278" t="s">
        <v>138</v>
      </c>
      <c r="D312" s="62" t="s">
        <v>90</v>
      </c>
      <c r="E312" s="238">
        <f>'[2]Price&amp;Heating-Value'!$R$6</f>
        <v>3.6</v>
      </c>
      <c r="F312" s="62"/>
      <c r="G312" s="256">
        <f>'[2]Price&amp;Heating-Value'!$P$6</f>
        <v>2.7124999999999999</v>
      </c>
      <c r="H312" s="360"/>
      <c r="I312" s="225"/>
      <c r="J312" s="225"/>
      <c r="K312" s="225"/>
      <c r="L312" s="225"/>
      <c r="M312" s="225"/>
      <c r="N312" s="225"/>
      <c r="O312" s="225"/>
      <c r="P312" s="225"/>
      <c r="Q312" s="815"/>
      <c r="R312" s="225"/>
      <c r="S312" s="225"/>
      <c r="T312" s="225">
        <f>SUM(H312:S312)</f>
        <v>0</v>
      </c>
      <c r="U312" s="225">
        <f>T312*E312</f>
        <v>0</v>
      </c>
      <c r="V312" s="225">
        <f>G312*T312</f>
        <v>0</v>
      </c>
      <c r="W312" s="227">
        <f>H312*'[2]Transfer Price2011'!$HE$459</f>
        <v>0</v>
      </c>
      <c r="X312" s="227">
        <f>I312*'[2]Transfer Price2011'!$HE$459</f>
        <v>0</v>
      </c>
      <c r="Y312" s="227">
        <f>J312*'[2]Transfer Price2011'!$HE$459</f>
        <v>0</v>
      </c>
      <c r="Z312" s="227">
        <f>K312*'[2]Transfer Price2011'!$HE$459</f>
        <v>0</v>
      </c>
      <c r="AA312" s="227">
        <f>L312*'[2]Transfer Price2011'!$HE$459</f>
        <v>0</v>
      </c>
      <c r="AB312" s="227">
        <f>M312*'[2]Transfer Price2011'!$HE$459</f>
        <v>0</v>
      </c>
      <c r="AC312" s="227">
        <f>N312*'[2]Transfer Price2011'!$HE$459</f>
        <v>0</v>
      </c>
      <c r="AD312" s="227">
        <f>O312*'[2]Transfer Price2011'!$HE$459</f>
        <v>0</v>
      </c>
      <c r="AE312" s="227">
        <f>P312*'[2]Transfer Price2011'!$HE$459</f>
        <v>0</v>
      </c>
      <c r="AF312" s="227">
        <f>Q312*'[2]Transfer Price2011'!$HE$459</f>
        <v>0</v>
      </c>
      <c r="AG312" s="227">
        <f>R312*'[2]Transfer Price2011'!$HE$459</f>
        <v>0</v>
      </c>
      <c r="AH312" s="227">
        <f>S312*'[2]Transfer Price2011'!$HE$459</f>
        <v>0</v>
      </c>
      <c r="AI312" s="214">
        <f>SUM(W312:AH312)</f>
        <v>0</v>
      </c>
      <c r="AJ312" s="228" t="e">
        <f>AI312/U312*1000</f>
        <v>#DIV/0!</v>
      </c>
    </row>
    <row r="313" spans="1:36" hidden="1">
      <c r="A313" s="62"/>
      <c r="B313" s="62" t="s">
        <v>454</v>
      </c>
      <c r="C313" s="278" t="s">
        <v>455</v>
      </c>
      <c r="D313" s="62" t="s">
        <v>121</v>
      </c>
      <c r="E313" s="62">
        <f>'[2]Price&amp;Heating-Value'!$R$8</f>
        <v>2778</v>
      </c>
      <c r="F313" s="62"/>
      <c r="G313" s="230">
        <f>'[2]Price&amp;Heating-Value'!$P$8</f>
        <v>1290.0382923058626</v>
      </c>
      <c r="H313" s="360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>
        <f>SUM(H313:S313)</f>
        <v>0</v>
      </c>
      <c r="U313" s="225">
        <f>T313*E313</f>
        <v>0</v>
      </c>
      <c r="V313" s="225">
        <f>G313*T313</f>
        <v>0</v>
      </c>
      <c r="W313" s="322">
        <f>'[2]Price&amp;Heating-Value'!D$8</f>
        <v>1199.2079914377452</v>
      </c>
      <c r="X313" s="232">
        <f>'[2]Price&amp;Heating-Value'!E$8</f>
        <v>1207.1366393150195</v>
      </c>
      <c r="Y313" s="232">
        <f>'[2]Price&amp;Heating-Value'!F$8</f>
        <v>1196.2347484837674</v>
      </c>
      <c r="Z313" s="232">
        <f>'[2]Price&amp;Heating-Value'!G$8</f>
        <v>1221.0117731002497</v>
      </c>
      <c r="AA313" s="232">
        <f>'[2]Price&amp;Heating-Value'!H$8</f>
        <v>1339.941491259365</v>
      </c>
      <c r="AB313" s="232">
        <f>'[2]Price&amp;Heating-Value'!I$8</f>
        <v>1477.7017481270068</v>
      </c>
      <c r="AC313" s="232">
        <f>'[2]Price&amp;Heating-Value'!J$8</f>
        <v>1573.8366036389582</v>
      </c>
    </row>
    <row r="314" spans="1:36" hidden="1">
      <c r="A314" s="62"/>
      <c r="B314" s="62"/>
      <c r="C314" s="278" t="s">
        <v>408</v>
      </c>
      <c r="D314" s="62" t="s">
        <v>176</v>
      </c>
      <c r="E314" s="238">
        <f>'[2]Price&amp;Heating-Value'!$S$16/1000</f>
        <v>39.770000000000003</v>
      </c>
      <c r="F314" s="321">
        <f>'[2]Price&amp;Heating-Value'!$T$16</f>
        <v>0.98550000000000004</v>
      </c>
      <c r="G314" s="230">
        <f>'[2]Price&amp;Heating-Value'!$P$16*'[2]Price&amp;Heating-Value'!$T$16/1000</f>
        <v>17.944656726937499</v>
      </c>
      <c r="H314" s="360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>
        <f>SUM(H314:S314)</f>
        <v>0</v>
      </c>
      <c r="U314" s="225">
        <f>T314*E314</f>
        <v>0</v>
      </c>
      <c r="V314" s="225">
        <f>F314*G314*T314</f>
        <v>0</v>
      </c>
      <c r="W314" s="322">
        <f>'[2]Price&amp;Heating-Value'!D$16*'[2]Price&amp;Heating-Value'!$T$16/1000</f>
        <v>16.779635460000002</v>
      </c>
      <c r="X314" s="232">
        <f>'[2]Price&amp;Heating-Value'!E$16*'[2]Price&amp;Heating-Value'!$T$16/1000</f>
        <v>16.47036585</v>
      </c>
      <c r="Y314" s="232">
        <f>'[2]Price&amp;Heating-Value'!F$16*'[2]Price&amp;Heating-Value'!$T$16/1000</f>
        <v>16.780118354999999</v>
      </c>
      <c r="Z314" s="232">
        <f>'[2]Price&amp;Heating-Value'!G$16*'[2]Price&amp;Heating-Value'!$T$16/1000</f>
        <v>18.287135100000004</v>
      </c>
      <c r="AA314" s="232">
        <f>'[2]Price&amp;Heating-Value'!H$16*'[2]Price&amp;Heating-Value'!$T$16/1000</f>
        <v>20.715278985000001</v>
      </c>
      <c r="AB314" s="232">
        <f>'[2]Price&amp;Heating-Value'!I$16*'[2]Price&amp;Heating-Value'!$T$16/1000</f>
        <v>22.335056640000001</v>
      </c>
      <c r="AC314" s="232">
        <f>'[2]Price&amp;Heating-Value'!J$16*'[2]Price&amp;Heating-Value'!$T$16/1000</f>
        <v>25.718475240000004</v>
      </c>
    </row>
    <row r="315" spans="1:36" hidden="1">
      <c r="A315" s="62"/>
      <c r="B315" s="62"/>
      <c r="C315" s="278" t="s">
        <v>456</v>
      </c>
      <c r="D315" s="62" t="s">
        <v>102</v>
      </c>
      <c r="E315" s="62">
        <f>'[2]Price&amp;Heating-Value'!$R$23/1000</f>
        <v>50.22</v>
      </c>
      <c r="F315" s="62"/>
      <c r="G315" s="230">
        <f>'[2]Price&amp;Heating-Value'!$P$23/1000</f>
        <v>11.61472</v>
      </c>
      <c r="H315" s="360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>
        <f>SUM(H315:S315)</f>
        <v>0</v>
      </c>
      <c r="U315" s="225">
        <f>T315*E315</f>
        <v>0</v>
      </c>
      <c r="V315" s="225">
        <f>F315*G315*T315</f>
        <v>0</v>
      </c>
      <c r="W315" s="232">
        <f>'[2]Price&amp;Heating-Value'!D$23/1000</f>
        <v>11.61472</v>
      </c>
      <c r="X315" s="232">
        <f>'[2]Price&amp;Heating-Value'!E$23/1000</f>
        <v>11.61472</v>
      </c>
      <c r="Y315" s="232">
        <f>'[2]Price&amp;Heating-Value'!F$23/1000</f>
        <v>11.61472</v>
      </c>
      <c r="Z315" s="232">
        <f>'[2]Price&amp;Heating-Value'!G$23/1000</f>
        <v>11.61472</v>
      </c>
      <c r="AA315" s="232">
        <f>'[2]Price&amp;Heating-Value'!H$23/1000</f>
        <v>11.61472</v>
      </c>
      <c r="AB315" s="232">
        <f>'[2]Price&amp;Heating-Value'!I$23/1000</f>
        <v>11.61472</v>
      </c>
      <c r="AC315" s="232">
        <f>'[2]Price&amp;Heating-Value'!J$23/1000</f>
        <v>11.61472</v>
      </c>
    </row>
    <row r="316" spans="1:36" hidden="1">
      <c r="A316" s="253"/>
      <c r="B316" s="253"/>
      <c r="C316" s="237"/>
      <c r="D316" s="253"/>
      <c r="E316" s="253"/>
      <c r="F316" s="352"/>
      <c r="G316" s="283"/>
      <c r="H316" s="353"/>
      <c r="I316" s="353"/>
      <c r="J316" s="353"/>
      <c r="K316" s="353"/>
      <c r="L316" s="353"/>
      <c r="M316" s="353"/>
      <c r="N316" s="353"/>
      <c r="O316" s="353"/>
      <c r="P316" s="353"/>
      <c r="Q316" s="353"/>
      <c r="R316" s="353"/>
      <c r="S316" s="353"/>
      <c r="T316" s="257"/>
      <c r="U316" s="277"/>
      <c r="V316" s="277">
        <f>SUM(V312:V315)</f>
        <v>0</v>
      </c>
    </row>
    <row r="317" spans="1:36" hidden="1">
      <c r="A317" s="253"/>
      <c r="B317" s="233"/>
      <c r="C317" s="234" t="s">
        <v>107</v>
      </c>
      <c r="D317" s="233" t="s">
        <v>121</v>
      </c>
      <c r="E317" s="233"/>
      <c r="F317" s="233"/>
      <c r="G317" s="253"/>
      <c r="H317" s="807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36">
        <f>SUM(H317:S317)</f>
        <v>0</v>
      </c>
      <c r="U317" s="259"/>
      <c r="V317" s="785" t="e">
        <f>V316/T317</f>
        <v>#DIV/0!</v>
      </c>
    </row>
    <row r="318" spans="1:36" hidden="1">
      <c r="A318" s="253"/>
      <c r="B318" s="253"/>
      <c r="C318" s="276"/>
      <c r="D318" s="253"/>
      <c r="E318" s="253"/>
      <c r="F318" s="253"/>
      <c r="G318" s="253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77"/>
      <c r="U318" s="277"/>
      <c r="V318" s="771" t="s">
        <v>137</v>
      </c>
    </row>
    <row r="319" spans="1:36" hidden="1">
      <c r="A319" s="253"/>
      <c r="B319" s="253"/>
      <c r="C319" s="278" t="s">
        <v>138</v>
      </c>
      <c r="D319" s="253" t="s">
        <v>173</v>
      </c>
      <c r="E319" s="62"/>
      <c r="F319" s="62"/>
      <c r="G319" s="253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>
        <f t="shared" ref="T319:T324" si="140">SUM(H319:S319)</f>
        <v>0</v>
      </c>
      <c r="U319" s="277"/>
      <c r="V319" s="277"/>
    </row>
    <row r="320" spans="1:36" hidden="1">
      <c r="A320" s="253"/>
      <c r="B320" s="253"/>
      <c r="C320" s="278" t="s">
        <v>455</v>
      </c>
      <c r="D320" s="253" t="s">
        <v>173</v>
      </c>
      <c r="E320" s="62"/>
      <c r="F320" s="62"/>
      <c r="G320" s="253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>
        <f t="shared" si="140"/>
        <v>0</v>
      </c>
      <c r="U320" s="277"/>
      <c r="V320" s="277"/>
    </row>
    <row r="321" spans="1:23" hidden="1">
      <c r="A321" s="253"/>
      <c r="B321" s="253"/>
      <c r="C321" s="278" t="s">
        <v>408</v>
      </c>
      <c r="D321" s="253" t="s">
        <v>173</v>
      </c>
      <c r="E321" s="62"/>
      <c r="F321" s="62"/>
      <c r="G321" s="253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>
        <f t="shared" si="140"/>
        <v>0</v>
      </c>
      <c r="U321" s="277"/>
      <c r="V321" s="277"/>
    </row>
    <row r="322" spans="1:23" hidden="1">
      <c r="A322" s="253"/>
      <c r="B322" s="253"/>
      <c r="C322" s="278" t="s">
        <v>456</v>
      </c>
      <c r="D322" s="253" t="s">
        <v>173</v>
      </c>
      <c r="E322" s="62"/>
      <c r="F322" s="62"/>
      <c r="G322" s="253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>
        <f t="shared" si="140"/>
        <v>0</v>
      </c>
      <c r="U322" s="277"/>
      <c r="V322" s="277"/>
    </row>
    <row r="323" spans="1:23" hidden="1">
      <c r="A323" s="253"/>
      <c r="B323" s="62"/>
      <c r="C323" s="237" t="s">
        <v>457</v>
      </c>
      <c r="D323" s="62" t="s">
        <v>173</v>
      </c>
      <c r="E323" s="253"/>
      <c r="F323" s="253"/>
      <c r="G323" s="253"/>
      <c r="H323" s="335">
        <v>1405.4206000000001</v>
      </c>
      <c r="I323" s="335">
        <v>2571.1728127999995</v>
      </c>
      <c r="J323" s="277">
        <v>2542.5736720000004</v>
      </c>
      <c r="K323" s="277">
        <v>2257.7446128000001</v>
      </c>
      <c r="L323" s="277">
        <v>2408.1551552000001</v>
      </c>
      <c r="M323" s="277">
        <v>2065.8834063999998</v>
      </c>
      <c r="N323" s="277">
        <v>2578.3904244</v>
      </c>
      <c r="O323" s="277">
        <v>2900.6355924</v>
      </c>
      <c r="P323" s="277">
        <v>2086.7629843999998</v>
      </c>
      <c r="Q323" s="277">
        <v>2406.4079407999998</v>
      </c>
      <c r="R323" s="277">
        <v>2507.8444397014928</v>
      </c>
      <c r="S323" s="277">
        <v>27625.155491600006</v>
      </c>
      <c r="T323" s="279">
        <f t="shared" si="140"/>
        <v>53356.147132501501</v>
      </c>
      <c r="U323" s="277">
        <f>T323*12/11</f>
        <v>58206.705962728913</v>
      </c>
      <c r="V323" s="786">
        <f>V316/T323</f>
        <v>0</v>
      </c>
    </row>
    <row r="324" spans="1:23" hidden="1">
      <c r="A324" s="253"/>
      <c r="B324" s="62"/>
      <c r="C324" s="237" t="s">
        <v>345</v>
      </c>
      <c r="D324" s="62" t="s">
        <v>173</v>
      </c>
      <c r="E324" s="62"/>
      <c r="F324" s="62"/>
      <c r="G324" s="253"/>
      <c r="H324" s="816">
        <v>1937.2147826869527</v>
      </c>
      <c r="I324" s="816">
        <v>2681.7998365076446</v>
      </c>
      <c r="J324" s="225">
        <v>2669.6969559583999</v>
      </c>
      <c r="K324" s="225">
        <v>2221.5265523626067</v>
      </c>
      <c r="L324" s="225">
        <v>2409.9547706549756</v>
      </c>
      <c r="M324" s="225">
        <v>2050.656261046644</v>
      </c>
      <c r="N324" s="277">
        <v>2648.215352534156</v>
      </c>
      <c r="O324" s="225">
        <v>2687.360894645487</v>
      </c>
      <c r="P324" s="225">
        <v>2347.713358697958</v>
      </c>
      <c r="Q324" s="225">
        <v>2598.0963938974387</v>
      </c>
      <c r="R324" s="277">
        <v>2526.5969727520055</v>
      </c>
      <c r="S324" s="225">
        <v>28894.800427124723</v>
      </c>
      <c r="T324" s="225">
        <f t="shared" si="140"/>
        <v>55673.632558868994</v>
      </c>
      <c r="U324" s="277">
        <f>T324*12/11</f>
        <v>60734.871882402542</v>
      </c>
      <c r="V324" s="271" t="s">
        <v>158</v>
      </c>
    </row>
    <row r="325" spans="1:23" hidden="1">
      <c r="A325" s="253"/>
      <c r="B325" s="243" t="s">
        <v>174</v>
      </c>
      <c r="C325" s="244" t="s">
        <v>138</v>
      </c>
      <c r="D325" s="243" t="s">
        <v>347</v>
      </c>
      <c r="E325" s="243"/>
      <c r="F325" s="243"/>
      <c r="G325" s="253"/>
      <c r="H325" s="245" t="e">
        <f>H319/H$317</f>
        <v>#DIV/0!</v>
      </c>
      <c r="I325" s="245" t="e">
        <f t="shared" ref="I325:S325" si="141">I319/I$317</f>
        <v>#DIV/0!</v>
      </c>
      <c r="J325" s="245" t="e">
        <f t="shared" si="141"/>
        <v>#DIV/0!</v>
      </c>
      <c r="K325" s="245" t="e">
        <f t="shared" si="141"/>
        <v>#DIV/0!</v>
      </c>
      <c r="L325" s="245" t="e">
        <f t="shared" si="141"/>
        <v>#DIV/0!</v>
      </c>
      <c r="M325" s="245" t="e">
        <f t="shared" si="141"/>
        <v>#DIV/0!</v>
      </c>
      <c r="N325" s="245" t="e">
        <f t="shared" si="141"/>
        <v>#DIV/0!</v>
      </c>
      <c r="O325" s="245" t="e">
        <f t="shared" si="141"/>
        <v>#DIV/0!</v>
      </c>
      <c r="P325" s="245" t="e">
        <f t="shared" si="141"/>
        <v>#DIV/0!</v>
      </c>
      <c r="Q325" s="245" t="e">
        <f t="shared" si="141"/>
        <v>#DIV/0!</v>
      </c>
      <c r="R325" s="245" t="e">
        <f t="shared" si="141"/>
        <v>#DIV/0!</v>
      </c>
      <c r="S325" s="245" t="e">
        <f t="shared" si="141"/>
        <v>#DIV/0!</v>
      </c>
      <c r="T325" s="245" t="e">
        <f>T319/T$317</f>
        <v>#DIV/0!</v>
      </c>
      <c r="U325" s="246"/>
      <c r="V325" s="246"/>
    </row>
    <row r="326" spans="1:23" hidden="1">
      <c r="A326" s="253"/>
      <c r="B326" s="243"/>
      <c r="C326" s="244" t="s">
        <v>455</v>
      </c>
      <c r="D326" s="243" t="s">
        <v>347</v>
      </c>
      <c r="E326" s="243"/>
      <c r="F326" s="243"/>
      <c r="G326" s="253"/>
      <c r="H326" s="245" t="e">
        <f t="shared" ref="H326:S329" si="142">H320/H$317</f>
        <v>#DIV/0!</v>
      </c>
      <c r="I326" s="245" t="e">
        <f t="shared" si="142"/>
        <v>#DIV/0!</v>
      </c>
      <c r="J326" s="245" t="e">
        <f t="shared" si="142"/>
        <v>#DIV/0!</v>
      </c>
      <c r="K326" s="245" t="e">
        <f t="shared" si="142"/>
        <v>#DIV/0!</v>
      </c>
      <c r="L326" s="245" t="e">
        <f t="shared" si="142"/>
        <v>#DIV/0!</v>
      </c>
      <c r="M326" s="245" t="e">
        <f t="shared" si="142"/>
        <v>#DIV/0!</v>
      </c>
      <c r="N326" s="245" t="e">
        <f t="shared" si="142"/>
        <v>#DIV/0!</v>
      </c>
      <c r="O326" s="245" t="e">
        <f t="shared" si="142"/>
        <v>#DIV/0!</v>
      </c>
      <c r="P326" s="245" t="e">
        <f t="shared" si="142"/>
        <v>#DIV/0!</v>
      </c>
      <c r="Q326" s="245" t="e">
        <f t="shared" si="142"/>
        <v>#DIV/0!</v>
      </c>
      <c r="R326" s="245" t="e">
        <f t="shared" si="142"/>
        <v>#DIV/0!</v>
      </c>
      <c r="S326" s="245" t="e">
        <f t="shared" si="142"/>
        <v>#DIV/0!</v>
      </c>
      <c r="T326" s="245" t="e">
        <f>T320/T$317</f>
        <v>#DIV/0!</v>
      </c>
      <c r="U326" s="246"/>
      <c r="V326" s="246"/>
    </row>
    <row r="327" spans="1:23" hidden="1">
      <c r="A327" s="253"/>
      <c r="B327" s="243"/>
      <c r="C327" s="337" t="s">
        <v>408</v>
      </c>
      <c r="D327" s="243" t="s">
        <v>347</v>
      </c>
      <c r="E327" s="243"/>
      <c r="F327" s="243"/>
      <c r="G327" s="253"/>
      <c r="H327" s="245" t="e">
        <f t="shared" si="142"/>
        <v>#DIV/0!</v>
      </c>
      <c r="I327" s="245" t="e">
        <f t="shared" si="142"/>
        <v>#DIV/0!</v>
      </c>
      <c r="J327" s="245" t="e">
        <f t="shared" si="142"/>
        <v>#DIV/0!</v>
      </c>
      <c r="K327" s="245" t="e">
        <f t="shared" si="142"/>
        <v>#DIV/0!</v>
      </c>
      <c r="L327" s="245" t="e">
        <f t="shared" si="142"/>
        <v>#DIV/0!</v>
      </c>
      <c r="M327" s="245" t="e">
        <f t="shared" si="142"/>
        <v>#DIV/0!</v>
      </c>
      <c r="N327" s="245" t="e">
        <f t="shared" si="142"/>
        <v>#DIV/0!</v>
      </c>
      <c r="O327" s="245" t="e">
        <f t="shared" si="142"/>
        <v>#DIV/0!</v>
      </c>
      <c r="P327" s="245" t="e">
        <f t="shared" si="142"/>
        <v>#DIV/0!</v>
      </c>
      <c r="Q327" s="245" t="e">
        <f t="shared" si="142"/>
        <v>#DIV/0!</v>
      </c>
      <c r="R327" s="245" t="e">
        <f t="shared" si="142"/>
        <v>#DIV/0!</v>
      </c>
      <c r="S327" s="245" t="e">
        <f t="shared" si="142"/>
        <v>#DIV/0!</v>
      </c>
      <c r="T327" s="245" t="e">
        <f>T321/T$317</f>
        <v>#DIV/0!</v>
      </c>
      <c r="U327" s="246"/>
      <c r="V327" s="246"/>
    </row>
    <row r="328" spans="1:23" hidden="1">
      <c r="A328" s="253"/>
      <c r="B328" s="243"/>
      <c r="C328" s="337" t="s">
        <v>456</v>
      </c>
      <c r="D328" s="243" t="s">
        <v>347</v>
      </c>
      <c r="E328" s="243"/>
      <c r="F328" s="243"/>
      <c r="G328" s="253"/>
      <c r="H328" s="245" t="e">
        <f t="shared" si="142"/>
        <v>#DIV/0!</v>
      </c>
      <c r="I328" s="245" t="e">
        <f t="shared" si="142"/>
        <v>#DIV/0!</v>
      </c>
      <c r="J328" s="245" t="e">
        <f t="shared" si="142"/>
        <v>#DIV/0!</v>
      </c>
      <c r="K328" s="245" t="e">
        <f t="shared" si="142"/>
        <v>#DIV/0!</v>
      </c>
      <c r="L328" s="245" t="e">
        <f t="shared" si="142"/>
        <v>#DIV/0!</v>
      </c>
      <c r="M328" s="245" t="e">
        <f t="shared" si="142"/>
        <v>#DIV/0!</v>
      </c>
      <c r="N328" s="245" t="e">
        <f t="shared" si="142"/>
        <v>#DIV/0!</v>
      </c>
      <c r="O328" s="245" t="e">
        <f t="shared" si="142"/>
        <v>#DIV/0!</v>
      </c>
      <c r="P328" s="245" t="e">
        <f t="shared" si="142"/>
        <v>#DIV/0!</v>
      </c>
      <c r="Q328" s="245" t="e">
        <f t="shared" si="142"/>
        <v>#DIV/0!</v>
      </c>
      <c r="R328" s="245" t="e">
        <f t="shared" si="142"/>
        <v>#DIV/0!</v>
      </c>
      <c r="S328" s="245" t="e">
        <f t="shared" si="142"/>
        <v>#DIV/0!</v>
      </c>
      <c r="T328" s="245" t="e">
        <f>T322/T$317</f>
        <v>#DIV/0!</v>
      </c>
      <c r="U328" s="246"/>
      <c r="V328" s="246"/>
    </row>
    <row r="329" spans="1:23" ht="23.25" hidden="1">
      <c r="A329" s="253"/>
      <c r="B329" s="243"/>
      <c r="C329" s="249" t="s">
        <v>458</v>
      </c>
      <c r="D329" s="243" t="s">
        <v>347</v>
      </c>
      <c r="E329" s="243"/>
      <c r="F329" s="243"/>
      <c r="G329" s="253"/>
      <c r="H329" s="245" t="e">
        <f t="shared" si="142"/>
        <v>#DIV/0!</v>
      </c>
      <c r="I329" s="245" t="e">
        <f t="shared" si="142"/>
        <v>#DIV/0!</v>
      </c>
      <c r="J329" s="245" t="e">
        <f t="shared" si="142"/>
        <v>#DIV/0!</v>
      </c>
      <c r="K329" s="245" t="e">
        <f t="shared" si="142"/>
        <v>#DIV/0!</v>
      </c>
      <c r="L329" s="245" t="e">
        <f t="shared" si="142"/>
        <v>#DIV/0!</v>
      </c>
      <c r="M329" s="245" t="e">
        <f t="shared" si="142"/>
        <v>#DIV/0!</v>
      </c>
      <c r="N329" s="245" t="e">
        <f t="shared" si="142"/>
        <v>#DIV/0!</v>
      </c>
      <c r="O329" s="245" t="e">
        <f t="shared" si="142"/>
        <v>#DIV/0!</v>
      </c>
      <c r="P329" s="245" t="e">
        <f t="shared" si="142"/>
        <v>#DIV/0!</v>
      </c>
      <c r="Q329" s="245" t="e">
        <f t="shared" si="142"/>
        <v>#DIV/0!</v>
      </c>
      <c r="R329" s="245" t="e">
        <f t="shared" si="142"/>
        <v>#DIV/0!</v>
      </c>
      <c r="S329" s="245" t="e">
        <f t="shared" si="142"/>
        <v>#DIV/0!</v>
      </c>
      <c r="T329" s="250" t="e">
        <f>T323/T317</f>
        <v>#DIV/0!</v>
      </c>
      <c r="U329" s="246"/>
      <c r="V329" s="246"/>
    </row>
    <row r="330" spans="1:23" hidden="1">
      <c r="A330" s="253"/>
      <c r="B330" s="243"/>
      <c r="C330" s="249" t="s">
        <v>459</v>
      </c>
      <c r="D330" s="243"/>
      <c r="E330" s="243"/>
      <c r="F330" s="243"/>
      <c r="G330" s="253"/>
      <c r="H330" s="251">
        <f>H323/H324*100</f>
        <v>72.548517209364661</v>
      </c>
      <c r="I330" s="251">
        <f>I323/I324*100</f>
        <v>95.874896321430597</v>
      </c>
      <c r="J330" s="251">
        <f t="shared" ref="J330:T330" si="143">J323/J324*100</f>
        <v>95.238287863546546</v>
      </c>
      <c r="K330" s="251">
        <f t="shared" si="143"/>
        <v>101.63032309466998</v>
      </c>
      <c r="L330" s="251">
        <f t="shared" si="143"/>
        <v>99.92532575810597</v>
      </c>
      <c r="M330" s="251">
        <f>M323/M324*100</f>
        <v>100.74254986769864</v>
      </c>
      <c r="N330" s="251">
        <f t="shared" si="143"/>
        <v>97.36332137538065</v>
      </c>
      <c r="O330" s="251">
        <f t="shared" si="143"/>
        <v>107.9362134866016</v>
      </c>
      <c r="P330" s="251">
        <f t="shared" si="143"/>
        <v>88.884913342117656</v>
      </c>
      <c r="Q330" s="251">
        <f t="shared" si="143"/>
        <v>92.621965314770932</v>
      </c>
      <c r="R330" s="251">
        <f t="shared" si="143"/>
        <v>99.257794842123658</v>
      </c>
      <c r="S330" s="251">
        <f t="shared" si="143"/>
        <v>95.605974373393323</v>
      </c>
      <c r="T330" s="251">
        <f t="shared" si="143"/>
        <v>95.837373421040922</v>
      </c>
      <c r="U330" s="246"/>
      <c r="V330" s="246"/>
    </row>
    <row r="331" spans="1:23" s="293" customFormat="1" hidden="1">
      <c r="A331" s="288"/>
      <c r="B331" s="288"/>
      <c r="C331" s="289" t="s">
        <v>94</v>
      </c>
      <c r="D331" s="288" t="s">
        <v>173</v>
      </c>
      <c r="E331" s="288"/>
      <c r="F331" s="288"/>
      <c r="G331" s="288"/>
      <c r="H331" s="291">
        <f t="shared" ref="H331:S331" si="144">H284+H265+H245+H179</f>
        <v>2404.6684729999997</v>
      </c>
      <c r="I331" s="291">
        <f t="shared" si="144"/>
        <v>2345.9484259999999</v>
      </c>
      <c r="J331" s="291">
        <f t="shared" si="144"/>
        <v>2242.5962100000002</v>
      </c>
      <c r="K331" s="291">
        <f t="shared" si="144"/>
        <v>2166.4178734689422</v>
      </c>
      <c r="L331" s="291">
        <f t="shared" si="144"/>
        <v>0</v>
      </c>
      <c r="M331" s="291">
        <f t="shared" si="144"/>
        <v>0</v>
      </c>
      <c r="N331" s="291">
        <f t="shared" si="144"/>
        <v>0</v>
      </c>
      <c r="O331" s="291">
        <f t="shared" si="144"/>
        <v>0</v>
      </c>
      <c r="P331" s="291">
        <f t="shared" si="144"/>
        <v>0</v>
      </c>
      <c r="Q331" s="291">
        <f t="shared" si="144"/>
        <v>0</v>
      </c>
      <c r="R331" s="291">
        <f t="shared" si="144"/>
        <v>0</v>
      </c>
      <c r="S331" s="291">
        <f t="shared" si="144"/>
        <v>0</v>
      </c>
      <c r="T331" s="291">
        <f t="shared" ref="T331:T338" si="145">SUM(H331:S331)</f>
        <v>9159.6309824689415</v>
      </c>
      <c r="U331" s="291">
        <f>T331/$T$337*100</f>
        <v>1.3419060780393421</v>
      </c>
      <c r="V331" s="816"/>
      <c r="W331" s="292"/>
    </row>
    <row r="332" spans="1:23" s="293" customFormat="1" hidden="1">
      <c r="A332" s="288"/>
      <c r="B332" s="288"/>
      <c r="C332" s="289" t="s">
        <v>96</v>
      </c>
      <c r="D332" s="288" t="s">
        <v>173</v>
      </c>
      <c r="E332" s="288"/>
      <c r="F332" s="288"/>
      <c r="G332" s="288"/>
      <c r="H332" s="291" t="e">
        <f>#REF!+H267+H180</f>
        <v>#REF!</v>
      </c>
      <c r="I332" s="291" t="e">
        <f>#REF!+I267+I180</f>
        <v>#REF!</v>
      </c>
      <c r="J332" s="291" t="e">
        <f>#REF!+J267+J180</f>
        <v>#REF!</v>
      </c>
      <c r="K332" s="291" t="e">
        <f>#REF!+K267+K180</f>
        <v>#REF!</v>
      </c>
      <c r="L332" s="291" t="e">
        <f>#REF!+L267+L180</f>
        <v>#REF!</v>
      </c>
      <c r="M332" s="291" t="e">
        <f>#REF!+M267+M180</f>
        <v>#REF!</v>
      </c>
      <c r="N332" s="291" t="e">
        <f>#REF!+N267+N180</f>
        <v>#REF!</v>
      </c>
      <c r="O332" s="291" t="e">
        <f>#REF!+O267+O180</f>
        <v>#REF!</v>
      </c>
      <c r="P332" s="291" t="e">
        <f>#REF!+P267+P180</f>
        <v>#REF!</v>
      </c>
      <c r="Q332" s="291" t="e">
        <f>#REF!+Q267+Q180</f>
        <v>#REF!</v>
      </c>
      <c r="R332" s="291" t="e">
        <f>#REF!+R267+R180</f>
        <v>#REF!</v>
      </c>
      <c r="S332" s="291" t="e">
        <f>#REF!+S267+S180</f>
        <v>#REF!</v>
      </c>
      <c r="T332" s="291" t="e">
        <f t="shared" si="145"/>
        <v>#REF!</v>
      </c>
      <c r="U332" s="291" t="e">
        <f t="shared" ref="U332:U334" si="146">T332/$T$337*100</f>
        <v>#REF!</v>
      </c>
      <c r="V332" s="816"/>
      <c r="W332" s="292"/>
    </row>
    <row r="333" spans="1:23" s="293" customFormat="1" hidden="1">
      <c r="A333" s="288"/>
      <c r="B333" s="288"/>
      <c r="C333" s="289" t="s">
        <v>95</v>
      </c>
      <c r="D333" s="288" t="s">
        <v>173</v>
      </c>
      <c r="E333" s="288"/>
      <c r="F333" s="288"/>
      <c r="G333" s="288"/>
      <c r="H333" s="291">
        <f t="shared" ref="H333:S333" si="147">H246</f>
        <v>0</v>
      </c>
      <c r="I333" s="291">
        <f t="shared" si="147"/>
        <v>0</v>
      </c>
      <c r="J333" s="291">
        <f t="shared" si="147"/>
        <v>0</v>
      </c>
      <c r="K333" s="291">
        <f t="shared" si="147"/>
        <v>0</v>
      </c>
      <c r="L333" s="291">
        <f t="shared" si="147"/>
        <v>0</v>
      </c>
      <c r="M333" s="291">
        <f t="shared" si="147"/>
        <v>0</v>
      </c>
      <c r="N333" s="291">
        <f t="shared" si="147"/>
        <v>0</v>
      </c>
      <c r="O333" s="291">
        <f t="shared" si="147"/>
        <v>0</v>
      </c>
      <c r="P333" s="291">
        <f t="shared" si="147"/>
        <v>0</v>
      </c>
      <c r="Q333" s="291">
        <f t="shared" si="147"/>
        <v>0</v>
      </c>
      <c r="R333" s="291">
        <f t="shared" si="147"/>
        <v>0</v>
      </c>
      <c r="S333" s="291">
        <f t="shared" si="147"/>
        <v>0</v>
      </c>
      <c r="T333" s="291">
        <f t="shared" si="145"/>
        <v>0</v>
      </c>
      <c r="U333" s="291">
        <f t="shared" si="146"/>
        <v>0</v>
      </c>
      <c r="V333" s="816"/>
      <c r="W333" s="292"/>
    </row>
    <row r="334" spans="1:23" s="293" customFormat="1" hidden="1">
      <c r="A334" s="288"/>
      <c r="B334" s="288"/>
      <c r="C334" s="289" t="s">
        <v>460</v>
      </c>
      <c r="D334" s="288" t="s">
        <v>173</v>
      </c>
      <c r="E334" s="288"/>
      <c r="F334" s="288"/>
      <c r="G334" s="288"/>
      <c r="H334" s="291">
        <f t="shared" ref="H334:S334" si="148">H268</f>
        <v>1946.9535030000002</v>
      </c>
      <c r="I334" s="291">
        <f t="shared" si="148"/>
        <v>1774.8344790000001</v>
      </c>
      <c r="J334" s="291">
        <f t="shared" si="148"/>
        <v>1500.0730470000001</v>
      </c>
      <c r="K334" s="291">
        <f t="shared" si="148"/>
        <v>2460.1491603138784</v>
      </c>
      <c r="L334" s="291">
        <f t="shared" si="148"/>
        <v>0</v>
      </c>
      <c r="M334" s="291">
        <f t="shared" si="148"/>
        <v>0</v>
      </c>
      <c r="N334" s="291">
        <f t="shared" si="148"/>
        <v>0</v>
      </c>
      <c r="O334" s="291">
        <f t="shared" si="148"/>
        <v>0</v>
      </c>
      <c r="P334" s="291">
        <f t="shared" si="148"/>
        <v>0</v>
      </c>
      <c r="Q334" s="291">
        <f t="shared" si="148"/>
        <v>0</v>
      </c>
      <c r="R334" s="291">
        <f t="shared" si="148"/>
        <v>0</v>
      </c>
      <c r="S334" s="291">
        <f t="shared" si="148"/>
        <v>0</v>
      </c>
      <c r="T334" s="291">
        <f t="shared" si="145"/>
        <v>7682.010189313879</v>
      </c>
      <c r="U334" s="291">
        <f t="shared" si="146"/>
        <v>1.1254313830251956</v>
      </c>
      <c r="V334" s="816"/>
      <c r="W334" s="292"/>
    </row>
    <row r="335" spans="1:23" s="299" customFormat="1" hidden="1">
      <c r="A335" s="281"/>
      <c r="B335" s="281"/>
      <c r="C335" s="294" t="s">
        <v>397</v>
      </c>
      <c r="D335" s="281" t="s">
        <v>173</v>
      </c>
      <c r="E335" s="281"/>
      <c r="F335" s="281"/>
      <c r="G335" s="281"/>
      <c r="H335" s="296" t="e">
        <f>SUM(H331:H334)</f>
        <v>#REF!</v>
      </c>
      <c r="I335" s="296" t="e">
        <f>SUM(I331:I334)</f>
        <v>#REF!</v>
      </c>
      <c r="J335" s="296" t="e">
        <f t="shared" ref="J335:S335" si="149">SUM(J331:J334)</f>
        <v>#REF!</v>
      </c>
      <c r="K335" s="296" t="e">
        <f t="shared" si="149"/>
        <v>#REF!</v>
      </c>
      <c r="L335" s="296" t="e">
        <f t="shared" si="149"/>
        <v>#REF!</v>
      </c>
      <c r="M335" s="296" t="e">
        <f t="shared" si="149"/>
        <v>#REF!</v>
      </c>
      <c r="N335" s="296" t="e">
        <f t="shared" si="149"/>
        <v>#REF!</v>
      </c>
      <c r="O335" s="296" t="e">
        <f t="shared" si="149"/>
        <v>#REF!</v>
      </c>
      <c r="P335" s="296" t="e">
        <f t="shared" si="149"/>
        <v>#REF!</v>
      </c>
      <c r="Q335" s="296" t="e">
        <f t="shared" si="149"/>
        <v>#REF!</v>
      </c>
      <c r="R335" s="296" t="e">
        <f t="shared" si="149"/>
        <v>#REF!</v>
      </c>
      <c r="S335" s="296" t="e">
        <f t="shared" si="149"/>
        <v>#REF!</v>
      </c>
      <c r="T335" s="296" t="e">
        <f t="shared" si="145"/>
        <v>#REF!</v>
      </c>
      <c r="U335" s="296" t="e">
        <f>T335/T337*100</f>
        <v>#REF!</v>
      </c>
      <c r="V335" s="231"/>
      <c r="W335" s="298"/>
    </row>
    <row r="336" spans="1:23" s="299" customFormat="1" hidden="1">
      <c r="A336" s="281"/>
      <c r="B336" s="281"/>
      <c r="C336" s="294" t="s">
        <v>93</v>
      </c>
      <c r="D336" s="281" t="s">
        <v>173</v>
      </c>
      <c r="E336" s="281"/>
      <c r="F336" s="281"/>
      <c r="G336" s="281"/>
      <c r="H336" s="296">
        <f t="shared" ref="H336:S336" si="150">H298+H283+H264+H244+H178</f>
        <v>11226.092148</v>
      </c>
      <c r="I336" s="296">
        <f t="shared" si="150"/>
        <v>12047.802119999998</v>
      </c>
      <c r="J336" s="296">
        <f t="shared" si="150"/>
        <v>12906.785682</v>
      </c>
      <c r="K336" s="296">
        <f t="shared" si="150"/>
        <v>11438.1147264588</v>
      </c>
      <c r="L336" s="296">
        <f t="shared" si="150"/>
        <v>0</v>
      </c>
      <c r="M336" s="296">
        <f t="shared" si="150"/>
        <v>0</v>
      </c>
      <c r="N336" s="296">
        <f t="shared" si="150"/>
        <v>0</v>
      </c>
      <c r="O336" s="296">
        <f t="shared" si="150"/>
        <v>0</v>
      </c>
      <c r="P336" s="296">
        <f t="shared" si="150"/>
        <v>0</v>
      </c>
      <c r="Q336" s="296">
        <f t="shared" si="150"/>
        <v>0</v>
      </c>
      <c r="R336" s="296">
        <f t="shared" si="150"/>
        <v>0</v>
      </c>
      <c r="S336" s="296">
        <f t="shared" si="150"/>
        <v>0</v>
      </c>
      <c r="T336" s="296">
        <f t="shared" si="145"/>
        <v>47618.794676458798</v>
      </c>
      <c r="U336" s="296">
        <f>T336/T337*100</f>
        <v>6.9762581186456885</v>
      </c>
      <c r="V336" s="231"/>
      <c r="W336" s="298"/>
    </row>
    <row r="337" spans="1:29" hidden="1">
      <c r="A337" s="253"/>
      <c r="B337" s="253"/>
      <c r="C337" s="300" t="s">
        <v>398</v>
      </c>
      <c r="D337" s="253" t="s">
        <v>173</v>
      </c>
      <c r="E337" s="253"/>
      <c r="F337" s="253"/>
      <c r="G337" s="253"/>
      <c r="H337" s="302">
        <f t="shared" ref="H337:S337" si="151">(H$181+H$247+H$269+H$287+H$299)</f>
        <v>57069.074145600003</v>
      </c>
      <c r="I337" s="302">
        <f t="shared" si="151"/>
        <v>47716.625179800001</v>
      </c>
      <c r="J337" s="302">
        <f t="shared" si="151"/>
        <v>64591.852681200005</v>
      </c>
      <c r="K337" s="302">
        <f t="shared" si="151"/>
        <v>56826.668580475693</v>
      </c>
      <c r="L337" s="302">
        <f t="shared" si="151"/>
        <v>57233.911045200002</v>
      </c>
      <c r="M337" s="302">
        <f t="shared" si="151"/>
        <v>62568.239505400001</v>
      </c>
      <c r="N337" s="302">
        <f t="shared" si="151"/>
        <v>51484.597966499998</v>
      </c>
      <c r="O337" s="302">
        <f t="shared" si="151"/>
        <v>57529.121624799998</v>
      </c>
      <c r="P337" s="302">
        <f t="shared" si="151"/>
        <v>57319.477847000009</v>
      </c>
      <c r="Q337" s="302">
        <f t="shared" si="151"/>
        <v>56662.565589200007</v>
      </c>
      <c r="R337" s="302">
        <f t="shared" si="151"/>
        <v>58474.150422800005</v>
      </c>
      <c r="S337" s="302">
        <f t="shared" si="151"/>
        <v>55107.327809999995</v>
      </c>
      <c r="T337" s="302">
        <f t="shared" si="145"/>
        <v>682583.61239797575</v>
      </c>
      <c r="U337" s="353"/>
      <c r="V337" s="257"/>
    </row>
    <row r="338" spans="1:29" hidden="1">
      <c r="A338" s="253"/>
      <c r="B338" s="253"/>
      <c r="C338" s="300" t="s">
        <v>461</v>
      </c>
      <c r="D338" s="253" t="s">
        <v>173</v>
      </c>
      <c r="E338" s="253"/>
      <c r="F338" s="253"/>
      <c r="G338" s="253"/>
      <c r="H338" s="302">
        <f t="shared" ref="H338:S338" si="152">(H$182+H$248+H$270+H$288+H$300)</f>
        <v>57255.281854164488</v>
      </c>
      <c r="I338" s="302">
        <f t="shared" si="152"/>
        <v>45946.437532110969</v>
      </c>
      <c r="J338" s="302">
        <f t="shared" si="152"/>
        <v>63418.805070151924</v>
      </c>
      <c r="K338" s="302">
        <f t="shared" si="152"/>
        <v>54017.414375000371</v>
      </c>
      <c r="L338" s="302">
        <f t="shared" si="152"/>
        <v>53968.815181998405</v>
      </c>
      <c r="M338" s="302">
        <f t="shared" si="152"/>
        <v>59745.692382873982</v>
      </c>
      <c r="N338" s="302">
        <f t="shared" si="152"/>
        <v>51306.858739594958</v>
      </c>
      <c r="O338" s="302">
        <f t="shared" si="152"/>
        <v>56515.150024610528</v>
      </c>
      <c r="P338" s="302">
        <f t="shared" si="152"/>
        <v>58664.542002916009</v>
      </c>
      <c r="Q338" s="302">
        <f t="shared" si="152"/>
        <v>57021.015778491441</v>
      </c>
      <c r="R338" s="302">
        <f t="shared" si="152"/>
        <v>57635.330437943958</v>
      </c>
      <c r="S338" s="302">
        <f t="shared" si="152"/>
        <v>55292.362958264523</v>
      </c>
      <c r="T338" s="302">
        <f t="shared" si="145"/>
        <v>670787.70633812144</v>
      </c>
      <c r="U338" s="353"/>
      <c r="V338" s="257"/>
    </row>
    <row r="339" spans="1:29" hidden="1">
      <c r="A339" s="253"/>
      <c r="B339" s="253"/>
      <c r="C339" s="300" t="s">
        <v>462</v>
      </c>
      <c r="D339" s="253" t="s">
        <v>401</v>
      </c>
      <c r="E339" s="253"/>
      <c r="F339" s="253"/>
      <c r="G339" s="253"/>
      <c r="H339" s="302">
        <f t="shared" ref="H339:T339" si="153">H337/H338*100</f>
        <v>99.674776365543394</v>
      </c>
      <c r="I339" s="302">
        <f t="shared" si="153"/>
        <v>103.85272012972035</v>
      </c>
      <c r="J339" s="302">
        <f t="shared" si="153"/>
        <v>101.84968419028155</v>
      </c>
      <c r="K339" s="302">
        <f t="shared" si="153"/>
        <v>105.20064545476554</v>
      </c>
      <c r="L339" s="302">
        <f t="shared" si="153"/>
        <v>106.04996765667498</v>
      </c>
      <c r="M339" s="302">
        <f t="shared" si="153"/>
        <v>104.72426883002379</v>
      </c>
      <c r="N339" s="302">
        <f t="shared" si="153"/>
        <v>100.34642391148354</v>
      </c>
      <c r="O339" s="302">
        <f t="shared" si="153"/>
        <v>101.79415891092552</v>
      </c>
      <c r="P339" s="302">
        <f t="shared" si="153"/>
        <v>97.707193971020629</v>
      </c>
      <c r="Q339" s="302">
        <f t="shared" si="153"/>
        <v>99.371371792666935</v>
      </c>
      <c r="R339" s="302">
        <f t="shared" si="153"/>
        <v>101.45539199390763</v>
      </c>
      <c r="S339" s="302">
        <f t="shared" si="153"/>
        <v>99.665351346253388</v>
      </c>
      <c r="T339" s="302">
        <f t="shared" si="153"/>
        <v>101.75851554052011</v>
      </c>
      <c r="U339" s="353"/>
      <c r="V339" s="257"/>
    </row>
    <row r="340" spans="1:29" hidden="1">
      <c r="A340" s="330"/>
      <c r="B340" s="331"/>
      <c r="C340" s="355"/>
      <c r="D340" s="331"/>
      <c r="E340" s="253"/>
      <c r="F340" s="253"/>
      <c r="G340" s="253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7"/>
      <c r="S340" s="357"/>
      <c r="T340" s="356"/>
      <c r="U340" s="357"/>
      <c r="V340" s="357"/>
    </row>
    <row r="341" spans="1:29" s="293" customFormat="1" hidden="1">
      <c r="A341" s="288"/>
      <c r="B341" s="288"/>
      <c r="C341" s="289" t="s">
        <v>94</v>
      </c>
      <c r="D341" s="288" t="s">
        <v>173</v>
      </c>
      <c r="E341" s="288"/>
      <c r="F341" s="288"/>
      <c r="G341" s="288"/>
      <c r="H341" s="291">
        <f t="shared" ref="H341:S341" si="154">H195+H218+H219</f>
        <v>122346.20566499997</v>
      </c>
      <c r="I341" s="291">
        <f t="shared" si="154"/>
        <v>109027.608385</v>
      </c>
      <c r="J341" s="291">
        <f t="shared" si="154"/>
        <v>129048.68383299999</v>
      </c>
      <c r="K341" s="291">
        <f t="shared" si="154"/>
        <v>113573.68015300001</v>
      </c>
      <c r="L341" s="291">
        <f t="shared" si="154"/>
        <v>129344.63463399997</v>
      </c>
      <c r="M341" s="291">
        <f t="shared" si="154"/>
        <v>51990.374754000011</v>
      </c>
      <c r="N341" s="291">
        <f t="shared" si="154"/>
        <v>48699.84055500001</v>
      </c>
      <c r="O341" s="291">
        <f t="shared" si="154"/>
        <v>123889.4577357783</v>
      </c>
      <c r="P341" s="291">
        <f t="shared" si="154"/>
        <v>129449.31833700002</v>
      </c>
      <c r="Q341" s="291">
        <f t="shared" si="154"/>
        <v>136425.77874899999</v>
      </c>
      <c r="R341" s="291">
        <f t="shared" si="154"/>
        <v>125278.08770399999</v>
      </c>
      <c r="S341" s="291">
        <f t="shared" si="154"/>
        <v>128570.994274</v>
      </c>
      <c r="T341" s="291">
        <f t="shared" ref="T341:T348" si="155">SUM(H341:S341)</f>
        <v>1347644.6647787781</v>
      </c>
      <c r="U341" s="291">
        <f>T341/$T$347*100</f>
        <v>41.147176221227667</v>
      </c>
      <c r="V341" s="816"/>
      <c r="W341" s="292"/>
    </row>
    <row r="342" spans="1:29" s="293" customFormat="1" hidden="1">
      <c r="A342" s="288"/>
      <c r="B342" s="288"/>
      <c r="C342" s="289" t="s">
        <v>96</v>
      </c>
      <c r="D342" s="288" t="s">
        <v>173</v>
      </c>
      <c r="E342" s="288"/>
      <c r="F342" s="288"/>
      <c r="G342" s="288"/>
      <c r="H342" s="291">
        <f t="shared" ref="H342:S342" si="156">H197+H221</f>
        <v>135846.95786599998</v>
      </c>
      <c r="I342" s="291">
        <f t="shared" si="156"/>
        <v>121169.11981</v>
      </c>
      <c r="J342" s="291">
        <f t="shared" si="156"/>
        <v>137470.08668199999</v>
      </c>
      <c r="K342" s="291">
        <f t="shared" si="156"/>
        <v>117835.01385839999</v>
      </c>
      <c r="L342" s="291">
        <f t="shared" si="156"/>
        <v>134846.706492</v>
      </c>
      <c r="M342" s="291">
        <f t="shared" si="156"/>
        <v>32538.869859999999</v>
      </c>
      <c r="N342" s="291">
        <f t="shared" si="156"/>
        <v>31564.42755</v>
      </c>
      <c r="O342" s="291">
        <f t="shared" si="156"/>
        <v>106926.60024480001</v>
      </c>
      <c r="P342" s="291">
        <f t="shared" si="156"/>
        <v>134313.2482146</v>
      </c>
      <c r="Q342" s="291">
        <f t="shared" si="156"/>
        <v>142008.25837</v>
      </c>
      <c r="R342" s="291">
        <f t="shared" si="156"/>
        <v>142351.16810200003</v>
      </c>
      <c r="S342" s="291">
        <f t="shared" si="156"/>
        <v>149501.20624</v>
      </c>
      <c r="T342" s="291">
        <f t="shared" si="155"/>
        <v>1386371.6632898001</v>
      </c>
      <c r="U342" s="291">
        <f t="shared" ref="U342:U344" si="157">T342/$T$347*100</f>
        <v>42.329614495870203</v>
      </c>
      <c r="V342" s="816"/>
      <c r="W342" s="292"/>
    </row>
    <row r="343" spans="1:29" s="293" customFormat="1" hidden="1">
      <c r="A343" s="288"/>
      <c r="B343" s="288"/>
      <c r="C343" s="289" t="s">
        <v>95</v>
      </c>
      <c r="D343" s="288" t="s">
        <v>173</v>
      </c>
      <c r="E343" s="288"/>
      <c r="F343" s="288"/>
      <c r="G343" s="288"/>
      <c r="H343" s="291">
        <f t="shared" ref="H343:S343" si="158">H222</f>
        <v>15314.156450646553</v>
      </c>
      <c r="I343" s="291">
        <f t="shared" si="158"/>
        <v>15264.287432471267</v>
      </c>
      <c r="J343" s="291">
        <f t="shared" si="158"/>
        <v>16184.043746408046</v>
      </c>
      <c r="K343" s="291">
        <f t="shared" si="158"/>
        <v>10821.549210416666</v>
      </c>
      <c r="L343" s="291">
        <f t="shared" si="158"/>
        <v>17542.822796192529</v>
      </c>
      <c r="M343" s="291">
        <f t="shared" si="158"/>
        <v>0</v>
      </c>
      <c r="N343" s="291">
        <f t="shared" si="158"/>
        <v>0</v>
      </c>
      <c r="O343" s="291">
        <f t="shared" si="158"/>
        <v>29503.296877370685</v>
      </c>
      <c r="P343" s="291">
        <f t="shared" si="158"/>
        <v>14766.801221264368</v>
      </c>
      <c r="Q343" s="291">
        <f t="shared" si="158"/>
        <v>8508.5439214080452</v>
      </c>
      <c r="R343" s="291">
        <f t="shared" si="158"/>
        <v>6031.2579197557479</v>
      </c>
      <c r="S343" s="291">
        <f t="shared" si="158"/>
        <v>6162.3840918103442</v>
      </c>
      <c r="T343" s="291">
        <f t="shared" si="155"/>
        <v>140099.14366774424</v>
      </c>
      <c r="U343" s="291">
        <f t="shared" si="157"/>
        <v>4.2775995064589694</v>
      </c>
      <c r="V343" s="816"/>
      <c r="W343" s="292"/>
    </row>
    <row r="344" spans="1:29" s="293" customFormat="1" hidden="1">
      <c r="A344" s="288"/>
      <c r="B344" s="288"/>
      <c r="C344" s="289" t="s">
        <v>140</v>
      </c>
      <c r="D344" s="288" t="s">
        <v>173</v>
      </c>
      <c r="E344" s="288"/>
      <c r="F344" s="288"/>
      <c r="G344" s="288"/>
      <c r="H344" s="291">
        <f t="shared" ref="H344:S344" si="159">H220+H196</f>
        <v>8685.7010104515484</v>
      </c>
      <c r="I344" s="291">
        <f t="shared" si="159"/>
        <v>8273.5359088280056</v>
      </c>
      <c r="J344" s="291">
        <f t="shared" si="159"/>
        <v>10825.056590593607</v>
      </c>
      <c r="K344" s="291">
        <f t="shared" si="159"/>
        <v>11649.303056905126</v>
      </c>
      <c r="L344" s="291">
        <f t="shared" si="159"/>
        <v>11991.986114611871</v>
      </c>
      <c r="M344" s="291">
        <f t="shared" si="159"/>
        <v>0</v>
      </c>
      <c r="N344" s="291">
        <f t="shared" si="159"/>
        <v>572.73836322678858</v>
      </c>
      <c r="O344" s="291">
        <f t="shared" si="159"/>
        <v>7633.7156242110605</v>
      </c>
      <c r="P344" s="291">
        <f t="shared" si="159"/>
        <v>13610.984880771182</v>
      </c>
      <c r="Q344" s="291">
        <f t="shared" si="159"/>
        <v>15393.069339441909</v>
      </c>
      <c r="R344" s="291">
        <f t="shared" si="159"/>
        <v>15000.787502546931</v>
      </c>
      <c r="S344" s="291">
        <f t="shared" si="159"/>
        <v>16145.691831557588</v>
      </c>
      <c r="T344" s="291">
        <f t="shared" si="155"/>
        <v>119782.57022314561</v>
      </c>
      <c r="U344" s="291">
        <f t="shared" si="157"/>
        <v>3.6572804790589371</v>
      </c>
      <c r="V344" s="816"/>
      <c r="W344" s="292"/>
    </row>
    <row r="345" spans="1:29" s="299" customFormat="1" hidden="1">
      <c r="A345" s="281"/>
      <c r="B345" s="281"/>
      <c r="C345" s="294" t="s">
        <v>397</v>
      </c>
      <c r="D345" s="281" t="s">
        <v>173</v>
      </c>
      <c r="E345" s="281"/>
      <c r="F345" s="281"/>
      <c r="G345" s="281"/>
      <c r="H345" s="296">
        <f>SUM(H341:H344)</f>
        <v>282193.02099209809</v>
      </c>
      <c r="I345" s="296">
        <f t="shared" ref="I345:S345" si="160">SUM(I341:I344)</f>
        <v>253734.55153629926</v>
      </c>
      <c r="J345" s="296">
        <f t="shared" si="160"/>
        <v>293527.87085200165</v>
      </c>
      <c r="K345" s="296">
        <f t="shared" si="160"/>
        <v>253879.5462787218</v>
      </c>
      <c r="L345" s="296">
        <f t="shared" si="160"/>
        <v>293726.15003680438</v>
      </c>
      <c r="M345" s="296">
        <f t="shared" si="160"/>
        <v>84529.24461400001</v>
      </c>
      <c r="N345" s="296">
        <f t="shared" si="160"/>
        <v>80837.006468226798</v>
      </c>
      <c r="O345" s="296">
        <f t="shared" si="160"/>
        <v>267953.07048216002</v>
      </c>
      <c r="P345" s="296">
        <f t="shared" si="160"/>
        <v>292140.35265363555</v>
      </c>
      <c r="Q345" s="296">
        <f t="shared" si="160"/>
        <v>302335.65037984995</v>
      </c>
      <c r="R345" s="296">
        <f t="shared" si="160"/>
        <v>288661.30122830271</v>
      </c>
      <c r="S345" s="296">
        <f t="shared" si="160"/>
        <v>300380.27643736795</v>
      </c>
      <c r="T345" s="296">
        <f t="shared" si="155"/>
        <v>2993898.0419594678</v>
      </c>
      <c r="U345" s="296">
        <f>T345/T347*100</f>
        <v>91.41167070261578</v>
      </c>
      <c r="V345" s="231"/>
      <c r="W345" s="298"/>
    </row>
    <row r="346" spans="1:29" s="299" customFormat="1" hidden="1">
      <c r="A346" s="281"/>
      <c r="B346" s="281"/>
      <c r="C346" s="294" t="s">
        <v>93</v>
      </c>
      <c r="D346" s="281" t="s">
        <v>173</v>
      </c>
      <c r="E346" s="281"/>
      <c r="F346" s="281"/>
      <c r="G346" s="281"/>
      <c r="H346" s="296">
        <f t="shared" ref="H346:S346" si="161">H217+H194</f>
        <v>15365.080800000002</v>
      </c>
      <c r="I346" s="296">
        <f t="shared" si="161"/>
        <v>14160.4956</v>
      </c>
      <c r="J346" s="296">
        <f t="shared" si="161"/>
        <v>15868.666800000001</v>
      </c>
      <c r="K346" s="296">
        <f t="shared" si="161"/>
        <v>13647.902399999999</v>
      </c>
      <c r="L346" s="296">
        <f t="shared" si="161"/>
        <v>15615.953999999998</v>
      </c>
      <c r="M346" s="296">
        <f t="shared" si="161"/>
        <v>5457.6</v>
      </c>
      <c r="N346" s="296">
        <f t="shared" si="161"/>
        <v>5578.5744000000004</v>
      </c>
      <c r="O346" s="296">
        <f t="shared" si="161"/>
        <v>14512.5576</v>
      </c>
      <c r="P346" s="296">
        <f t="shared" si="161"/>
        <v>17258.597999999998</v>
      </c>
      <c r="Q346" s="296">
        <f t="shared" si="161"/>
        <v>17938.256399999998</v>
      </c>
      <c r="R346" s="296">
        <f t="shared" si="161"/>
        <v>17189.7408</v>
      </c>
      <c r="S346" s="296">
        <f t="shared" si="161"/>
        <v>17761.7268</v>
      </c>
      <c r="T346" s="296">
        <f t="shared" si="155"/>
        <v>170355.15359999999</v>
      </c>
      <c r="U346" s="296">
        <f>T346/T347*100</f>
        <v>5.2013959677747614</v>
      </c>
      <c r="V346" s="231"/>
      <c r="W346" s="298"/>
    </row>
    <row r="347" spans="1:29" hidden="1">
      <c r="A347" s="253"/>
      <c r="B347" s="253"/>
      <c r="C347" s="300" t="s">
        <v>398</v>
      </c>
      <c r="D347" s="253" t="s">
        <v>173</v>
      </c>
      <c r="E347" s="253"/>
      <c r="F347" s="253"/>
      <c r="G347" s="253"/>
      <c r="H347" s="302">
        <f t="shared" ref="H347:S347" si="162">H224+H198</f>
        <v>297159.28520348063</v>
      </c>
      <c r="I347" s="302">
        <f t="shared" si="162"/>
        <v>270202.9175097004</v>
      </c>
      <c r="J347" s="302">
        <f t="shared" si="162"/>
        <v>305935.75004641351</v>
      </c>
      <c r="K347" s="302">
        <f t="shared" si="162"/>
        <v>273471.34825301811</v>
      </c>
      <c r="L347" s="302">
        <f t="shared" si="162"/>
        <v>307730.46239674534</v>
      </c>
      <c r="M347" s="302">
        <f t="shared" si="162"/>
        <v>89986.844614000001</v>
      </c>
      <c r="N347" s="302">
        <f t="shared" si="162"/>
        <v>86415.580868226796</v>
      </c>
      <c r="O347" s="302">
        <f t="shared" si="162"/>
        <v>288749.26817370002</v>
      </c>
      <c r="P347" s="302">
        <f t="shared" si="162"/>
        <v>317959.66820763552</v>
      </c>
      <c r="Q347" s="302">
        <f t="shared" si="162"/>
        <v>351537.78169618989</v>
      </c>
      <c r="R347" s="302">
        <f t="shared" si="162"/>
        <v>336226.02054830268</v>
      </c>
      <c r="S347" s="302">
        <f t="shared" si="162"/>
        <v>349806.47869420797</v>
      </c>
      <c r="T347" s="302">
        <f t="shared" si="155"/>
        <v>3275181.4062116211</v>
      </c>
      <c r="U347" s="353"/>
      <c r="V347" s="257"/>
    </row>
    <row r="348" spans="1:29" hidden="1">
      <c r="A348" s="253"/>
      <c r="B348" s="253"/>
      <c r="C348" s="300" t="s">
        <v>461</v>
      </c>
      <c r="D348" s="253" t="s">
        <v>173</v>
      </c>
      <c r="E348" s="253"/>
      <c r="F348" s="253"/>
      <c r="G348" s="253"/>
      <c r="H348" s="302" t="e">
        <f>#REF!+H199</f>
        <v>#REF!</v>
      </c>
      <c r="I348" s="302" t="e">
        <f>#REF!+I199</f>
        <v>#REF!</v>
      </c>
      <c r="J348" s="302" t="e">
        <f>#REF!+J199</f>
        <v>#REF!</v>
      </c>
      <c r="K348" s="302" t="e">
        <f>#REF!+K199</f>
        <v>#REF!</v>
      </c>
      <c r="L348" s="302" t="e">
        <f>#REF!+L199</f>
        <v>#REF!</v>
      </c>
      <c r="M348" s="302" t="e">
        <f>#REF!+M199</f>
        <v>#REF!</v>
      </c>
      <c r="N348" s="302" t="e">
        <f>#REF!+N199</f>
        <v>#REF!</v>
      </c>
      <c r="O348" s="302" t="e">
        <f>#REF!+O199</f>
        <v>#REF!</v>
      </c>
      <c r="P348" s="302" t="e">
        <f>#REF!+P199</f>
        <v>#REF!</v>
      </c>
      <c r="Q348" s="302" t="e">
        <f>#REF!+Q199</f>
        <v>#REF!</v>
      </c>
      <c r="R348" s="302" t="e">
        <f>#REF!+R199</f>
        <v>#REF!</v>
      </c>
      <c r="S348" s="302" t="e">
        <f>#REF!+S199</f>
        <v>#REF!</v>
      </c>
      <c r="T348" s="302" t="e">
        <f t="shared" si="155"/>
        <v>#REF!</v>
      </c>
      <c r="U348" s="353"/>
      <c r="V348" s="257"/>
    </row>
    <row r="349" spans="1:29" hidden="1">
      <c r="A349" s="253"/>
      <c r="B349" s="253"/>
      <c r="C349" s="300" t="s">
        <v>463</v>
      </c>
      <c r="D349" s="253" t="s">
        <v>401</v>
      </c>
      <c r="E349" s="253"/>
      <c r="F349" s="253"/>
      <c r="G349" s="253"/>
      <c r="H349" s="302" t="e">
        <f t="shared" ref="H349:Q349" si="163">H347/H348*100</f>
        <v>#REF!</v>
      </c>
      <c r="I349" s="302" t="e">
        <f t="shared" si="163"/>
        <v>#REF!</v>
      </c>
      <c r="J349" s="302" t="e">
        <f t="shared" si="163"/>
        <v>#REF!</v>
      </c>
      <c r="K349" s="302" t="e">
        <f t="shared" si="163"/>
        <v>#REF!</v>
      </c>
      <c r="L349" s="302" t="e">
        <f t="shared" si="163"/>
        <v>#REF!</v>
      </c>
      <c r="M349" s="302" t="e">
        <f t="shared" si="163"/>
        <v>#REF!</v>
      </c>
      <c r="N349" s="302" t="e">
        <f t="shared" si="163"/>
        <v>#REF!</v>
      </c>
      <c r="O349" s="302" t="e">
        <f t="shared" si="163"/>
        <v>#REF!</v>
      </c>
      <c r="P349" s="302" t="e">
        <f t="shared" si="163"/>
        <v>#REF!</v>
      </c>
      <c r="Q349" s="302" t="e">
        <f t="shared" si="163"/>
        <v>#REF!</v>
      </c>
      <c r="R349" s="353"/>
      <c r="S349" s="353"/>
      <c r="T349" s="302" t="e">
        <f t="shared" ref="T349" si="164">T347/T348*100</f>
        <v>#REF!</v>
      </c>
      <c r="U349" s="353"/>
      <c r="V349" s="257"/>
    </row>
    <row r="350" spans="1:29" hidden="1">
      <c r="A350" s="330"/>
      <c r="B350" s="331"/>
      <c r="C350" s="355"/>
      <c r="D350" s="331"/>
      <c r="E350" s="62"/>
      <c r="F350" s="321"/>
      <c r="G350" s="238"/>
      <c r="H350" s="356"/>
      <c r="I350" s="356"/>
      <c r="J350" s="356"/>
      <c r="K350" s="356"/>
      <c r="L350" s="356"/>
      <c r="M350" s="356"/>
      <c r="N350" s="356"/>
      <c r="O350" s="356"/>
      <c r="P350" s="356"/>
      <c r="Q350" s="356"/>
      <c r="R350" s="356"/>
      <c r="S350" s="356"/>
      <c r="T350" s="356"/>
      <c r="U350" s="358"/>
      <c r="V350" s="358"/>
    </row>
    <row r="351" spans="1:29" hidden="1">
      <c r="A351" s="222">
        <v>16</v>
      </c>
      <c r="B351" s="220" t="s">
        <v>109</v>
      </c>
      <c r="C351" s="317" t="s">
        <v>138</v>
      </c>
      <c r="D351" s="222" t="s">
        <v>90</v>
      </c>
      <c r="E351" s="238">
        <f>'[2]Price&amp;Heating-Value'!$R$6</f>
        <v>3.6</v>
      </c>
      <c r="F351" s="62"/>
      <c r="G351" s="256">
        <f>'[2]Price&amp;Heating-Value'!$P$6</f>
        <v>2.7124999999999999</v>
      </c>
      <c r="H351" s="226">
        <v>1433851.9799999997</v>
      </c>
      <c r="I351" s="226">
        <v>1462112.25</v>
      </c>
      <c r="J351" s="226">
        <v>1649827.5399999996</v>
      </c>
      <c r="K351" s="226">
        <v>1574451.5300000005</v>
      </c>
      <c r="L351" s="226">
        <v>1639995.9999999998</v>
      </c>
      <c r="M351" s="226">
        <v>1569170.9999999998</v>
      </c>
      <c r="N351" s="226">
        <v>1541652.3000000003</v>
      </c>
      <c r="O351" s="226">
        <v>1444381.9999999995</v>
      </c>
      <c r="P351" s="226">
        <v>1561165.9999999993</v>
      </c>
      <c r="Q351" s="226">
        <v>1601827.4899999998</v>
      </c>
      <c r="R351" s="226">
        <v>1547811.9999999993</v>
      </c>
      <c r="S351" s="226">
        <v>1610939</v>
      </c>
      <c r="T351" s="226">
        <f t="shared" ref="T351:T361" si="165">SUM(H351:S351)</f>
        <v>18637189.09</v>
      </c>
      <c r="U351" s="226">
        <f>T351*E351</f>
        <v>67093880.723999999</v>
      </c>
      <c r="V351" s="226">
        <f>G351*T351</f>
        <v>50553375.406624995</v>
      </c>
      <c r="W351" s="227">
        <f>'[2]Price&amp;Heating-Value'!D$6</f>
        <v>2.4500000000000002</v>
      </c>
      <c r="X351" s="227">
        <f>'[2]Price&amp;Heating-Value'!E$6</f>
        <v>2.54</v>
      </c>
      <c r="Y351" s="227">
        <f>'[2]Price&amp;Heating-Value'!F$6</f>
        <v>2.58</v>
      </c>
      <c r="Z351" s="227">
        <f>'[2]Price&amp;Heating-Value'!G$6</f>
        <v>2.67</v>
      </c>
      <c r="AA351" s="227">
        <f>'[2]Price&amp;Heating-Value'!H$6</f>
        <v>2.67</v>
      </c>
      <c r="AB351" s="227">
        <f>'[2]Price&amp;Heating-Value'!I$6</f>
        <v>2.67</v>
      </c>
      <c r="AC351" s="227">
        <f>'[2]Price&amp;Heating-Value'!J$6</f>
        <v>2.62</v>
      </c>
    </row>
    <row r="352" spans="1:29" hidden="1">
      <c r="A352" s="62"/>
      <c r="B352" s="62"/>
      <c r="C352" s="278" t="s">
        <v>464</v>
      </c>
      <c r="D352" s="62" t="s">
        <v>121</v>
      </c>
      <c r="E352" s="62">
        <f>'[2]Price&amp;Heating-Value'!$R$9</f>
        <v>2803</v>
      </c>
      <c r="F352" s="62"/>
      <c r="G352" s="230">
        <f>'[2]Price&amp;Heating-Value'!$P$9</f>
        <v>1301.5833333333333</v>
      </c>
      <c r="H352" s="225">
        <v>5385.2910000000002</v>
      </c>
      <c r="I352" s="225">
        <v>4794.396999999999</v>
      </c>
      <c r="J352" s="225">
        <v>5295.2540000000008</v>
      </c>
      <c r="K352" s="225">
        <v>5248.222999999999</v>
      </c>
      <c r="L352" s="225">
        <v>5024.6569999999983</v>
      </c>
      <c r="M352" s="225">
        <v>5248.9530000000004</v>
      </c>
      <c r="N352" s="225">
        <v>5298.8520000000008</v>
      </c>
      <c r="O352" s="225">
        <v>5610.7899999999991</v>
      </c>
      <c r="P352" s="225">
        <v>5664.5430000000006</v>
      </c>
      <c r="Q352" s="225">
        <v>5651.342999999998</v>
      </c>
      <c r="R352" s="225">
        <v>5346.4150000000009</v>
      </c>
      <c r="S352" s="225">
        <v>5056.5050000000001</v>
      </c>
      <c r="T352" s="226">
        <f t="shared" si="165"/>
        <v>63625.222999999998</v>
      </c>
      <c r="U352" s="225">
        <f>T352*E352</f>
        <v>178341500.06900001</v>
      </c>
      <c r="V352" s="225">
        <f>G352*T352</f>
        <v>82813529.836416662</v>
      </c>
      <c r="W352" s="232">
        <f>'[2]Price&amp;Heating-Value'!D$9</f>
        <v>1210</v>
      </c>
      <c r="X352" s="232">
        <f>'[2]Price&amp;Heating-Value'!E$9</f>
        <v>1218</v>
      </c>
      <c r="Y352" s="232">
        <f>'[2]Price&amp;Heating-Value'!F$9</f>
        <v>1207</v>
      </c>
      <c r="Z352" s="232">
        <f>'[2]Price&amp;Heating-Value'!G$9</f>
        <v>1232</v>
      </c>
      <c r="AA352" s="232">
        <f>'[2]Price&amp;Heating-Value'!H$9</f>
        <v>1352</v>
      </c>
      <c r="AB352" s="232">
        <f>'[2]Price&amp;Heating-Value'!I$9</f>
        <v>1491</v>
      </c>
      <c r="AC352" s="232">
        <f>'[2]Price&amp;Heating-Value'!J$9</f>
        <v>1588</v>
      </c>
    </row>
    <row r="353" spans="1:29" hidden="1">
      <c r="A353" s="62"/>
      <c r="B353" s="62"/>
      <c r="C353" s="278" t="s">
        <v>408</v>
      </c>
      <c r="D353" s="62" t="s">
        <v>176</v>
      </c>
      <c r="E353" s="238">
        <f>'[2]Price&amp;Heating-Value'!$S$16/1000</f>
        <v>39.770000000000003</v>
      </c>
      <c r="F353" s="321">
        <f>'[2]Price&amp;Heating-Value'!$T$16</f>
        <v>0.98550000000000004</v>
      </c>
      <c r="G353" s="230">
        <f>'[2]Price&amp;Heating-Value'!$P$16*'[2]Price&amp;Heating-Value'!$T$16/1000</f>
        <v>17.944656726937499</v>
      </c>
      <c r="H353" s="225">
        <f>1458.309184*1000</f>
        <v>1458309.1839999999</v>
      </c>
      <c r="I353" s="225">
        <f>1604.756992*1000</f>
        <v>1604756.9920000001</v>
      </c>
      <c r="J353" s="225">
        <f>2095.79156*1000</f>
        <v>2095791.56</v>
      </c>
      <c r="K353" s="225">
        <f>1701.732872*1000</f>
        <v>1701732.872</v>
      </c>
      <c r="L353" s="225">
        <f>1829.77267*1000</f>
        <v>1829772.6700000002</v>
      </c>
      <c r="M353" s="225">
        <f>1562.7189*1000</f>
        <v>1562718.9000000001</v>
      </c>
      <c r="N353" s="225">
        <f>1390.236364*1000</f>
        <v>1390236.3640000001</v>
      </c>
      <c r="O353" s="225">
        <f>1623.471318*1000</f>
        <v>1623471.3180000002</v>
      </c>
      <c r="P353" s="225">
        <f>1886.980282*1000</f>
        <v>1886980.2819999999</v>
      </c>
      <c r="Q353" s="225">
        <f>1460.503497*1000</f>
        <v>1460503.497</v>
      </c>
      <c r="R353" s="225">
        <f>1624.960717*1000</f>
        <v>1624960.7169999999</v>
      </c>
      <c r="S353" s="225">
        <f>1690.733179*1000</f>
        <v>1690733.179</v>
      </c>
      <c r="T353" s="225">
        <f t="shared" si="165"/>
        <v>19929967.535</v>
      </c>
      <c r="U353" s="225">
        <f>T353*E353</f>
        <v>792614808.86695004</v>
      </c>
      <c r="V353" s="225">
        <f>G353*T353</f>
        <v>357636425.99458373</v>
      </c>
      <c r="W353" s="322">
        <f>'[2]Price&amp;Heating-Value'!D$16*'[2]Price&amp;Heating-Value'!$T$16/1000</f>
        <v>16.779635460000002</v>
      </c>
      <c r="X353" s="232">
        <f>'[2]Price&amp;Heating-Value'!E$16*'[2]Price&amp;Heating-Value'!$T$16/1000</f>
        <v>16.47036585</v>
      </c>
      <c r="Y353" s="232">
        <f>'[2]Price&amp;Heating-Value'!F$16*'[2]Price&amp;Heating-Value'!$T$16/1000</f>
        <v>16.780118354999999</v>
      </c>
      <c r="Z353" s="232">
        <f>'[2]Price&amp;Heating-Value'!G$16*'[2]Price&amp;Heating-Value'!$T$16/1000</f>
        <v>18.287135100000004</v>
      </c>
      <c r="AA353" s="232">
        <f>'[2]Price&amp;Heating-Value'!H$16*'[2]Price&amp;Heating-Value'!$T$16/1000</f>
        <v>20.715278985000001</v>
      </c>
      <c r="AB353" s="232">
        <f>'[2]Price&amp;Heating-Value'!I$16*'[2]Price&amp;Heating-Value'!$T$16/1000</f>
        <v>22.335056640000001</v>
      </c>
      <c r="AC353" s="232">
        <f>'[2]Price&amp;Heating-Value'!J$16*'[2]Price&amp;Heating-Value'!$T$16/1000</f>
        <v>25.718475240000004</v>
      </c>
    </row>
    <row r="354" spans="1:29" hidden="1">
      <c r="A354" s="62"/>
      <c r="B354" s="62"/>
      <c r="C354" s="278" t="s">
        <v>429</v>
      </c>
      <c r="D354" s="62" t="s">
        <v>102</v>
      </c>
      <c r="E354" s="62">
        <f>'[2]Price&amp;Heating-Value'!$R$23/1000</f>
        <v>50.22</v>
      </c>
      <c r="F354" s="62"/>
      <c r="G354" s="230">
        <f>'[2]Price&amp;Heating-Value'!$P$23/1000</f>
        <v>11.61472</v>
      </c>
      <c r="H354" s="225">
        <f>1154.650889*1000</f>
        <v>1154650.889</v>
      </c>
      <c r="I354" s="225">
        <f>1257.620693*1000</f>
        <v>1257620.693</v>
      </c>
      <c r="J354" s="225">
        <f>1412.54478*1000</f>
        <v>1412544.78</v>
      </c>
      <c r="K354" s="225">
        <f>1467.642307*1000</f>
        <v>1467642.307</v>
      </c>
      <c r="L354" s="225">
        <f>1340.477517*1000</f>
        <v>1340477.517</v>
      </c>
      <c r="M354" s="225">
        <f>1436.22411*1000</f>
        <v>1436224.11</v>
      </c>
      <c r="N354" s="225">
        <f>1538.094587*1000</f>
        <v>1538094.5870000001</v>
      </c>
      <c r="O354" s="225">
        <f>1175.226484*1000</f>
        <v>1175226.4839999999</v>
      </c>
      <c r="P354" s="225">
        <f>1078.447507*1000</f>
        <v>1078447.507</v>
      </c>
      <c r="Q354" s="225">
        <f>1422.63607*1000</f>
        <v>1422636.07</v>
      </c>
      <c r="R354" s="225">
        <f>1367.660378*1000</f>
        <v>1367660.378</v>
      </c>
      <c r="S354" s="225">
        <f>1648.861334*1000</f>
        <v>1648861.334</v>
      </c>
      <c r="T354" s="225">
        <f t="shared" si="165"/>
        <v>16300086.655999999</v>
      </c>
      <c r="U354" s="225">
        <f>T354*E354</f>
        <v>818590351.86431992</v>
      </c>
      <c r="V354" s="225">
        <f>G354*T354</f>
        <v>189320942.48517632</v>
      </c>
      <c r="W354" s="232">
        <f>'[2]Price&amp;Heating-Value'!D$23/1000</f>
        <v>11.61472</v>
      </c>
      <c r="X354" s="232">
        <f>'[2]Price&amp;Heating-Value'!E$23/1000</f>
        <v>11.61472</v>
      </c>
      <c r="Y354" s="232">
        <f>'[2]Price&amp;Heating-Value'!F$23/1000</f>
        <v>11.61472</v>
      </c>
      <c r="Z354" s="232">
        <f>'[2]Price&amp;Heating-Value'!G$23/1000</f>
        <v>11.61472</v>
      </c>
      <c r="AA354" s="232">
        <f>'[2]Price&amp;Heating-Value'!H$23/1000</f>
        <v>11.61472</v>
      </c>
      <c r="AB354" s="232">
        <f>'[2]Price&amp;Heating-Value'!I$23/1000</f>
        <v>11.61472</v>
      </c>
      <c r="AC354" s="232">
        <f>'[2]Price&amp;Heating-Value'!J$23/1000</f>
        <v>11.61472</v>
      </c>
    </row>
    <row r="355" spans="1:29" hidden="1">
      <c r="A355" s="253"/>
      <c r="B355" s="233"/>
      <c r="C355" s="234" t="s">
        <v>468</v>
      </c>
      <c r="D355" s="233" t="s">
        <v>121</v>
      </c>
      <c r="E355" s="233"/>
      <c r="F355" s="233"/>
      <c r="G355" s="253"/>
      <c r="H355" s="264">
        <v>181254.62825799998</v>
      </c>
      <c r="I355" s="264">
        <v>196759.39728799995</v>
      </c>
      <c r="J355" s="264">
        <v>235588.82324999999</v>
      </c>
      <c r="K355" s="264">
        <v>211134.55903099998</v>
      </c>
      <c r="L355" s="264">
        <v>218580.44906200003</v>
      </c>
      <c r="M355" s="264">
        <v>214970.98613300003</v>
      </c>
      <c r="N355" s="264">
        <v>203081.09222699993</v>
      </c>
      <c r="O355" s="264">
        <v>185840.685875</v>
      </c>
      <c r="P355" s="264">
        <v>215981.797593</v>
      </c>
      <c r="Q355" s="264">
        <v>207216.67686800004</v>
      </c>
      <c r="R355" s="264">
        <v>194659.474242</v>
      </c>
      <c r="S355" s="264">
        <v>202910.20391399998</v>
      </c>
      <c r="T355" s="236">
        <f t="shared" si="165"/>
        <v>2467978.7737409999</v>
      </c>
      <c r="U355" s="259"/>
      <c r="V355" s="785" t="e">
        <f>#REF!/T355</f>
        <v>#REF!</v>
      </c>
    </row>
    <row r="356" spans="1:29" hidden="1">
      <c r="A356" s="253"/>
      <c r="B356" s="253"/>
      <c r="C356" s="278" t="s">
        <v>138</v>
      </c>
      <c r="D356" s="253" t="s">
        <v>173</v>
      </c>
      <c r="E356" s="360"/>
      <c r="F356" s="361"/>
      <c r="G356" s="253"/>
      <c r="H356" s="277">
        <f t="shared" ref="H356:S356" si="166">H351*$E$351/1000</f>
        <v>5161.8671279999999</v>
      </c>
      <c r="I356" s="277">
        <f t="shared" si="166"/>
        <v>5263.6041000000005</v>
      </c>
      <c r="J356" s="277">
        <f t="shared" si="166"/>
        <v>5939.3791439999986</v>
      </c>
      <c r="K356" s="277">
        <f t="shared" si="166"/>
        <v>5668.0255080000024</v>
      </c>
      <c r="L356" s="277">
        <f t="shared" si="166"/>
        <v>5903.9856</v>
      </c>
      <c r="M356" s="277">
        <f t="shared" si="166"/>
        <v>5649.0155999999997</v>
      </c>
      <c r="N356" s="277">
        <f t="shared" si="166"/>
        <v>5549.9482800000014</v>
      </c>
      <c r="O356" s="277">
        <f t="shared" si="166"/>
        <v>5199.7751999999982</v>
      </c>
      <c r="P356" s="277">
        <f t="shared" si="166"/>
        <v>5620.1975999999977</v>
      </c>
      <c r="Q356" s="277">
        <f t="shared" si="166"/>
        <v>5766.5789639999994</v>
      </c>
      <c r="R356" s="277">
        <f t="shared" si="166"/>
        <v>5572.1231999999973</v>
      </c>
      <c r="S356" s="277">
        <f t="shared" si="166"/>
        <v>5799.3804</v>
      </c>
      <c r="T356" s="277">
        <f t="shared" si="165"/>
        <v>67093.880723999988</v>
      </c>
      <c r="U356" s="277"/>
      <c r="V356" s="277"/>
    </row>
    <row r="357" spans="1:29" hidden="1">
      <c r="A357" s="253"/>
      <c r="B357" s="253"/>
      <c r="C357" s="278" t="s">
        <v>464</v>
      </c>
      <c r="D357" s="253" t="s">
        <v>173</v>
      </c>
      <c r="E357" s="62"/>
      <c r="F357" s="62"/>
      <c r="G357" s="253"/>
      <c r="H357" s="277">
        <f t="shared" ref="H357:S357" si="167">H352*$E$352/1000</f>
        <v>15094.970673</v>
      </c>
      <c r="I357" s="277">
        <f t="shared" si="167"/>
        <v>13438.694790999998</v>
      </c>
      <c r="J357" s="277">
        <f t="shared" si="167"/>
        <v>14842.596962000003</v>
      </c>
      <c r="K357" s="277">
        <f t="shared" si="167"/>
        <v>14710.769068999996</v>
      </c>
      <c r="L357" s="277">
        <f t="shared" si="167"/>
        <v>14084.113570999994</v>
      </c>
      <c r="M357" s="277">
        <f t="shared" si="167"/>
        <v>14712.815259000001</v>
      </c>
      <c r="N357" s="277">
        <f t="shared" si="167"/>
        <v>14852.682156000001</v>
      </c>
      <c r="O357" s="277">
        <f t="shared" si="167"/>
        <v>15727.044369999998</v>
      </c>
      <c r="P357" s="277">
        <f t="shared" si="167"/>
        <v>15877.714029000001</v>
      </c>
      <c r="Q357" s="277">
        <f t="shared" si="167"/>
        <v>15840.714428999994</v>
      </c>
      <c r="R357" s="277">
        <f t="shared" si="167"/>
        <v>14986.001245000003</v>
      </c>
      <c r="S357" s="277">
        <f t="shared" si="167"/>
        <v>14173.383515000001</v>
      </c>
      <c r="T357" s="277">
        <f t="shared" si="165"/>
        <v>178341.50006899997</v>
      </c>
      <c r="U357" s="277"/>
      <c r="V357" s="277"/>
    </row>
    <row r="358" spans="1:29" hidden="1">
      <c r="A358" s="253"/>
      <c r="B358" s="253"/>
      <c r="C358" s="278" t="s">
        <v>408</v>
      </c>
      <c r="D358" s="253" t="s">
        <v>173</v>
      </c>
      <c r="E358" s="62"/>
      <c r="F358" s="62"/>
      <c r="G358" s="253"/>
      <c r="H358" s="277">
        <f t="shared" ref="H358:S358" si="168">H353*$E$353/1000</f>
        <v>57996.956247679998</v>
      </c>
      <c r="I358" s="277">
        <f t="shared" si="168"/>
        <v>63821.185571840011</v>
      </c>
      <c r="J358" s="277">
        <f t="shared" si="168"/>
        <v>83349.630341200012</v>
      </c>
      <c r="K358" s="277">
        <f t="shared" si="168"/>
        <v>67677.916319440003</v>
      </c>
      <c r="L358" s="277">
        <f t="shared" si="168"/>
        <v>72770.059085900008</v>
      </c>
      <c r="M358" s="277">
        <f t="shared" si="168"/>
        <v>62149.330653000012</v>
      </c>
      <c r="N358" s="277">
        <f t="shared" si="168"/>
        <v>55289.700196280013</v>
      </c>
      <c r="O358" s="277">
        <f t="shared" si="168"/>
        <v>64565.454316860014</v>
      </c>
      <c r="P358" s="277">
        <f t="shared" si="168"/>
        <v>75045.205815140012</v>
      </c>
      <c r="Q358" s="277">
        <f t="shared" si="168"/>
        <v>58084.224075689999</v>
      </c>
      <c r="R358" s="277">
        <f t="shared" si="168"/>
        <v>64624.687715090004</v>
      </c>
      <c r="S358" s="277">
        <f t="shared" si="168"/>
        <v>67240.45852883</v>
      </c>
      <c r="T358" s="277">
        <f t="shared" si="165"/>
        <v>792614.80886695022</v>
      </c>
      <c r="U358" s="277"/>
      <c r="V358" s="277"/>
    </row>
    <row r="359" spans="1:29" hidden="1">
      <c r="A359" s="253"/>
      <c r="B359" s="253"/>
      <c r="C359" s="278" t="s">
        <v>456</v>
      </c>
      <c r="D359" s="253" t="s">
        <v>173</v>
      </c>
      <c r="E359" s="62"/>
      <c r="F359" s="62"/>
      <c r="G359" s="253"/>
      <c r="H359" s="277">
        <f t="shared" ref="H359:S359" si="169">H354*$E$354/1000</f>
        <v>57986.567645579991</v>
      </c>
      <c r="I359" s="277">
        <f t="shared" si="169"/>
        <v>63157.711202459999</v>
      </c>
      <c r="J359" s="277">
        <f t="shared" si="169"/>
        <v>70937.998851600001</v>
      </c>
      <c r="K359" s="277">
        <f t="shared" si="169"/>
        <v>73704.996657539989</v>
      </c>
      <c r="L359" s="277">
        <f t="shared" si="169"/>
        <v>67318.78090374</v>
      </c>
      <c r="M359" s="277">
        <f t="shared" si="169"/>
        <v>72127.174804200011</v>
      </c>
      <c r="N359" s="277">
        <f t="shared" si="169"/>
        <v>77243.110159140007</v>
      </c>
      <c r="O359" s="277">
        <f t="shared" si="169"/>
        <v>59019.87402648</v>
      </c>
      <c r="P359" s="277">
        <f t="shared" si="169"/>
        <v>54159.633801539996</v>
      </c>
      <c r="Q359" s="277">
        <f t="shared" si="169"/>
        <v>71444.783435399993</v>
      </c>
      <c r="R359" s="277">
        <f t="shared" si="169"/>
        <v>68683.904183160004</v>
      </c>
      <c r="S359" s="277">
        <f t="shared" si="169"/>
        <v>82805.816193480001</v>
      </c>
      <c r="T359" s="277">
        <f t="shared" si="165"/>
        <v>818590.35186432011</v>
      </c>
      <c r="U359" s="277"/>
      <c r="V359" s="277"/>
    </row>
    <row r="360" spans="1:29" hidden="1">
      <c r="A360" s="253"/>
      <c r="B360" s="62"/>
      <c r="C360" s="237" t="s">
        <v>465</v>
      </c>
      <c r="D360" s="62" t="s">
        <v>173</v>
      </c>
      <c r="E360" s="253" t="s">
        <v>360</v>
      </c>
      <c r="F360" s="253">
        <v>89.393674297678061</v>
      </c>
      <c r="G360" s="253"/>
      <c r="H360" s="277">
        <f t="shared" ref="H360:M360" si="170">SUM(H356:H359)</f>
        <v>136240.36169425998</v>
      </c>
      <c r="I360" s="277">
        <f t="shared" si="170"/>
        <v>145681.19566530001</v>
      </c>
      <c r="J360" s="277">
        <f t="shared" si="170"/>
        <v>175069.60529880002</v>
      </c>
      <c r="K360" s="277">
        <f t="shared" si="170"/>
        <v>161761.70755398</v>
      </c>
      <c r="L360" s="277">
        <f t="shared" si="170"/>
        <v>160076.93916064</v>
      </c>
      <c r="M360" s="277">
        <f t="shared" si="170"/>
        <v>154638.33631620003</v>
      </c>
      <c r="N360" s="277">
        <f t="shared" ref="N360:S360" si="171">SUM(N356:N359)</f>
        <v>152935.44079142003</v>
      </c>
      <c r="O360" s="277">
        <f t="shared" si="171"/>
        <v>144512.14791334001</v>
      </c>
      <c r="P360" s="277">
        <f t="shared" si="171"/>
        <v>150702.75124568</v>
      </c>
      <c r="Q360" s="277">
        <f t="shared" si="171"/>
        <v>151136.30090408999</v>
      </c>
      <c r="R360" s="277">
        <f t="shared" si="171"/>
        <v>153866.71634325001</v>
      </c>
      <c r="S360" s="277">
        <f t="shared" si="171"/>
        <v>170019.03863731</v>
      </c>
      <c r="T360" s="279">
        <f t="shared" si="165"/>
        <v>1856640.5415242703</v>
      </c>
      <c r="U360" s="277">
        <f>T360*12/11</f>
        <v>2025426.0452992038</v>
      </c>
      <c r="V360" s="786" t="e">
        <f>#REF!/T360</f>
        <v>#REF!</v>
      </c>
    </row>
    <row r="361" spans="1:29" hidden="1">
      <c r="A361" s="253"/>
      <c r="B361" s="62"/>
      <c r="C361" s="237" t="s">
        <v>345</v>
      </c>
      <c r="D361" s="62" t="s">
        <v>173</v>
      </c>
      <c r="E361" s="1771" t="s">
        <v>867</v>
      </c>
      <c r="F361" s="1772"/>
      <c r="G361" s="1773"/>
      <c r="H361" s="231">
        <f t="shared" ref="H361:S361" si="172">((0.7433*H355)*($F$360/100))+9822.6</f>
        <v>130259.62687318708</v>
      </c>
      <c r="I361" s="231">
        <f t="shared" si="172"/>
        <v>140561.97502437833</v>
      </c>
      <c r="J361" s="231">
        <f t="shared" si="172"/>
        <v>166362.69891761456</v>
      </c>
      <c r="K361" s="231">
        <f t="shared" si="172"/>
        <v>150113.74072430714</v>
      </c>
      <c r="L361" s="231">
        <f t="shared" si="172"/>
        <v>155061.26050008848</v>
      </c>
      <c r="M361" s="231">
        <f t="shared" si="172"/>
        <v>152662.90528038633</v>
      </c>
      <c r="N361" s="231">
        <f t="shared" si="172"/>
        <v>144762.50855320331</v>
      </c>
      <c r="O361" s="231">
        <f t="shared" si="172"/>
        <v>133306.89330587877</v>
      </c>
      <c r="P361" s="231">
        <f t="shared" si="172"/>
        <v>153334.5522785444</v>
      </c>
      <c r="Q361" s="231">
        <f t="shared" si="172"/>
        <v>147510.45227928294</v>
      </c>
      <c r="R361" s="231">
        <f t="shared" si="172"/>
        <v>139166.65347726326</v>
      </c>
      <c r="S361" s="231">
        <f t="shared" si="172"/>
        <v>144648.95956114228</v>
      </c>
      <c r="T361" s="225">
        <f t="shared" si="165"/>
        <v>1757752.2267752769</v>
      </c>
      <c r="U361" s="277">
        <f>T361*12/11</f>
        <v>1917547.8837548473</v>
      </c>
      <c r="V361" s="271" t="s">
        <v>158</v>
      </c>
    </row>
    <row r="362" spans="1:29" hidden="1">
      <c r="A362" s="253"/>
      <c r="B362" s="243" t="s">
        <v>174</v>
      </c>
      <c r="C362" s="244" t="s">
        <v>138</v>
      </c>
      <c r="D362" s="243" t="s">
        <v>347</v>
      </c>
      <c r="E362" s="243"/>
      <c r="F362" s="368">
        <v>3.2377410847252312E-2</v>
      </c>
      <c r="G362" s="352">
        <v>3.8572855537123661E-2</v>
      </c>
      <c r="H362" s="245">
        <f t="shared" ref="H362:T366" si="173">H356/H$355</f>
        <v>2.8478539707424946E-2</v>
      </c>
      <c r="I362" s="245">
        <f t="shared" si="173"/>
        <v>2.6751475012375531E-2</v>
      </c>
      <c r="J362" s="362">
        <f t="shared" si="173"/>
        <v>2.5210784883870754E-2</v>
      </c>
      <c r="K362" s="245">
        <f t="shared" si="173"/>
        <v>2.6845560167948587E-2</v>
      </c>
      <c r="L362" s="245">
        <f t="shared" si="173"/>
        <v>2.7010584090827551E-2</v>
      </c>
      <c r="M362" s="245">
        <f t="shared" si="173"/>
        <v>2.6278037337117765E-2</v>
      </c>
      <c r="N362" s="245">
        <f t="shared" si="173"/>
        <v>2.7328729716483806E-2</v>
      </c>
      <c r="O362" s="245">
        <f t="shared" si="173"/>
        <v>2.7979746068616355E-2</v>
      </c>
      <c r="P362" s="245">
        <f t="shared" si="173"/>
        <v>2.602162618625297E-2</v>
      </c>
      <c r="Q362" s="245">
        <f t="shared" si="173"/>
        <v>2.782873970936901E-2</v>
      </c>
      <c r="R362" s="245">
        <f t="shared" si="173"/>
        <v>2.862497816609097E-2</v>
      </c>
      <c r="S362" s="245">
        <f t="shared" si="173"/>
        <v>2.8581019032724288E-2</v>
      </c>
      <c r="T362" s="245">
        <f t="shared" si="173"/>
        <v>2.7185760849271025E-2</v>
      </c>
      <c r="U362" s="246"/>
      <c r="V362" s="246"/>
    </row>
    <row r="363" spans="1:29" hidden="1">
      <c r="A363" s="253"/>
      <c r="B363" s="243"/>
      <c r="C363" s="244" t="s">
        <v>464</v>
      </c>
      <c r="D363" s="243" t="s">
        <v>347</v>
      </c>
      <c r="E363" s="243"/>
      <c r="F363" s="260">
        <v>8.8920880349206075E-2</v>
      </c>
      <c r="G363" s="363">
        <v>8.6353541339854595E-2</v>
      </c>
      <c r="H363" s="245">
        <f t="shared" si="173"/>
        <v>8.3280470231709841E-2</v>
      </c>
      <c r="I363" s="245">
        <f t="shared" si="173"/>
        <v>6.8300142083326063E-2</v>
      </c>
      <c r="J363" s="245">
        <f t="shared" si="173"/>
        <v>6.3002126999248481E-2</v>
      </c>
      <c r="K363" s="245">
        <f t="shared" si="173"/>
        <v>6.967485160418517E-2</v>
      </c>
      <c r="L363" s="245">
        <f t="shared" si="173"/>
        <v>6.4434461688771885E-2</v>
      </c>
      <c r="M363" s="245">
        <f t="shared" si="173"/>
        <v>6.8440934861308936E-2</v>
      </c>
      <c r="N363" s="245">
        <f t="shared" si="173"/>
        <v>7.3136706096685627E-2</v>
      </c>
      <c r="O363" s="245">
        <f t="shared" si="173"/>
        <v>8.4626486907061399E-2</v>
      </c>
      <c r="P363" s="245">
        <f t="shared" si="173"/>
        <v>7.3514130384821838E-2</v>
      </c>
      <c r="Q363" s="245">
        <f t="shared" si="173"/>
        <v>7.6445171635923653E-2</v>
      </c>
      <c r="R363" s="245">
        <f t="shared" si="173"/>
        <v>7.6985727529344183E-2</v>
      </c>
      <c r="S363" s="245">
        <f t="shared" si="173"/>
        <v>6.985052127298215E-2</v>
      </c>
      <c r="T363" s="245">
        <f t="shared" si="173"/>
        <v>7.2262169337326682E-2</v>
      </c>
      <c r="U363" s="246"/>
      <c r="V363" s="246"/>
    </row>
    <row r="364" spans="1:29" hidden="1">
      <c r="A364" s="253"/>
      <c r="B364" s="243"/>
      <c r="C364" s="337" t="s">
        <v>408</v>
      </c>
      <c r="D364" s="243" t="s">
        <v>347</v>
      </c>
      <c r="E364" s="243"/>
      <c r="F364" s="260">
        <v>0.31152510543306156</v>
      </c>
      <c r="G364" s="363">
        <v>0.14728170188153242</v>
      </c>
      <c r="H364" s="245">
        <f t="shared" si="173"/>
        <v>0.31997503625190993</v>
      </c>
      <c r="I364" s="245">
        <f t="shared" si="173"/>
        <v>0.32436156265727883</v>
      </c>
      <c r="J364" s="245">
        <f t="shared" si="173"/>
        <v>0.35379280388336509</v>
      </c>
      <c r="K364" s="245">
        <f t="shared" si="173"/>
        <v>0.32054400108654474</v>
      </c>
      <c r="L364" s="245">
        <f t="shared" si="173"/>
        <v>0.3329211711211138</v>
      </c>
      <c r="M364" s="245">
        <f t="shared" si="173"/>
        <v>0.2891056684949519</v>
      </c>
      <c r="N364" s="245">
        <f t="shared" si="173"/>
        <v>0.27225429797510792</v>
      </c>
      <c r="O364" s="245">
        <f t="shared" si="173"/>
        <v>0.34742367642943361</v>
      </c>
      <c r="P364" s="245">
        <f t="shared" si="173"/>
        <v>0.34746078906406991</v>
      </c>
      <c r="Q364" s="245">
        <f t="shared" si="173"/>
        <v>0.28030670578068612</v>
      </c>
      <c r="R364" s="245">
        <f t="shared" si="173"/>
        <v>0.33198840162667248</v>
      </c>
      <c r="S364" s="245">
        <f t="shared" si="173"/>
        <v>0.33138037038949858</v>
      </c>
      <c r="T364" s="245">
        <f t="shared" si="173"/>
        <v>0.32115949184825954</v>
      </c>
      <c r="U364" s="246"/>
      <c r="V364" s="246"/>
    </row>
    <row r="365" spans="1:29" hidden="1">
      <c r="A365" s="253"/>
      <c r="B365" s="243"/>
      <c r="C365" s="337" t="s">
        <v>456</v>
      </c>
      <c r="D365" s="243" t="s">
        <v>347</v>
      </c>
      <c r="E365" s="243"/>
      <c r="F365" s="260">
        <v>0.17779234770649577</v>
      </c>
      <c r="G365" s="363">
        <v>0.30840673967065468</v>
      </c>
      <c r="H365" s="245">
        <f t="shared" si="173"/>
        <v>0.3199177212900805</v>
      </c>
      <c r="I365" s="245">
        <f t="shared" si="173"/>
        <v>0.32098955411016544</v>
      </c>
      <c r="J365" s="245">
        <f t="shared" si="173"/>
        <v>0.30110935600846678</v>
      </c>
      <c r="K365" s="245">
        <f t="shared" si="173"/>
        <v>0.3490901584080236</v>
      </c>
      <c r="L365" s="245">
        <f t="shared" si="173"/>
        <v>0.3079817119629264</v>
      </c>
      <c r="M365" s="245">
        <f t="shared" si="173"/>
        <v>0.33552050954250995</v>
      </c>
      <c r="N365" s="245">
        <f t="shared" si="173"/>
        <v>0.38035599135344034</v>
      </c>
      <c r="O365" s="245">
        <f t="shared" si="173"/>
        <v>0.31758316941521564</v>
      </c>
      <c r="P365" s="245">
        <f t="shared" si="173"/>
        <v>0.25076017703861964</v>
      </c>
      <c r="Q365" s="245">
        <f t="shared" si="173"/>
        <v>0.34478298038198602</v>
      </c>
      <c r="R365" s="245">
        <f t="shared" si="173"/>
        <v>0.3528413114779731</v>
      </c>
      <c r="S365" s="245">
        <f t="shared" si="173"/>
        <v>0.4080909416885502</v>
      </c>
      <c r="T365" s="245">
        <f t="shared" si="173"/>
        <v>0.33168451875438476</v>
      </c>
      <c r="U365" s="246"/>
      <c r="V365" s="246"/>
    </row>
    <row r="366" spans="1:29" ht="23.25" hidden="1">
      <c r="A366" s="253"/>
      <c r="B366" s="243"/>
      <c r="C366" s="249" t="s">
        <v>466</v>
      </c>
      <c r="D366" s="243" t="s">
        <v>347</v>
      </c>
      <c r="E366" s="243"/>
      <c r="F366" s="368">
        <f>SUM(F362:F365)</f>
        <v>0.61061574433601573</v>
      </c>
      <c r="G366" s="352">
        <f>SUM(G362:G365)</f>
        <v>0.58061483842916539</v>
      </c>
      <c r="H366" s="245">
        <f t="shared" si="173"/>
        <v>0.75165176748112517</v>
      </c>
      <c r="I366" s="245">
        <f t="shared" si="173"/>
        <v>0.74040273386314581</v>
      </c>
      <c r="J366" s="245">
        <f t="shared" si="173"/>
        <v>0.74311507177495117</v>
      </c>
      <c r="K366" s="245">
        <f t="shared" si="173"/>
        <v>0.76615457126670206</v>
      </c>
      <c r="L366" s="245">
        <f t="shared" si="173"/>
        <v>0.73234792886363964</v>
      </c>
      <c r="M366" s="245">
        <f t="shared" si="173"/>
        <v>0.71934515023588863</v>
      </c>
      <c r="N366" s="245">
        <f t="shared" si="173"/>
        <v>0.75307572514171772</v>
      </c>
      <c r="O366" s="245">
        <f t="shared" si="173"/>
        <v>0.77761307882032704</v>
      </c>
      <c r="P366" s="245">
        <f t="shared" si="173"/>
        <v>0.69775672267376432</v>
      </c>
      <c r="Q366" s="245">
        <f t="shared" si="173"/>
        <v>0.72936359750796487</v>
      </c>
      <c r="R366" s="245">
        <f t="shared" si="173"/>
        <v>0.79044041880008076</v>
      </c>
      <c r="S366" s="245">
        <f t="shared" si="173"/>
        <v>0.83790285238375528</v>
      </c>
      <c r="T366" s="250">
        <f>T360/T355</f>
        <v>0.752291940789242</v>
      </c>
      <c r="U366" s="246"/>
      <c r="V366" s="246"/>
    </row>
    <row r="367" spans="1:29" hidden="1">
      <c r="A367" s="253"/>
      <c r="B367" s="243"/>
      <c r="C367" s="249" t="s">
        <v>467</v>
      </c>
      <c r="D367" s="243"/>
      <c r="E367" s="243"/>
      <c r="F367" s="248"/>
      <c r="G367" s="283">
        <f>G366/F366*100</f>
        <v>95.086778193137917</v>
      </c>
      <c r="H367" s="251">
        <f t="shared" ref="H367:T367" si="174">H360/H361*100</f>
        <v>104.59139563396369</v>
      </c>
      <c r="I367" s="251">
        <f t="shared" si="174"/>
        <v>103.64196692600103</v>
      </c>
      <c r="J367" s="251">
        <f t="shared" si="174"/>
        <v>105.2336890648169</v>
      </c>
      <c r="K367" s="251">
        <f t="shared" si="174"/>
        <v>107.75942746711311</v>
      </c>
      <c r="L367" s="251">
        <f t="shared" si="174"/>
        <v>103.2346432915452</v>
      </c>
      <c r="M367" s="251">
        <f t="shared" si="174"/>
        <v>101.2939823411493</v>
      </c>
      <c r="N367" s="251">
        <f t="shared" si="174"/>
        <v>105.64575201127644</v>
      </c>
      <c r="O367" s="251">
        <f t="shared" si="174"/>
        <v>108.40560778935135</v>
      </c>
      <c r="P367" s="251">
        <f t="shared" si="174"/>
        <v>98.283621666639405</v>
      </c>
      <c r="Q367" s="251">
        <f t="shared" si="174"/>
        <v>102.45802827445895</v>
      </c>
      <c r="R367" s="251">
        <f t="shared" si="174"/>
        <v>110.56292042575302</v>
      </c>
      <c r="S367" s="251">
        <f t="shared" si="174"/>
        <v>117.539067790836</v>
      </c>
      <c r="T367" s="251">
        <f t="shared" si="174"/>
        <v>105.62583925326103</v>
      </c>
      <c r="U367" s="246"/>
      <c r="V367" s="246"/>
    </row>
    <row r="368" spans="1:29" hidden="1">
      <c r="A368" s="342"/>
      <c r="B368" s="336"/>
      <c r="C368" s="364"/>
      <c r="D368" s="336"/>
      <c r="E368" s="243"/>
      <c r="F368" s="248"/>
      <c r="G368" s="283"/>
      <c r="H368" s="365"/>
      <c r="I368" s="365"/>
      <c r="J368" s="365"/>
      <c r="K368" s="365"/>
      <c r="L368" s="365"/>
      <c r="M368" s="365"/>
      <c r="N368" s="365"/>
      <c r="O368" s="365"/>
      <c r="P368" s="365"/>
      <c r="Q368" s="365"/>
      <c r="R368" s="365"/>
      <c r="S368" s="365"/>
      <c r="T368" s="365"/>
      <c r="U368" s="366"/>
      <c r="V368" s="366"/>
    </row>
    <row r="369" spans="1:29" hidden="1">
      <c r="A369" s="222">
        <v>17</v>
      </c>
      <c r="B369" s="222" t="s">
        <v>127</v>
      </c>
      <c r="C369" s="317" t="s">
        <v>138</v>
      </c>
      <c r="D369" s="222" t="s">
        <v>90</v>
      </c>
      <c r="E369" s="238">
        <f>'[2]Price&amp;Heating-Value'!$R$6</f>
        <v>3.6</v>
      </c>
      <c r="F369" s="62"/>
      <c r="G369" s="256">
        <f>'[2]Price&amp;Heating-Value'!$P$6</f>
        <v>2.7124999999999999</v>
      </c>
      <c r="H369" s="226">
        <v>1596768</v>
      </c>
      <c r="I369" s="226">
        <v>1448160</v>
      </c>
      <c r="J369" s="226">
        <v>1584936</v>
      </c>
      <c r="K369" s="226">
        <v>1493952</v>
      </c>
      <c r="L369" s="226">
        <v>1588632</v>
      </c>
      <c r="M369" s="226">
        <v>1536216</v>
      </c>
      <c r="N369" s="226">
        <v>1539456</v>
      </c>
      <c r="O369" s="226">
        <v>1567824</v>
      </c>
      <c r="P369" s="226">
        <v>1563971</v>
      </c>
      <c r="Q369" s="226">
        <v>1565664</v>
      </c>
      <c r="R369" s="226">
        <v>1521792</v>
      </c>
      <c r="S369" s="226">
        <v>1563087</v>
      </c>
      <c r="T369" s="226">
        <f t="shared" ref="T369:T379" si="175">SUM(H369:S369)</f>
        <v>18570458</v>
      </c>
      <c r="U369" s="226">
        <f>T369*E369</f>
        <v>66853648.800000004</v>
      </c>
      <c r="V369" s="226">
        <f>G369*T369</f>
        <v>50372367.324999996</v>
      </c>
      <c r="W369" s="227">
        <f>'[2]Price&amp;Heating-Value'!D$6</f>
        <v>2.4500000000000002</v>
      </c>
      <c r="X369" s="227">
        <f>'[2]Price&amp;Heating-Value'!E$6</f>
        <v>2.54</v>
      </c>
      <c r="Y369" s="227">
        <f>'[2]Price&amp;Heating-Value'!F$6</f>
        <v>2.58</v>
      </c>
      <c r="Z369" s="227">
        <f>'[2]Price&amp;Heating-Value'!G$6</f>
        <v>2.67</v>
      </c>
      <c r="AA369" s="227">
        <f>'[2]Price&amp;Heating-Value'!H$6</f>
        <v>2.67</v>
      </c>
      <c r="AB369" s="227">
        <f>'[2]Price&amp;Heating-Value'!I$6</f>
        <v>2.67</v>
      </c>
      <c r="AC369" s="227">
        <f>'[2]Price&amp;Heating-Value'!J$6</f>
        <v>2.62</v>
      </c>
    </row>
    <row r="370" spans="1:29" hidden="1">
      <c r="A370" s="62"/>
      <c r="B370" s="62"/>
      <c r="C370" s="278" t="s">
        <v>464</v>
      </c>
      <c r="D370" s="62" t="s">
        <v>121</v>
      </c>
      <c r="E370" s="62">
        <f>'[2]Price&amp;Heating-Value'!$R$9</f>
        <v>2803</v>
      </c>
      <c r="F370" s="62"/>
      <c r="G370" s="230">
        <f>'[2]Price&amp;Heating-Value'!$P$9</f>
        <v>1301.5833333333333</v>
      </c>
      <c r="H370" s="225">
        <v>2199.3589999999999</v>
      </c>
      <c r="I370" s="225">
        <v>1878.7809999999999</v>
      </c>
      <c r="J370" s="225">
        <v>2030.1620000000003</v>
      </c>
      <c r="K370" s="225">
        <v>1935.049</v>
      </c>
      <c r="L370" s="225">
        <v>2246.3429999999998</v>
      </c>
      <c r="M370" s="225">
        <v>2164.2359999999999</v>
      </c>
      <c r="N370" s="225">
        <v>1879.4929999999999</v>
      </c>
      <c r="O370" s="225">
        <v>1620.6559999999999</v>
      </c>
      <c r="P370" s="225">
        <v>1747.7889999999995</v>
      </c>
      <c r="Q370" s="225">
        <v>1512.8810000000001</v>
      </c>
      <c r="R370" s="225">
        <v>1529.1809999999996</v>
      </c>
      <c r="S370" s="225">
        <v>1556.6610000000007</v>
      </c>
      <c r="T370" s="226">
        <f t="shared" si="175"/>
        <v>22300.591000000004</v>
      </c>
      <c r="U370" s="225">
        <f>T370*E370</f>
        <v>62508556.573000014</v>
      </c>
      <c r="V370" s="225">
        <f>G370*T370</f>
        <v>29026077.569083337</v>
      </c>
      <c r="W370" s="232">
        <f>'[2]Price&amp;Heating-Value'!D$9</f>
        <v>1210</v>
      </c>
      <c r="X370" s="232">
        <f>'[2]Price&amp;Heating-Value'!E$9</f>
        <v>1218</v>
      </c>
      <c r="Y370" s="232">
        <f>'[2]Price&amp;Heating-Value'!F$9</f>
        <v>1207</v>
      </c>
      <c r="Z370" s="232">
        <f>'[2]Price&amp;Heating-Value'!G$9</f>
        <v>1232</v>
      </c>
      <c r="AA370" s="232">
        <f>'[2]Price&amp;Heating-Value'!H$9</f>
        <v>1352</v>
      </c>
      <c r="AB370" s="232">
        <f>'[2]Price&amp;Heating-Value'!I$9</f>
        <v>1491</v>
      </c>
      <c r="AC370" s="232">
        <f>'[2]Price&amp;Heating-Value'!J$9</f>
        <v>1588</v>
      </c>
    </row>
    <row r="371" spans="1:29" hidden="1">
      <c r="A371" s="62"/>
      <c r="B371" s="552" t="s">
        <v>868</v>
      </c>
      <c r="C371" s="278" t="s">
        <v>408</v>
      </c>
      <c r="D371" s="62" t="s">
        <v>176</v>
      </c>
      <c r="E371" s="238">
        <f>'[2]Price&amp;Heating-Value'!$S$16/1000</f>
        <v>39.770000000000003</v>
      </c>
      <c r="F371" s="321">
        <f>'[2]Price&amp;Heating-Value'!$T$16</f>
        <v>0.98550000000000004</v>
      </c>
      <c r="G371" s="230">
        <f>'[2]Price&amp;Heating-Value'!$P$16*'[2]Price&amp;Heating-Value'!$T$16/1000</f>
        <v>17.944656726937499</v>
      </c>
      <c r="H371" s="225">
        <f>228.563572*1000</f>
        <v>228563.57199999999</v>
      </c>
      <c r="I371" s="225">
        <f>169.668685*1000</f>
        <v>169668.685</v>
      </c>
      <c r="J371" s="225">
        <f>260.67233*1000</f>
        <v>260672.33</v>
      </c>
      <c r="K371" s="225">
        <f>295.938883*1000</f>
        <v>295938.88299999997</v>
      </c>
      <c r="L371" s="225">
        <f>360.017333*1000</f>
        <v>360017.33299999998</v>
      </c>
      <c r="M371" s="225">
        <f>384.204451*1000</f>
        <v>384204.451</v>
      </c>
      <c r="N371" s="225">
        <f>317.032233*1000</f>
        <v>317032.23300000001</v>
      </c>
      <c r="O371" s="225">
        <f>377.867395*1000</f>
        <v>377867.39499999996</v>
      </c>
      <c r="P371" s="225">
        <f>407.805477*1000</f>
        <v>407805.47700000001</v>
      </c>
      <c r="Q371" s="225">
        <f>386.350821*1000</f>
        <v>386350.821</v>
      </c>
      <c r="R371" s="225">
        <f>333.65565*1000</f>
        <v>333655.64999999997</v>
      </c>
      <c r="S371" s="225">
        <f>350.632992*1000</f>
        <v>350632.99200000003</v>
      </c>
      <c r="T371" s="225">
        <f t="shared" si="175"/>
        <v>3872409.8219999997</v>
      </c>
      <c r="U371" s="225">
        <f>T371*E371</f>
        <v>154005738.62094</v>
      </c>
      <c r="V371" s="225">
        <f>G371*T371</f>
        <v>69489064.96181114</v>
      </c>
      <c r="W371" s="322">
        <f>'[2]Price&amp;Heating-Value'!D$16*'[2]Price&amp;Heating-Value'!$T$16/1000</f>
        <v>16.779635460000002</v>
      </c>
      <c r="X371" s="232">
        <f>'[2]Price&amp;Heating-Value'!E$16*'[2]Price&amp;Heating-Value'!$T$16/1000</f>
        <v>16.47036585</v>
      </c>
      <c r="Y371" s="232">
        <f>'[2]Price&amp;Heating-Value'!F$16*'[2]Price&amp;Heating-Value'!$T$16/1000</f>
        <v>16.780118354999999</v>
      </c>
      <c r="Z371" s="232">
        <f>'[2]Price&amp;Heating-Value'!G$16*'[2]Price&amp;Heating-Value'!$T$16/1000</f>
        <v>18.287135100000004</v>
      </c>
      <c r="AA371" s="232">
        <f>'[2]Price&amp;Heating-Value'!H$16*'[2]Price&amp;Heating-Value'!$T$16/1000</f>
        <v>20.715278985000001</v>
      </c>
      <c r="AB371" s="232">
        <f>'[2]Price&amp;Heating-Value'!I$16*'[2]Price&amp;Heating-Value'!$T$16/1000</f>
        <v>22.335056640000001</v>
      </c>
      <c r="AC371" s="232">
        <f>'[2]Price&amp;Heating-Value'!J$16*'[2]Price&amp;Heating-Value'!$T$16/1000</f>
        <v>25.718475240000004</v>
      </c>
    </row>
    <row r="372" spans="1:29" hidden="1">
      <c r="A372" s="62"/>
      <c r="B372" s="552" t="s">
        <v>868</v>
      </c>
      <c r="C372" s="278" t="s">
        <v>429</v>
      </c>
      <c r="D372" s="62" t="s">
        <v>102</v>
      </c>
      <c r="E372" s="62">
        <f>'[2]Price&amp;Heating-Value'!$R$23/1000</f>
        <v>50.22</v>
      </c>
      <c r="F372" s="62"/>
      <c r="G372" s="230">
        <f>'[2]Price&amp;Heating-Value'!$P$23/1000</f>
        <v>11.61472</v>
      </c>
      <c r="H372" s="225">
        <f>416.150444*1000</f>
        <v>416150.44400000002</v>
      </c>
      <c r="I372" s="225">
        <f>378.978995*1000</f>
        <v>378978.995</v>
      </c>
      <c r="J372" s="225">
        <f>419.61285*1000</f>
        <v>419612.85</v>
      </c>
      <c r="K372" s="225">
        <f>341.12271*1000</f>
        <v>341122.70999999996</v>
      </c>
      <c r="L372" s="225">
        <f>364.362868*1000</f>
        <v>364362.86800000002</v>
      </c>
      <c r="M372" s="225">
        <f>426.197862*1000</f>
        <v>426197.86199999996</v>
      </c>
      <c r="N372" s="225">
        <f>378.640066*1000</f>
        <v>378640.06599999999</v>
      </c>
      <c r="O372" s="225">
        <f>354.517533*1000</f>
        <v>354517.533</v>
      </c>
      <c r="P372" s="225">
        <f>348.950135*1000</f>
        <v>348950.13500000001</v>
      </c>
      <c r="Q372" s="225">
        <f>407.419685*1000</f>
        <v>407419.685</v>
      </c>
      <c r="R372" s="225">
        <f>381.902454*1000</f>
        <v>381902.45399999997</v>
      </c>
      <c r="S372" s="225">
        <f>380.460774*1000</f>
        <v>380460.77400000003</v>
      </c>
      <c r="T372" s="225">
        <f t="shared" si="175"/>
        <v>4598316.3760000002</v>
      </c>
      <c r="U372" s="225">
        <f>T372*E372</f>
        <v>230927448.40272</v>
      </c>
      <c r="V372" s="225">
        <f>G372*T372</f>
        <v>53408157.178654723</v>
      </c>
      <c r="W372" s="232">
        <f>'[2]Price&amp;Heating-Value'!D$23/1000</f>
        <v>11.61472</v>
      </c>
      <c r="X372" s="232">
        <f>'[2]Price&amp;Heating-Value'!E$23/1000</f>
        <v>11.61472</v>
      </c>
      <c r="Y372" s="232">
        <f>'[2]Price&amp;Heating-Value'!F$23/1000</f>
        <v>11.61472</v>
      </c>
      <c r="Z372" s="232">
        <f>'[2]Price&amp;Heating-Value'!G$23/1000</f>
        <v>11.61472</v>
      </c>
      <c r="AA372" s="232">
        <f>'[2]Price&amp;Heating-Value'!H$23/1000</f>
        <v>11.61472</v>
      </c>
      <c r="AB372" s="232">
        <f>'[2]Price&amp;Heating-Value'!I$23/1000</f>
        <v>11.61472</v>
      </c>
      <c r="AC372" s="232">
        <f>'[2]Price&amp;Heating-Value'!J$23/1000</f>
        <v>11.61472</v>
      </c>
    </row>
    <row r="373" spans="1:29" hidden="1">
      <c r="A373" s="253"/>
      <c r="B373" s="233"/>
      <c r="C373" s="234" t="s">
        <v>468</v>
      </c>
      <c r="D373" s="233" t="s">
        <v>121</v>
      </c>
      <c r="E373" s="367"/>
      <c r="F373" s="233"/>
      <c r="G373" s="253"/>
      <c r="H373" s="264">
        <v>100942.21979700001</v>
      </c>
      <c r="I373" s="264">
        <v>91485.980955000006</v>
      </c>
      <c r="J373" s="264">
        <v>101312.49205</v>
      </c>
      <c r="K373" s="264">
        <v>94257.90915799998</v>
      </c>
      <c r="L373" s="264">
        <v>101929.08947399996</v>
      </c>
      <c r="M373" s="264">
        <v>98357.236244999978</v>
      </c>
      <c r="N373" s="264">
        <v>96300.341192999986</v>
      </c>
      <c r="O373" s="264">
        <v>98706.196951999998</v>
      </c>
      <c r="P373" s="264">
        <v>95953.276239999992</v>
      </c>
      <c r="Q373" s="264">
        <v>99066.318790999998</v>
      </c>
      <c r="R373" s="264">
        <v>95184.453095999983</v>
      </c>
      <c r="S373" s="264">
        <v>98021.747909000012</v>
      </c>
      <c r="T373" s="236">
        <f t="shared" si="175"/>
        <v>1171517.26186</v>
      </c>
      <c r="U373" s="259"/>
      <c r="V373" s="785" t="e">
        <f>#REF!/T373</f>
        <v>#REF!</v>
      </c>
    </row>
    <row r="374" spans="1:29" hidden="1">
      <c r="A374" s="253"/>
      <c r="B374" s="253"/>
      <c r="C374" s="278" t="s">
        <v>138</v>
      </c>
      <c r="D374" s="253" t="s">
        <v>173</v>
      </c>
      <c r="E374" s="62"/>
      <c r="F374" s="62"/>
      <c r="G374" s="253"/>
      <c r="H374" s="277">
        <f t="shared" ref="H374:S374" si="176">H369*$E$369/1000</f>
        <v>5748.3647999999994</v>
      </c>
      <c r="I374" s="277">
        <f t="shared" si="176"/>
        <v>5213.3760000000002</v>
      </c>
      <c r="J374" s="277">
        <f t="shared" si="176"/>
        <v>5705.7696000000005</v>
      </c>
      <c r="K374" s="277">
        <f t="shared" si="176"/>
        <v>5378.2272000000003</v>
      </c>
      <c r="L374" s="277">
        <f t="shared" si="176"/>
        <v>5719.0752000000002</v>
      </c>
      <c r="M374" s="277">
        <f t="shared" si="176"/>
        <v>5530.3776000000007</v>
      </c>
      <c r="N374" s="277">
        <f t="shared" si="176"/>
        <v>5542.0416000000005</v>
      </c>
      <c r="O374" s="277">
        <f t="shared" si="176"/>
        <v>5644.1664000000001</v>
      </c>
      <c r="P374" s="277">
        <f t="shared" si="176"/>
        <v>5630.2956000000004</v>
      </c>
      <c r="Q374" s="277">
        <f t="shared" si="176"/>
        <v>5636.3904000000002</v>
      </c>
      <c r="R374" s="277">
        <f t="shared" si="176"/>
        <v>5478.4512000000004</v>
      </c>
      <c r="S374" s="277">
        <f t="shared" si="176"/>
        <v>5627.1131999999998</v>
      </c>
      <c r="T374" s="277">
        <f t="shared" si="175"/>
        <v>66853.64880000001</v>
      </c>
      <c r="U374" s="277"/>
      <c r="V374" s="277"/>
    </row>
    <row r="375" spans="1:29" hidden="1">
      <c r="A375" s="253"/>
      <c r="B375" s="253"/>
      <c r="C375" s="278" t="s">
        <v>464</v>
      </c>
      <c r="D375" s="253" t="s">
        <v>173</v>
      </c>
      <c r="E375" s="62"/>
      <c r="F375" s="62"/>
      <c r="G375" s="253"/>
      <c r="H375" s="277">
        <f t="shared" ref="H375:S375" si="177">H370*$E$370/1000</f>
        <v>6164.803277</v>
      </c>
      <c r="I375" s="277">
        <f t="shared" si="177"/>
        <v>5266.2231430000002</v>
      </c>
      <c r="J375" s="277">
        <f t="shared" si="177"/>
        <v>5690.5440860000008</v>
      </c>
      <c r="K375" s="277">
        <f t="shared" si="177"/>
        <v>5423.9423470000002</v>
      </c>
      <c r="L375" s="277">
        <f t="shared" si="177"/>
        <v>6296.4994289999995</v>
      </c>
      <c r="M375" s="277">
        <f t="shared" si="177"/>
        <v>6066.3535079999992</v>
      </c>
      <c r="N375" s="277">
        <f t="shared" si="177"/>
        <v>5268.218879</v>
      </c>
      <c r="O375" s="277">
        <f t="shared" si="177"/>
        <v>4542.6987680000002</v>
      </c>
      <c r="P375" s="277">
        <f t="shared" si="177"/>
        <v>4899.0525669999988</v>
      </c>
      <c r="Q375" s="277">
        <f t="shared" si="177"/>
        <v>4240.6054430000004</v>
      </c>
      <c r="R375" s="277">
        <f t="shared" si="177"/>
        <v>4286.2943429999987</v>
      </c>
      <c r="S375" s="277">
        <f t="shared" si="177"/>
        <v>4363.3207830000019</v>
      </c>
      <c r="T375" s="277">
        <f t="shared" si="175"/>
        <v>62508.556573000002</v>
      </c>
      <c r="U375" s="277"/>
      <c r="V375" s="277"/>
    </row>
    <row r="376" spans="1:29" hidden="1">
      <c r="A376" s="253"/>
      <c r="B376" s="253"/>
      <c r="C376" s="278" t="s">
        <v>408</v>
      </c>
      <c r="D376" s="253" t="s">
        <v>173</v>
      </c>
      <c r="E376" s="62"/>
      <c r="F376" s="62"/>
      <c r="G376" s="253"/>
      <c r="H376" s="277">
        <f t="shared" ref="H376:S376" si="178">H371*$E$371/1000</f>
        <v>9089.9732584400008</v>
      </c>
      <c r="I376" s="277">
        <f t="shared" si="178"/>
        <v>6747.7236024499998</v>
      </c>
      <c r="J376" s="277">
        <f t="shared" si="178"/>
        <v>10366.938564100001</v>
      </c>
      <c r="K376" s="277">
        <f t="shared" si="178"/>
        <v>11769.48937691</v>
      </c>
      <c r="L376" s="277">
        <f t="shared" si="178"/>
        <v>14317.889333410001</v>
      </c>
      <c r="M376" s="277">
        <f t="shared" si="178"/>
        <v>15279.811016270001</v>
      </c>
      <c r="N376" s="277">
        <f t="shared" si="178"/>
        <v>12608.371906410001</v>
      </c>
      <c r="O376" s="277">
        <f t="shared" si="178"/>
        <v>15027.786299149999</v>
      </c>
      <c r="P376" s="277">
        <f t="shared" si="178"/>
        <v>16218.423820290001</v>
      </c>
      <c r="Q376" s="277">
        <f t="shared" si="178"/>
        <v>15365.17215117</v>
      </c>
      <c r="R376" s="277">
        <f t="shared" si="178"/>
        <v>13269.485200500001</v>
      </c>
      <c r="S376" s="277">
        <f t="shared" si="178"/>
        <v>13944.674091840003</v>
      </c>
      <c r="T376" s="277">
        <f t="shared" si="175"/>
        <v>154005.73862094001</v>
      </c>
      <c r="U376" s="277"/>
      <c r="V376" s="277"/>
    </row>
    <row r="377" spans="1:29" hidden="1">
      <c r="A377" s="253"/>
      <c r="B377" s="253"/>
      <c r="C377" s="278" t="s">
        <v>456</v>
      </c>
      <c r="D377" s="253" t="s">
        <v>173</v>
      </c>
      <c r="E377" s="62"/>
      <c r="F377" s="62"/>
      <c r="G377" s="253"/>
      <c r="H377" s="277">
        <f t="shared" ref="H377:S377" si="179">H372*$E$372/1000</f>
        <v>20899.075297680003</v>
      </c>
      <c r="I377" s="277">
        <f t="shared" si="179"/>
        <v>19032.3251289</v>
      </c>
      <c r="J377" s="277">
        <f t="shared" si="179"/>
        <v>21072.957327</v>
      </c>
      <c r="K377" s="277">
        <f t="shared" si="179"/>
        <v>17131.182496199999</v>
      </c>
      <c r="L377" s="277">
        <f t="shared" si="179"/>
        <v>18298.303230960002</v>
      </c>
      <c r="M377" s="277">
        <f t="shared" si="179"/>
        <v>21403.656629639998</v>
      </c>
      <c r="N377" s="277">
        <f t="shared" si="179"/>
        <v>19015.304114519997</v>
      </c>
      <c r="O377" s="277">
        <f t="shared" si="179"/>
        <v>17803.870507259999</v>
      </c>
      <c r="P377" s="277">
        <f t="shared" si="179"/>
        <v>17524.275779700001</v>
      </c>
      <c r="Q377" s="277">
        <f t="shared" si="179"/>
        <v>20460.6165807</v>
      </c>
      <c r="R377" s="277">
        <f t="shared" si="179"/>
        <v>19179.141239879998</v>
      </c>
      <c r="S377" s="277">
        <f t="shared" si="179"/>
        <v>19106.740070280001</v>
      </c>
      <c r="T377" s="277">
        <f t="shared" si="175"/>
        <v>230927.44840272001</v>
      </c>
      <c r="U377" s="277"/>
      <c r="V377" s="277"/>
    </row>
    <row r="378" spans="1:29" hidden="1">
      <c r="A378" s="253"/>
      <c r="B378" s="62"/>
      <c r="C378" s="237" t="s">
        <v>469</v>
      </c>
      <c r="D378" s="62" t="s">
        <v>173</v>
      </c>
      <c r="E378" s="253"/>
      <c r="F378" s="253"/>
      <c r="G378" s="253"/>
      <c r="H378" s="277">
        <f t="shared" ref="H378:M378" si="180">SUM(H374:H377)</f>
        <v>41902.216633119999</v>
      </c>
      <c r="I378" s="277">
        <f t="shared" si="180"/>
        <v>36259.647874350005</v>
      </c>
      <c r="J378" s="277">
        <f t="shared" si="180"/>
        <v>42836.209577100002</v>
      </c>
      <c r="K378" s="277">
        <f t="shared" si="180"/>
        <v>39702.841420109995</v>
      </c>
      <c r="L378" s="277">
        <f t="shared" si="180"/>
        <v>44631.767193370004</v>
      </c>
      <c r="M378" s="277">
        <f t="shared" si="180"/>
        <v>48280.198753910001</v>
      </c>
      <c r="N378" s="277">
        <f t="shared" ref="N378:S378" si="181">SUM(N374:N377)</f>
        <v>42433.936499930001</v>
      </c>
      <c r="O378" s="277">
        <f t="shared" si="181"/>
        <v>43018.521974409996</v>
      </c>
      <c r="P378" s="277">
        <f t="shared" si="181"/>
        <v>44272.047766989999</v>
      </c>
      <c r="Q378" s="277">
        <f t="shared" si="181"/>
        <v>45702.784574869998</v>
      </c>
      <c r="R378" s="277">
        <f t="shared" si="181"/>
        <v>42213.371983379999</v>
      </c>
      <c r="S378" s="277">
        <f t="shared" si="181"/>
        <v>43041.848145120006</v>
      </c>
      <c r="T378" s="279">
        <f t="shared" si="175"/>
        <v>514295.39239666006</v>
      </c>
      <c r="U378" s="277">
        <f>T378*12/11</f>
        <v>561049.51897817466</v>
      </c>
      <c r="V378" s="786" t="e">
        <f>#REF!/T378</f>
        <v>#REF!</v>
      </c>
    </row>
    <row r="379" spans="1:29" hidden="1">
      <c r="A379" s="253"/>
      <c r="B379" s="62"/>
      <c r="C379" s="237" t="s">
        <v>345</v>
      </c>
      <c r="D379" s="62" t="s">
        <v>173</v>
      </c>
      <c r="E379" s="62" t="s">
        <v>360</v>
      </c>
      <c r="F379" s="62">
        <v>73.667344613427815</v>
      </c>
      <c r="G379" s="253"/>
      <c r="H379" s="225">
        <f t="shared" ref="H379:S379" si="182" xml:space="preserve"> (0.4726*H373 - 2393.5)*(111.09/100)*($F$379/100)</f>
        <v>37081.836174291617</v>
      </c>
      <c r="I379" s="225">
        <f t="shared" si="182"/>
        <v>33424.523149053981</v>
      </c>
      <c r="J379" s="225">
        <f t="shared" si="182"/>
        <v>37225.043379228766</v>
      </c>
      <c r="K379" s="225">
        <f t="shared" si="182"/>
        <v>34496.599403814827</v>
      </c>
      <c r="L379" s="225">
        <f t="shared" si="182"/>
        <v>37463.519778545902</v>
      </c>
      <c r="M379" s="225">
        <f t="shared" si="182"/>
        <v>36082.062990394836</v>
      </c>
      <c r="N379" s="225">
        <f t="shared" si="182"/>
        <v>35286.53432504279</v>
      </c>
      <c r="O379" s="225">
        <f t="shared" si="182"/>
        <v>36217.027701029976</v>
      </c>
      <c r="P379" s="225">
        <f t="shared" si="182"/>
        <v>35152.302819851458</v>
      </c>
      <c r="Q379" s="225">
        <f t="shared" si="182"/>
        <v>36356.309112429757</v>
      </c>
      <c r="R379" s="225">
        <f t="shared" si="182"/>
        <v>34854.95130984448</v>
      </c>
      <c r="S379" s="225">
        <f t="shared" si="182"/>
        <v>35952.308879741628</v>
      </c>
      <c r="T379" s="225">
        <f t="shared" si="175"/>
        <v>429593.01902327</v>
      </c>
      <c r="U379" s="277">
        <f>T379*12/11</f>
        <v>468646.92984356731</v>
      </c>
      <c r="V379" s="271" t="s">
        <v>158</v>
      </c>
    </row>
    <row r="380" spans="1:29" hidden="1">
      <c r="A380" s="253"/>
      <c r="B380" s="62"/>
      <c r="C380" s="237"/>
      <c r="D380" s="62"/>
      <c r="E380" s="62"/>
      <c r="F380" s="62"/>
      <c r="G380" s="253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71"/>
    </row>
    <row r="381" spans="1:29" hidden="1">
      <c r="A381" s="253"/>
      <c r="B381" s="243" t="s">
        <v>174</v>
      </c>
      <c r="C381" s="244" t="s">
        <v>138</v>
      </c>
      <c r="D381" s="243" t="s">
        <v>347</v>
      </c>
      <c r="E381" s="243"/>
      <c r="F381" s="368">
        <v>3.2377410847252312E-2</v>
      </c>
      <c r="G381" s="352">
        <v>3.8572855537123661E-2</v>
      </c>
      <c r="H381" s="245">
        <f>H374/H$355</f>
        <v>3.1714306306251716E-2</v>
      </c>
      <c r="I381" s="245">
        <f t="shared" ref="I381:S385" si="183">I374/I$355</f>
        <v>2.6496198259690216E-2</v>
      </c>
      <c r="J381" s="362">
        <f t="shared" si="183"/>
        <v>2.4219186297922139E-2</v>
      </c>
      <c r="K381" s="245">
        <f t="shared" si="183"/>
        <v>2.5472983791395034E-2</v>
      </c>
      <c r="L381" s="245">
        <f t="shared" si="183"/>
        <v>2.6164623709679511E-2</v>
      </c>
      <c r="M381" s="245">
        <f t="shared" si="183"/>
        <v>2.5726158210850003E-2</v>
      </c>
      <c r="N381" s="245">
        <f t="shared" si="183"/>
        <v>2.728979610669623E-2</v>
      </c>
      <c r="O381" s="245">
        <f t="shared" si="183"/>
        <v>3.0370994238561811E-2</v>
      </c>
      <c r="P381" s="245">
        <f t="shared" si="183"/>
        <v>2.6068380126226337E-2</v>
      </c>
      <c r="Q381" s="245">
        <f t="shared" si="183"/>
        <v>2.7200467091702572E-2</v>
      </c>
      <c r="R381" s="245">
        <f t="shared" si="183"/>
        <v>2.8143768605833223E-2</v>
      </c>
      <c r="S381" s="245">
        <f t="shared" si="183"/>
        <v>2.7732036592821894E-2</v>
      </c>
      <c r="T381" s="245">
        <f>T374/T$355</f>
        <v>2.7088421307069115E-2</v>
      </c>
      <c r="U381" s="246"/>
      <c r="V381" s="246"/>
    </row>
    <row r="382" spans="1:29" hidden="1">
      <c r="A382" s="253"/>
      <c r="B382" s="243"/>
      <c r="C382" s="244" t="s">
        <v>464</v>
      </c>
      <c r="D382" s="243" t="s">
        <v>347</v>
      </c>
      <c r="E382" s="243"/>
      <c r="F382" s="260">
        <v>8.8920880349206075E-2</v>
      </c>
      <c r="G382" s="363">
        <v>8.6353541339854595E-2</v>
      </c>
      <c r="H382" s="245">
        <f>H375/H$355</f>
        <v>3.4011839235492218E-2</v>
      </c>
      <c r="I382" s="245">
        <f t="shared" si="183"/>
        <v>2.6764785903931915E-2</v>
      </c>
      <c r="J382" s="245">
        <f t="shared" si="183"/>
        <v>2.4154558809274928E-2</v>
      </c>
      <c r="K382" s="245">
        <f t="shared" si="183"/>
        <v>2.5689505175718892E-2</v>
      </c>
      <c r="L382" s="245">
        <f t="shared" si="183"/>
        <v>2.8806324884134565E-2</v>
      </c>
      <c r="M382" s="245">
        <f t="shared" si="183"/>
        <v>2.8219405870180164E-2</v>
      </c>
      <c r="N382" s="245">
        <f t="shared" si="183"/>
        <v>2.594145432855606E-2</v>
      </c>
      <c r="O382" s="245">
        <f t="shared" si="183"/>
        <v>2.4444048657114331E-2</v>
      </c>
      <c r="P382" s="245">
        <f t="shared" si="183"/>
        <v>2.2682710402437998E-2</v>
      </c>
      <c r="Q382" s="245">
        <f t="shared" si="183"/>
        <v>2.0464595355427526E-2</v>
      </c>
      <c r="R382" s="245">
        <f t="shared" si="183"/>
        <v>2.2019448884729301E-2</v>
      </c>
      <c r="S382" s="245">
        <f t="shared" si="183"/>
        <v>2.150370311021579E-2</v>
      </c>
      <c r="T382" s="245">
        <f>T375/T$355</f>
        <v>2.5327833949823068E-2</v>
      </c>
      <c r="U382" s="246"/>
      <c r="V382" s="246"/>
    </row>
    <row r="383" spans="1:29" hidden="1">
      <c r="A383" s="253"/>
      <c r="B383" s="243"/>
      <c r="C383" s="337" t="s">
        <v>408</v>
      </c>
      <c r="D383" s="243" t="s">
        <v>347</v>
      </c>
      <c r="E383" s="243"/>
      <c r="F383" s="260">
        <v>0.31152510543306156</v>
      </c>
      <c r="G383" s="363">
        <v>0.14728170188153242</v>
      </c>
      <c r="H383" s="245">
        <f>H376/H$355</f>
        <v>5.0150295999621182E-2</v>
      </c>
      <c r="I383" s="245">
        <f t="shared" si="183"/>
        <v>3.4294288839344461E-2</v>
      </c>
      <c r="J383" s="245">
        <f t="shared" si="183"/>
        <v>4.4004373471906638E-2</v>
      </c>
      <c r="K383" s="245">
        <f t="shared" si="183"/>
        <v>5.5744021400030187E-2</v>
      </c>
      <c r="L383" s="245">
        <f t="shared" si="183"/>
        <v>6.5503979861203196E-2</v>
      </c>
      <c r="M383" s="245">
        <f t="shared" si="183"/>
        <v>7.1078480362073426E-2</v>
      </c>
      <c r="N383" s="245">
        <f t="shared" si="183"/>
        <v>6.2085405234656797E-2</v>
      </c>
      <c r="O383" s="245">
        <f t="shared" si="183"/>
        <v>8.0863812078577749E-2</v>
      </c>
      <c r="P383" s="245">
        <f t="shared" si="183"/>
        <v>7.5091623465660257E-2</v>
      </c>
      <c r="Q383" s="245">
        <f t="shared" si="183"/>
        <v>7.4150268131931443E-2</v>
      </c>
      <c r="R383" s="245">
        <f t="shared" si="183"/>
        <v>6.8167682318937231E-2</v>
      </c>
      <c r="S383" s="245">
        <f t="shared" si="183"/>
        <v>6.8723375280575899E-2</v>
      </c>
      <c r="T383" s="245">
        <f>T376/T$355</f>
        <v>6.2401565304994813E-2</v>
      </c>
      <c r="U383" s="246"/>
      <c r="V383" s="246"/>
    </row>
    <row r="384" spans="1:29" hidden="1">
      <c r="A384" s="253"/>
      <c r="B384" s="243"/>
      <c r="C384" s="337" t="s">
        <v>456</v>
      </c>
      <c r="D384" s="243" t="s">
        <v>347</v>
      </c>
      <c r="E384" s="243"/>
      <c r="F384" s="260">
        <v>0.17779234770649577</v>
      </c>
      <c r="G384" s="363">
        <v>0.30840673967065468</v>
      </c>
      <c r="H384" s="245">
        <f>H377/H$355</f>
        <v>0.11530229875251523</v>
      </c>
      <c r="I384" s="245">
        <f t="shared" si="183"/>
        <v>9.6728925739907989E-2</v>
      </c>
      <c r="J384" s="245">
        <f t="shared" si="183"/>
        <v>8.9448035082029309E-2</v>
      </c>
      <c r="K384" s="245">
        <f t="shared" si="183"/>
        <v>8.1138694559637209E-2</v>
      </c>
      <c r="L384" s="245">
        <f t="shared" si="183"/>
        <v>8.3714272294178133E-2</v>
      </c>
      <c r="M384" s="245">
        <f t="shared" si="183"/>
        <v>9.9565327464227221E-2</v>
      </c>
      <c r="N384" s="245">
        <f t="shared" si="183"/>
        <v>9.3634044932479857E-2</v>
      </c>
      <c r="O384" s="245">
        <f t="shared" si="183"/>
        <v>9.5801790783505952E-2</v>
      </c>
      <c r="P384" s="245">
        <f t="shared" si="183"/>
        <v>8.1137743897858758E-2</v>
      </c>
      <c r="Q384" s="245">
        <f t="shared" si="183"/>
        <v>9.874020223639482E-2</v>
      </c>
      <c r="R384" s="245">
        <f t="shared" si="183"/>
        <v>9.8526626122685174E-2</v>
      </c>
      <c r="S384" s="245">
        <f t="shared" si="183"/>
        <v>9.4163525055536712E-2</v>
      </c>
      <c r="T384" s="245">
        <f>T377/T$355</f>
        <v>9.3569462938563552E-2</v>
      </c>
      <c r="U384" s="246"/>
      <c r="V384" s="246"/>
    </row>
    <row r="385" spans="1:23" ht="23.25" hidden="1">
      <c r="A385" s="253"/>
      <c r="B385" s="243"/>
      <c r="C385" s="249" t="s">
        <v>470</v>
      </c>
      <c r="D385" s="243" t="s">
        <v>347</v>
      </c>
      <c r="E385" s="243"/>
      <c r="F385" s="368"/>
      <c r="G385" s="352">
        <f>SUM(G381:G384)</f>
        <v>0.58061483842916539</v>
      </c>
      <c r="H385" s="245">
        <f>H378/H$355</f>
        <v>0.23117874029388033</v>
      </c>
      <c r="I385" s="245">
        <f t="shared" si="183"/>
        <v>0.18428419874287461</v>
      </c>
      <c r="J385" s="245">
        <f t="shared" si="183"/>
        <v>0.181826153661133</v>
      </c>
      <c r="K385" s="245">
        <f t="shared" si="183"/>
        <v>0.18804520492678131</v>
      </c>
      <c r="L385" s="245">
        <f t="shared" si="183"/>
        <v>0.20418920074919542</v>
      </c>
      <c r="M385" s="245">
        <f t="shared" si="183"/>
        <v>0.22458937190733083</v>
      </c>
      <c r="N385" s="245">
        <f t="shared" si="183"/>
        <v>0.20895070060238896</v>
      </c>
      <c r="O385" s="245">
        <f t="shared" si="183"/>
        <v>0.23148064575775984</v>
      </c>
      <c r="P385" s="245">
        <f t="shared" si="183"/>
        <v>0.20498045789218333</v>
      </c>
      <c r="Q385" s="245">
        <f t="shared" si="183"/>
        <v>0.22055553281545637</v>
      </c>
      <c r="R385" s="245">
        <f t="shared" si="183"/>
        <v>0.21685752593218494</v>
      </c>
      <c r="S385" s="245">
        <f t="shared" si="183"/>
        <v>0.2121226400391503</v>
      </c>
      <c r="T385" s="250">
        <f>T378/T373</f>
        <v>0.43899941481026167</v>
      </c>
      <c r="U385" s="246"/>
      <c r="V385" s="246"/>
    </row>
    <row r="386" spans="1:23" hidden="1">
      <c r="A386" s="253"/>
      <c r="B386" s="243"/>
      <c r="C386" s="249" t="s">
        <v>471</v>
      </c>
      <c r="D386" s="243"/>
      <c r="E386" s="243"/>
      <c r="F386" s="248"/>
      <c r="G386" s="283"/>
      <c r="H386" s="251">
        <f>H378/H379*100</f>
        <v>112.99930358402881</v>
      </c>
      <c r="I386" s="251">
        <f>I378/I379*100</f>
        <v>108.4821695515386</v>
      </c>
      <c r="J386" s="251">
        <f>J378/J379*100</f>
        <v>115.07363239501882</v>
      </c>
      <c r="K386" s="251">
        <f>K378/K379*100</f>
        <v>115.09204416166143</v>
      </c>
      <c r="L386" s="251">
        <f t="shared" ref="L386:T386" si="184">L378/L379*100</f>
        <v>119.13394004940538</v>
      </c>
      <c r="M386" s="251">
        <f t="shared" si="184"/>
        <v>133.80664727169938</v>
      </c>
      <c r="N386" s="251">
        <f t="shared" si="184"/>
        <v>120.25532490396687</v>
      </c>
      <c r="O386" s="251">
        <f t="shared" si="184"/>
        <v>118.77982458838441</v>
      </c>
      <c r="P386" s="251">
        <f t="shared" si="184"/>
        <v>125.94352066740953</v>
      </c>
      <c r="Q386" s="251">
        <f t="shared" si="184"/>
        <v>125.70798766601089</v>
      </c>
      <c r="R386" s="251">
        <f t="shared" si="184"/>
        <v>121.11155057461576</v>
      </c>
      <c r="S386" s="251">
        <f t="shared" si="184"/>
        <v>119.71928781846104</v>
      </c>
      <c r="T386" s="251">
        <f t="shared" si="184"/>
        <v>119.71688775715464</v>
      </c>
      <c r="U386" s="246"/>
      <c r="V386" s="246"/>
      <c r="W386" s="215"/>
    </row>
    <row r="387" spans="1:23" hidden="1">
      <c r="A387" s="253"/>
      <c r="B387" s="336"/>
      <c r="C387" s="364" t="s">
        <v>472</v>
      </c>
      <c r="D387" s="336"/>
      <c r="E387" s="243"/>
      <c r="F387" s="248"/>
      <c r="G387" s="283"/>
      <c r="H387" s="365">
        <f t="shared" ref="H387:T387" si="185">(H378+H360)/(H379+H361)*100</f>
        <v>106.45453618200813</v>
      </c>
      <c r="I387" s="365">
        <f t="shared" si="185"/>
        <v>104.57181761212799</v>
      </c>
      <c r="J387" s="365">
        <f t="shared" si="185"/>
        <v>107.03287556388344</v>
      </c>
      <c r="K387" s="365">
        <f t="shared" si="185"/>
        <v>109.12961258522735</v>
      </c>
      <c r="L387" s="365">
        <f t="shared" si="185"/>
        <v>106.32849758755327</v>
      </c>
      <c r="M387" s="365">
        <f t="shared" si="185"/>
        <v>107.50937464939192</v>
      </c>
      <c r="N387" s="365">
        <f t="shared" si="185"/>
        <v>108.50897853617802</v>
      </c>
      <c r="O387" s="365">
        <f t="shared" si="185"/>
        <v>110.62195162422381</v>
      </c>
      <c r="P387" s="365">
        <f t="shared" si="185"/>
        <v>103.4421200942035</v>
      </c>
      <c r="Q387" s="365">
        <f t="shared" si="185"/>
        <v>107.05528502762434</v>
      </c>
      <c r="R387" s="365">
        <f t="shared" si="185"/>
        <v>112.67571550469719</v>
      </c>
      <c r="S387" s="365">
        <f t="shared" si="185"/>
        <v>117.97308436522475</v>
      </c>
      <c r="T387" s="365">
        <f t="shared" si="185"/>
        <v>108.39331095422749</v>
      </c>
      <c r="U387" s="366"/>
      <c r="V387" s="366"/>
      <c r="W387" s="215"/>
    </row>
    <row r="388" spans="1:23" hidden="1">
      <c r="A388" s="62">
        <v>18</v>
      </c>
      <c r="B388" s="220" t="s">
        <v>111</v>
      </c>
      <c r="C388" s="317" t="s">
        <v>138</v>
      </c>
      <c r="D388" s="222" t="s">
        <v>90</v>
      </c>
      <c r="E388" s="238">
        <f>'[2]Price&amp;Heating-Value'!$R$6</f>
        <v>3.6</v>
      </c>
      <c r="F388" s="62"/>
      <c r="G388" s="256">
        <f>'[2]Price&amp;Heating-Value'!$P$6</f>
        <v>2.7124999999999999</v>
      </c>
      <c r="H388" s="226">
        <v>2643500.0279999999</v>
      </c>
      <c r="I388" s="226">
        <v>2367129.5219999999</v>
      </c>
      <c r="J388" s="226">
        <v>2658745.5329999998</v>
      </c>
      <c r="K388" s="226">
        <v>2496558.54</v>
      </c>
      <c r="L388" s="226">
        <v>2694563.0359999994</v>
      </c>
      <c r="M388" s="226">
        <v>2582503.5259999996</v>
      </c>
      <c r="N388" s="226">
        <v>2663088</v>
      </c>
      <c r="O388" s="226">
        <v>2477934</v>
      </c>
      <c r="P388" s="226">
        <v>2645121.534</v>
      </c>
      <c r="Q388" s="226">
        <v>2680935.6360000004</v>
      </c>
      <c r="R388" s="226">
        <v>2665972.5260000001</v>
      </c>
      <c r="S388" s="226">
        <v>2705492.5259999991</v>
      </c>
      <c r="T388" s="226">
        <f t="shared" ref="T388:T398" si="186">SUM(H388:S388)</f>
        <v>31281544.406999998</v>
      </c>
      <c r="U388" s="226">
        <f>T388*E388</f>
        <v>112613559.8652</v>
      </c>
      <c r="V388" s="226">
        <f>G388*T388</f>
        <v>84851189.203987494</v>
      </c>
      <c r="W388" s="215"/>
    </row>
    <row r="389" spans="1:23" hidden="1">
      <c r="A389" s="62"/>
      <c r="B389" s="62"/>
      <c r="C389" s="278" t="s">
        <v>464</v>
      </c>
      <c r="D389" s="62" t="s">
        <v>121</v>
      </c>
      <c r="E389" s="62">
        <f>'[2]Price&amp;Heating-Value'!$R$9</f>
        <v>2803</v>
      </c>
      <c r="F389" s="62"/>
      <c r="G389" s="230">
        <f>'[2]Price&amp;Heating-Value'!$P$9</f>
        <v>1301.5833333333333</v>
      </c>
      <c r="H389" s="225">
        <v>10833.256000000003</v>
      </c>
      <c r="I389" s="225">
        <v>10138.137000000002</v>
      </c>
      <c r="J389" s="225">
        <v>11279.641000000003</v>
      </c>
      <c r="K389" s="225">
        <v>10858.42</v>
      </c>
      <c r="L389" s="225">
        <v>11019.439999999999</v>
      </c>
      <c r="M389" s="225">
        <v>10116.058000000001</v>
      </c>
      <c r="N389" s="225">
        <v>9422.2000000000007</v>
      </c>
      <c r="O389" s="225">
        <v>9270.4699999999993</v>
      </c>
      <c r="P389" s="225">
        <v>8528.3040000000001</v>
      </c>
      <c r="Q389" s="225">
        <v>9049.2119999999995</v>
      </c>
      <c r="R389" s="225">
        <v>9374.882999999998</v>
      </c>
      <c r="S389" s="225">
        <v>9667.1590000000033</v>
      </c>
      <c r="T389" s="226">
        <f t="shared" si="186"/>
        <v>119557.18000000001</v>
      </c>
      <c r="U389" s="225">
        <f>T389*E389</f>
        <v>335118775.54000002</v>
      </c>
      <c r="V389" s="225">
        <f>G389*T389</f>
        <v>155613632.86833334</v>
      </c>
      <c r="W389" s="215"/>
    </row>
    <row r="390" spans="1:23" hidden="1">
      <c r="A390" s="62"/>
      <c r="B390" s="62"/>
      <c r="C390" s="278" t="s">
        <v>408</v>
      </c>
      <c r="D390" s="62" t="s">
        <v>176</v>
      </c>
      <c r="E390" s="238">
        <f>'[2]Price&amp;Heating-Value'!$S$16/1000</f>
        <v>39.770000000000003</v>
      </c>
      <c r="F390" s="321">
        <f>'[2]Price&amp;Heating-Value'!$T$16</f>
        <v>0.98550000000000004</v>
      </c>
      <c r="G390" s="230">
        <f>'[2]Price&amp;Heating-Value'!$P$16*'[2]Price&amp;Heating-Value'!$T$16/1000</f>
        <v>17.944656726937499</v>
      </c>
      <c r="H390" s="225">
        <v>0</v>
      </c>
      <c r="I390" s="225">
        <v>0</v>
      </c>
      <c r="J390" s="225">
        <v>0</v>
      </c>
      <c r="K390" s="225">
        <v>0</v>
      </c>
      <c r="L390" s="225">
        <v>0</v>
      </c>
      <c r="M390" s="225">
        <v>0</v>
      </c>
      <c r="N390" s="225">
        <v>0</v>
      </c>
      <c r="O390" s="225">
        <f>16.149787755102*1000</f>
        <v>16149.787755102001</v>
      </c>
      <c r="P390" s="225">
        <f>43.9052704081633*1000</f>
        <v>43905.270408163298</v>
      </c>
      <c r="Q390" s="225">
        <f>35.4886173469388*1000</f>
        <v>35488.617346938801</v>
      </c>
      <c r="R390" s="225">
        <f>53.8655612244898*1000</f>
        <v>53865.5612244898</v>
      </c>
      <c r="S390" s="277">
        <f>38.61*1000</f>
        <v>38610</v>
      </c>
      <c r="T390" s="225">
        <f t="shared" si="186"/>
        <v>188019.2367346939</v>
      </c>
      <c r="U390" s="225">
        <f>T390*E390</f>
        <v>7477525.0449387766</v>
      </c>
      <c r="V390" s="225">
        <f>G390*T390</f>
        <v>3373940.6612648792</v>
      </c>
      <c r="W390" s="215"/>
    </row>
    <row r="391" spans="1:23" hidden="1">
      <c r="A391" s="62"/>
      <c r="B391" s="62"/>
      <c r="C391" s="278" t="s">
        <v>429</v>
      </c>
      <c r="D391" s="62" t="s">
        <v>102</v>
      </c>
      <c r="E391" s="62">
        <f>'[2]Price&amp;Heating-Value'!$R$23/1000</f>
        <v>50.22</v>
      </c>
      <c r="F391" s="62"/>
      <c r="G391" s="230">
        <f>'[2]Price&amp;Heating-Value'!$P$23/1000</f>
        <v>11.61472</v>
      </c>
      <c r="H391" s="225">
        <f>1778.761*1000</f>
        <v>1778761</v>
      </c>
      <c r="I391" s="225">
        <f>1822.9*1000</f>
        <v>1822900</v>
      </c>
      <c r="J391" s="225">
        <f>2112.980155*1000</f>
        <v>2112980.1550000003</v>
      </c>
      <c r="K391" s="225">
        <f>1967.97422*1000</f>
        <v>1967974.22</v>
      </c>
      <c r="L391" s="225">
        <f>1947.974*1000</f>
        <v>1947974</v>
      </c>
      <c r="M391" s="225">
        <f>1863.728*1000</f>
        <v>1863728</v>
      </c>
      <c r="N391" s="225">
        <f>1871.58*1000</f>
        <v>1871580</v>
      </c>
      <c r="O391" s="225">
        <f>1823.56*1000</f>
        <v>1823560</v>
      </c>
      <c r="P391" s="225">
        <f>1862.956*1000</f>
        <v>1862956</v>
      </c>
      <c r="Q391" s="225">
        <f>1979.362*1000</f>
        <v>1979362</v>
      </c>
      <c r="R391" s="225">
        <f>1838.925*1000</f>
        <v>1838925</v>
      </c>
      <c r="S391" s="225">
        <f>1840.306*1000</f>
        <v>1840306</v>
      </c>
      <c r="T391" s="225">
        <f t="shared" si="186"/>
        <v>22711006.375</v>
      </c>
      <c r="U391" s="225">
        <f>T391*E391</f>
        <v>1140546740.1524999</v>
      </c>
      <c r="V391" s="225">
        <f>G391*T391</f>
        <v>263781979.96384001</v>
      </c>
      <c r="W391" s="215"/>
    </row>
    <row r="392" spans="1:23" hidden="1">
      <c r="A392" s="62"/>
      <c r="B392" s="233"/>
      <c r="C392" s="234" t="s">
        <v>468</v>
      </c>
      <c r="D392" s="233" t="s">
        <v>121</v>
      </c>
      <c r="E392" s="233"/>
      <c r="F392" s="233"/>
      <c r="G392" s="253"/>
      <c r="H392" s="264">
        <v>63584.410223999999</v>
      </c>
      <c r="I392" s="264">
        <v>62530.808329</v>
      </c>
      <c r="J392" s="264">
        <v>67409.000280000007</v>
      </c>
      <c r="K392" s="264">
        <v>65427.329180999994</v>
      </c>
      <c r="L392" s="264">
        <v>68429.896960000013</v>
      </c>
      <c r="M392" s="264">
        <v>66288.138571999996</v>
      </c>
      <c r="N392" s="264">
        <v>67006.399999999994</v>
      </c>
      <c r="O392" s="264">
        <v>59219.74</v>
      </c>
      <c r="P392" s="264">
        <v>60472.469529000002</v>
      </c>
      <c r="Q392" s="264">
        <v>65600.385559000002</v>
      </c>
      <c r="R392" s="264">
        <v>65264.83101899999</v>
      </c>
      <c r="S392" s="264">
        <v>64611.435053000008</v>
      </c>
      <c r="T392" s="236">
        <f t="shared" si="186"/>
        <v>775844.84470599995</v>
      </c>
      <c r="U392" s="259"/>
      <c r="V392" s="785" t="e">
        <f>#REF!/T392</f>
        <v>#REF!</v>
      </c>
      <c r="W392" s="215"/>
    </row>
    <row r="393" spans="1:23" hidden="1">
      <c r="A393" s="62"/>
      <c r="B393" s="253"/>
      <c r="C393" s="278" t="s">
        <v>138</v>
      </c>
      <c r="D393" s="253" t="s">
        <v>173</v>
      </c>
      <c r="E393" s="62"/>
      <c r="F393" s="62"/>
      <c r="G393" s="253"/>
      <c r="H393" s="277">
        <f t="shared" ref="H393:S393" si="187">H388*$E$388/1000</f>
        <v>9516.6001008000003</v>
      </c>
      <c r="I393" s="277">
        <f t="shared" si="187"/>
        <v>8521.6662792000006</v>
      </c>
      <c r="J393" s="277">
        <f t="shared" si="187"/>
        <v>9571.4839188000005</v>
      </c>
      <c r="K393" s="277">
        <f t="shared" si="187"/>
        <v>8987.6107440000014</v>
      </c>
      <c r="L393" s="277">
        <f t="shared" si="187"/>
        <v>9700.4269295999984</v>
      </c>
      <c r="M393" s="277">
        <f t="shared" si="187"/>
        <v>9297.0126935999997</v>
      </c>
      <c r="N393" s="277">
        <f t="shared" si="187"/>
        <v>9587.1168000000016</v>
      </c>
      <c r="O393" s="277">
        <f t="shared" si="187"/>
        <v>8920.5624000000007</v>
      </c>
      <c r="P393" s="277">
        <f t="shared" si="187"/>
        <v>9522.4375224000014</v>
      </c>
      <c r="Q393" s="277">
        <f t="shared" si="187"/>
        <v>9651.3682896000009</v>
      </c>
      <c r="R393" s="277">
        <f t="shared" si="187"/>
        <v>9597.5010936000017</v>
      </c>
      <c r="S393" s="277">
        <f t="shared" si="187"/>
        <v>9739.7730935999971</v>
      </c>
      <c r="T393" s="277">
        <f t="shared" si="186"/>
        <v>112613.5598652</v>
      </c>
      <c r="U393" s="277"/>
      <c r="V393" s="277"/>
      <c r="W393" s="215"/>
    </row>
    <row r="394" spans="1:23" hidden="1">
      <c r="A394" s="62"/>
      <c r="B394" s="253"/>
      <c r="C394" s="278" t="s">
        <v>464</v>
      </c>
      <c r="D394" s="253" t="s">
        <v>173</v>
      </c>
      <c r="E394" s="62"/>
      <c r="F394" s="62"/>
      <c r="G394" s="253"/>
      <c r="H394" s="277">
        <f t="shared" ref="H394:S394" si="188">H389*$E$389/1000</f>
        <v>30365.616568000009</v>
      </c>
      <c r="I394" s="277">
        <f t="shared" si="188"/>
        <v>28417.198011000008</v>
      </c>
      <c r="J394" s="277">
        <f t="shared" si="188"/>
        <v>31616.833723000007</v>
      </c>
      <c r="K394" s="277">
        <f t="shared" si="188"/>
        <v>30436.151260000002</v>
      </c>
      <c r="L394" s="277">
        <f t="shared" si="188"/>
        <v>30887.490319999997</v>
      </c>
      <c r="M394" s="277">
        <f t="shared" si="188"/>
        <v>28355.310573999999</v>
      </c>
      <c r="N394" s="277">
        <f t="shared" si="188"/>
        <v>26410.426600000003</v>
      </c>
      <c r="O394" s="277">
        <f t="shared" si="188"/>
        <v>25985.127409999997</v>
      </c>
      <c r="P394" s="277">
        <f t="shared" si="188"/>
        <v>23904.836112000001</v>
      </c>
      <c r="Q394" s="277">
        <f t="shared" si="188"/>
        <v>25364.941235999999</v>
      </c>
      <c r="R394" s="277">
        <f t="shared" si="188"/>
        <v>26277.797048999993</v>
      </c>
      <c r="S394" s="277">
        <f t="shared" si="188"/>
        <v>27097.046677000009</v>
      </c>
      <c r="T394" s="277">
        <f t="shared" si="186"/>
        <v>335118.77554</v>
      </c>
      <c r="U394" s="277"/>
      <c r="V394" s="277"/>
      <c r="W394" s="215"/>
    </row>
    <row r="395" spans="1:23" hidden="1">
      <c r="A395" s="62"/>
      <c r="B395" s="253"/>
      <c r="C395" s="278" t="s">
        <v>408</v>
      </c>
      <c r="D395" s="253" t="s">
        <v>173</v>
      </c>
      <c r="E395" s="62"/>
      <c r="F395" s="62"/>
      <c r="G395" s="253"/>
      <c r="H395" s="277">
        <f t="shared" ref="H395:S395" si="189">H390*$E$390/1000</f>
        <v>0</v>
      </c>
      <c r="I395" s="277">
        <f t="shared" si="189"/>
        <v>0</v>
      </c>
      <c r="J395" s="277">
        <f t="shared" si="189"/>
        <v>0</v>
      </c>
      <c r="K395" s="277">
        <f t="shared" si="189"/>
        <v>0</v>
      </c>
      <c r="L395" s="277">
        <f t="shared" si="189"/>
        <v>0</v>
      </c>
      <c r="M395" s="277">
        <f t="shared" si="189"/>
        <v>0</v>
      </c>
      <c r="N395" s="277">
        <f t="shared" si="189"/>
        <v>0</v>
      </c>
      <c r="O395" s="277">
        <f t="shared" si="189"/>
        <v>642.27705902040668</v>
      </c>
      <c r="P395" s="277">
        <f t="shared" si="189"/>
        <v>1746.1126041326547</v>
      </c>
      <c r="Q395" s="277">
        <f t="shared" si="189"/>
        <v>1411.3823118877563</v>
      </c>
      <c r="R395" s="277">
        <f t="shared" si="189"/>
        <v>2142.2333698979596</v>
      </c>
      <c r="S395" s="277">
        <f t="shared" si="189"/>
        <v>1535.5197000000003</v>
      </c>
      <c r="T395" s="277">
        <f t="shared" si="186"/>
        <v>7477.5250449387786</v>
      </c>
      <c r="U395" s="277"/>
      <c r="V395" s="277"/>
      <c r="W395" s="215"/>
    </row>
    <row r="396" spans="1:23" hidden="1">
      <c r="A396" s="62"/>
      <c r="B396" s="253"/>
      <c r="C396" s="278" t="s">
        <v>456</v>
      </c>
      <c r="D396" s="253" t="s">
        <v>173</v>
      </c>
      <c r="E396" s="62"/>
      <c r="F396" s="62"/>
      <c r="G396" s="253"/>
      <c r="H396" s="277">
        <f t="shared" ref="H396:S396" si="190">H391*$E$391/1000</f>
        <v>89329.377420000004</v>
      </c>
      <c r="I396" s="277">
        <f t="shared" si="190"/>
        <v>91546.038</v>
      </c>
      <c r="J396" s="277">
        <f t="shared" si="190"/>
        <v>106113.86338410001</v>
      </c>
      <c r="K396" s="277">
        <f t="shared" si="190"/>
        <v>98831.665328400006</v>
      </c>
      <c r="L396" s="277">
        <f t="shared" si="190"/>
        <v>97827.254280000008</v>
      </c>
      <c r="M396" s="277">
        <f t="shared" si="190"/>
        <v>93596.420159999994</v>
      </c>
      <c r="N396" s="277">
        <f t="shared" si="190"/>
        <v>93990.747599999988</v>
      </c>
      <c r="O396" s="277">
        <f t="shared" si="190"/>
        <v>91579.183199999999</v>
      </c>
      <c r="P396" s="277">
        <f t="shared" si="190"/>
        <v>93557.650319999986</v>
      </c>
      <c r="Q396" s="277">
        <f t="shared" si="190"/>
        <v>99403.559640000007</v>
      </c>
      <c r="R396" s="277">
        <f t="shared" si="190"/>
        <v>92350.813500000004</v>
      </c>
      <c r="S396" s="277">
        <f t="shared" si="190"/>
        <v>92420.167319999993</v>
      </c>
      <c r="T396" s="277">
        <f t="shared" si="186"/>
        <v>1140546.7401524999</v>
      </c>
      <c r="U396" s="277"/>
      <c r="V396" s="277"/>
      <c r="W396" s="215"/>
    </row>
    <row r="397" spans="1:23" hidden="1">
      <c r="A397" s="62"/>
      <c r="B397" s="62"/>
      <c r="C397" s="237" t="s">
        <v>473</v>
      </c>
      <c r="D397" s="62" t="s">
        <v>173</v>
      </c>
      <c r="E397" s="253" t="s">
        <v>360</v>
      </c>
      <c r="F397" s="253">
        <v>95.752948763466406</v>
      </c>
      <c r="G397" s="253"/>
      <c r="H397" s="277">
        <f t="shared" ref="H397:M397" si="191">SUM(H393:H396)</f>
        <v>129211.59408880002</v>
      </c>
      <c r="I397" s="277">
        <f t="shared" si="191"/>
        <v>128484.9022902</v>
      </c>
      <c r="J397" s="277">
        <f t="shared" si="191"/>
        <v>147302.1810259</v>
      </c>
      <c r="K397" s="277">
        <f t="shared" si="191"/>
        <v>138255.4273324</v>
      </c>
      <c r="L397" s="277">
        <f t="shared" si="191"/>
        <v>138415.17152959999</v>
      </c>
      <c r="M397" s="277">
        <f t="shared" si="191"/>
        <v>131248.74342759998</v>
      </c>
      <c r="N397" s="277">
        <f t="shared" ref="N397:S397" si="192">SUM(N393:N396)</f>
        <v>129988.291</v>
      </c>
      <c r="O397" s="277">
        <f t="shared" si="192"/>
        <v>127127.1500690204</v>
      </c>
      <c r="P397" s="277">
        <f t="shared" si="192"/>
        <v>128731.03655853265</v>
      </c>
      <c r="Q397" s="277">
        <f t="shared" si="192"/>
        <v>135831.25147748776</v>
      </c>
      <c r="R397" s="277">
        <f t="shared" si="192"/>
        <v>130368.34501249796</v>
      </c>
      <c r="S397" s="277">
        <f t="shared" si="192"/>
        <v>130792.50679059999</v>
      </c>
      <c r="T397" s="279">
        <f t="shared" si="186"/>
        <v>1595756.6006026387</v>
      </c>
      <c r="U397" s="277">
        <f>T397*12/11</f>
        <v>1740825.3824756057</v>
      </c>
      <c r="V397" s="786" t="e">
        <f>#REF!/T397</f>
        <v>#REF!</v>
      </c>
      <c r="W397" s="215"/>
    </row>
    <row r="398" spans="1:23" hidden="1">
      <c r="A398" s="62"/>
      <c r="B398" s="62"/>
      <c r="C398" s="237" t="s">
        <v>345</v>
      </c>
      <c r="D398" s="62" t="s">
        <v>173</v>
      </c>
      <c r="E398" s="1771" t="s">
        <v>869</v>
      </c>
      <c r="F398" s="1773"/>
      <c r="G398" s="253"/>
      <c r="H398" s="231">
        <f t="shared" ref="H398:S398" si="193">((2.1199*H392)+6808.2)*0.9958*($F$397/100)</f>
        <v>135017.46795988767</v>
      </c>
      <c r="I398" s="231">
        <f t="shared" si="193"/>
        <v>132887.77891422898</v>
      </c>
      <c r="J398" s="231">
        <f t="shared" si="193"/>
        <v>142748.26987382906</v>
      </c>
      <c r="K398" s="231">
        <f t="shared" si="193"/>
        <v>138742.63619789618</v>
      </c>
      <c r="L398" s="231">
        <f t="shared" si="193"/>
        <v>144811.8505170143</v>
      </c>
      <c r="M398" s="231">
        <f t="shared" si="193"/>
        <v>140482.62578894832</v>
      </c>
      <c r="N398" s="231">
        <f t="shared" si="193"/>
        <v>141934.47729224383</v>
      </c>
      <c r="O398" s="231">
        <f t="shared" si="193"/>
        <v>126194.97968601706</v>
      </c>
      <c r="P398" s="231">
        <f t="shared" si="193"/>
        <v>128727.17364632164</v>
      </c>
      <c r="Q398" s="231">
        <f t="shared" si="193"/>
        <v>139092.44220551348</v>
      </c>
      <c r="R398" s="231">
        <f t="shared" si="193"/>
        <v>138414.17194854983</v>
      </c>
      <c r="S398" s="231">
        <f t="shared" si="193"/>
        <v>137093.43568386446</v>
      </c>
      <c r="T398" s="225">
        <f t="shared" si="186"/>
        <v>1646147.3097143148</v>
      </c>
      <c r="U398" s="277">
        <f>T398*12/11</f>
        <v>1795797.0651428888</v>
      </c>
      <c r="V398" s="271" t="s">
        <v>158</v>
      </c>
      <c r="W398" s="215"/>
    </row>
    <row r="399" spans="1:23" hidden="1">
      <c r="A399" s="62"/>
      <c r="B399" s="243" t="s">
        <v>174</v>
      </c>
      <c r="C399" s="244" t="s">
        <v>138</v>
      </c>
      <c r="D399" s="243" t="s">
        <v>347</v>
      </c>
      <c r="E399" s="243"/>
      <c r="F399" s="243"/>
      <c r="G399" s="253"/>
      <c r="H399" s="245">
        <f t="shared" ref="H399:S403" si="194">H393/H$392</f>
        <v>0.14966876420295788</v>
      </c>
      <c r="I399" s="245">
        <f t="shared" si="194"/>
        <v>0.13627948377644586</v>
      </c>
      <c r="J399" s="245">
        <f t="shared" si="194"/>
        <v>0.14199118632589813</v>
      </c>
      <c r="K399" s="245">
        <f t="shared" si="194"/>
        <v>0.13736783782104911</v>
      </c>
      <c r="L399" s="245">
        <f t="shared" si="194"/>
        <v>0.14175714651843305</v>
      </c>
      <c r="M399" s="245">
        <f>M393/M$392</f>
        <v>0.14025152755650078</v>
      </c>
      <c r="N399" s="245">
        <f t="shared" si="194"/>
        <v>0.14307762840564486</v>
      </c>
      <c r="O399" s="245">
        <f t="shared" si="194"/>
        <v>0.15063494706325967</v>
      </c>
      <c r="P399" s="245">
        <f t="shared" si="194"/>
        <v>0.15746731688927387</v>
      </c>
      <c r="Q399" s="245">
        <f t="shared" si="194"/>
        <v>0.14712365190170576</v>
      </c>
      <c r="R399" s="245">
        <f t="shared" si="194"/>
        <v>0.14705471451854313</v>
      </c>
      <c r="S399" s="245">
        <f t="shared" si="194"/>
        <v>0.15074379768241603</v>
      </c>
      <c r="T399" s="245">
        <f>T393/T$392</f>
        <v>0.14514958839208889</v>
      </c>
      <c r="U399" s="246"/>
      <c r="V399" s="246"/>
      <c r="W399" s="215"/>
    </row>
    <row r="400" spans="1:23" hidden="1">
      <c r="A400" s="62"/>
      <c r="B400" s="243"/>
      <c r="C400" s="244" t="s">
        <v>464</v>
      </c>
      <c r="D400" s="243" t="s">
        <v>347</v>
      </c>
      <c r="E400" s="243"/>
      <c r="F400" s="243"/>
      <c r="G400" s="253"/>
      <c r="H400" s="245">
        <f t="shared" si="194"/>
        <v>0.47756386291900332</v>
      </c>
      <c r="I400" s="245">
        <f t="shared" si="194"/>
        <v>0.4544511540852883</v>
      </c>
      <c r="J400" s="245">
        <f t="shared" si="194"/>
        <v>0.46902985642379569</v>
      </c>
      <c r="K400" s="245">
        <f t="shared" si="194"/>
        <v>0.46519018338346935</v>
      </c>
      <c r="L400" s="245">
        <f t="shared" si="194"/>
        <v>0.4513742047288915</v>
      </c>
      <c r="M400" s="245">
        <f t="shared" si="194"/>
        <v>0.42775843740432373</v>
      </c>
      <c r="N400" s="245">
        <f t="shared" si="194"/>
        <v>0.39414782170061374</v>
      </c>
      <c r="O400" s="245">
        <f t="shared" si="194"/>
        <v>0.43879164971004597</v>
      </c>
      <c r="P400" s="245">
        <f t="shared" si="194"/>
        <v>0.39530113948027651</v>
      </c>
      <c r="Q400" s="245">
        <f t="shared" si="194"/>
        <v>0.38665841701779557</v>
      </c>
      <c r="R400" s="245">
        <f t="shared" si="194"/>
        <v>0.40263334231800835</v>
      </c>
      <c r="S400" s="245">
        <f t="shared" si="194"/>
        <v>0.41938469026067315</v>
      </c>
      <c r="T400" s="245">
        <f>T394/T$392</f>
        <v>0.43194045539735526</v>
      </c>
      <c r="U400" s="246"/>
      <c r="V400" s="246"/>
      <c r="W400" s="215"/>
    </row>
    <row r="401" spans="1:29" hidden="1">
      <c r="A401" s="62"/>
      <c r="B401" s="243"/>
      <c r="C401" s="337" t="s">
        <v>408</v>
      </c>
      <c r="D401" s="243" t="s">
        <v>347</v>
      </c>
      <c r="E401" s="243"/>
      <c r="F401" s="243"/>
      <c r="G401" s="253"/>
      <c r="H401" s="245">
        <f t="shared" si="194"/>
        <v>0</v>
      </c>
      <c r="I401" s="245">
        <f t="shared" si="194"/>
        <v>0</v>
      </c>
      <c r="J401" s="245">
        <f t="shared" si="194"/>
        <v>0</v>
      </c>
      <c r="K401" s="245">
        <f t="shared" si="194"/>
        <v>0</v>
      </c>
      <c r="L401" s="245">
        <f t="shared" si="194"/>
        <v>0</v>
      </c>
      <c r="M401" s="245">
        <f t="shared" si="194"/>
        <v>0</v>
      </c>
      <c r="N401" s="245">
        <f t="shared" si="194"/>
        <v>0</v>
      </c>
      <c r="O401" s="245">
        <f t="shared" si="194"/>
        <v>1.0845658204855453E-2</v>
      </c>
      <c r="P401" s="245">
        <f t="shared" si="194"/>
        <v>2.8874504675144679E-2</v>
      </c>
      <c r="Q401" s="245">
        <f t="shared" si="194"/>
        <v>2.1514847814703471E-2</v>
      </c>
      <c r="R401" s="245">
        <f t="shared" si="194"/>
        <v>3.2823702083505123E-2</v>
      </c>
      <c r="S401" s="245">
        <f t="shared" si="194"/>
        <v>2.3765448000658572E-2</v>
      </c>
      <c r="T401" s="245">
        <f>T395/T$392</f>
        <v>9.6379129099869523E-3</v>
      </c>
      <c r="U401" s="246"/>
      <c r="V401" s="246"/>
      <c r="W401" s="215"/>
    </row>
    <row r="402" spans="1:29" hidden="1">
      <c r="A402" s="62"/>
      <c r="B402" s="243"/>
      <c r="C402" s="337" t="s">
        <v>456</v>
      </c>
      <c r="D402" s="243" t="s">
        <v>347</v>
      </c>
      <c r="E402" s="243"/>
      <c r="F402" s="243"/>
      <c r="G402" s="253"/>
      <c r="H402" s="245">
        <f t="shared" si="194"/>
        <v>1.4048943303131016</v>
      </c>
      <c r="I402" s="245">
        <f t="shared" si="194"/>
        <v>1.4640149463339589</v>
      </c>
      <c r="J402" s="245">
        <f t="shared" si="194"/>
        <v>1.5741794559084061</v>
      </c>
      <c r="K402" s="245">
        <f t="shared" si="194"/>
        <v>1.5105563159240281</v>
      </c>
      <c r="L402" s="245">
        <f t="shared" si="194"/>
        <v>1.4295981526493298</v>
      </c>
      <c r="M402" s="245">
        <f t="shared" si="194"/>
        <v>1.4119633191741934</v>
      </c>
      <c r="N402" s="245">
        <f t="shared" si="194"/>
        <v>1.4027129886100431</v>
      </c>
      <c r="O402" s="245">
        <f t="shared" si="194"/>
        <v>1.5464300113441904</v>
      </c>
      <c r="P402" s="245">
        <f t="shared" si="194"/>
        <v>1.5471114549924863</v>
      </c>
      <c r="Q402" s="245">
        <f t="shared" si="194"/>
        <v>1.5152892592467759</v>
      </c>
      <c r="R402" s="245">
        <f t="shared" si="194"/>
        <v>1.4150165113139526</v>
      </c>
      <c r="S402" s="245">
        <f t="shared" si="194"/>
        <v>1.4303995452846514</v>
      </c>
      <c r="T402" s="245">
        <f>T396/T$392</f>
        <v>1.4700706564399493</v>
      </c>
      <c r="U402" s="246"/>
      <c r="V402" s="246"/>
    </row>
    <row r="403" spans="1:29" ht="23.25" hidden="1">
      <c r="A403" s="62"/>
      <c r="B403" s="243"/>
      <c r="C403" s="249" t="s">
        <v>474</v>
      </c>
      <c r="D403" s="243" t="s">
        <v>347</v>
      </c>
      <c r="E403" s="243"/>
      <c r="F403" s="243"/>
      <c r="G403" s="253"/>
      <c r="H403" s="245">
        <f t="shared" si="194"/>
        <v>2.0321269574350627</v>
      </c>
      <c r="I403" s="245">
        <f t="shared" si="194"/>
        <v>2.0547455841956928</v>
      </c>
      <c r="J403" s="245">
        <f t="shared" si="194"/>
        <v>2.1852004986580997</v>
      </c>
      <c r="K403" s="245">
        <f t="shared" si="194"/>
        <v>2.1131143371285463</v>
      </c>
      <c r="L403" s="245">
        <f t="shared" si="194"/>
        <v>2.0227295038966542</v>
      </c>
      <c r="M403" s="245">
        <f t="shared" si="194"/>
        <v>1.9799732841350179</v>
      </c>
      <c r="N403" s="245">
        <f t="shared" si="194"/>
        <v>1.9399384387163019</v>
      </c>
      <c r="O403" s="245">
        <f t="shared" si="194"/>
        <v>2.1467022663223512</v>
      </c>
      <c r="P403" s="245">
        <f t="shared" si="194"/>
        <v>2.1287544160371814</v>
      </c>
      <c r="Q403" s="245">
        <f t="shared" si="194"/>
        <v>2.0705861759809805</v>
      </c>
      <c r="R403" s="245">
        <f t="shared" si="194"/>
        <v>1.9975282702340091</v>
      </c>
      <c r="S403" s="245">
        <f t="shared" si="194"/>
        <v>2.024293481228399</v>
      </c>
      <c r="T403" s="250">
        <f>T397/T392</f>
        <v>2.0567986131393803</v>
      </c>
      <c r="U403" s="246"/>
      <c r="V403" s="246"/>
      <c r="W403" s="227">
        <f>'[2]Price&amp;Heating-Value'!D$6</f>
        <v>2.4500000000000002</v>
      </c>
      <c r="X403" s="227">
        <f>'[2]Price&amp;Heating-Value'!E$6</f>
        <v>2.54</v>
      </c>
      <c r="Y403" s="227">
        <f>'[2]Price&amp;Heating-Value'!F$6</f>
        <v>2.58</v>
      </c>
      <c r="Z403" s="227">
        <f>'[2]Price&amp;Heating-Value'!G$6</f>
        <v>2.67</v>
      </c>
      <c r="AA403" s="227">
        <f>'[2]Price&amp;Heating-Value'!H$6</f>
        <v>2.67</v>
      </c>
      <c r="AB403" s="227">
        <f>'[2]Price&amp;Heating-Value'!I$6</f>
        <v>2.67</v>
      </c>
      <c r="AC403" s="227">
        <f>'[2]Price&amp;Heating-Value'!J$6</f>
        <v>2.62</v>
      </c>
    </row>
    <row r="404" spans="1:29" hidden="1">
      <c r="A404" s="62"/>
      <c r="B404" s="243"/>
      <c r="C404" s="249" t="s">
        <v>475</v>
      </c>
      <c r="D404" s="243"/>
      <c r="E404" s="243"/>
      <c r="F404" s="243"/>
      <c r="G404" s="253"/>
      <c r="H404" s="251">
        <f>H397/H398*100</f>
        <v>95.699909086717199</v>
      </c>
      <c r="I404" s="251">
        <f>I397/I398*100</f>
        <v>96.686770852818015</v>
      </c>
      <c r="J404" s="251">
        <f>J397/J398*100</f>
        <v>103.19016906901639</v>
      </c>
      <c r="K404" s="251">
        <f>K397/K398*100</f>
        <v>99.648839838388795</v>
      </c>
      <c r="L404" s="251">
        <f>L397/L398*100</f>
        <v>95.582765523279633</v>
      </c>
      <c r="M404" s="251">
        <f t="shared" ref="M404:T404" si="195">M397/M398*100</f>
        <v>93.427028922978209</v>
      </c>
      <c r="N404" s="251">
        <f t="shared" si="195"/>
        <v>91.583309059118477</v>
      </c>
      <c r="O404" s="251">
        <f t="shared" si="195"/>
        <v>100.73867469634898</v>
      </c>
      <c r="P404" s="251">
        <f t="shared" si="195"/>
        <v>100.00300085219118</v>
      </c>
      <c r="Q404" s="251">
        <f t="shared" si="195"/>
        <v>97.655378914688114</v>
      </c>
      <c r="R404" s="251">
        <f t="shared" si="195"/>
        <v>94.187136459521938</v>
      </c>
      <c r="S404" s="251">
        <f t="shared" si="195"/>
        <v>95.403916415229148</v>
      </c>
      <c r="T404" s="251">
        <f t="shared" si="195"/>
        <v>96.938870001833479</v>
      </c>
      <c r="U404" s="246"/>
      <c r="V404" s="246"/>
      <c r="W404" s="232">
        <f>'[2]Price&amp;Heating-Value'!D$9</f>
        <v>1210</v>
      </c>
      <c r="X404" s="232">
        <f>'[2]Price&amp;Heating-Value'!E$9</f>
        <v>1218</v>
      </c>
      <c r="Y404" s="232">
        <f>'[2]Price&amp;Heating-Value'!F$9</f>
        <v>1207</v>
      </c>
      <c r="Z404" s="232">
        <f>'[2]Price&amp;Heating-Value'!G$9</f>
        <v>1232</v>
      </c>
      <c r="AA404" s="232">
        <f>'[2]Price&amp;Heating-Value'!H$9</f>
        <v>1352</v>
      </c>
      <c r="AB404" s="232">
        <f>'[2]Price&amp;Heating-Value'!I$9</f>
        <v>1491</v>
      </c>
      <c r="AC404" s="232">
        <f>'[2]Price&amp;Heating-Value'!J$9</f>
        <v>1588</v>
      </c>
    </row>
    <row r="405" spans="1:29" hidden="1">
      <c r="A405" s="62">
        <v>17</v>
      </c>
      <c r="B405" s="240" t="s">
        <v>105</v>
      </c>
      <c r="C405" s="278" t="s">
        <v>138</v>
      </c>
      <c r="D405" s="62" t="s">
        <v>90</v>
      </c>
      <c r="E405" s="238">
        <f>'[4]Price&amp;Heating-Value'!$R$6</f>
        <v>3.6</v>
      </c>
      <c r="F405" s="62"/>
      <c r="G405" s="256">
        <f>'[4]Price&amp;Heating-Value'!$P$6</f>
        <v>2.7124999999999999</v>
      </c>
      <c r="H405" s="225">
        <v>3182355</v>
      </c>
      <c r="I405" s="225">
        <v>2978395</v>
      </c>
      <c r="J405" s="225">
        <v>3311437</v>
      </c>
      <c r="K405" s="225">
        <v>3272911</v>
      </c>
      <c r="L405" s="225">
        <v>3439109</v>
      </c>
      <c r="M405" s="225">
        <v>3274009</v>
      </c>
      <c r="N405" s="225">
        <v>3180272</v>
      </c>
      <c r="O405" s="225">
        <v>3306358</v>
      </c>
      <c r="P405" s="225">
        <v>3146569</v>
      </c>
      <c r="Q405" s="225">
        <v>2959995</v>
      </c>
      <c r="R405" s="225">
        <v>2775016</v>
      </c>
      <c r="S405" s="225">
        <v>3184765</v>
      </c>
      <c r="T405" s="225">
        <f t="shared" ref="T405:T416" si="196">SUM(H405:S405)</f>
        <v>38011191</v>
      </c>
      <c r="U405" s="225">
        <f>T405*E405</f>
        <v>136840287.59999999</v>
      </c>
      <c r="V405" s="225">
        <f>G405*T405</f>
        <v>103105355.58749999</v>
      </c>
      <c r="W405" s="227">
        <f>'[4]Price&amp;Heating-Value'!D$6</f>
        <v>2.4500000000000002</v>
      </c>
      <c r="X405" s="227">
        <f>'[4]Price&amp;Heating-Value'!E$6</f>
        <v>2.54</v>
      </c>
      <c r="Y405" s="227">
        <f>'[4]Price&amp;Heating-Value'!F$6</f>
        <v>2.58</v>
      </c>
      <c r="Z405" s="227">
        <f>'[4]Price&amp;Heating-Value'!G$6</f>
        <v>2.67</v>
      </c>
      <c r="AA405" s="227">
        <f>'[4]Price&amp;Heating-Value'!H$6</f>
        <v>2.67</v>
      </c>
      <c r="AB405" s="227">
        <f>'[4]Price&amp;Heating-Value'!I$6</f>
        <v>2.67</v>
      </c>
      <c r="AC405" s="227">
        <f>'[4]Price&amp;Heating-Value'!J$6</f>
        <v>2.62</v>
      </c>
    </row>
    <row r="406" spans="1:29" hidden="1">
      <c r="A406" s="62"/>
      <c r="B406" s="62"/>
      <c r="C406" s="278" t="s">
        <v>152</v>
      </c>
      <c r="D406" s="62" t="s">
        <v>121</v>
      </c>
      <c r="E406" s="62">
        <f>'[4]Price&amp;Heating-Value'!$R$9</f>
        <v>2803</v>
      </c>
      <c r="F406" s="62"/>
      <c r="G406" s="230">
        <f>'[4]Price&amp;Heating-Value'!$P$9</f>
        <v>1301.5833333333333</v>
      </c>
      <c r="H406" s="225">
        <v>9784.2000000000007</v>
      </c>
      <c r="I406" s="225">
        <v>8289.9000000000015</v>
      </c>
      <c r="J406" s="225">
        <v>8824.8000000000011</v>
      </c>
      <c r="K406" s="225">
        <v>8348.2999999999993</v>
      </c>
      <c r="L406" s="225">
        <v>8409.5</v>
      </c>
      <c r="M406" s="225">
        <v>7173.1000000000013</v>
      </c>
      <c r="N406" s="225">
        <v>7611.4999999999991</v>
      </c>
      <c r="O406" s="225">
        <v>10282.500000000002</v>
      </c>
      <c r="P406" s="225">
        <v>9787.7999999999993</v>
      </c>
      <c r="Q406" s="225">
        <v>9691.6</v>
      </c>
      <c r="R406" s="225">
        <v>8552</v>
      </c>
      <c r="S406" s="225">
        <v>9572.1</v>
      </c>
      <c r="T406" s="225">
        <f t="shared" si="196"/>
        <v>106327.30000000002</v>
      </c>
      <c r="U406" s="225">
        <f>T406*E406</f>
        <v>298035421.90000004</v>
      </c>
      <c r="V406" s="225">
        <f>G406*T406</f>
        <v>138393841.55833334</v>
      </c>
      <c r="W406" s="232">
        <f>'[4]Price&amp;Heating-Value'!D$9</f>
        <v>1210</v>
      </c>
      <c r="X406" s="232">
        <f>'[4]Price&amp;Heating-Value'!E$9</f>
        <v>1218</v>
      </c>
      <c r="Y406" s="232">
        <f>'[4]Price&amp;Heating-Value'!F$9</f>
        <v>1207</v>
      </c>
      <c r="Z406" s="232">
        <f>'[4]Price&amp;Heating-Value'!G$9</f>
        <v>1232</v>
      </c>
      <c r="AA406" s="232">
        <f>'[4]Price&amp;Heating-Value'!H$9</f>
        <v>1352</v>
      </c>
      <c r="AB406" s="232">
        <f>'[4]Price&amp;Heating-Value'!I$9</f>
        <v>1491</v>
      </c>
      <c r="AC406" s="232">
        <f>'[4]Price&amp;Heating-Value'!J$9</f>
        <v>1588</v>
      </c>
    </row>
    <row r="407" spans="1:29" hidden="1">
      <c r="A407" s="62"/>
      <c r="B407" s="62"/>
      <c r="C407" s="278" t="s">
        <v>408</v>
      </c>
      <c r="D407" s="62" t="s">
        <v>176</v>
      </c>
      <c r="E407" s="238">
        <f>'[2]Price&amp;Heating-Value'!$S$16/1000</f>
        <v>39.770000000000003</v>
      </c>
      <c r="F407" s="321">
        <f>'[2]Price&amp;Heating-Value'!$T$16</f>
        <v>0.98550000000000004</v>
      </c>
      <c r="G407" s="230">
        <f>'[2]Price&amp;Heating-Value'!$P$16*'[2]Price&amp;Heating-Value'!$T$16/1000</f>
        <v>17.944656726937499</v>
      </c>
      <c r="H407" s="225">
        <f>2333.283186*1000</f>
        <v>2333283.1860000002</v>
      </c>
      <c r="I407" s="225">
        <f>2715.78877*1000</f>
        <v>2715788.77</v>
      </c>
      <c r="J407" s="225">
        <v>2550162.2480000001</v>
      </c>
      <c r="K407" s="225">
        <f>3302.587228*1000</f>
        <v>3302587.2279999997</v>
      </c>
      <c r="L407" s="225">
        <f>2604.345386*1000</f>
        <v>2604345.3859999999</v>
      </c>
      <c r="M407" s="225">
        <v>3062484.9180000001</v>
      </c>
      <c r="N407" s="225">
        <f>3108.37974*1000</f>
        <v>3108379.7399999998</v>
      </c>
      <c r="O407" s="225">
        <f>3099.719546*1000</f>
        <v>3099719.5459999996</v>
      </c>
      <c r="P407" s="225">
        <f>3497.979951*1000</f>
        <v>3497979.9509999999</v>
      </c>
      <c r="Q407" s="225">
        <f>2537.016012*1000</f>
        <v>2537016.0120000001</v>
      </c>
      <c r="R407" s="225">
        <f>2395.052142*1000</f>
        <v>2395052.142</v>
      </c>
      <c r="S407" s="225">
        <f>2431.362439*1000</f>
        <v>2431362.4389999998</v>
      </c>
      <c r="T407" s="225">
        <f t="shared" si="196"/>
        <v>33638161.566</v>
      </c>
      <c r="U407" s="225">
        <f>T407*E407</f>
        <v>1337789685.47982</v>
      </c>
      <c r="V407" s="225">
        <f>G407*T407</f>
        <v>603625262.22713232</v>
      </c>
      <c r="W407" s="322">
        <f>'[2]Price&amp;Heating-Value'!D$16*'[2]Price&amp;Heating-Value'!$T$16/1000</f>
        <v>16.779635460000002</v>
      </c>
      <c r="X407" s="232">
        <f>'[2]Price&amp;Heating-Value'!E$16*'[2]Price&amp;Heating-Value'!$T$16/1000</f>
        <v>16.47036585</v>
      </c>
      <c r="Y407" s="232">
        <f>'[2]Price&amp;Heating-Value'!F$16*'[2]Price&amp;Heating-Value'!$T$16/1000</f>
        <v>16.780118354999999</v>
      </c>
      <c r="Z407" s="232">
        <f>'[2]Price&amp;Heating-Value'!G$16*'[2]Price&amp;Heating-Value'!$T$16/1000</f>
        <v>18.287135100000004</v>
      </c>
      <c r="AA407" s="232">
        <f>'[2]Price&amp;Heating-Value'!H$16*'[2]Price&amp;Heating-Value'!$T$16/1000</f>
        <v>20.715278985000001</v>
      </c>
      <c r="AB407" s="232">
        <f>'[2]Price&amp;Heating-Value'!I$16*'[2]Price&amp;Heating-Value'!$T$16/1000</f>
        <v>22.335056640000001</v>
      </c>
      <c r="AC407" s="232">
        <f>'[2]Price&amp;Heating-Value'!J$16*'[2]Price&amp;Heating-Value'!$T$16/1000</f>
        <v>25.718475240000004</v>
      </c>
    </row>
    <row r="408" spans="1:29" hidden="1">
      <c r="A408" s="62"/>
      <c r="B408" s="62"/>
      <c r="C408" s="278" t="s">
        <v>429</v>
      </c>
      <c r="D408" s="62" t="s">
        <v>102</v>
      </c>
      <c r="E408" s="62">
        <f>'[2]Price&amp;Heating-Value'!$R$23/1000</f>
        <v>50.22</v>
      </c>
      <c r="F408" s="62"/>
      <c r="G408" s="230">
        <f>'[2]Price&amp;Heating-Value'!$P$23/1000</f>
        <v>11.61472</v>
      </c>
      <c r="H408" s="225">
        <f>3076.678*1000</f>
        <v>3076678</v>
      </c>
      <c r="I408" s="225">
        <f>2666.254*1000</f>
        <v>2666254</v>
      </c>
      <c r="J408" s="225">
        <v>3103902.585</v>
      </c>
      <c r="K408" s="225">
        <f>2713.73*1000</f>
        <v>2713730</v>
      </c>
      <c r="L408" s="225">
        <f>3167.665*1000</f>
        <v>3167665</v>
      </c>
      <c r="M408" s="225">
        <v>2587698</v>
      </c>
      <c r="N408" s="225">
        <f>2405.333*1000</f>
        <v>2405333</v>
      </c>
      <c r="O408" s="225">
        <f>2593.94655*1000</f>
        <v>2593946.5500000003</v>
      </c>
      <c r="P408" s="225">
        <f>2120.876*1000</f>
        <v>2120876</v>
      </c>
      <c r="Q408" s="225">
        <f>2446.553*1000</f>
        <v>2446553</v>
      </c>
      <c r="R408" s="225">
        <f>2351.564873*1000</f>
        <v>2351564.8729999997</v>
      </c>
      <c r="S408" s="225">
        <f>2866.575*1000</f>
        <v>2866575</v>
      </c>
      <c r="T408" s="225">
        <f t="shared" si="196"/>
        <v>32100776.008000001</v>
      </c>
      <c r="U408" s="225">
        <f>T408*E408</f>
        <v>1612100971.1217601</v>
      </c>
      <c r="V408" s="225">
        <f>G408*T408</f>
        <v>372841525.11563778</v>
      </c>
      <c r="W408" s="232">
        <f>'[2]Price&amp;Heating-Value'!D$23/1000</f>
        <v>11.61472</v>
      </c>
      <c r="X408" s="232">
        <f>'[2]Price&amp;Heating-Value'!E$23/1000</f>
        <v>11.61472</v>
      </c>
      <c r="Y408" s="232">
        <f>'[2]Price&amp;Heating-Value'!F$23/1000</f>
        <v>11.61472</v>
      </c>
      <c r="Z408" s="232">
        <f>'[2]Price&amp;Heating-Value'!G$23/1000</f>
        <v>11.61472</v>
      </c>
      <c r="AA408" s="232">
        <f>'[2]Price&amp;Heating-Value'!H$23/1000</f>
        <v>11.61472</v>
      </c>
      <c r="AB408" s="232">
        <f>'[2]Price&amp;Heating-Value'!I$23/1000</f>
        <v>11.61472</v>
      </c>
      <c r="AC408" s="232">
        <f>'[2]Price&amp;Heating-Value'!J$23/1000</f>
        <v>11.61472</v>
      </c>
    </row>
    <row r="409" spans="1:29" hidden="1">
      <c r="A409" s="253"/>
      <c r="B409" s="233"/>
      <c r="C409" s="234" t="s">
        <v>171</v>
      </c>
      <c r="D409" s="233" t="s">
        <v>121</v>
      </c>
      <c r="E409" s="233"/>
      <c r="F409" s="233"/>
      <c r="G409" s="253"/>
      <c r="H409" s="264">
        <v>511369.4238450001</v>
      </c>
      <c r="I409" s="264">
        <v>493417.64628399984</v>
      </c>
      <c r="J409" s="264">
        <v>548315.21848699998</v>
      </c>
      <c r="K409" s="264">
        <v>544687.8055880001</v>
      </c>
      <c r="L409" s="264">
        <v>556860.35751899995</v>
      </c>
      <c r="M409" s="264">
        <v>518362.54449300014</v>
      </c>
      <c r="N409" s="264">
        <v>501165.12661799992</v>
      </c>
      <c r="O409" s="264">
        <v>539684.84654800012</v>
      </c>
      <c r="P409" s="264">
        <v>514064.74606599996</v>
      </c>
      <c r="Q409" s="264">
        <v>481039.04946399998</v>
      </c>
      <c r="R409" s="264">
        <v>470281.08699699998</v>
      </c>
      <c r="S409" s="264">
        <v>548086.83378899994</v>
      </c>
      <c r="T409" s="236">
        <f t="shared" si="196"/>
        <v>6227334.6856979998</v>
      </c>
      <c r="U409" s="259"/>
      <c r="V409" s="785" t="e">
        <f>#REF!/T409</f>
        <v>#REF!</v>
      </c>
    </row>
    <row r="410" spans="1:29" hidden="1">
      <c r="A410" s="253"/>
      <c r="B410" s="253"/>
      <c r="C410" s="278" t="s">
        <v>138</v>
      </c>
      <c r="D410" s="253" t="s">
        <v>173</v>
      </c>
      <c r="E410" s="62"/>
      <c r="F410" s="62"/>
      <c r="G410" s="253"/>
      <c r="H410" s="277">
        <f t="shared" ref="H410:S410" si="197">H405*$E$405/1000</f>
        <v>11456.477999999999</v>
      </c>
      <c r="I410" s="277">
        <f t="shared" si="197"/>
        <v>10722.222</v>
      </c>
      <c r="J410" s="277">
        <f t="shared" si="197"/>
        <v>11921.173200000001</v>
      </c>
      <c r="K410" s="277">
        <f t="shared" si="197"/>
        <v>11782.479599999999</v>
      </c>
      <c r="L410" s="277">
        <f t="shared" si="197"/>
        <v>12380.7924</v>
      </c>
      <c r="M410" s="277">
        <f t="shared" si="197"/>
        <v>11786.4324</v>
      </c>
      <c r="N410" s="277">
        <f t="shared" si="197"/>
        <v>11448.979200000002</v>
      </c>
      <c r="O410" s="277">
        <f t="shared" si="197"/>
        <v>11902.888800000001</v>
      </c>
      <c r="P410" s="277">
        <f t="shared" si="197"/>
        <v>11327.6484</v>
      </c>
      <c r="Q410" s="277">
        <f t="shared" si="197"/>
        <v>10655.982</v>
      </c>
      <c r="R410" s="277">
        <f t="shared" si="197"/>
        <v>9990.0576000000001</v>
      </c>
      <c r="S410" s="277">
        <f t="shared" si="197"/>
        <v>11465.154</v>
      </c>
      <c r="T410" s="277">
        <f t="shared" si="196"/>
        <v>136840.28760000001</v>
      </c>
      <c r="U410" s="277"/>
      <c r="V410" s="277"/>
    </row>
    <row r="411" spans="1:29" hidden="1">
      <c r="A411" s="253"/>
      <c r="B411" s="253"/>
      <c r="C411" s="278" t="s">
        <v>476</v>
      </c>
      <c r="D411" s="253" t="s">
        <v>173</v>
      </c>
      <c r="E411" s="62"/>
      <c r="F411" s="62"/>
      <c r="G411" s="253"/>
      <c r="H411" s="277">
        <f t="shared" ref="H411:S411" si="198">H406*$E$406/1000</f>
        <v>27425.1126</v>
      </c>
      <c r="I411" s="277">
        <f t="shared" si="198"/>
        <v>23236.589700000004</v>
      </c>
      <c r="J411" s="277">
        <f t="shared" si="198"/>
        <v>24735.914400000001</v>
      </c>
      <c r="K411" s="277">
        <f t="shared" si="198"/>
        <v>23400.284899999999</v>
      </c>
      <c r="L411" s="277">
        <f t="shared" si="198"/>
        <v>23571.8285</v>
      </c>
      <c r="M411" s="277">
        <f t="shared" si="198"/>
        <v>20106.199300000004</v>
      </c>
      <c r="N411" s="277">
        <f t="shared" si="198"/>
        <v>21335.034499999998</v>
      </c>
      <c r="O411" s="277">
        <f t="shared" si="198"/>
        <v>28821.847500000003</v>
      </c>
      <c r="P411" s="277">
        <f t="shared" si="198"/>
        <v>27435.203399999999</v>
      </c>
      <c r="Q411" s="277">
        <f t="shared" si="198"/>
        <v>27165.554800000002</v>
      </c>
      <c r="R411" s="277">
        <f t="shared" si="198"/>
        <v>23971.256000000001</v>
      </c>
      <c r="S411" s="277">
        <f t="shared" si="198"/>
        <v>26830.596300000001</v>
      </c>
      <c r="T411" s="277">
        <f t="shared" si="196"/>
        <v>298035.42190000002</v>
      </c>
      <c r="U411" s="277"/>
      <c r="V411" s="277"/>
    </row>
    <row r="412" spans="1:29" hidden="1">
      <c r="A412" s="253"/>
      <c r="B412" s="253"/>
      <c r="C412" s="278" t="s">
        <v>408</v>
      </c>
      <c r="D412" s="253" t="s">
        <v>173</v>
      </c>
      <c r="E412" s="62"/>
      <c r="F412" s="62"/>
      <c r="G412" s="253"/>
      <c r="H412" s="277">
        <f t="shared" ref="H412:S412" si="199">H407*$E$407/1000</f>
        <v>92794.672307220011</v>
      </c>
      <c r="I412" s="277">
        <f t="shared" si="199"/>
        <v>108006.91938290001</v>
      </c>
      <c r="J412" s="277">
        <f t="shared" si="199"/>
        <v>101419.95260296002</v>
      </c>
      <c r="K412" s="277">
        <f t="shared" si="199"/>
        <v>131343.89405755998</v>
      </c>
      <c r="L412" s="277">
        <f t="shared" si="199"/>
        <v>103574.81600122001</v>
      </c>
      <c r="M412" s="277">
        <f t="shared" si="199"/>
        <v>121795.02518886002</v>
      </c>
      <c r="N412" s="277">
        <f t="shared" si="199"/>
        <v>123620.2622598</v>
      </c>
      <c r="O412" s="277">
        <f t="shared" si="199"/>
        <v>123275.84634442</v>
      </c>
      <c r="P412" s="277">
        <f t="shared" si="199"/>
        <v>139114.66265126999</v>
      </c>
      <c r="Q412" s="277">
        <f t="shared" si="199"/>
        <v>100897.12679724002</v>
      </c>
      <c r="R412" s="277">
        <f t="shared" si="199"/>
        <v>95251.223687340011</v>
      </c>
      <c r="S412" s="277">
        <f t="shared" si="199"/>
        <v>96695.284199029993</v>
      </c>
      <c r="T412" s="277">
        <f t="shared" si="196"/>
        <v>1337789.68547982</v>
      </c>
      <c r="U412" s="277"/>
      <c r="V412" s="277"/>
    </row>
    <row r="413" spans="1:29" hidden="1">
      <c r="A413" s="253"/>
      <c r="B413" s="253"/>
      <c r="C413" s="278" t="s">
        <v>456</v>
      </c>
      <c r="D413" s="253" t="s">
        <v>173</v>
      </c>
      <c r="E413" s="62"/>
      <c r="F413" s="62"/>
      <c r="G413" s="253"/>
      <c r="H413" s="277">
        <f t="shared" ref="H413:S413" si="200">H408*$E$408/1000</f>
        <v>154510.76916</v>
      </c>
      <c r="I413" s="277">
        <f t="shared" si="200"/>
        <v>133899.27588</v>
      </c>
      <c r="J413" s="277">
        <f t="shared" si="200"/>
        <v>155877.9878187</v>
      </c>
      <c r="K413" s="277">
        <f t="shared" si="200"/>
        <v>136283.52059999999</v>
      </c>
      <c r="L413" s="277">
        <f t="shared" si="200"/>
        <v>159080.13629999998</v>
      </c>
      <c r="M413" s="277">
        <f t="shared" si="200"/>
        <v>129954.19356</v>
      </c>
      <c r="N413" s="277">
        <f t="shared" si="200"/>
        <v>120795.82325999999</v>
      </c>
      <c r="O413" s="277">
        <f t="shared" si="200"/>
        <v>130267.99574100001</v>
      </c>
      <c r="P413" s="277">
        <f t="shared" si="200"/>
        <v>106510.39272</v>
      </c>
      <c r="Q413" s="277">
        <f t="shared" si="200"/>
        <v>122865.89165999999</v>
      </c>
      <c r="R413" s="277">
        <f t="shared" si="200"/>
        <v>118095.58792205999</v>
      </c>
      <c r="S413" s="277">
        <f t="shared" si="200"/>
        <v>143959.3965</v>
      </c>
      <c r="T413" s="277">
        <f t="shared" si="196"/>
        <v>1612100.9711217601</v>
      </c>
      <c r="U413" s="277"/>
      <c r="V413" s="277"/>
    </row>
    <row r="414" spans="1:29" hidden="1">
      <c r="A414" s="253"/>
      <c r="B414" s="62"/>
      <c r="C414" s="237" t="s">
        <v>477</v>
      </c>
      <c r="D414" s="62" t="s">
        <v>173</v>
      </c>
      <c r="E414" s="253"/>
      <c r="F414" s="253"/>
      <c r="G414" s="253"/>
      <c r="H414" s="277">
        <f t="shared" ref="H414:M414" si="201">SUM(H410:H413)</f>
        <v>286187.03206721996</v>
      </c>
      <c r="I414" s="277">
        <f t="shared" si="201"/>
        <v>275865.00696290005</v>
      </c>
      <c r="J414" s="277">
        <f t="shared" si="201"/>
        <v>293955.02802166005</v>
      </c>
      <c r="K414" s="277">
        <f t="shared" si="201"/>
        <v>302810.17915755999</v>
      </c>
      <c r="L414" s="277">
        <f t="shared" si="201"/>
        <v>298607.57320122002</v>
      </c>
      <c r="M414" s="277">
        <f t="shared" si="201"/>
        <v>283641.85044886003</v>
      </c>
      <c r="N414" s="277">
        <f t="shared" ref="N414:S414" si="202">SUM(N410:N413)</f>
        <v>277200.09921979997</v>
      </c>
      <c r="O414" s="277">
        <f t="shared" si="202"/>
        <v>294268.57838542003</v>
      </c>
      <c r="P414" s="277">
        <f t="shared" si="202"/>
        <v>284387.90717127</v>
      </c>
      <c r="Q414" s="277">
        <f t="shared" si="202"/>
        <v>261584.55525724002</v>
      </c>
      <c r="R414" s="277">
        <f t="shared" si="202"/>
        <v>247308.12520939999</v>
      </c>
      <c r="S414" s="277">
        <f t="shared" si="202"/>
        <v>278950.43099903001</v>
      </c>
      <c r="T414" s="279">
        <f t="shared" si="196"/>
        <v>3384766.3661015797</v>
      </c>
      <c r="U414" s="225">
        <f t="shared" ref="U414:U415" si="203">T414*12/11</f>
        <v>3692472.3993835417</v>
      </c>
      <c r="V414" s="786" t="e">
        <f>#REF!/T414</f>
        <v>#REF!</v>
      </c>
    </row>
    <row r="415" spans="1:29" hidden="1">
      <c r="A415" s="253"/>
      <c r="B415" s="62"/>
      <c r="C415" s="237"/>
      <c r="D415" s="62"/>
      <c r="E415" s="1771" t="s">
        <v>478</v>
      </c>
      <c r="F415" s="1772"/>
      <c r="G415" s="1773"/>
      <c r="H415" s="277">
        <f t="shared" ref="H415:S415" si="204">0.3213*H409+101362</f>
        <v>265664.99588139856</v>
      </c>
      <c r="I415" s="277">
        <f t="shared" si="204"/>
        <v>259897.08975104915</v>
      </c>
      <c r="J415" s="277">
        <f t="shared" si="204"/>
        <v>277535.67969987309</v>
      </c>
      <c r="K415" s="277">
        <f t="shared" si="204"/>
        <v>276370.19193542446</v>
      </c>
      <c r="L415" s="277">
        <f t="shared" si="204"/>
        <v>280281.23287085467</v>
      </c>
      <c r="M415" s="277">
        <f t="shared" si="204"/>
        <v>267911.8855456009</v>
      </c>
      <c r="N415" s="277">
        <f t="shared" si="204"/>
        <v>262386.35518236336</v>
      </c>
      <c r="O415" s="277">
        <f t="shared" si="204"/>
        <v>274762.74119587243</v>
      </c>
      <c r="P415" s="277">
        <f t="shared" si="204"/>
        <v>266531.00291100575</v>
      </c>
      <c r="Q415" s="277">
        <f t="shared" si="204"/>
        <v>255919.84659278317</v>
      </c>
      <c r="R415" s="277">
        <f t="shared" si="204"/>
        <v>252463.31325213608</v>
      </c>
      <c r="S415" s="277">
        <f t="shared" si="204"/>
        <v>277462.29969640565</v>
      </c>
      <c r="T415" s="279">
        <f t="shared" si="196"/>
        <v>3217186.6345147677</v>
      </c>
      <c r="U415" s="225">
        <f t="shared" si="203"/>
        <v>3509658.1467433828</v>
      </c>
      <c r="V415" s="786"/>
    </row>
    <row r="416" spans="1:29" hidden="1">
      <c r="A416" s="253"/>
      <c r="B416" s="62"/>
      <c r="C416" s="237" t="s">
        <v>345</v>
      </c>
      <c r="D416" s="62" t="s">
        <v>173</v>
      </c>
      <c r="E416" s="62" t="s">
        <v>360</v>
      </c>
      <c r="F416" s="62">
        <v>87.413552256318837</v>
      </c>
      <c r="G416" s="253"/>
      <c r="H416" s="231">
        <f t="shared" ref="H416:S416" si="205" xml:space="preserve"> (0.5974*H409 - 5279.4)*(102.39/100)*($F$416/100)</f>
        <v>268698.57524084504</v>
      </c>
      <c r="I416" s="231">
        <f t="shared" si="205"/>
        <v>259099.95104096053</v>
      </c>
      <c r="J416" s="231">
        <f t="shared" si="205"/>
        <v>288453.09800772055</v>
      </c>
      <c r="K416" s="231">
        <f t="shared" si="205"/>
        <v>286513.5589778389</v>
      </c>
      <c r="L416" s="231">
        <f t="shared" si="205"/>
        <v>293022.09280643746</v>
      </c>
      <c r="M416" s="231">
        <f t="shared" si="205"/>
        <v>272437.72234516474</v>
      </c>
      <c r="N416" s="231">
        <f t="shared" si="205"/>
        <v>263242.44623227895</v>
      </c>
      <c r="O416" s="231">
        <f t="shared" si="205"/>
        <v>283838.53008171997</v>
      </c>
      <c r="P416" s="231">
        <f t="shared" si="205"/>
        <v>270139.73531588854</v>
      </c>
      <c r="Q416" s="231">
        <f t="shared" si="205"/>
        <v>252481.24720545884</v>
      </c>
      <c r="R416" s="231">
        <f t="shared" si="205"/>
        <v>246729.07929192984</v>
      </c>
      <c r="S416" s="231">
        <f t="shared" si="205"/>
        <v>288330.98314295814</v>
      </c>
      <c r="T416" s="279">
        <f t="shared" si="196"/>
        <v>3272987.0196892018</v>
      </c>
      <c r="U416" s="225">
        <f>T416*12/11</f>
        <v>3570531.2942064018</v>
      </c>
      <c r="V416" s="271" t="s">
        <v>158</v>
      </c>
    </row>
    <row r="417" spans="1:29" hidden="1">
      <c r="A417" s="253"/>
      <c r="B417" s="243" t="s">
        <v>174</v>
      </c>
      <c r="C417" s="244" t="s">
        <v>138</v>
      </c>
      <c r="D417" s="243" t="s">
        <v>347</v>
      </c>
      <c r="E417" s="243"/>
      <c r="F417" s="260"/>
      <c r="G417" s="363"/>
      <c r="H417" s="245">
        <f>H410/H$409</f>
        <v>2.2403525642691817E-2</v>
      </c>
      <c r="I417" s="245">
        <f t="shared" ref="I417:S417" si="206">I410/I$409</f>
        <v>2.1730519937320069E-2</v>
      </c>
      <c r="J417" s="245">
        <f t="shared" si="206"/>
        <v>2.1741459653253525E-2</v>
      </c>
      <c r="K417" s="245">
        <f t="shared" si="206"/>
        <v>2.1631619946550124E-2</v>
      </c>
      <c r="L417" s="245">
        <f t="shared" si="206"/>
        <v>2.2233208438755796E-2</v>
      </c>
      <c r="M417" s="245">
        <f t="shared" si="206"/>
        <v>2.273781646690555E-2</v>
      </c>
      <c r="N417" s="245">
        <f t="shared" si="206"/>
        <v>2.2844724407025008E-2</v>
      </c>
      <c r="O417" s="245">
        <f t="shared" si="206"/>
        <v>2.2055258501576892E-2</v>
      </c>
      <c r="P417" s="245">
        <f t="shared" si="206"/>
        <v>2.2035450761188086E-2</v>
      </c>
      <c r="Q417" s="245">
        <f t="shared" si="206"/>
        <v>2.215201034484306E-2</v>
      </c>
      <c r="R417" s="245">
        <f t="shared" si="206"/>
        <v>2.1242737325015429E-2</v>
      </c>
      <c r="S417" s="245">
        <f t="shared" si="206"/>
        <v>2.0918499210681285E-2</v>
      </c>
      <c r="T417" s="245">
        <f>T410/T$409</f>
        <v>2.1974134121018753E-2</v>
      </c>
      <c r="U417" s="246"/>
      <c r="V417" s="246"/>
    </row>
    <row r="418" spans="1:29" hidden="1">
      <c r="A418" s="253"/>
      <c r="B418" s="243"/>
      <c r="C418" s="244" t="s">
        <v>455</v>
      </c>
      <c r="D418" s="243" t="s">
        <v>347</v>
      </c>
      <c r="E418" s="243"/>
      <c r="F418" s="260"/>
      <c r="G418" s="363"/>
      <c r="H418" s="245">
        <f t="shared" ref="H418:S421" si="207">H411/H$409</f>
        <v>5.3630724328001193E-2</v>
      </c>
      <c r="I418" s="245">
        <f t="shared" si="207"/>
        <v>4.7093146901003941E-2</v>
      </c>
      <c r="J418" s="245">
        <f t="shared" si="207"/>
        <v>4.5112580439141077E-2</v>
      </c>
      <c r="K418" s="245">
        <f t="shared" si="207"/>
        <v>4.2960912030587828E-2</v>
      </c>
      <c r="L418" s="245">
        <f t="shared" si="207"/>
        <v>4.232987351626253E-2</v>
      </c>
      <c r="M418" s="245">
        <f t="shared" si="207"/>
        <v>3.8787909183649577E-2</v>
      </c>
      <c r="N418" s="245">
        <f t="shared" si="207"/>
        <v>4.2570868096857971E-2</v>
      </c>
      <c r="O418" s="245">
        <f t="shared" si="207"/>
        <v>5.3404959735953154E-2</v>
      </c>
      <c r="P418" s="245">
        <f t="shared" si="207"/>
        <v>5.336915944918276E-2</v>
      </c>
      <c r="Q418" s="245">
        <f t="shared" si="207"/>
        <v>5.647266023469269E-2</v>
      </c>
      <c r="R418" s="245">
        <f t="shared" si="207"/>
        <v>5.0972188044110987E-2</v>
      </c>
      <c r="S418" s="245">
        <f t="shared" si="207"/>
        <v>4.8953185236208625E-2</v>
      </c>
      <c r="T418" s="245">
        <f>T411/T$409</f>
        <v>4.7859226610139118E-2</v>
      </c>
      <c r="U418" s="246"/>
      <c r="V418" s="246"/>
    </row>
    <row r="419" spans="1:29" hidden="1">
      <c r="A419" s="253"/>
      <c r="B419" s="243"/>
      <c r="C419" s="337" t="s">
        <v>408</v>
      </c>
      <c r="D419" s="243" t="s">
        <v>347</v>
      </c>
      <c r="E419" s="243"/>
      <c r="F419" s="260"/>
      <c r="G419" s="363"/>
      <c r="H419" s="245">
        <f t="shared" si="207"/>
        <v>0.18146308320410406</v>
      </c>
      <c r="I419" s="245">
        <f t="shared" si="207"/>
        <v>0.21889553443480558</v>
      </c>
      <c r="J419" s="245">
        <f t="shared" si="207"/>
        <v>0.18496651047332657</v>
      </c>
      <c r="K419" s="245">
        <f t="shared" si="207"/>
        <v>0.2411361016532616</v>
      </c>
      <c r="L419" s="245">
        <f t="shared" si="207"/>
        <v>0.18599782621029198</v>
      </c>
      <c r="M419" s="245">
        <f t="shared" si="207"/>
        <v>0.23496108367163229</v>
      </c>
      <c r="N419" s="245">
        <f t="shared" si="207"/>
        <v>0.24666573090195545</v>
      </c>
      <c r="O419" s="245">
        <f t="shared" si="207"/>
        <v>0.22842191536955767</v>
      </c>
      <c r="P419" s="245">
        <f t="shared" si="207"/>
        <v>0.27061700635158764</v>
      </c>
      <c r="Q419" s="245">
        <f t="shared" si="207"/>
        <v>0.20974830818758919</v>
      </c>
      <c r="R419" s="245">
        <f t="shared" si="207"/>
        <v>0.20254104687809321</v>
      </c>
      <c r="S419" s="245">
        <f t="shared" si="207"/>
        <v>0.17642329324089423</v>
      </c>
      <c r="T419" s="245">
        <f>T412/T$409</f>
        <v>0.21482540332258887</v>
      </c>
      <c r="U419" s="246"/>
      <c r="V419" s="246"/>
    </row>
    <row r="420" spans="1:29" hidden="1">
      <c r="A420" s="253"/>
      <c r="B420" s="243"/>
      <c r="C420" s="337" t="s">
        <v>456</v>
      </c>
      <c r="D420" s="243" t="s">
        <v>347</v>
      </c>
      <c r="E420" s="243"/>
      <c r="F420" s="260"/>
      <c r="G420" s="363"/>
      <c r="H420" s="245">
        <f t="shared" si="207"/>
        <v>0.30215097335743984</v>
      </c>
      <c r="I420" s="245">
        <f t="shared" si="207"/>
        <v>0.27137107253543719</v>
      </c>
      <c r="J420" s="245">
        <f t="shared" si="207"/>
        <v>0.28428535733300225</v>
      </c>
      <c r="K420" s="245">
        <f t="shared" si="207"/>
        <v>0.25020483146832989</v>
      </c>
      <c r="L420" s="245">
        <f t="shared" si="207"/>
        <v>0.28567330058967649</v>
      </c>
      <c r="M420" s="245">
        <f t="shared" si="207"/>
        <v>0.25070135745842814</v>
      </c>
      <c r="N420" s="245">
        <f t="shared" si="207"/>
        <v>0.24102998561604519</v>
      </c>
      <c r="O420" s="245">
        <f t="shared" si="207"/>
        <v>0.24137790151833333</v>
      </c>
      <c r="P420" s="245">
        <f t="shared" si="207"/>
        <v>0.20719256384549914</v>
      </c>
      <c r="Q420" s="245">
        <f t="shared" si="207"/>
        <v>0.25541770838958683</v>
      </c>
      <c r="R420" s="245">
        <f t="shared" si="207"/>
        <v>0.25111702593902813</v>
      </c>
      <c r="S420" s="245">
        <f t="shared" si="207"/>
        <v>0.26265800895961838</v>
      </c>
      <c r="T420" s="245">
        <f>T413/T$409</f>
        <v>0.2588749525257073</v>
      </c>
      <c r="U420" s="246"/>
      <c r="V420" s="246"/>
    </row>
    <row r="421" spans="1:29" ht="23.25" hidden="1">
      <c r="A421" s="253"/>
      <c r="B421" s="243"/>
      <c r="C421" s="249" t="s">
        <v>479</v>
      </c>
      <c r="D421" s="243" t="s">
        <v>347</v>
      </c>
      <c r="E421" s="243"/>
      <c r="F421" s="260"/>
      <c r="G421" s="363"/>
      <c r="H421" s="245">
        <f>H414/H$409</f>
        <v>0.55964830653223685</v>
      </c>
      <c r="I421" s="245">
        <f t="shared" si="207"/>
        <v>0.5590902738085668</v>
      </c>
      <c r="J421" s="245">
        <f t="shared" si="207"/>
        <v>0.53610590789872348</v>
      </c>
      <c r="K421" s="245">
        <f t="shared" si="207"/>
        <v>0.55593346509872943</v>
      </c>
      <c r="L421" s="245">
        <f t="shared" si="207"/>
        <v>0.53623420875498684</v>
      </c>
      <c r="M421" s="245">
        <f t="shared" si="207"/>
        <v>0.54718816678061555</v>
      </c>
      <c r="N421" s="245">
        <f t="shared" si="207"/>
        <v>0.55311130902188355</v>
      </c>
      <c r="O421" s="245">
        <f t="shared" si="207"/>
        <v>0.54526003512542109</v>
      </c>
      <c r="P421" s="245">
        <f t="shared" si="207"/>
        <v>0.55321418040745762</v>
      </c>
      <c r="Q421" s="245">
        <f t="shared" si="207"/>
        <v>0.54379068715671175</v>
      </c>
      <c r="R421" s="245">
        <f t="shared" si="207"/>
        <v>0.52587299818624778</v>
      </c>
      <c r="S421" s="245">
        <f t="shared" si="207"/>
        <v>0.50895298664740252</v>
      </c>
      <c r="T421" s="250">
        <f>T414/T409</f>
        <v>0.54353371657945393</v>
      </c>
      <c r="U421" s="246"/>
      <c r="V421" s="246"/>
    </row>
    <row r="422" spans="1:29" hidden="1">
      <c r="A422" s="253"/>
      <c r="B422" s="243"/>
      <c r="C422" s="249" t="s">
        <v>480</v>
      </c>
      <c r="D422" s="243"/>
      <c r="E422" s="243"/>
      <c r="F422" s="243"/>
      <c r="G422" s="363"/>
      <c r="H422" s="251">
        <f>H414/H416*100</f>
        <v>106.50857817563764</v>
      </c>
      <c r="I422" s="251">
        <f t="shared" ref="I422:S422" si="208">I414/I416*100</f>
        <v>106.47049752598726</v>
      </c>
      <c r="J422" s="251">
        <f t="shared" si="208"/>
        <v>101.90739154890001</v>
      </c>
      <c r="K422" s="251">
        <f t="shared" si="208"/>
        <v>105.68790539542374</v>
      </c>
      <c r="L422" s="251">
        <f t="shared" si="208"/>
        <v>101.90616357329485</v>
      </c>
      <c r="M422" s="251">
        <f t="shared" si="208"/>
        <v>104.1125465325614</v>
      </c>
      <c r="N422" s="251">
        <f t="shared" si="208"/>
        <v>105.30220455982433</v>
      </c>
      <c r="O422" s="251">
        <f t="shared" si="208"/>
        <v>103.67464145924697</v>
      </c>
      <c r="P422" s="251">
        <f t="shared" si="208"/>
        <v>105.27437099866863</v>
      </c>
      <c r="Q422" s="251">
        <f t="shared" si="208"/>
        <v>103.60553829345325</v>
      </c>
      <c r="R422" s="251">
        <f t="shared" si="208"/>
        <v>100.23468896294345</v>
      </c>
      <c r="S422" s="251">
        <f t="shared" si="208"/>
        <v>96.746602795968982</v>
      </c>
      <c r="T422" s="251">
        <f>T414/T416*100</f>
        <v>103.41520897394186</v>
      </c>
      <c r="U422" s="246"/>
      <c r="V422" s="246"/>
    </row>
    <row r="423" spans="1:29" hidden="1">
      <c r="A423" s="253"/>
      <c r="B423" s="243"/>
      <c r="C423" s="249"/>
      <c r="D423" s="243"/>
      <c r="E423" s="243"/>
      <c r="F423" s="243"/>
      <c r="G423" s="363"/>
      <c r="H423" s="251">
        <f>H414/H415*100</f>
        <v>107.72477989346518</v>
      </c>
      <c r="I423" s="251">
        <f>I414/I415*100</f>
        <v>106.14393844392266</v>
      </c>
      <c r="J423" s="251">
        <f>J414/J415*100</f>
        <v>105.91612160985673</v>
      </c>
      <c r="K423" s="251">
        <f>K414/K415*100</f>
        <v>109.56687370550924</v>
      </c>
      <c r="L423" s="251">
        <f>L414/L415*100</f>
        <v>106.538554202382</v>
      </c>
      <c r="M423" s="251">
        <f t="shared" ref="M423:R423" si="209">M414/M415*100</f>
        <v>105.87132029294824</v>
      </c>
      <c r="N423" s="251">
        <f t="shared" si="209"/>
        <v>105.64577530227925</v>
      </c>
      <c r="O423" s="251">
        <f t="shared" si="209"/>
        <v>107.09915656855465</v>
      </c>
      <c r="P423" s="251">
        <f t="shared" si="209"/>
        <v>106.69974752101415</v>
      </c>
      <c r="Q423" s="251">
        <f t="shared" si="209"/>
        <v>102.21346985779907</v>
      </c>
      <c r="R423" s="251">
        <f t="shared" si="209"/>
        <v>97.958044685253896</v>
      </c>
      <c r="S423" s="251">
        <f>S414/S415*100</f>
        <v>100.53633639750433</v>
      </c>
      <c r="T423" s="251">
        <f>T414/T415*100</f>
        <v>105.20889058126053</v>
      </c>
      <c r="U423" s="246"/>
      <c r="V423" s="246"/>
    </row>
    <row r="424" spans="1:29" hidden="1">
      <c r="A424" s="62">
        <v>18</v>
      </c>
      <c r="B424" s="361" t="s">
        <v>104</v>
      </c>
      <c r="C424" s="278" t="s">
        <v>138</v>
      </c>
      <c r="D424" s="62" t="s">
        <v>90</v>
      </c>
      <c r="E424" s="238">
        <f>'[2]Price&amp;Heating-Value'!$R$6</f>
        <v>3.6</v>
      </c>
      <c r="F424" s="62"/>
      <c r="G424" s="256">
        <f>'[2]Price&amp;Heating-Value'!$P$6</f>
        <v>2.7124999999999999</v>
      </c>
      <c r="H424" s="225">
        <f t="shared" ref="H424:S424" si="210">H429*1000/3.6</f>
        <v>16501092.560000001</v>
      </c>
      <c r="I424" s="225">
        <f t="shared" si="210"/>
        <v>14869754.925999999</v>
      </c>
      <c r="J424" s="225">
        <f t="shared" si="210"/>
        <v>16862983.829999998</v>
      </c>
      <c r="K424" s="225">
        <f t="shared" si="210"/>
        <v>16054326.695999999</v>
      </c>
      <c r="L424" s="225">
        <f t="shared" si="210"/>
        <v>17153913.822999999</v>
      </c>
      <c r="M424" s="225">
        <f t="shared" si="210"/>
        <v>16403244.943</v>
      </c>
      <c r="N424" s="225">
        <f t="shared" si="210"/>
        <v>16429640.014</v>
      </c>
      <c r="O424" s="225">
        <f t="shared" si="210"/>
        <v>16641908.304</v>
      </c>
      <c r="P424" s="225">
        <f t="shared" si="210"/>
        <v>15311771.882999998</v>
      </c>
      <c r="Q424" s="225">
        <f t="shared" si="210"/>
        <v>15248584.535</v>
      </c>
      <c r="R424" s="225">
        <f t="shared" si="210"/>
        <v>15371449.918</v>
      </c>
      <c r="S424" s="225">
        <f t="shared" si="210"/>
        <v>16455587.436000001</v>
      </c>
      <c r="T424" s="225">
        <f t="shared" ref="T424:T434" si="211">SUM(H424:S424)</f>
        <v>193304258.868</v>
      </c>
      <c r="U424" s="225">
        <f>T424*E424</f>
        <v>695895331.92480004</v>
      </c>
      <c r="V424" s="225">
        <f>G424*T424</f>
        <v>524337802.17944998</v>
      </c>
      <c r="W424" s="227">
        <f>'[2]Price&amp;Heating-Value'!D$6</f>
        <v>2.4500000000000002</v>
      </c>
      <c r="X424" s="227">
        <f>'[2]Price&amp;Heating-Value'!E$6</f>
        <v>2.54</v>
      </c>
      <c r="Y424" s="227">
        <f>'[2]Price&amp;Heating-Value'!F$6</f>
        <v>2.58</v>
      </c>
      <c r="Z424" s="227">
        <f>'[2]Price&amp;Heating-Value'!G$6</f>
        <v>2.67</v>
      </c>
      <c r="AA424" s="227">
        <f>'[2]Price&amp;Heating-Value'!H$6</f>
        <v>2.67</v>
      </c>
      <c r="AB424" s="227">
        <f>'[2]Price&amp;Heating-Value'!I$6</f>
        <v>2.67</v>
      </c>
      <c r="AC424" s="227">
        <f>'[2]Price&amp;Heating-Value'!J$6</f>
        <v>2.62</v>
      </c>
    </row>
    <row r="425" spans="1:29" hidden="1">
      <c r="A425" s="62"/>
      <c r="B425" s="62"/>
      <c r="C425" s="278" t="s">
        <v>481</v>
      </c>
      <c r="D425" s="62" t="s">
        <v>147</v>
      </c>
      <c r="E425" s="62">
        <v>33913</v>
      </c>
      <c r="F425" s="62"/>
      <c r="G425" s="256"/>
      <c r="H425" s="225">
        <f t="shared" ref="H425:S425" si="212">H430*1000/$E$425</f>
        <v>5964.2889999999998</v>
      </c>
      <c r="I425" s="225">
        <f t="shared" si="212"/>
        <v>5482.9229999999998</v>
      </c>
      <c r="J425" s="225">
        <f t="shared" si="212"/>
        <v>6313.2569999999996</v>
      </c>
      <c r="K425" s="225">
        <f t="shared" si="212"/>
        <v>5908.6450000000004</v>
      </c>
      <c r="L425" s="225">
        <f t="shared" si="212"/>
        <v>6237.143</v>
      </c>
      <c r="M425" s="225">
        <f t="shared" si="212"/>
        <v>5920.527</v>
      </c>
      <c r="N425" s="225">
        <f t="shared" si="212"/>
        <v>6276.0320000000002</v>
      </c>
      <c r="O425" s="225">
        <f t="shared" si="212"/>
        <v>6137.3010000000004</v>
      </c>
      <c r="P425" s="225">
        <f t="shared" si="212"/>
        <v>5146.87</v>
      </c>
      <c r="Q425" s="225">
        <f t="shared" si="212"/>
        <v>4909.7830000000004</v>
      </c>
      <c r="R425" s="225">
        <f t="shared" si="212"/>
        <v>5083.0510000000004</v>
      </c>
      <c r="S425" s="225">
        <f t="shared" si="212"/>
        <v>5706.9629999999997</v>
      </c>
      <c r="T425" s="225">
        <f t="shared" si="211"/>
        <v>69086.784</v>
      </c>
      <c r="U425" s="225">
        <f>T425*E425</f>
        <v>2342940105.7919998</v>
      </c>
      <c r="V425" s="225">
        <f>G425*T425</f>
        <v>0</v>
      </c>
      <c r="W425" s="369">
        <f>'[2]Price&amp;Heating-Value'!D$7</f>
        <v>1179.3506956831968</v>
      </c>
      <c r="X425" s="370">
        <f>'[2]Price&amp;Heating-Value'!E$7</f>
        <v>1187.148055654656</v>
      </c>
      <c r="Y425" s="370">
        <f>'[2]Price&amp;Heating-Value'!F$7</f>
        <v>1176.4266856938996</v>
      </c>
      <c r="Z425" s="370">
        <f>'[2]Price&amp;Heating-Value'!G$7</f>
        <v>1200.7934356047094</v>
      </c>
      <c r="AA425" s="370">
        <f>'[2]Price&amp;Heating-Value'!H$7</f>
        <v>1317.7538351765968</v>
      </c>
      <c r="AB425" s="370">
        <f>'[2]Price&amp;Heating-Value'!I$7</f>
        <v>1453.2329646806993</v>
      </c>
      <c r="AC425" s="370">
        <f>'[2]Price&amp;Heating-Value'!J$7</f>
        <v>1547.7759543346415</v>
      </c>
    </row>
    <row r="426" spans="1:29" hidden="1">
      <c r="A426" s="62"/>
      <c r="B426" s="62"/>
      <c r="C426" s="278" t="s">
        <v>482</v>
      </c>
      <c r="D426" s="62" t="s">
        <v>147</v>
      </c>
      <c r="E426" s="62">
        <f>'[2]Price&amp;Heating-Value'!$R$10</f>
        <v>3180</v>
      </c>
      <c r="F426" s="62"/>
      <c r="G426" s="230">
        <f>'[2]Price&amp;Heating-Value'!$P$10</f>
        <v>1321.5833333333333</v>
      </c>
      <c r="H426" s="231">
        <f t="shared" ref="H426:S426" si="213">H431*1000/$E$426</f>
        <v>0</v>
      </c>
      <c r="I426" s="231">
        <f t="shared" si="213"/>
        <v>-28.913207547169812</v>
      </c>
      <c r="J426" s="231">
        <f t="shared" si="213"/>
        <v>-13.251886792452829</v>
      </c>
      <c r="K426" s="231">
        <f t="shared" si="213"/>
        <v>-43.369811320754714</v>
      </c>
      <c r="L426" s="231">
        <f t="shared" si="213"/>
        <v>0</v>
      </c>
      <c r="M426" s="231">
        <f t="shared" si="213"/>
        <v>0</v>
      </c>
      <c r="N426" s="231">
        <f t="shared" si="213"/>
        <v>0</v>
      </c>
      <c r="O426" s="231">
        <f t="shared" si="213"/>
        <v>0</v>
      </c>
      <c r="P426" s="231">
        <f t="shared" si="213"/>
        <v>0</v>
      </c>
      <c r="Q426" s="231">
        <f t="shared" si="213"/>
        <v>0</v>
      </c>
      <c r="R426" s="231">
        <f t="shared" si="213"/>
        <v>0</v>
      </c>
      <c r="S426" s="231">
        <f t="shared" si="213"/>
        <v>0</v>
      </c>
      <c r="T426" s="225">
        <f t="shared" si="211"/>
        <v>-85.534905660377348</v>
      </c>
      <c r="U426" s="225">
        <f>T426*E426</f>
        <v>-272000.99999999994</v>
      </c>
      <c r="V426" s="225">
        <f>G426*T426</f>
        <v>-113041.50573899368</v>
      </c>
      <c r="W426" s="322">
        <f>'[2]Price&amp;Heating-Value'!D$10</f>
        <v>1230</v>
      </c>
      <c r="X426" s="232">
        <f>'[2]Price&amp;Heating-Value'!E$10</f>
        <v>1238</v>
      </c>
      <c r="Y426" s="232">
        <f>'[2]Price&amp;Heating-Value'!F$10</f>
        <v>1227</v>
      </c>
      <c r="Z426" s="232">
        <f>'[2]Price&amp;Heating-Value'!G$10</f>
        <v>1252</v>
      </c>
      <c r="AA426" s="232">
        <f>'[2]Price&amp;Heating-Value'!H$10</f>
        <v>1372</v>
      </c>
      <c r="AB426" s="232">
        <f>'[2]Price&amp;Heating-Value'!I$10</f>
        <v>1511</v>
      </c>
      <c r="AC426" s="232">
        <f>'[2]Price&amp;Heating-Value'!J$10</f>
        <v>1608</v>
      </c>
    </row>
    <row r="427" spans="1:29" hidden="1">
      <c r="A427" s="62"/>
      <c r="B427" s="62"/>
      <c r="C427" s="278" t="s">
        <v>488</v>
      </c>
      <c r="D427" s="62" t="s">
        <v>483</v>
      </c>
      <c r="E427" s="62">
        <f>'[2]Price&amp;Heating-Value'!$R$19/1000</f>
        <v>43.993000000000002</v>
      </c>
      <c r="F427" s="62"/>
      <c r="G427" s="371">
        <f>'[2]Price&amp;Heating-Value'!P19/1000</f>
        <v>5.9003324083333331</v>
      </c>
      <c r="H427" s="231">
        <f t="shared" ref="H427:S427" si="214">H432*1000/$E$427</f>
        <v>2110101.556195531</v>
      </c>
      <c r="I427" s="231">
        <f t="shared" si="214"/>
        <v>2041018.1055806605</v>
      </c>
      <c r="J427" s="231">
        <f t="shared" si="214"/>
        <v>1858366.6078812538</v>
      </c>
      <c r="K427" s="231">
        <f t="shared" si="214"/>
        <v>1369148.0907555746</v>
      </c>
      <c r="L427" s="231">
        <f t="shared" si="214"/>
        <v>1874726.0752599277</v>
      </c>
      <c r="M427" s="231">
        <f t="shared" si="214"/>
        <v>1468923.3089480144</v>
      </c>
      <c r="N427" s="231">
        <f t="shared" si="214"/>
        <v>1683283.2701493418</v>
      </c>
      <c r="O427" s="231">
        <f t="shared" si="214"/>
        <v>1621912.1843320527</v>
      </c>
      <c r="P427" s="231">
        <f t="shared" si="214"/>
        <v>1674954.6631282247</v>
      </c>
      <c r="Q427" s="231">
        <f t="shared" si="214"/>
        <v>1693381.7580346873</v>
      </c>
      <c r="R427" s="231">
        <f t="shared" si="214"/>
        <v>1483343.7919566748</v>
      </c>
      <c r="S427" s="231">
        <f t="shared" si="214"/>
        <v>1650101.6350019323</v>
      </c>
      <c r="T427" s="225">
        <f t="shared" si="211"/>
        <v>20529261.047223873</v>
      </c>
      <c r="U427" s="225">
        <f>T427*E427</f>
        <v>903143781.25051987</v>
      </c>
      <c r="V427" s="225">
        <f>G427*T427</f>
        <v>121129464.27607012</v>
      </c>
      <c r="W427" s="372">
        <f>'[2]Price&amp;Heating-Value'!D$19/1000</f>
        <v>5.3311999999999999</v>
      </c>
      <c r="X427" s="373">
        <f>'[2]Price&amp;Heating-Value'!E$19/1000</f>
        <v>5.3087400000000011</v>
      </c>
      <c r="Y427" s="373">
        <f>'[2]Price&amp;Heating-Value'!F$19/1000</f>
        <v>5.3071200000000003</v>
      </c>
      <c r="Z427" s="373">
        <f>'[2]Price&amp;Heating-Value'!G$19/1000</f>
        <v>5.3289600000000004</v>
      </c>
      <c r="AA427" s="373">
        <f>'[2]Price&amp;Heating-Value'!H$19/1000</f>
        <v>5.3113499999999991</v>
      </c>
      <c r="AB427" s="373">
        <f>'[2]Price&amp;Heating-Value'!I$19/1000</f>
        <v>5.3247999999999998</v>
      </c>
      <c r="AC427" s="373">
        <f>'[2]Price&amp;Heating-Value'!J$19/1000</f>
        <v>5.3135399999999997</v>
      </c>
    </row>
    <row r="428" spans="1:29" hidden="1">
      <c r="A428" s="253"/>
      <c r="B428" s="233"/>
      <c r="C428" s="234" t="s">
        <v>107</v>
      </c>
      <c r="D428" s="233" t="s">
        <v>147</v>
      </c>
      <c r="E428" s="233"/>
      <c r="F428" s="233"/>
      <c r="G428" s="253"/>
      <c r="H428" s="264">
        <v>106136.61</v>
      </c>
      <c r="I428" s="264">
        <v>93220</v>
      </c>
      <c r="J428" s="264">
        <v>108854</v>
      </c>
      <c r="K428" s="264">
        <v>95815</v>
      </c>
      <c r="L428" s="264">
        <v>109283</v>
      </c>
      <c r="M428" s="264">
        <v>104077</v>
      </c>
      <c r="N428" s="264">
        <v>96670</v>
      </c>
      <c r="O428" s="264">
        <v>100167</v>
      </c>
      <c r="P428" s="264">
        <v>98113</v>
      </c>
      <c r="Q428" s="264">
        <v>101176</v>
      </c>
      <c r="R428" s="264">
        <v>88755</v>
      </c>
      <c r="S428" s="264">
        <v>100612</v>
      </c>
      <c r="T428" s="236">
        <f t="shared" si="211"/>
        <v>1202878.6099999999</v>
      </c>
      <c r="U428" s="259"/>
      <c r="V428" s="785" t="e">
        <f>#REF!/T428</f>
        <v>#REF!</v>
      </c>
    </row>
    <row r="429" spans="1:29" hidden="1">
      <c r="A429" s="253"/>
      <c r="B429" s="253"/>
      <c r="C429" s="278" t="s">
        <v>138</v>
      </c>
      <c r="D429" s="253" t="s">
        <v>173</v>
      </c>
      <c r="E429" s="62"/>
      <c r="F429" s="62"/>
      <c r="G429" s="253"/>
      <c r="H429" s="277">
        <v>59403.933216000005</v>
      </c>
      <c r="I429" s="277">
        <v>53531.117733599996</v>
      </c>
      <c r="J429" s="277">
        <v>60706.741787999992</v>
      </c>
      <c r="K429" s="277">
        <v>57795.576105599997</v>
      </c>
      <c r="L429" s="277">
        <v>61754.089762800002</v>
      </c>
      <c r="M429" s="277">
        <v>59051.681794799995</v>
      </c>
      <c r="N429" s="277">
        <v>59146.704050400003</v>
      </c>
      <c r="O429" s="277">
        <v>59910.869894399999</v>
      </c>
      <c r="P429" s="277">
        <v>55122.378778799997</v>
      </c>
      <c r="Q429" s="277">
        <v>54894.904326000003</v>
      </c>
      <c r="R429" s="277">
        <v>55337.219704800002</v>
      </c>
      <c r="S429" s="277">
        <v>59240.114769600004</v>
      </c>
      <c r="T429" s="277">
        <f t="shared" si="211"/>
        <v>695895.33192480006</v>
      </c>
      <c r="U429" s="277"/>
      <c r="V429" s="277"/>
    </row>
    <row r="430" spans="1:29" hidden="1">
      <c r="A430" s="253"/>
      <c r="B430" s="253"/>
      <c r="C430" s="278" t="s">
        <v>481</v>
      </c>
      <c r="D430" s="253" t="s">
        <v>173</v>
      </c>
      <c r="E430" s="62"/>
      <c r="F430" s="62"/>
      <c r="G430" s="253"/>
      <c r="H430" s="277">
        <v>202266.93285700001</v>
      </c>
      <c r="I430" s="277">
        <v>185942.36769899999</v>
      </c>
      <c r="J430" s="277">
        <v>214101.48464099996</v>
      </c>
      <c r="K430" s="277">
        <v>200379.87788500002</v>
      </c>
      <c r="L430" s="277">
        <v>211520.23055900002</v>
      </c>
      <c r="M430" s="277">
        <v>200782.83215099998</v>
      </c>
      <c r="N430" s="277">
        <v>212839.07321599999</v>
      </c>
      <c r="O430" s="277">
        <v>208134.28881300002</v>
      </c>
      <c r="P430" s="277">
        <v>174545.80231</v>
      </c>
      <c r="Q430" s="277">
        <v>166505.470879</v>
      </c>
      <c r="R430" s="277">
        <v>172381.50856300001</v>
      </c>
      <c r="S430" s="277">
        <v>193540.23621899998</v>
      </c>
      <c r="T430" s="277">
        <f t="shared" si="211"/>
        <v>2342940.105792</v>
      </c>
      <c r="U430" s="277"/>
      <c r="V430" s="277"/>
    </row>
    <row r="431" spans="1:29" hidden="1">
      <c r="A431" s="253"/>
      <c r="B431" s="253"/>
      <c r="C431" s="278" t="s">
        <v>482</v>
      </c>
      <c r="D431" s="253" t="s">
        <v>173</v>
      </c>
      <c r="E431" s="62"/>
      <c r="F431" s="62"/>
      <c r="G431" s="253"/>
      <c r="H431" s="277">
        <v>0</v>
      </c>
      <c r="I431" s="277">
        <v>-91.944000000000003</v>
      </c>
      <c r="J431" s="277">
        <v>-42.140999999999998</v>
      </c>
      <c r="K431" s="277">
        <v>-137.916</v>
      </c>
      <c r="L431" s="277">
        <v>0</v>
      </c>
      <c r="M431" s="277">
        <v>0</v>
      </c>
      <c r="N431" s="277">
        <v>0</v>
      </c>
      <c r="O431" s="277">
        <v>0</v>
      </c>
      <c r="P431" s="277">
        <v>0</v>
      </c>
      <c r="Q431" s="277">
        <v>0</v>
      </c>
      <c r="R431" s="277">
        <v>0</v>
      </c>
      <c r="S431" s="277">
        <v>0</v>
      </c>
      <c r="T431" s="277">
        <f t="shared" si="211"/>
        <v>-272.00099999999998</v>
      </c>
      <c r="U431" s="277"/>
      <c r="V431" s="277"/>
    </row>
    <row r="432" spans="1:29" hidden="1">
      <c r="A432" s="253"/>
      <c r="B432" s="253"/>
      <c r="C432" s="278" t="s">
        <v>488</v>
      </c>
      <c r="D432" s="253" t="s">
        <v>173</v>
      </c>
      <c r="E432" s="62"/>
      <c r="F432" s="62"/>
      <c r="G432" s="253"/>
      <c r="H432" s="277">
        <v>92829.697761710006</v>
      </c>
      <c r="I432" s="277">
        <v>89790.509518810009</v>
      </c>
      <c r="J432" s="277">
        <v>81755.122180520004</v>
      </c>
      <c r="K432" s="277">
        <v>60232.931956609995</v>
      </c>
      <c r="L432" s="277">
        <v>82474.824228910002</v>
      </c>
      <c r="M432" s="277">
        <v>64622.343130549998</v>
      </c>
      <c r="N432" s="277">
        <v>74052.680903679997</v>
      </c>
      <c r="O432" s="277">
        <v>71352.782725319994</v>
      </c>
      <c r="P432" s="277">
        <v>73686.280494999985</v>
      </c>
      <c r="Q432" s="277">
        <v>74496.94368122</v>
      </c>
      <c r="R432" s="277">
        <v>65256.743439549995</v>
      </c>
      <c r="S432" s="277">
        <v>72592.92122864</v>
      </c>
      <c r="T432" s="277">
        <f t="shared" si="211"/>
        <v>903143.78125051991</v>
      </c>
      <c r="U432" s="277"/>
      <c r="V432" s="277"/>
    </row>
    <row r="433" spans="1:23" hidden="1">
      <c r="A433" s="253"/>
      <c r="B433" s="62"/>
      <c r="C433" s="237" t="s">
        <v>484</v>
      </c>
      <c r="D433" s="62" t="s">
        <v>173</v>
      </c>
      <c r="E433" s="253"/>
      <c r="F433" s="253"/>
      <c r="G433" s="253"/>
      <c r="H433" s="277">
        <f t="shared" ref="H433:S433" si="215">SUM(H429:H432)</f>
        <v>354500.56383471005</v>
      </c>
      <c r="I433" s="277">
        <f t="shared" si="215"/>
        <v>329172.05095141003</v>
      </c>
      <c r="J433" s="277">
        <f t="shared" si="215"/>
        <v>356521.20760951994</v>
      </c>
      <c r="K433" s="277">
        <f t="shared" si="215"/>
        <v>318270.46994720999</v>
      </c>
      <c r="L433" s="277">
        <f t="shared" si="215"/>
        <v>355749.14455070999</v>
      </c>
      <c r="M433" s="277">
        <f t="shared" si="215"/>
        <v>324456.85707634996</v>
      </c>
      <c r="N433" s="277">
        <f t="shared" si="215"/>
        <v>346038.45817007998</v>
      </c>
      <c r="O433" s="277">
        <f t="shared" si="215"/>
        <v>339397.94143272005</v>
      </c>
      <c r="P433" s="277">
        <f t="shared" si="215"/>
        <v>303354.46158379997</v>
      </c>
      <c r="Q433" s="277">
        <f t="shared" si="215"/>
        <v>295897.31888621999</v>
      </c>
      <c r="R433" s="277">
        <f t="shared" si="215"/>
        <v>292975.47170734999</v>
      </c>
      <c r="S433" s="277">
        <f t="shared" si="215"/>
        <v>325373.27221724001</v>
      </c>
      <c r="T433" s="279">
        <f t="shared" si="211"/>
        <v>3941707.2179673202</v>
      </c>
      <c r="U433" s="277">
        <f>T433*12/11</f>
        <v>4300044.2377825314</v>
      </c>
      <c r="V433" s="786" t="e">
        <f>#REF!/T433</f>
        <v>#REF!</v>
      </c>
    </row>
    <row r="434" spans="1:23" hidden="1">
      <c r="A434" s="253"/>
      <c r="B434" s="62"/>
      <c r="C434" s="237" t="s">
        <v>345</v>
      </c>
      <c r="D434" s="62" t="s">
        <v>173</v>
      </c>
      <c r="E434" s="1771" t="s">
        <v>485</v>
      </c>
      <c r="F434" s="1773"/>
      <c r="G434" s="62" t="s">
        <v>486</v>
      </c>
      <c r="H434" s="277">
        <f>(2.9616*H428)+56889</f>
        <v>371223.18417599995</v>
      </c>
      <c r="I434" s="277">
        <f t="shared" ref="I434:S434" si="216">(2.9616*I428)+56889</f>
        <v>332969.35199999996</v>
      </c>
      <c r="J434" s="277">
        <f t="shared" si="216"/>
        <v>379271.00639999995</v>
      </c>
      <c r="K434" s="277">
        <f t="shared" si="216"/>
        <v>340654.70399999997</v>
      </c>
      <c r="L434" s="277">
        <f t="shared" si="216"/>
        <v>380541.53279999999</v>
      </c>
      <c r="M434" s="277">
        <f t="shared" si="216"/>
        <v>365123.44319999998</v>
      </c>
      <c r="N434" s="277">
        <f t="shared" si="216"/>
        <v>343186.87199999997</v>
      </c>
      <c r="O434" s="277">
        <f t="shared" si="216"/>
        <v>353543.58719999995</v>
      </c>
      <c r="P434" s="277">
        <f t="shared" si="216"/>
        <v>347460.4608</v>
      </c>
      <c r="Q434" s="277">
        <f t="shared" si="216"/>
        <v>356531.84159999999</v>
      </c>
      <c r="R434" s="277">
        <f t="shared" si="216"/>
        <v>319745.80799999996</v>
      </c>
      <c r="S434" s="277">
        <f t="shared" si="216"/>
        <v>354861.49919999996</v>
      </c>
      <c r="T434" s="279">
        <f t="shared" si="211"/>
        <v>4245113.2913760003</v>
      </c>
      <c r="U434" s="277">
        <f>T434*12/11</f>
        <v>4631032.6815010915</v>
      </c>
      <c r="V434" s="786"/>
    </row>
    <row r="435" spans="1:23" hidden="1">
      <c r="A435" s="253"/>
      <c r="B435" s="243" t="s">
        <v>174</v>
      </c>
      <c r="C435" s="244" t="s">
        <v>138</v>
      </c>
      <c r="D435" s="243" t="s">
        <v>347</v>
      </c>
      <c r="E435" s="243"/>
      <c r="F435" s="260"/>
      <c r="G435" s="363"/>
      <c r="H435" s="245">
        <f>H429/H$428</f>
        <v>0.55969314655894897</v>
      </c>
      <c r="I435" s="245">
        <f t="shared" ref="I435:S439" si="217">I429/I$428</f>
        <v>0.57424498748766351</v>
      </c>
      <c r="J435" s="245">
        <f t="shared" si="217"/>
        <v>0.55768958226615462</v>
      </c>
      <c r="K435" s="245">
        <f t="shared" si="217"/>
        <v>0.60319966712518913</v>
      </c>
      <c r="L435" s="245">
        <f t="shared" si="217"/>
        <v>0.56508413717412587</v>
      </c>
      <c r="M435" s="245">
        <f t="shared" si="217"/>
        <v>0.56738454985059139</v>
      </c>
      <c r="N435" s="245">
        <f t="shared" si="217"/>
        <v>0.61184135771594084</v>
      </c>
      <c r="O435" s="245">
        <f t="shared" si="217"/>
        <v>0.59810985548533946</v>
      </c>
      <c r="P435" s="245">
        <f t="shared" si="217"/>
        <v>0.56182543372234051</v>
      </c>
      <c r="Q435" s="245">
        <f t="shared" si="217"/>
        <v>0.54256843842413227</v>
      </c>
      <c r="R435" s="245">
        <f t="shared" si="217"/>
        <v>0.62348284271083321</v>
      </c>
      <c r="S435" s="245">
        <f t="shared" si="217"/>
        <v>0.58879770573689028</v>
      </c>
      <c r="T435" s="245">
        <f>T429/T$428</f>
        <v>0.57852498676055109</v>
      </c>
      <c r="U435" s="246"/>
      <c r="V435" s="246"/>
    </row>
    <row r="436" spans="1:23" hidden="1">
      <c r="A436" s="253"/>
      <c r="B436" s="243"/>
      <c r="C436" s="337" t="s">
        <v>487</v>
      </c>
      <c r="D436" s="243" t="s">
        <v>347</v>
      </c>
      <c r="E436" s="243"/>
      <c r="F436" s="260"/>
      <c r="G436" s="363"/>
      <c r="H436" s="245">
        <f>H430/H$428</f>
        <v>1.9057225669540416</v>
      </c>
      <c r="I436" s="245">
        <f t="shared" si="217"/>
        <v>1.9946617431774296</v>
      </c>
      <c r="J436" s="245">
        <f t="shared" si="217"/>
        <v>1.966868324921454</v>
      </c>
      <c r="K436" s="245">
        <f t="shared" si="217"/>
        <v>2.0913205435996454</v>
      </c>
      <c r="L436" s="245">
        <f t="shared" si="217"/>
        <v>1.9355273057932159</v>
      </c>
      <c r="M436" s="245">
        <f t="shared" si="217"/>
        <v>1.9291758231982088</v>
      </c>
      <c r="N436" s="245">
        <f t="shared" si="217"/>
        <v>2.2017075950760319</v>
      </c>
      <c r="O436" s="245">
        <f t="shared" si="217"/>
        <v>2.0778728404863878</v>
      </c>
      <c r="P436" s="245">
        <f t="shared" si="217"/>
        <v>1.7790282868732992</v>
      </c>
      <c r="Q436" s="245">
        <f t="shared" si="217"/>
        <v>1.6457012619494742</v>
      </c>
      <c r="R436" s="245">
        <f t="shared" si="217"/>
        <v>1.9422174363472482</v>
      </c>
      <c r="S436" s="245">
        <f t="shared" si="217"/>
        <v>1.9236297481314355</v>
      </c>
      <c r="T436" s="245">
        <f>T430/T$428</f>
        <v>1.9477776779088292</v>
      </c>
      <c r="U436" s="246"/>
      <c r="V436" s="246"/>
      <c r="W436" s="215"/>
    </row>
    <row r="437" spans="1:23" hidden="1">
      <c r="A437" s="253"/>
      <c r="B437" s="243"/>
      <c r="C437" s="337" t="s">
        <v>482</v>
      </c>
      <c r="D437" s="243" t="s">
        <v>347</v>
      </c>
      <c r="E437" s="243"/>
      <c r="F437" s="260"/>
      <c r="G437" s="363"/>
      <c r="H437" s="245">
        <f>H431/H$428</f>
        <v>0</v>
      </c>
      <c r="I437" s="245">
        <f t="shared" si="217"/>
        <v>-9.863119502252736E-4</v>
      </c>
      <c r="J437" s="245">
        <f t="shared" si="217"/>
        <v>-3.8713322431881234E-4</v>
      </c>
      <c r="K437" s="245">
        <f t="shared" si="217"/>
        <v>-1.4393988415175077E-3</v>
      </c>
      <c r="L437" s="245">
        <f t="shared" si="217"/>
        <v>0</v>
      </c>
      <c r="M437" s="245">
        <f t="shared" si="217"/>
        <v>0</v>
      </c>
      <c r="N437" s="245">
        <f t="shared" si="217"/>
        <v>0</v>
      </c>
      <c r="O437" s="245">
        <f t="shared" si="217"/>
        <v>0</v>
      </c>
      <c r="P437" s="245">
        <f t="shared" si="217"/>
        <v>0</v>
      </c>
      <c r="Q437" s="245">
        <f t="shared" si="217"/>
        <v>0</v>
      </c>
      <c r="R437" s="245">
        <f t="shared" si="217"/>
        <v>0</v>
      </c>
      <c r="S437" s="245">
        <f t="shared" si="217"/>
        <v>0</v>
      </c>
      <c r="T437" s="245">
        <f>T431/T$428</f>
        <v>-2.2612506177992474E-4</v>
      </c>
      <c r="U437" s="246"/>
      <c r="V437" s="246"/>
      <c r="W437" s="215"/>
    </row>
    <row r="438" spans="1:23" hidden="1">
      <c r="A438" s="253"/>
      <c r="B438" s="243"/>
      <c r="C438" s="337" t="s">
        <v>488</v>
      </c>
      <c r="D438" s="243" t="s">
        <v>347</v>
      </c>
      <c r="E438" s="243"/>
      <c r="F438" s="260"/>
      <c r="G438" s="363"/>
      <c r="H438" s="245">
        <f>H432/H$428</f>
        <v>0.87462467250188225</v>
      </c>
      <c r="I438" s="245">
        <f t="shared" si="217"/>
        <v>0.96321078651373104</v>
      </c>
      <c r="J438" s="245">
        <f t="shared" si="217"/>
        <v>0.7510529900648576</v>
      </c>
      <c r="K438" s="245">
        <f t="shared" si="217"/>
        <v>0.62863781199822566</v>
      </c>
      <c r="L438" s="245">
        <f t="shared" si="217"/>
        <v>0.75469033819450415</v>
      </c>
      <c r="M438" s="245">
        <f t="shared" si="217"/>
        <v>0.62090897249680521</v>
      </c>
      <c r="N438" s="245">
        <f t="shared" si="217"/>
        <v>0.76603580121733728</v>
      </c>
      <c r="O438" s="245">
        <f t="shared" si="217"/>
        <v>0.7123382224217556</v>
      </c>
      <c r="P438" s="245">
        <f t="shared" si="217"/>
        <v>0.75103483223426037</v>
      </c>
      <c r="Q438" s="245">
        <f t="shared" si="217"/>
        <v>0.73631042620008702</v>
      </c>
      <c r="R438" s="245">
        <f t="shared" si="217"/>
        <v>0.73524582772294511</v>
      </c>
      <c r="S438" s="245">
        <f t="shared" si="217"/>
        <v>0.72151354936429057</v>
      </c>
      <c r="T438" s="245">
        <f>T432/T$428</f>
        <v>0.7508187224731846</v>
      </c>
      <c r="U438" s="246"/>
      <c r="V438" s="246"/>
      <c r="W438" s="215"/>
    </row>
    <row r="439" spans="1:23" ht="23.25" hidden="1">
      <c r="A439" s="253"/>
      <c r="B439" s="243"/>
      <c r="C439" s="249" t="s">
        <v>489</v>
      </c>
      <c r="D439" s="243" t="s">
        <v>347</v>
      </c>
      <c r="E439" s="243"/>
      <c r="F439" s="260"/>
      <c r="G439" s="363"/>
      <c r="H439" s="245">
        <f>H433/H$428</f>
        <v>3.3400403860148731</v>
      </c>
      <c r="I439" s="245">
        <f t="shared" si="217"/>
        <v>3.5311312052285992</v>
      </c>
      <c r="J439" s="245">
        <f t="shared" si="217"/>
        <v>3.2752237640281474</v>
      </c>
      <c r="K439" s="245">
        <f t="shared" si="217"/>
        <v>3.3217186238815426</v>
      </c>
      <c r="L439" s="245">
        <f t="shared" si="217"/>
        <v>3.2553017811618457</v>
      </c>
      <c r="M439" s="245">
        <f t="shared" si="217"/>
        <v>3.1174693455456053</v>
      </c>
      <c r="N439" s="245">
        <f t="shared" si="217"/>
        <v>3.5795847540093098</v>
      </c>
      <c r="O439" s="245">
        <f t="shared" si="217"/>
        <v>3.3883209183934833</v>
      </c>
      <c r="P439" s="245">
        <f t="shared" si="217"/>
        <v>3.0918885528299</v>
      </c>
      <c r="Q439" s="245">
        <f t="shared" si="217"/>
        <v>2.9245801265736935</v>
      </c>
      <c r="R439" s="245">
        <f t="shared" si="217"/>
        <v>3.3009461067810264</v>
      </c>
      <c r="S439" s="245">
        <f t="shared" si="217"/>
        <v>3.2339410032326166</v>
      </c>
      <c r="T439" s="250">
        <f>T433/T428</f>
        <v>3.2768952620807852</v>
      </c>
      <c r="U439" s="246"/>
      <c r="V439" s="246"/>
      <c r="W439" s="215"/>
    </row>
    <row r="440" spans="1:23" hidden="1">
      <c r="A440" s="253"/>
      <c r="B440" s="243"/>
      <c r="C440" s="249" t="s">
        <v>490</v>
      </c>
      <c r="D440" s="243"/>
      <c r="E440" s="243"/>
      <c r="F440" s="243"/>
      <c r="G440" s="363"/>
      <c r="H440" s="251">
        <f t="shared" ref="H440:S440" si="218">H433/H434*100</f>
        <v>95.495265098162193</v>
      </c>
      <c r="I440" s="251">
        <f t="shared" si="218"/>
        <v>98.85956439360524</v>
      </c>
      <c r="J440" s="251">
        <f t="shared" si="218"/>
        <v>94.001703687709039</v>
      </c>
      <c r="K440" s="251">
        <f t="shared" si="218"/>
        <v>93.429054761331003</v>
      </c>
      <c r="L440" s="251">
        <f t="shared" si="218"/>
        <v>93.484971780381173</v>
      </c>
      <c r="M440" s="251">
        <f t="shared" si="218"/>
        <v>88.862236352932698</v>
      </c>
      <c r="N440" s="251">
        <f t="shared" si="218"/>
        <v>100.83091353508418</v>
      </c>
      <c r="O440" s="251">
        <f t="shared" si="218"/>
        <v>95.998896238138329</v>
      </c>
      <c r="P440" s="251">
        <f t="shared" si="218"/>
        <v>87.306181798455711</v>
      </c>
      <c r="Q440" s="251">
        <f t="shared" si="218"/>
        <v>82.993237731117702</v>
      </c>
      <c r="R440" s="251">
        <f t="shared" si="218"/>
        <v>91.627619307944158</v>
      </c>
      <c r="S440" s="251">
        <f t="shared" si="218"/>
        <v>91.690215182757711</v>
      </c>
      <c r="T440" s="251">
        <f>T433/T434*100</f>
        <v>92.852815635685076</v>
      </c>
      <c r="U440" s="246"/>
      <c r="V440" s="246"/>
      <c r="W440" s="215"/>
    </row>
    <row r="441" spans="1:23" hidden="1">
      <c r="A441" s="253"/>
      <c r="B441" s="243"/>
      <c r="C441" s="249"/>
      <c r="D441" s="243"/>
      <c r="E441" s="243"/>
      <c r="F441" s="243"/>
      <c r="G441" s="363"/>
      <c r="H441" s="251"/>
      <c r="I441" s="251"/>
      <c r="J441" s="251"/>
      <c r="K441" s="251"/>
      <c r="L441" s="251"/>
      <c r="M441" s="251"/>
      <c r="N441" s="251"/>
      <c r="O441" s="251"/>
      <c r="P441" s="251"/>
      <c r="Q441" s="251"/>
      <c r="R441" s="251"/>
      <c r="S441" s="251"/>
      <c r="T441" s="251"/>
      <c r="U441" s="246"/>
      <c r="V441" s="246"/>
      <c r="W441" s="215"/>
    </row>
    <row r="442" spans="1:23" hidden="1">
      <c r="A442" s="62"/>
      <c r="B442" s="62" t="s">
        <v>491</v>
      </c>
      <c r="C442" s="237" t="s">
        <v>398</v>
      </c>
      <c r="D442" s="62" t="s">
        <v>173</v>
      </c>
      <c r="E442" s="62"/>
      <c r="F442" s="62"/>
      <c r="G442" s="62"/>
      <c r="H442" s="257">
        <f t="shared" ref="H442:S443" si="219">H433+H711</f>
        <v>477465.86264149356</v>
      </c>
      <c r="I442" s="257">
        <f t="shared" si="219"/>
        <v>440019.73864126054</v>
      </c>
      <c r="J442" s="257">
        <f t="shared" si="219"/>
        <v>482417.26737709896</v>
      </c>
      <c r="K442" s="257">
        <f t="shared" si="219"/>
        <v>413273.12988318095</v>
      </c>
      <c r="L442" s="257">
        <f t="shared" si="219"/>
        <v>480252.96552198246</v>
      </c>
      <c r="M442" s="257">
        <f t="shared" si="219"/>
        <v>443386.55427061394</v>
      </c>
      <c r="N442" s="257">
        <f t="shared" si="219"/>
        <v>464663.496021425</v>
      </c>
      <c r="O442" s="257">
        <f t="shared" si="219"/>
        <v>460432.16985881154</v>
      </c>
      <c r="P442" s="257">
        <f t="shared" si="219"/>
        <v>417021.48110395344</v>
      </c>
      <c r="Q442" s="257">
        <f t="shared" si="219"/>
        <v>413600.13989295298</v>
      </c>
      <c r="R442" s="257">
        <f t="shared" si="219"/>
        <v>406786.4218619155</v>
      </c>
      <c r="S442" s="257">
        <f t="shared" si="219"/>
        <v>443179.844910271</v>
      </c>
      <c r="T442" s="279">
        <f>SUM(H442:S442)</f>
        <v>5342499.0719849598</v>
      </c>
      <c r="U442" s="225"/>
      <c r="V442" s="225"/>
      <c r="W442" s="215"/>
    </row>
    <row r="443" spans="1:23" hidden="1">
      <c r="A443" s="62"/>
      <c r="B443" s="253"/>
      <c r="C443" s="300" t="s">
        <v>492</v>
      </c>
      <c r="D443" s="253" t="s">
        <v>173</v>
      </c>
      <c r="E443" s="253"/>
      <c r="F443" s="253"/>
      <c r="G443" s="253"/>
      <c r="H443" s="257">
        <f>H434+H712</f>
        <v>495059.35981482896</v>
      </c>
      <c r="I443" s="257">
        <f t="shared" si="219"/>
        <v>446378.67960990372</v>
      </c>
      <c r="J443" s="257">
        <f t="shared" si="219"/>
        <v>503083.75148852047</v>
      </c>
      <c r="K443" s="257">
        <f t="shared" si="219"/>
        <v>438655.01216581382</v>
      </c>
      <c r="L443" s="257">
        <f t="shared" si="219"/>
        <v>503339.20546144608</v>
      </c>
      <c r="M443" s="257">
        <f t="shared" si="219"/>
        <v>485151.38608285761</v>
      </c>
      <c r="N443" s="257">
        <f t="shared" si="219"/>
        <v>464445.1174484361</v>
      </c>
      <c r="O443" s="257">
        <f t="shared" si="219"/>
        <v>475189.92062724038</v>
      </c>
      <c r="P443" s="257">
        <f t="shared" si="219"/>
        <v>467021.71345985477</v>
      </c>
      <c r="Q443" s="257">
        <f t="shared" si="219"/>
        <v>478666.97398610628</v>
      </c>
      <c r="R443" s="257">
        <f t="shared" si="219"/>
        <v>439799.58273351332</v>
      </c>
      <c r="S443" s="257">
        <f t="shared" si="219"/>
        <v>466046.41790532577</v>
      </c>
      <c r="T443" s="279">
        <f>SUM(H443:S443)</f>
        <v>5662837.1207838478</v>
      </c>
      <c r="U443" s="225"/>
      <c r="V443" s="225"/>
      <c r="W443" s="215"/>
    </row>
    <row r="444" spans="1:23" hidden="1">
      <c r="A444" s="62"/>
      <c r="B444" s="253"/>
      <c r="C444" s="300" t="s">
        <v>493</v>
      </c>
      <c r="D444" s="253" t="s">
        <v>401</v>
      </c>
      <c r="E444" s="253"/>
      <c r="F444" s="253"/>
      <c r="G444" s="253"/>
      <c r="H444" s="356">
        <f>H442/H443*100</f>
        <v>96.446184316176542</v>
      </c>
      <c r="I444" s="356">
        <f t="shared" ref="I444:T444" si="220">I442/I443*100</f>
        <v>98.575438017290537</v>
      </c>
      <c r="J444" s="356">
        <f t="shared" si="220"/>
        <v>95.892039039171166</v>
      </c>
      <c r="K444" s="356">
        <f t="shared" si="220"/>
        <v>94.213702892094531</v>
      </c>
      <c r="L444" s="356">
        <f t="shared" si="220"/>
        <v>95.413383323021932</v>
      </c>
      <c r="M444" s="356">
        <f t="shared" si="220"/>
        <v>91.391381533616638</v>
      </c>
      <c r="N444" s="356">
        <f t="shared" si="220"/>
        <v>100.04701924184039</v>
      </c>
      <c r="O444" s="356">
        <f t="shared" si="220"/>
        <v>96.89434684368959</v>
      </c>
      <c r="P444" s="356">
        <f t="shared" si="220"/>
        <v>89.293809920424749</v>
      </c>
      <c r="Q444" s="356">
        <f t="shared" si="220"/>
        <v>86.40665898645392</v>
      </c>
      <c r="R444" s="356">
        <f t="shared" si="220"/>
        <v>92.493589769592532</v>
      </c>
      <c r="S444" s="356">
        <f t="shared" si="220"/>
        <v>95.09349881974633</v>
      </c>
      <c r="T444" s="356">
        <f t="shared" si="220"/>
        <v>94.343152699497963</v>
      </c>
      <c r="U444" s="225"/>
      <c r="V444" s="225"/>
      <c r="W444" s="215"/>
    </row>
    <row r="445" spans="1:23" hidden="1">
      <c r="A445" s="62"/>
      <c r="B445" s="253"/>
      <c r="C445" s="300" t="s">
        <v>494</v>
      </c>
      <c r="D445" s="253"/>
      <c r="E445" s="253"/>
      <c r="F445" s="253"/>
      <c r="G445" s="253"/>
      <c r="H445" s="356">
        <f>H444</f>
        <v>96.446184316176542</v>
      </c>
      <c r="I445" s="356">
        <f>(H442+I442)/(H443+I443)*100</f>
        <v>97.455760534531322</v>
      </c>
      <c r="J445" s="356">
        <f>(H442+I442+J442)/(H443+I443+J443)*100</f>
        <v>96.911163089814579</v>
      </c>
      <c r="K445" s="356">
        <f>(H442+I442+J442+K442)/(H443+I443+J443+K443)*100</f>
        <v>96.282834175655779</v>
      </c>
      <c r="L445" s="262">
        <f>(H442+I442+J442+K442+L442)/(H443+I443+J443+K443+L443)*100</f>
        <v>96.099458619076074</v>
      </c>
      <c r="M445" s="262">
        <f>(H442+I442+J442+K442+L442+M442)/(H443+I443+J443+K443+L443+M443)*100</f>
        <v>95.304056572142585</v>
      </c>
      <c r="N445" s="262">
        <f>(H442+I442+J442+K442+L442+M442+N442)/(H443+I443+J443+K443+L443+M443+N443)*100</f>
        <v>95.964359798190941</v>
      </c>
      <c r="O445" s="262">
        <f>(H442+I442+J442+K442+L442+M442+N442+O442)/(H443+I443+J443+K443+L443+M443+N443+O443)*100</f>
        <v>96.080309785928307</v>
      </c>
      <c r="P445" s="262">
        <f>(H442+I442+J442+K442+L442+M442+N442+O442+P442)/(H443+I443+J443+K443+L443+M443+N443+O443+P443)*100</f>
        <v>95.339495699078896</v>
      </c>
      <c r="Q445" s="262">
        <f>(H442+I442+J442+K442+L442+N442+M442+O442+P442+Q442)/(H443+I443+J443+K443+L443+M443+N443+O443+P443+Q443)*100</f>
        <v>94.440638877539612</v>
      </c>
      <c r="R445" s="262">
        <f>(H442+I442+J442+K442+L442+M442+N442+O442+P442+Q442+R442)/(H443+I443+J443+K443+M443+L443+N443+O443+P443+Q443+R443)*100</f>
        <v>94.27586191533436</v>
      </c>
      <c r="S445" s="262">
        <f>(H442+I442+J442+K442+L442+M442+N442+O442+P442+Q442+R442+S442)/(H443+I443+J443+K443+L443+M443+N443+O443+P443+Q443+R443+S443)*100</f>
        <v>94.343152699497963</v>
      </c>
      <c r="T445" s="262">
        <f>T444</f>
        <v>94.343152699497963</v>
      </c>
      <c r="U445" s="225"/>
      <c r="V445" s="225"/>
      <c r="W445" s="215"/>
    </row>
    <row r="446" spans="1:23" hidden="1">
      <c r="A446" s="62"/>
      <c r="B446" s="253"/>
      <c r="C446" s="300"/>
      <c r="D446" s="253"/>
      <c r="E446" s="253"/>
      <c r="F446" s="253"/>
      <c r="G446" s="253"/>
      <c r="H446" s="356"/>
      <c r="I446" s="356"/>
      <c r="J446" s="356"/>
      <c r="K446" s="356"/>
      <c r="L446" s="262"/>
      <c r="M446" s="262"/>
      <c r="N446" s="262"/>
      <c r="O446" s="262"/>
      <c r="P446" s="262"/>
      <c r="Q446" s="262"/>
      <c r="R446" s="262"/>
      <c r="S446" s="262"/>
      <c r="T446" s="262"/>
      <c r="U446" s="225"/>
      <c r="V446" s="225"/>
      <c r="W446" s="215"/>
    </row>
    <row r="447" spans="1:23" s="293" customFormat="1" hidden="1">
      <c r="A447" s="288"/>
      <c r="B447" s="288"/>
      <c r="C447" s="289" t="s">
        <v>94</v>
      </c>
      <c r="D447" s="288" t="s">
        <v>173</v>
      </c>
      <c r="E447" s="288"/>
      <c r="F447" s="288"/>
      <c r="G447" s="288"/>
      <c r="H447" s="291">
        <f t="shared" ref="H447:S447" si="221">H357+H375+H394+H411+H431+H620+H621+H636+H648+H660</f>
        <v>173403.57511799998</v>
      </c>
      <c r="I447" s="291">
        <f t="shared" si="221"/>
        <v>155575.54164500002</v>
      </c>
      <c r="J447" s="291">
        <f t="shared" si="221"/>
        <v>173805.03617100004</v>
      </c>
      <c r="K447" s="291">
        <f t="shared" si="221"/>
        <v>140833.66293600001</v>
      </c>
      <c r="L447" s="291">
        <f t="shared" si="221"/>
        <v>170229.43582000001</v>
      </c>
      <c r="M447" s="291">
        <f t="shared" si="221"/>
        <v>159985.12264099999</v>
      </c>
      <c r="N447" s="291">
        <f t="shared" si="221"/>
        <v>157176.571975</v>
      </c>
      <c r="O447" s="291">
        <f t="shared" si="221"/>
        <v>167257.898048</v>
      </c>
      <c r="P447" s="291">
        <f t="shared" si="221"/>
        <v>158317.166108</v>
      </c>
      <c r="Q447" s="291">
        <f t="shared" si="221"/>
        <v>161388.439908</v>
      </c>
      <c r="R447" s="291">
        <f t="shared" si="221"/>
        <v>154593.71663699998</v>
      </c>
      <c r="S447" s="291">
        <f t="shared" si="221"/>
        <v>162284.18727500003</v>
      </c>
      <c r="T447" s="291">
        <f t="shared" ref="T447:T455" si="222">SUM(H447:S447)</f>
        <v>1934850.3542820001</v>
      </c>
      <c r="U447" s="291">
        <f>T447/$T$454*100</f>
        <v>15.242293683789148</v>
      </c>
      <c r="V447" s="289" t="s">
        <v>94</v>
      </c>
      <c r="W447" s="376">
        <f t="shared" ref="W447:W450" si="223">U447</f>
        <v>15.242293683789148</v>
      </c>
    </row>
    <row r="448" spans="1:23" s="293" customFormat="1" hidden="1">
      <c r="A448" s="288"/>
      <c r="B448" s="288"/>
      <c r="C448" s="289" t="s">
        <v>96</v>
      </c>
      <c r="D448" s="288" t="s">
        <v>173</v>
      </c>
      <c r="E448" s="288"/>
      <c r="F448" s="288"/>
      <c r="G448" s="288"/>
      <c r="H448" s="291">
        <f t="shared" ref="H448:S448" si="224">H359+H377+H396+H413+H432+H618</f>
        <v>418197.70686496998</v>
      </c>
      <c r="I448" s="291">
        <f t="shared" si="224"/>
        <v>399627.75337317004</v>
      </c>
      <c r="J448" s="291">
        <f t="shared" si="224"/>
        <v>438454.04056692001</v>
      </c>
      <c r="K448" s="291">
        <f t="shared" si="224"/>
        <v>388553.89199774998</v>
      </c>
      <c r="L448" s="291">
        <f t="shared" si="224"/>
        <v>427374.92094361002</v>
      </c>
      <c r="M448" s="291">
        <f t="shared" si="224"/>
        <v>383872.46721238998</v>
      </c>
      <c r="N448" s="291">
        <f t="shared" si="224"/>
        <v>387485.03416833997</v>
      </c>
      <c r="O448" s="291">
        <f t="shared" si="224"/>
        <v>372739.26211105997</v>
      </c>
      <c r="P448" s="291">
        <f t="shared" si="224"/>
        <v>347923.92560224002</v>
      </c>
      <c r="Q448" s="291">
        <f t="shared" si="224"/>
        <v>391443.35399731999</v>
      </c>
      <c r="R448" s="291">
        <f t="shared" si="224"/>
        <v>366394.32428265002</v>
      </c>
      <c r="S448" s="291">
        <f t="shared" si="224"/>
        <v>413524.62131240004</v>
      </c>
      <c r="T448" s="291">
        <f t="shared" si="222"/>
        <v>4735591.3024328202</v>
      </c>
      <c r="U448" s="291">
        <f t="shared" ref="U448:U451" si="225">T448/$T$454*100</f>
        <v>37.305868765682511</v>
      </c>
      <c r="V448" s="289" t="s">
        <v>96</v>
      </c>
      <c r="W448" s="376">
        <f t="shared" si="223"/>
        <v>37.305868765682511</v>
      </c>
    </row>
    <row r="449" spans="1:23" s="293" customFormat="1" hidden="1">
      <c r="A449" s="288"/>
      <c r="B449" s="288"/>
      <c r="C449" s="289" t="s">
        <v>140</v>
      </c>
      <c r="D449" s="288" t="s">
        <v>173</v>
      </c>
      <c r="E449" s="288"/>
      <c r="F449" s="288"/>
      <c r="G449" s="288"/>
      <c r="H449" s="291">
        <f t="shared" ref="H449:S449" si="226">H358+H376+H395+H412</f>
        <v>159881.60181334001</v>
      </c>
      <c r="I449" s="291">
        <f t="shared" si="226"/>
        <v>178575.82855719002</v>
      </c>
      <c r="J449" s="291">
        <f t="shared" si="226"/>
        <v>195136.52150826005</v>
      </c>
      <c r="K449" s="291">
        <f t="shared" si="226"/>
        <v>210791.29975390999</v>
      </c>
      <c r="L449" s="291">
        <f t="shared" si="226"/>
        <v>190662.76442053</v>
      </c>
      <c r="M449" s="291">
        <f t="shared" si="226"/>
        <v>199224.16685813002</v>
      </c>
      <c r="N449" s="291">
        <f t="shared" si="226"/>
        <v>191518.33436249002</v>
      </c>
      <c r="O449" s="291">
        <f t="shared" si="226"/>
        <v>203511.36401945041</v>
      </c>
      <c r="P449" s="291">
        <f t="shared" si="226"/>
        <v>232124.40489083267</v>
      </c>
      <c r="Q449" s="291">
        <f t="shared" si="226"/>
        <v>175757.9053359878</v>
      </c>
      <c r="R449" s="291">
        <f t="shared" si="226"/>
        <v>175287.62997282797</v>
      </c>
      <c r="S449" s="291">
        <f t="shared" si="226"/>
        <v>179415.93651969999</v>
      </c>
      <c r="T449" s="291">
        <f t="shared" si="222"/>
        <v>2291887.7580126496</v>
      </c>
      <c r="U449" s="291">
        <f t="shared" si="225"/>
        <v>18.054949945146191</v>
      </c>
      <c r="V449" s="289" t="s">
        <v>140</v>
      </c>
      <c r="W449" s="376">
        <f t="shared" si="223"/>
        <v>18.054949945146191</v>
      </c>
    </row>
    <row r="450" spans="1:23" s="293" customFormat="1" hidden="1">
      <c r="A450" s="288"/>
      <c r="B450" s="288"/>
      <c r="C450" s="289" t="s">
        <v>155</v>
      </c>
      <c r="D450" s="288"/>
      <c r="E450" s="288"/>
      <c r="F450" s="288"/>
      <c r="G450" s="288"/>
      <c r="H450" s="291">
        <f>H619</f>
        <v>8.1212267835000009</v>
      </c>
      <c r="I450" s="291">
        <f t="shared" ref="I450:S450" si="227">I619</f>
        <v>8.1536468504999995</v>
      </c>
      <c r="J450" s="291">
        <f t="shared" si="227"/>
        <v>10.925562579000001</v>
      </c>
      <c r="K450" s="291">
        <f t="shared" si="227"/>
        <v>10.147480970999998</v>
      </c>
      <c r="L450" s="291">
        <f t="shared" si="227"/>
        <v>10.2933712725</v>
      </c>
      <c r="M450" s="291">
        <f t="shared" si="227"/>
        <v>12.708666264</v>
      </c>
      <c r="N450" s="291">
        <f t="shared" si="227"/>
        <v>14.102729145</v>
      </c>
      <c r="O450" s="291">
        <f t="shared" si="227"/>
        <v>12.141315091499999</v>
      </c>
      <c r="P450" s="291">
        <f t="shared" si="227"/>
        <v>11.687434153499998</v>
      </c>
      <c r="Q450" s="291">
        <f t="shared" si="227"/>
        <v>12.935606733</v>
      </c>
      <c r="R450" s="291">
        <f t="shared" si="227"/>
        <v>12.854556565500001</v>
      </c>
      <c r="S450" s="291">
        <f t="shared" si="227"/>
        <v>15.983093030999999</v>
      </c>
      <c r="T450" s="291">
        <f t="shared" si="222"/>
        <v>140.05468944</v>
      </c>
      <c r="U450" s="377">
        <f t="shared" si="225"/>
        <v>1.103317733855725E-3</v>
      </c>
      <c r="V450" s="289" t="s">
        <v>155</v>
      </c>
      <c r="W450" s="378">
        <f t="shared" si="223"/>
        <v>1.103317733855725E-3</v>
      </c>
    </row>
    <row r="451" spans="1:23" s="293" customFormat="1" hidden="1">
      <c r="A451" s="288"/>
      <c r="B451" s="288"/>
      <c r="C451" s="289" t="s">
        <v>154</v>
      </c>
      <c r="D451" s="288" t="s">
        <v>173</v>
      </c>
      <c r="E451" s="288"/>
      <c r="F451" s="288"/>
      <c r="G451" s="288"/>
      <c r="H451" s="291">
        <f>H430</f>
        <v>202266.93285700001</v>
      </c>
      <c r="I451" s="291">
        <f t="shared" ref="I451:S451" si="228">I430</f>
        <v>185942.36769899999</v>
      </c>
      <c r="J451" s="291">
        <f t="shared" si="228"/>
        <v>214101.48464099996</v>
      </c>
      <c r="K451" s="291">
        <f t="shared" si="228"/>
        <v>200379.87788500002</v>
      </c>
      <c r="L451" s="291">
        <f t="shared" si="228"/>
        <v>211520.23055900002</v>
      </c>
      <c r="M451" s="291">
        <f t="shared" si="228"/>
        <v>200782.83215099998</v>
      </c>
      <c r="N451" s="291">
        <f t="shared" si="228"/>
        <v>212839.07321599999</v>
      </c>
      <c r="O451" s="291">
        <f t="shared" si="228"/>
        <v>208134.28881300002</v>
      </c>
      <c r="P451" s="291">
        <f t="shared" si="228"/>
        <v>174545.80231</v>
      </c>
      <c r="Q451" s="291">
        <f t="shared" si="228"/>
        <v>166505.470879</v>
      </c>
      <c r="R451" s="291">
        <f t="shared" si="228"/>
        <v>172381.50856300001</v>
      </c>
      <c r="S451" s="291">
        <f t="shared" si="228"/>
        <v>193540.23621899998</v>
      </c>
      <c r="T451" s="291">
        <f t="shared" si="222"/>
        <v>2342940.105792</v>
      </c>
      <c r="U451" s="291">
        <f t="shared" si="225"/>
        <v>18.457128271949436</v>
      </c>
      <c r="V451" s="289" t="s">
        <v>154</v>
      </c>
      <c r="W451" s="376">
        <f>U451</f>
        <v>18.457128271949436</v>
      </c>
    </row>
    <row r="452" spans="1:23" s="299" customFormat="1" hidden="1">
      <c r="A452" s="281"/>
      <c r="B452" s="281"/>
      <c r="C452" s="294" t="s">
        <v>397</v>
      </c>
      <c r="D452" s="281" t="s">
        <v>173</v>
      </c>
      <c r="E452" s="281"/>
      <c r="F452" s="281"/>
      <c r="G452" s="281"/>
      <c r="H452" s="296">
        <f>SUM(H447:H451)</f>
        <v>953757.93788009346</v>
      </c>
      <c r="I452" s="296">
        <f t="shared" ref="I452:S452" si="229">SUM(I447:I451)</f>
        <v>919729.64492121059</v>
      </c>
      <c r="J452" s="296">
        <f t="shared" si="229"/>
        <v>1021508.008449759</v>
      </c>
      <c r="K452" s="296">
        <f t="shared" si="229"/>
        <v>940568.88005363103</v>
      </c>
      <c r="L452" s="296">
        <f t="shared" si="229"/>
        <v>999797.64511441253</v>
      </c>
      <c r="M452" s="296">
        <f t="shared" si="229"/>
        <v>943877.29752878402</v>
      </c>
      <c r="N452" s="296">
        <f t="shared" si="229"/>
        <v>949033.11645097495</v>
      </c>
      <c r="O452" s="296">
        <f t="shared" si="229"/>
        <v>951654.95430660201</v>
      </c>
      <c r="P452" s="296">
        <f t="shared" si="229"/>
        <v>912922.98634522618</v>
      </c>
      <c r="Q452" s="296">
        <f t="shared" si="229"/>
        <v>895108.10572704079</v>
      </c>
      <c r="R452" s="296">
        <f t="shared" si="229"/>
        <v>868670.0340120435</v>
      </c>
      <c r="S452" s="296">
        <f t="shared" si="229"/>
        <v>948780.96441913093</v>
      </c>
      <c r="T452" s="296">
        <f t="shared" si="222"/>
        <v>11305409.575208908</v>
      </c>
      <c r="U452" s="296">
        <f>T452/T454*100</f>
        <v>89.061343984301118</v>
      </c>
      <c r="V452" s="294" t="s">
        <v>93</v>
      </c>
      <c r="W452" s="379">
        <f>U453</f>
        <v>10.938656015698854</v>
      </c>
    </row>
    <row r="453" spans="1:23" s="299" customFormat="1" hidden="1">
      <c r="A453" s="281"/>
      <c r="B453" s="281"/>
      <c r="C453" s="294" t="s">
        <v>93</v>
      </c>
      <c r="D453" s="281" t="s">
        <v>173</v>
      </c>
      <c r="E453" s="281"/>
      <c r="F453" s="281"/>
      <c r="G453" s="281"/>
      <c r="H453" s="296">
        <f t="shared" ref="H453:S453" si="230">H429+H410+H393+H374+H356+H617+H635+H647+H659+H672+H683+H694+H705</f>
        <v>117249.12924480002</v>
      </c>
      <c r="I453" s="296">
        <f t="shared" si="230"/>
        <v>106580.8465128</v>
      </c>
      <c r="J453" s="296">
        <f t="shared" si="230"/>
        <v>120072.28285079999</v>
      </c>
      <c r="K453" s="296">
        <f t="shared" si="230"/>
        <v>115234.40529359999</v>
      </c>
      <c r="L453" s="296">
        <f t="shared" si="230"/>
        <v>122186.77149240003</v>
      </c>
      <c r="M453" s="296">
        <f t="shared" si="230"/>
        <v>117318.38568840001</v>
      </c>
      <c r="N453" s="296">
        <f t="shared" si="230"/>
        <v>118188.14708159998</v>
      </c>
      <c r="O453" s="296">
        <f t="shared" si="230"/>
        <v>117703.61389440001</v>
      </c>
      <c r="P453" s="296">
        <f t="shared" si="230"/>
        <v>112192.2375012</v>
      </c>
      <c r="Q453" s="296">
        <f t="shared" si="230"/>
        <v>112746.92637959999</v>
      </c>
      <c r="R453" s="296">
        <f t="shared" si="230"/>
        <v>111872.94639839999</v>
      </c>
      <c r="S453" s="296">
        <f t="shared" si="230"/>
        <v>117202.70506320002</v>
      </c>
      <c r="T453" s="296">
        <f t="shared" si="222"/>
        <v>1388548.3974012001</v>
      </c>
      <c r="U453" s="296">
        <f>T453/T454*100</f>
        <v>10.938656015698854</v>
      </c>
      <c r="V453" s="231"/>
      <c r="W453" s="298"/>
    </row>
    <row r="454" spans="1:23" hidden="1">
      <c r="A454" s="253"/>
      <c r="B454" s="253"/>
      <c r="C454" s="300" t="s">
        <v>398</v>
      </c>
      <c r="D454" s="253" t="s">
        <v>173</v>
      </c>
      <c r="E454" s="253"/>
      <c r="F454" s="253"/>
      <c r="G454" s="253"/>
      <c r="H454" s="302">
        <f t="shared" ref="H454:S454" si="231">H433+H414+H397+H378+H360+H622+H637+H649+H661+H673+H684+H695+H706</f>
        <v>1071007.0671248932</v>
      </c>
      <c r="I454" s="302">
        <f t="shared" si="231"/>
        <v>1026310.4914340107</v>
      </c>
      <c r="J454" s="302">
        <f t="shared" si="231"/>
        <v>1141580.291300559</v>
      </c>
      <c r="K454" s="302">
        <f t="shared" si="231"/>
        <v>1055803.285347231</v>
      </c>
      <c r="L454" s="302">
        <f t="shared" si="231"/>
        <v>1121984.416606812</v>
      </c>
      <c r="M454" s="302">
        <f t="shared" si="231"/>
        <v>1061195.6832171844</v>
      </c>
      <c r="N454" s="302">
        <f t="shared" si="231"/>
        <v>1067221.263532575</v>
      </c>
      <c r="O454" s="302">
        <f t="shared" si="231"/>
        <v>1069358.568201002</v>
      </c>
      <c r="P454" s="302">
        <f t="shared" si="231"/>
        <v>1025115.2238464261</v>
      </c>
      <c r="Q454" s="302">
        <f t="shared" si="231"/>
        <v>1007855.0321066407</v>
      </c>
      <c r="R454" s="302">
        <f t="shared" si="231"/>
        <v>980542.98041044362</v>
      </c>
      <c r="S454" s="302">
        <f t="shared" si="231"/>
        <v>1065983.669482331</v>
      </c>
      <c r="T454" s="302">
        <f t="shared" si="222"/>
        <v>12693957.97261011</v>
      </c>
      <c r="U454" s="353"/>
      <c r="V454" s="257"/>
    </row>
    <row r="455" spans="1:23" hidden="1">
      <c r="A455" s="253"/>
      <c r="B455" s="253"/>
      <c r="C455" s="300" t="s">
        <v>461</v>
      </c>
      <c r="D455" s="253" t="s">
        <v>173</v>
      </c>
      <c r="E455" s="253"/>
      <c r="F455" s="253"/>
      <c r="G455" s="253"/>
      <c r="H455" s="302" t="e">
        <f>#REF!+H416+H398+H379+H361+H623+H638+H650+H662+H674+H685+H696+H707</f>
        <v>#REF!</v>
      </c>
      <c r="I455" s="302" t="e">
        <f>#REF!+I416+I398+I379+I361+I623+I638+I650+I662+I674+I685+I696+I707</f>
        <v>#REF!</v>
      </c>
      <c r="J455" s="302" t="e">
        <f>#REF!+J416+J398+J379+J361+J623+J638+J650+J662+J674+J685+J696+J707</f>
        <v>#REF!</v>
      </c>
      <c r="K455" s="302" t="e">
        <f>#REF!+K416+K398+K379+K361+K623+K638+K650+K662+K674+K685+K696+K707</f>
        <v>#REF!</v>
      </c>
      <c r="L455" s="302" t="e">
        <f>#REF!+L416+L398+L379+L361+L623+L638+L650+L662+L674+L685+L696+L707</f>
        <v>#REF!</v>
      </c>
      <c r="M455" s="302" t="e">
        <f>#REF!+M416+M398+M379+M361+M623+M638+M650+M662+M674+M685+M696+M707</f>
        <v>#REF!</v>
      </c>
      <c r="N455" s="302" t="e">
        <f>#REF!+N416+N398+N379+N361+N623+N638+N650+N662+N674+N685+N696+N707</f>
        <v>#REF!</v>
      </c>
      <c r="O455" s="302" t="e">
        <f>#REF!+O416+O398+O379+O361+O623+O638+O650+O662+O674+O685+O696+O707</f>
        <v>#REF!</v>
      </c>
      <c r="P455" s="302" t="e">
        <f>#REF!+P416+P398+P379+P361+P623+P638+P650+P662+P674+P685+P696+P707</f>
        <v>#REF!</v>
      </c>
      <c r="Q455" s="302" t="e">
        <f>#REF!+Q416+Q398+Q379+Q361+Q623+Q638+Q650+Q662+Q674+Q685+Q696+Q707</f>
        <v>#REF!</v>
      </c>
      <c r="R455" s="302" t="e">
        <f>#REF!+R416+R398+R379+R361+R623+R638+R650+R662+R674+R685+R696+R707</f>
        <v>#REF!</v>
      </c>
      <c r="S455" s="302" t="e">
        <f>#REF!+S416+S398+S379+S361+S623+S638+S650+S662+S674+S685+S696+S707</f>
        <v>#REF!</v>
      </c>
      <c r="T455" s="302" t="e">
        <f t="shared" si="222"/>
        <v>#REF!</v>
      </c>
      <c r="U455" s="353"/>
      <c r="V455" s="257"/>
    </row>
    <row r="456" spans="1:23" hidden="1">
      <c r="A456" s="253"/>
      <c r="B456" s="253"/>
      <c r="C456" s="300" t="s">
        <v>495</v>
      </c>
      <c r="D456" s="253" t="s">
        <v>401</v>
      </c>
      <c r="E456" s="253"/>
      <c r="F456" s="253"/>
      <c r="G456" s="253"/>
      <c r="H456" s="302" t="e">
        <f t="shared" ref="H456:Q456" si="232">H454/H455*100</f>
        <v>#REF!</v>
      </c>
      <c r="I456" s="302" t="e">
        <f t="shared" si="232"/>
        <v>#REF!</v>
      </c>
      <c r="J456" s="302" t="e">
        <f t="shared" si="232"/>
        <v>#REF!</v>
      </c>
      <c r="K456" s="302" t="e">
        <f t="shared" si="232"/>
        <v>#REF!</v>
      </c>
      <c r="L456" s="302" t="e">
        <f t="shared" si="232"/>
        <v>#REF!</v>
      </c>
      <c r="M456" s="302" t="e">
        <f t="shared" si="232"/>
        <v>#REF!</v>
      </c>
      <c r="N456" s="302" t="e">
        <f t="shared" si="232"/>
        <v>#REF!</v>
      </c>
      <c r="O456" s="302" t="e">
        <f t="shared" si="232"/>
        <v>#REF!</v>
      </c>
      <c r="P456" s="302" t="e">
        <f t="shared" si="232"/>
        <v>#REF!</v>
      </c>
      <c r="Q456" s="302" t="e">
        <f t="shared" si="232"/>
        <v>#REF!</v>
      </c>
      <c r="R456" s="353"/>
      <c r="S456" s="353"/>
      <c r="T456" s="302" t="e">
        <f t="shared" ref="T456" si="233">T454/T455*100</f>
        <v>#REF!</v>
      </c>
      <c r="U456" s="353"/>
      <c r="V456" s="257"/>
    </row>
    <row r="457" spans="1:23" hidden="1">
      <c r="A457" s="253"/>
      <c r="B457" s="253"/>
      <c r="C457" s="300"/>
      <c r="D457" s="253"/>
      <c r="E457" s="253"/>
      <c r="F457" s="253"/>
      <c r="G457" s="253"/>
      <c r="H457" s="339"/>
      <c r="I457" s="302"/>
      <c r="J457" s="302"/>
      <c r="K457" s="302"/>
      <c r="L457" s="302"/>
      <c r="M457" s="302"/>
      <c r="N457" s="302"/>
      <c r="O457" s="302"/>
      <c r="P457" s="302"/>
      <c r="Q457" s="302"/>
      <c r="R457" s="353"/>
      <c r="S457" s="353"/>
      <c r="T457" s="302"/>
      <c r="U457" s="353"/>
      <c r="V457" s="257"/>
    </row>
    <row r="458" spans="1:23" hidden="1">
      <c r="A458" s="62"/>
      <c r="B458" s="380" t="s">
        <v>496</v>
      </c>
      <c r="C458" s="276" t="s">
        <v>97</v>
      </c>
      <c r="D458" s="253" t="s">
        <v>121</v>
      </c>
      <c r="E458" s="253"/>
      <c r="F458" s="253"/>
      <c r="G458" s="253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>
        <f>SUM(H458:S458)</f>
        <v>0</v>
      </c>
      <c r="U458" s="225"/>
      <c r="V458" s="225"/>
      <c r="W458" s="215"/>
    </row>
    <row r="459" spans="1:23" hidden="1">
      <c r="A459" s="62"/>
      <c r="B459" s="253"/>
      <c r="C459" s="276" t="s">
        <v>370</v>
      </c>
      <c r="D459" s="253" t="s">
        <v>173</v>
      </c>
      <c r="E459" s="253"/>
      <c r="F459" s="253"/>
      <c r="G459" s="253"/>
      <c r="H459" s="339">
        <f>79347892.5026734/1000</f>
        <v>79347.892502673407</v>
      </c>
      <c r="I459" s="339">
        <f>71792949.3445352/1000</f>
        <v>71792.949344535198</v>
      </c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>
        <f>SUM(H459:S459)</f>
        <v>151140.84184720862</v>
      </c>
      <c r="U459" s="225"/>
      <c r="V459" s="225"/>
      <c r="W459" s="215"/>
    </row>
    <row r="460" spans="1:23" hidden="1">
      <c r="A460" s="62"/>
      <c r="B460" s="253"/>
      <c r="C460" s="276" t="s">
        <v>492</v>
      </c>
      <c r="D460" s="253" t="s">
        <v>173</v>
      </c>
      <c r="E460" s="253"/>
      <c r="F460" s="253"/>
      <c r="G460" s="253"/>
      <c r="H460" s="339">
        <f>71797467.5132561/1000</f>
        <v>71797.46751325611</v>
      </c>
      <c r="I460" s="339">
        <f>66528066.0942769/1000</f>
        <v>66528.066094276903</v>
      </c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>
        <f>SUM(H460:S460)</f>
        <v>138325.53360753303</v>
      </c>
      <c r="U460" s="225"/>
      <c r="V460" s="225"/>
      <c r="W460" s="215"/>
    </row>
    <row r="461" spans="1:23" hidden="1">
      <c r="A461" s="62"/>
      <c r="B461" s="253"/>
      <c r="C461" s="276" t="s">
        <v>497</v>
      </c>
      <c r="D461" s="253" t="s">
        <v>401</v>
      </c>
      <c r="E461" s="253"/>
      <c r="F461" s="253"/>
      <c r="G461" s="344"/>
      <c r="H461" s="339">
        <f>H459/H460*100</f>
        <v>110.5162831655911</v>
      </c>
      <c r="I461" s="339">
        <f>I459/I460*100</f>
        <v>107.9137776871455</v>
      </c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81">
        <f>T459/T460*100</f>
        <v>109.26460061671339</v>
      </c>
      <c r="U461" s="225"/>
      <c r="V461" s="225"/>
      <c r="W461" s="215"/>
    </row>
    <row r="462" spans="1:23" hidden="1">
      <c r="A462" s="62"/>
      <c r="B462" s="253"/>
      <c r="C462" s="276"/>
      <c r="D462" s="253"/>
      <c r="E462" s="253"/>
      <c r="F462" s="253"/>
      <c r="G462" s="253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257"/>
      <c r="U462" s="225"/>
      <c r="V462" s="225"/>
      <c r="W462" s="215"/>
    </row>
    <row r="463" spans="1:23" hidden="1">
      <c r="A463" s="62"/>
      <c r="B463" s="380" t="s">
        <v>498</v>
      </c>
      <c r="C463" s="276" t="s">
        <v>97</v>
      </c>
      <c r="D463" s="253" t="s">
        <v>121</v>
      </c>
      <c r="E463" s="253"/>
      <c r="F463" s="253"/>
      <c r="G463" s="253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>
        <f>SUM(H463:S463)</f>
        <v>0</v>
      </c>
      <c r="U463" s="225"/>
      <c r="V463" s="225"/>
      <c r="W463" s="215"/>
    </row>
    <row r="464" spans="1:23" hidden="1">
      <c r="A464" s="62"/>
      <c r="B464" s="253"/>
      <c r="C464" s="276" t="s">
        <v>370</v>
      </c>
      <c r="D464" s="253" t="s">
        <v>173</v>
      </c>
      <c r="E464" s="253"/>
      <c r="F464" s="253"/>
      <c r="G464" s="253"/>
      <c r="H464" s="339">
        <f>47815460.28/1000</f>
        <v>47815.460279999999</v>
      </c>
      <c r="I464" s="339">
        <f>40685454.2148/1000</f>
        <v>40685.454214800004</v>
      </c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>
        <f>SUM(H464:S464)</f>
        <v>88500.914494800003</v>
      </c>
      <c r="U464" s="225"/>
      <c r="V464" s="225"/>
      <c r="W464" s="215"/>
    </row>
    <row r="465" spans="1:29" hidden="1">
      <c r="A465" s="62"/>
      <c r="B465" s="253"/>
      <c r="C465" s="276" t="s">
        <v>492</v>
      </c>
      <c r="D465" s="253" t="s">
        <v>173</v>
      </c>
      <c r="E465" s="253"/>
      <c r="F465" s="253"/>
      <c r="G465" s="253"/>
      <c r="H465" s="339">
        <f>49676125.1379417/1000</f>
        <v>49676.125137941701</v>
      </c>
      <c r="I465" s="339">
        <f>44802364.7843935/1000</f>
        <v>44802.364784393496</v>
      </c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>
        <f>SUM(H465:S465)</f>
        <v>94478.489922335197</v>
      </c>
      <c r="U465" s="225"/>
      <c r="V465" s="225"/>
    </row>
    <row r="466" spans="1:29" hidden="1">
      <c r="A466" s="62"/>
      <c r="B466" s="253"/>
      <c r="C466" s="276" t="s">
        <v>497</v>
      </c>
      <c r="D466" s="253" t="s">
        <v>401</v>
      </c>
      <c r="E466" s="253"/>
      <c r="F466" s="253"/>
      <c r="G466" s="283"/>
      <c r="H466" s="339">
        <f>H464/H465*100</f>
        <v>96.254408223719196</v>
      </c>
      <c r="I466" s="339">
        <f>I464/I465*100</f>
        <v>90.810952525819388</v>
      </c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81">
        <f>T464/T465*100</f>
        <v>93.673083225135173</v>
      </c>
      <c r="U466" s="225"/>
      <c r="V466" s="225"/>
    </row>
    <row r="467" spans="1:29" hidden="1">
      <c r="A467" s="62"/>
      <c r="B467" s="253"/>
      <c r="C467" s="276"/>
      <c r="D467" s="253"/>
      <c r="E467" s="253"/>
      <c r="F467" s="253"/>
      <c r="G467" s="253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257"/>
      <c r="U467" s="225"/>
      <c r="V467" s="225"/>
    </row>
    <row r="468" spans="1:29" hidden="1">
      <c r="A468" s="62"/>
      <c r="B468" s="288" t="s">
        <v>106</v>
      </c>
      <c r="C468" s="276" t="s">
        <v>370</v>
      </c>
      <c r="D468" s="253" t="s">
        <v>173</v>
      </c>
      <c r="E468" s="253"/>
      <c r="F468" s="253"/>
      <c r="G468" s="253"/>
      <c r="H468" s="339">
        <f>H459+H464</f>
        <v>127163.35278267341</v>
      </c>
      <c r="I468" s="339">
        <f>I459+I464</f>
        <v>112478.4035593352</v>
      </c>
      <c r="J468" s="339">
        <f>122452129.005517/1000</f>
        <v>122452.12900551701</v>
      </c>
      <c r="K468" s="339"/>
      <c r="L468" s="339"/>
      <c r="M468" s="339"/>
      <c r="N468" s="339"/>
      <c r="O468" s="339"/>
      <c r="P468" s="339"/>
      <c r="Q468" s="339"/>
      <c r="R468" s="339"/>
      <c r="S468" s="339"/>
      <c r="T468" s="381">
        <f>SUM(H468:S468)</f>
        <v>362093.88534752559</v>
      </c>
      <c r="U468" s="225"/>
      <c r="V468" s="225"/>
    </row>
    <row r="469" spans="1:29" hidden="1">
      <c r="A469" s="62"/>
      <c r="B469" s="253"/>
      <c r="C469" s="276" t="s">
        <v>492</v>
      </c>
      <c r="D469" s="253" t="s">
        <v>173</v>
      </c>
      <c r="E469" s="253"/>
      <c r="F469" s="253"/>
      <c r="G469" s="253"/>
      <c r="H469" s="339">
        <f>H460+H465</f>
        <v>121473.5926511978</v>
      </c>
      <c r="I469" s="339">
        <f>I460+I465</f>
        <v>111330.43087867039</v>
      </c>
      <c r="J469" s="339">
        <f>124699963.721542/1000</f>
        <v>124699.96372154201</v>
      </c>
      <c r="K469" s="339"/>
      <c r="L469" s="339"/>
      <c r="M469" s="339"/>
      <c r="N469" s="339"/>
      <c r="O469" s="339"/>
      <c r="P469" s="339"/>
      <c r="Q469" s="339"/>
      <c r="R469" s="339"/>
      <c r="S469" s="339"/>
      <c r="T469" s="381">
        <f>SUM(H469:S469)</f>
        <v>357503.9872514102</v>
      </c>
      <c r="U469" s="225"/>
      <c r="V469" s="225"/>
    </row>
    <row r="470" spans="1:29" hidden="1">
      <c r="A470" s="62"/>
      <c r="B470" s="253"/>
      <c r="C470" s="276" t="s">
        <v>497</v>
      </c>
      <c r="D470" s="253" t="s">
        <v>401</v>
      </c>
      <c r="E470" s="62"/>
      <c r="F470" s="62"/>
      <c r="G470" s="62"/>
      <c r="H470" s="339">
        <f>H468/H469*100</f>
        <v>104.68394817943133</v>
      </c>
      <c r="I470" s="339">
        <f>I468/I469*100</f>
        <v>101.03114006799802</v>
      </c>
      <c r="J470" s="339">
        <f>J468/J469*100</f>
        <v>98.197405477162391</v>
      </c>
      <c r="K470" s="339"/>
      <c r="L470" s="339"/>
      <c r="M470" s="339"/>
      <c r="N470" s="339"/>
      <c r="O470" s="339"/>
      <c r="P470" s="339"/>
      <c r="Q470" s="339"/>
      <c r="R470" s="339"/>
      <c r="S470" s="339"/>
      <c r="T470" s="381">
        <f>T468/T469*100</f>
        <v>101.2838732601009</v>
      </c>
      <c r="U470" s="225"/>
      <c r="V470" s="225"/>
    </row>
    <row r="471" spans="1:29" hidden="1">
      <c r="A471" s="62"/>
      <c r="B471" s="62"/>
      <c r="C471" s="237"/>
      <c r="D471" s="62"/>
      <c r="E471" s="62"/>
      <c r="F471" s="62"/>
      <c r="G471" s="62"/>
      <c r="H471" s="257"/>
      <c r="I471" s="257"/>
      <c r="J471" s="257"/>
      <c r="K471" s="257"/>
      <c r="L471" s="257"/>
      <c r="M471" s="257"/>
      <c r="N471" s="257"/>
      <c r="O471" s="257"/>
      <c r="P471" s="257"/>
      <c r="Q471" s="257"/>
      <c r="R471" s="257"/>
      <c r="S471" s="257"/>
      <c r="T471" s="257"/>
      <c r="U471" s="225"/>
      <c r="V471" s="225"/>
    </row>
    <row r="472" spans="1:29" hidden="1">
      <c r="A472" s="62"/>
      <c r="B472" s="62"/>
      <c r="C472" s="237"/>
      <c r="D472" s="62"/>
      <c r="E472" s="62"/>
      <c r="F472" s="62"/>
      <c r="G472" s="62"/>
      <c r="H472" s="257"/>
      <c r="I472" s="257"/>
      <c r="J472" s="257"/>
      <c r="K472" s="257"/>
      <c r="L472" s="257"/>
      <c r="M472" s="257"/>
      <c r="N472" s="257"/>
      <c r="O472" s="257"/>
      <c r="P472" s="257"/>
      <c r="Q472" s="257"/>
      <c r="R472" s="257"/>
      <c r="S472" s="257"/>
      <c r="T472" s="257"/>
      <c r="U472" s="225"/>
      <c r="V472" s="225"/>
    </row>
    <row r="473" spans="1:29" hidden="1">
      <c r="A473" s="62">
        <v>19</v>
      </c>
      <c r="B473" s="62" t="s">
        <v>106</v>
      </c>
      <c r="C473" s="278" t="s">
        <v>138</v>
      </c>
      <c r="D473" s="62" t="s">
        <v>90</v>
      </c>
      <c r="E473" s="238">
        <f>'[2]Price&amp;Heating-Value'!$R$6</f>
        <v>3.6</v>
      </c>
      <c r="F473" s="62"/>
      <c r="G473" s="256">
        <f>'[2]Price&amp;Heating-Value'!$P$6</f>
        <v>2.7124999999999999</v>
      </c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>
        <f>SUM(H473:S473)</f>
        <v>0</v>
      </c>
      <c r="U473" s="225">
        <f>T473*E473</f>
        <v>0</v>
      </c>
      <c r="V473" s="225">
        <f>G473*T473</f>
        <v>0</v>
      </c>
      <c r="W473" s="227">
        <f>'[2]Price&amp;Heating-Value'!D$6</f>
        <v>2.4500000000000002</v>
      </c>
      <c r="X473" s="227">
        <f>'[2]Price&amp;Heating-Value'!E$6</f>
        <v>2.54</v>
      </c>
      <c r="Y473" s="227">
        <f>'[2]Price&amp;Heating-Value'!F$6</f>
        <v>2.58</v>
      </c>
      <c r="Z473" s="227">
        <f>'[2]Price&amp;Heating-Value'!G$6</f>
        <v>2.67</v>
      </c>
      <c r="AA473" s="227">
        <f>'[2]Price&amp;Heating-Value'!H$6</f>
        <v>2.67</v>
      </c>
      <c r="AB473" s="227">
        <f>'[2]Price&amp;Heating-Value'!I$6</f>
        <v>2.67</v>
      </c>
      <c r="AC473" s="227">
        <f>'[2]Price&amp;Heating-Value'!J$6</f>
        <v>2.62</v>
      </c>
    </row>
    <row r="474" spans="1:29" hidden="1">
      <c r="A474" s="62"/>
      <c r="B474" s="62"/>
      <c r="C474" s="278" t="s">
        <v>499</v>
      </c>
      <c r="D474" s="62" t="s">
        <v>147</v>
      </c>
      <c r="E474" s="62">
        <f>'[2]Price&amp;Heating-Value'!$R$10</f>
        <v>3180</v>
      </c>
      <c r="F474" s="62"/>
      <c r="G474" s="230">
        <f>'[2]Price&amp;Heating-Value'!$P$10</f>
        <v>1321.5833333333333</v>
      </c>
      <c r="H474" s="225"/>
      <c r="I474" s="225"/>
      <c r="J474" s="254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>
        <f>SUM(H474:S474)</f>
        <v>0</v>
      </c>
      <c r="U474" s="225">
        <f>T474*E474</f>
        <v>0</v>
      </c>
      <c r="V474" s="225">
        <f>G474*T474</f>
        <v>0</v>
      </c>
      <c r="W474" s="214">
        <f>'[2]Price&amp;Heating-Value'!D$10</f>
        <v>1230</v>
      </c>
      <c r="X474" s="214">
        <f>'[2]Price&amp;Heating-Value'!E$10</f>
        <v>1238</v>
      </c>
      <c r="Y474" s="214">
        <f>'[2]Price&amp;Heating-Value'!F$10</f>
        <v>1227</v>
      </c>
      <c r="Z474" s="214">
        <f>'[2]Price&amp;Heating-Value'!G$10</f>
        <v>1252</v>
      </c>
      <c r="AA474" s="214">
        <f>'[2]Price&amp;Heating-Value'!H$10</f>
        <v>1372</v>
      </c>
      <c r="AB474" s="214">
        <f>'[2]Price&amp;Heating-Value'!I$10</f>
        <v>1511</v>
      </c>
      <c r="AC474" s="214">
        <f>'[2]Price&amp;Heating-Value'!J$10</f>
        <v>1608</v>
      </c>
    </row>
    <row r="475" spans="1:29" hidden="1">
      <c r="A475" s="62"/>
      <c r="B475" s="62"/>
      <c r="C475" s="278" t="s">
        <v>503</v>
      </c>
      <c r="D475" s="62" t="s">
        <v>483</v>
      </c>
      <c r="E475" s="62">
        <f>'[2]Price&amp;Heating-Value'!$R$19/1000</f>
        <v>43.993000000000002</v>
      </c>
      <c r="F475" s="62"/>
      <c r="G475" s="371">
        <f>'[2]Price&amp;Heating-Value'!P19/1000</f>
        <v>5.9003324083333331</v>
      </c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>
        <f>SUM(H475:S475)</f>
        <v>0</v>
      </c>
      <c r="U475" s="225">
        <f>T475*E475</f>
        <v>0</v>
      </c>
      <c r="V475" s="225">
        <f>G475*T475</f>
        <v>0</v>
      </c>
      <c r="W475" s="372">
        <f>'[2]Price&amp;Heating-Value'!D$19/1000</f>
        <v>5.3311999999999999</v>
      </c>
      <c r="X475" s="373">
        <f>'[2]Price&amp;Heating-Value'!E$19/1000</f>
        <v>5.3087400000000011</v>
      </c>
      <c r="Y475" s="373">
        <f>'[2]Price&amp;Heating-Value'!F$19/1000</f>
        <v>5.3071200000000003</v>
      </c>
      <c r="Z475" s="373">
        <f>'[2]Price&amp;Heating-Value'!G$19/1000</f>
        <v>5.3289600000000004</v>
      </c>
      <c r="AA475" s="373">
        <f>'[2]Price&amp;Heating-Value'!H$19/1000</f>
        <v>5.3113499999999991</v>
      </c>
      <c r="AB475" s="373">
        <f>'[2]Price&amp;Heating-Value'!I$19/1000</f>
        <v>5.3247999999999998</v>
      </c>
      <c r="AC475" s="373">
        <f>'[2]Price&amp;Heating-Value'!J$19/1000</f>
        <v>5.3135399999999997</v>
      </c>
    </row>
    <row r="476" spans="1:29" hidden="1">
      <c r="A476" s="62"/>
      <c r="B476" s="62"/>
      <c r="C476" s="278" t="s">
        <v>424</v>
      </c>
      <c r="D476" s="62" t="s">
        <v>160</v>
      </c>
      <c r="E476" s="238">
        <f>'[2]Price&amp;Heating-Value'!$S$16/1000</f>
        <v>39.770000000000003</v>
      </c>
      <c r="F476" s="321">
        <f>'[2]Price&amp;Heating-Value'!$T$16</f>
        <v>0.98550000000000004</v>
      </c>
      <c r="G476" s="230">
        <f>'[2]Price&amp;Heating-Value'!$P$16*'[2]Price&amp;Heating-Value'!$T$16/1000</f>
        <v>17.944656726937499</v>
      </c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>
        <f>SUM(H476:S476)</f>
        <v>0</v>
      </c>
      <c r="U476" s="225">
        <f>T476*E476</f>
        <v>0</v>
      </c>
      <c r="V476" s="225">
        <f>F476*G476*T476</f>
        <v>0</v>
      </c>
      <c r="W476" s="322">
        <f>'[2]Price&amp;Heating-Value'!D$16*'[2]Price&amp;Heating-Value'!$T$16/1000</f>
        <v>16.779635460000002</v>
      </c>
      <c r="X476" s="232">
        <f>'[2]Price&amp;Heating-Value'!E$16*'[2]Price&amp;Heating-Value'!$T$16/1000</f>
        <v>16.47036585</v>
      </c>
      <c r="Y476" s="232">
        <f>'[2]Price&amp;Heating-Value'!F$16*'[2]Price&amp;Heating-Value'!$T$16/1000</f>
        <v>16.780118354999999</v>
      </c>
      <c r="Z476" s="232">
        <f>'[2]Price&amp;Heating-Value'!G$16*'[2]Price&amp;Heating-Value'!$T$16/1000</f>
        <v>18.287135100000004</v>
      </c>
      <c r="AA476" s="232">
        <f>'[2]Price&amp;Heating-Value'!H$16*'[2]Price&amp;Heating-Value'!$T$16/1000</f>
        <v>20.715278985000001</v>
      </c>
      <c r="AB476" s="232">
        <f>'[2]Price&amp;Heating-Value'!I$16*'[2]Price&amp;Heating-Value'!$T$16/1000</f>
        <v>22.335056640000001</v>
      </c>
      <c r="AC476" s="232">
        <f>'[2]Price&amp;Heating-Value'!J$16*'[2]Price&amp;Heating-Value'!$T$16/1000</f>
        <v>25.718475240000004</v>
      </c>
    </row>
    <row r="477" spans="1:29" hidden="1">
      <c r="A477" s="62"/>
      <c r="B477" s="62"/>
      <c r="C477" s="237"/>
      <c r="D477" s="62"/>
      <c r="E477" s="62"/>
      <c r="F477" s="62"/>
      <c r="G477" s="62"/>
      <c r="H477" s="257"/>
      <c r="I477" s="257"/>
      <c r="J477" s="257"/>
      <c r="K477" s="257"/>
      <c r="L477" s="257"/>
      <c r="M477" s="257"/>
      <c r="N477" s="257"/>
      <c r="O477" s="257"/>
      <c r="P477" s="257"/>
      <c r="Q477" s="257"/>
      <c r="R477" s="257"/>
      <c r="S477" s="257"/>
      <c r="T477" s="257"/>
      <c r="U477" s="257">
        <f>SUM(U473:U476)</f>
        <v>0</v>
      </c>
      <c r="V477" s="225">
        <f>SUM(V473:V476)</f>
        <v>0</v>
      </c>
    </row>
    <row r="478" spans="1:29" hidden="1">
      <c r="A478" s="253"/>
      <c r="B478" s="233"/>
      <c r="C478" s="234" t="s">
        <v>107</v>
      </c>
      <c r="D478" s="233" t="s">
        <v>147</v>
      </c>
      <c r="E478" s="233"/>
      <c r="F478" s="233"/>
      <c r="G478" s="253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36">
        <f>SUM(H478:S478)</f>
        <v>0</v>
      </c>
      <c r="U478" s="259"/>
      <c r="V478" s="785" t="e">
        <f>V477/T478</f>
        <v>#DIV/0!</v>
      </c>
    </row>
    <row r="479" spans="1:29" hidden="1">
      <c r="A479" s="253"/>
      <c r="B479" s="253"/>
      <c r="C479" s="276"/>
      <c r="D479" s="253"/>
      <c r="E479" s="253"/>
      <c r="F479" s="253"/>
      <c r="G479" s="253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77"/>
      <c r="U479" s="277"/>
      <c r="V479" s="771" t="s">
        <v>137</v>
      </c>
    </row>
    <row r="480" spans="1:29" hidden="1">
      <c r="A480" s="253"/>
      <c r="B480" s="253"/>
      <c r="C480" s="278" t="s">
        <v>138</v>
      </c>
      <c r="D480" s="253" t="s">
        <v>173</v>
      </c>
      <c r="E480" s="62"/>
      <c r="F480" s="62"/>
      <c r="G480" s="253"/>
      <c r="H480" s="277">
        <f>H473*$E473/1000</f>
        <v>0</v>
      </c>
      <c r="I480" s="277">
        <f t="shared" ref="I480:S483" si="234">I473*$E473/1000</f>
        <v>0</v>
      </c>
      <c r="J480" s="277">
        <f t="shared" si="234"/>
        <v>0</v>
      </c>
      <c r="K480" s="277">
        <f>K473*$E473/1000</f>
        <v>0</v>
      </c>
      <c r="L480" s="277">
        <f t="shared" si="234"/>
        <v>0</v>
      </c>
      <c r="M480" s="277">
        <f t="shared" si="234"/>
        <v>0</v>
      </c>
      <c r="N480" s="277">
        <f t="shared" si="234"/>
        <v>0</v>
      </c>
      <c r="O480" s="277">
        <f t="shared" si="234"/>
        <v>0</v>
      </c>
      <c r="P480" s="277">
        <f t="shared" si="234"/>
        <v>0</v>
      </c>
      <c r="Q480" s="277">
        <f t="shared" si="234"/>
        <v>0</v>
      </c>
      <c r="R480" s="277">
        <f t="shared" si="234"/>
        <v>0</v>
      </c>
      <c r="S480" s="277">
        <f t="shared" si="234"/>
        <v>0</v>
      </c>
      <c r="T480" s="277">
        <f t="shared" ref="T480:T485" si="235">SUM(H480:S480)</f>
        <v>0</v>
      </c>
      <c r="U480" s="277"/>
      <c r="V480" s="277"/>
    </row>
    <row r="481" spans="1:23" hidden="1">
      <c r="A481" s="253"/>
      <c r="B481" s="253"/>
      <c r="C481" s="278" t="s">
        <v>499</v>
      </c>
      <c r="D481" s="253" t="s">
        <v>173</v>
      </c>
      <c r="E481" s="62"/>
      <c r="F481" s="62"/>
      <c r="G481" s="253"/>
      <c r="H481" s="277">
        <f>H474*$E474/1000</f>
        <v>0</v>
      </c>
      <c r="I481" s="277">
        <f t="shared" si="234"/>
        <v>0</v>
      </c>
      <c r="J481" s="277">
        <f t="shared" si="234"/>
        <v>0</v>
      </c>
      <c r="K481" s="277">
        <f>K474*$E474/1000</f>
        <v>0</v>
      </c>
      <c r="L481" s="277">
        <f t="shared" si="234"/>
        <v>0</v>
      </c>
      <c r="M481" s="277">
        <f t="shared" si="234"/>
        <v>0</v>
      </c>
      <c r="N481" s="277">
        <f t="shared" si="234"/>
        <v>0</v>
      </c>
      <c r="O481" s="277">
        <f t="shared" si="234"/>
        <v>0</v>
      </c>
      <c r="P481" s="277">
        <f t="shared" si="234"/>
        <v>0</v>
      </c>
      <c r="Q481" s="277">
        <f t="shared" si="234"/>
        <v>0</v>
      </c>
      <c r="R481" s="277">
        <f t="shared" si="234"/>
        <v>0</v>
      </c>
      <c r="S481" s="277">
        <f t="shared" si="234"/>
        <v>0</v>
      </c>
      <c r="T481" s="277">
        <f t="shared" si="235"/>
        <v>0</v>
      </c>
      <c r="U481" s="277"/>
      <c r="V481" s="277"/>
      <c r="W481" s="215"/>
    </row>
    <row r="482" spans="1:23" hidden="1">
      <c r="A482" s="253"/>
      <c r="B482" s="253"/>
      <c r="C482" s="278" t="s">
        <v>503</v>
      </c>
      <c r="D482" s="253" t="s">
        <v>173</v>
      </c>
      <c r="E482" s="62"/>
      <c r="F482" s="62"/>
      <c r="G482" s="253"/>
      <c r="H482" s="277">
        <f>H475*$E475/1000</f>
        <v>0</v>
      </c>
      <c r="I482" s="277">
        <f>I475*$E475/1000</f>
        <v>0</v>
      </c>
      <c r="J482" s="277">
        <f t="shared" si="234"/>
        <v>0</v>
      </c>
      <c r="K482" s="277">
        <f>K475*$E475/1000</f>
        <v>0</v>
      </c>
      <c r="L482" s="277">
        <f t="shared" si="234"/>
        <v>0</v>
      </c>
      <c r="M482" s="277">
        <f t="shared" si="234"/>
        <v>0</v>
      </c>
      <c r="N482" s="277">
        <f t="shared" si="234"/>
        <v>0</v>
      </c>
      <c r="O482" s="277">
        <f t="shared" si="234"/>
        <v>0</v>
      </c>
      <c r="P482" s="277">
        <f t="shared" si="234"/>
        <v>0</v>
      </c>
      <c r="Q482" s="277">
        <f t="shared" si="234"/>
        <v>0</v>
      </c>
      <c r="R482" s="277">
        <f t="shared" si="234"/>
        <v>0</v>
      </c>
      <c r="S482" s="277">
        <f t="shared" si="234"/>
        <v>0</v>
      </c>
      <c r="T482" s="277">
        <f t="shared" si="235"/>
        <v>0</v>
      </c>
      <c r="U482" s="277"/>
      <c r="V482" s="277"/>
      <c r="W482" s="215"/>
    </row>
    <row r="483" spans="1:23" hidden="1">
      <c r="A483" s="253"/>
      <c r="B483" s="253"/>
      <c r="C483" s="278" t="s">
        <v>424</v>
      </c>
      <c r="D483" s="253" t="s">
        <v>173</v>
      </c>
      <c r="E483" s="62"/>
      <c r="F483" s="62"/>
      <c r="G483" s="253"/>
      <c r="H483" s="277">
        <f>H476*$E476/1000</f>
        <v>0</v>
      </c>
      <c r="I483" s="277">
        <f>I476*$E476/1000</f>
        <v>0</v>
      </c>
      <c r="J483" s="277">
        <f t="shared" si="234"/>
        <v>0</v>
      </c>
      <c r="K483" s="277">
        <f>K476*$E476/1000</f>
        <v>0</v>
      </c>
      <c r="L483" s="277">
        <f t="shared" si="234"/>
        <v>0</v>
      </c>
      <c r="M483" s="277">
        <f t="shared" si="234"/>
        <v>0</v>
      </c>
      <c r="N483" s="277">
        <f t="shared" si="234"/>
        <v>0</v>
      </c>
      <c r="O483" s="277">
        <f t="shared" si="234"/>
        <v>0</v>
      </c>
      <c r="P483" s="277">
        <f t="shared" si="234"/>
        <v>0</v>
      </c>
      <c r="Q483" s="277">
        <f t="shared" si="234"/>
        <v>0</v>
      </c>
      <c r="R483" s="277">
        <f t="shared" si="234"/>
        <v>0</v>
      </c>
      <c r="S483" s="277">
        <f t="shared" si="234"/>
        <v>0</v>
      </c>
      <c r="T483" s="277">
        <f t="shared" si="235"/>
        <v>0</v>
      </c>
      <c r="U483" s="277"/>
      <c r="V483" s="277"/>
      <c r="W483" s="215"/>
    </row>
    <row r="484" spans="1:23" hidden="1">
      <c r="A484" s="253"/>
      <c r="B484" s="62"/>
      <c r="C484" s="237" t="s">
        <v>502</v>
      </c>
      <c r="D484" s="62" t="s">
        <v>173</v>
      </c>
      <c r="E484" s="253"/>
      <c r="F484" s="253"/>
      <c r="G484" s="253"/>
      <c r="H484" s="277">
        <f>H468</f>
        <v>127163.35278267341</v>
      </c>
      <c r="I484" s="277">
        <f t="shared" ref="I484:J485" si="236">I468</f>
        <v>112478.4035593352</v>
      </c>
      <c r="J484" s="277">
        <f t="shared" si="236"/>
        <v>122452.12900551701</v>
      </c>
      <c r="K484" s="277">
        <f>124149466.411137/1000</f>
        <v>124149.46641113699</v>
      </c>
      <c r="L484" s="277">
        <f>133892891.704744/1000</f>
        <v>133892.89170474399</v>
      </c>
      <c r="M484" s="277">
        <f>125935996.064247/1000</f>
        <v>125935.996064247</v>
      </c>
      <c r="N484" s="277">
        <v>137203.56741832476</v>
      </c>
      <c r="O484" s="277">
        <f>137257766.361091/1000</f>
        <v>137257.76636109099</v>
      </c>
      <c r="P484" s="277">
        <f>127115002.869843/1000</f>
        <v>127115.00286984301</v>
      </c>
      <c r="Q484" s="277">
        <f>136789703.608294/1000</f>
        <v>136789.70360829402</v>
      </c>
      <c r="R484" s="277">
        <f>119792615.674018/1000</f>
        <v>119792.615674018</v>
      </c>
      <c r="S484" s="277">
        <v>128002.94460156877</v>
      </c>
      <c r="T484" s="277">
        <f t="shared" si="235"/>
        <v>1532233.8400607931</v>
      </c>
      <c r="U484" s="277"/>
      <c r="V484" s="786">
        <f>V477/T484</f>
        <v>0</v>
      </c>
      <c r="W484" s="215"/>
    </row>
    <row r="485" spans="1:23" hidden="1">
      <c r="A485" s="253"/>
      <c r="B485" s="62"/>
      <c r="C485" s="237" t="s">
        <v>345</v>
      </c>
      <c r="D485" s="62" t="s">
        <v>173</v>
      </c>
      <c r="E485" s="62"/>
      <c r="F485" s="62"/>
      <c r="G485" s="253"/>
      <c r="H485" s="225">
        <f>H469</f>
        <v>121473.5926511978</v>
      </c>
      <c r="I485" s="225">
        <f t="shared" si="236"/>
        <v>111330.43087867039</v>
      </c>
      <c r="J485" s="225">
        <f t="shared" si="236"/>
        <v>124699.96372154201</v>
      </c>
      <c r="K485" s="225">
        <f>117115682.757648/1000</f>
        <v>117115.682757648</v>
      </c>
      <c r="L485" s="225">
        <f>127032063.830647/1000</f>
        <v>127032.06383064701</v>
      </c>
      <c r="M485" s="225">
        <f>116601340.812723/1000</f>
        <v>116601.34081272299</v>
      </c>
      <c r="N485" s="225">
        <v>121528.20117883908</v>
      </c>
      <c r="O485" s="225">
        <f>126753438.002461/1000</f>
        <v>126753.438002461</v>
      </c>
      <c r="P485" s="225">
        <f>123384398.741604/1000</f>
        <v>123384.398741604</v>
      </c>
      <c r="Q485" s="225">
        <f>125287817.41139/1000</f>
        <v>125287.81741139</v>
      </c>
      <c r="R485" s="225">
        <f>118226514.112551/1000</f>
        <v>118226.514112551</v>
      </c>
      <c r="S485" s="225">
        <v>127930.99141583341</v>
      </c>
      <c r="T485" s="277">
        <f t="shared" si="235"/>
        <v>1461364.4355151067</v>
      </c>
      <c r="U485" s="277"/>
      <c r="V485" s="271" t="s">
        <v>158</v>
      </c>
      <c r="W485" s="215"/>
    </row>
    <row r="486" spans="1:23" hidden="1">
      <c r="A486" s="253"/>
      <c r="B486" s="243" t="s">
        <v>174</v>
      </c>
      <c r="C486" s="244" t="s">
        <v>138</v>
      </c>
      <c r="D486" s="243" t="s">
        <v>347</v>
      </c>
      <c r="E486" s="243"/>
      <c r="F486" s="248" t="e">
        <f>(J486-G486)/G486*100</f>
        <v>#DIV/0!</v>
      </c>
      <c r="G486" s="363">
        <v>0.10366529696486493</v>
      </c>
      <c r="H486" s="245" t="e">
        <f>H480/H$478</f>
        <v>#DIV/0!</v>
      </c>
      <c r="I486" s="245" t="e">
        <f>I480/I$478</f>
        <v>#DIV/0!</v>
      </c>
      <c r="J486" s="245" t="e">
        <f t="shared" ref="J486:S490" si="237">J480/J$478</f>
        <v>#DIV/0!</v>
      </c>
      <c r="K486" s="245" t="e">
        <f t="shared" si="237"/>
        <v>#DIV/0!</v>
      </c>
      <c r="L486" s="245" t="e">
        <f t="shared" si="237"/>
        <v>#DIV/0!</v>
      </c>
      <c r="M486" s="245" t="e">
        <f t="shared" si="237"/>
        <v>#DIV/0!</v>
      </c>
      <c r="N486" s="245" t="e">
        <f t="shared" si="237"/>
        <v>#DIV/0!</v>
      </c>
      <c r="O486" s="245" t="e">
        <f t="shared" si="237"/>
        <v>#DIV/0!</v>
      </c>
      <c r="P486" s="245" t="e">
        <f t="shared" si="237"/>
        <v>#DIV/0!</v>
      </c>
      <c r="Q486" s="245" t="e">
        <f t="shared" si="237"/>
        <v>#DIV/0!</v>
      </c>
      <c r="R486" s="245" t="e">
        <f t="shared" si="237"/>
        <v>#DIV/0!</v>
      </c>
      <c r="S486" s="245" t="e">
        <f t="shared" si="237"/>
        <v>#DIV/0!</v>
      </c>
      <c r="T486" s="245" t="e">
        <f>T480/T$478</f>
        <v>#DIV/0!</v>
      </c>
      <c r="U486" s="246"/>
      <c r="V486" s="246"/>
      <c r="W486" s="215"/>
    </row>
    <row r="487" spans="1:23" hidden="1">
      <c r="A487" s="253"/>
      <c r="B487" s="243"/>
      <c r="C487" s="337" t="s">
        <v>499</v>
      </c>
      <c r="D487" s="243" t="s">
        <v>347</v>
      </c>
      <c r="E487" s="243"/>
      <c r="F487" s="248" t="e">
        <f>(J487-G487)/G487*100</f>
        <v>#DIV/0!</v>
      </c>
      <c r="G487" s="363">
        <v>0.95527700962599427</v>
      </c>
      <c r="H487" s="245" t="e">
        <f t="shared" ref="H487:I490" si="238">H481/H$478</f>
        <v>#DIV/0!</v>
      </c>
      <c r="I487" s="245" t="e">
        <f t="shared" si="238"/>
        <v>#DIV/0!</v>
      </c>
      <c r="J487" s="245" t="e">
        <f t="shared" si="237"/>
        <v>#DIV/0!</v>
      </c>
      <c r="K487" s="245" t="e">
        <f t="shared" si="237"/>
        <v>#DIV/0!</v>
      </c>
      <c r="L487" s="245" t="e">
        <f t="shared" si="237"/>
        <v>#DIV/0!</v>
      </c>
      <c r="M487" s="245" t="e">
        <f t="shared" si="237"/>
        <v>#DIV/0!</v>
      </c>
      <c r="N487" s="245" t="e">
        <f t="shared" si="237"/>
        <v>#DIV/0!</v>
      </c>
      <c r="O487" s="245" t="e">
        <f t="shared" si="237"/>
        <v>#DIV/0!</v>
      </c>
      <c r="P487" s="245" t="e">
        <f t="shared" si="237"/>
        <v>#DIV/0!</v>
      </c>
      <c r="Q487" s="245" t="e">
        <f t="shared" si="237"/>
        <v>#DIV/0!</v>
      </c>
      <c r="R487" s="245" t="e">
        <f t="shared" si="237"/>
        <v>#DIV/0!</v>
      </c>
      <c r="S487" s="245" t="e">
        <f t="shared" si="237"/>
        <v>#DIV/0!</v>
      </c>
      <c r="T487" s="245" t="e">
        <f>T481/T$478</f>
        <v>#DIV/0!</v>
      </c>
      <c r="U487" s="246"/>
      <c r="V487" s="246"/>
      <c r="W487" s="215"/>
    </row>
    <row r="488" spans="1:23" hidden="1">
      <c r="A488" s="253"/>
      <c r="B488" s="243"/>
      <c r="C488" s="337" t="s">
        <v>503</v>
      </c>
      <c r="D488" s="243" t="s">
        <v>347</v>
      </c>
      <c r="E488" s="243" t="e">
        <f>((J488+J489)-(G488+G489))/(G488+G489)*100</f>
        <v>#DIV/0!</v>
      </c>
      <c r="F488" s="248" t="e">
        <f>(J488-G488)/G488*100</f>
        <v>#DIV/0!</v>
      </c>
      <c r="G488" s="363">
        <v>0.30041044120743587</v>
      </c>
      <c r="H488" s="245" t="e">
        <f t="shared" si="238"/>
        <v>#DIV/0!</v>
      </c>
      <c r="I488" s="245" t="e">
        <f t="shared" si="238"/>
        <v>#DIV/0!</v>
      </c>
      <c r="J488" s="245" t="e">
        <f t="shared" si="237"/>
        <v>#DIV/0!</v>
      </c>
      <c r="K488" s="245" t="e">
        <f t="shared" si="237"/>
        <v>#DIV/0!</v>
      </c>
      <c r="L488" s="245" t="e">
        <f t="shared" si="237"/>
        <v>#DIV/0!</v>
      </c>
      <c r="M488" s="245" t="e">
        <f t="shared" si="237"/>
        <v>#DIV/0!</v>
      </c>
      <c r="N488" s="245" t="e">
        <f t="shared" si="237"/>
        <v>#DIV/0!</v>
      </c>
      <c r="O488" s="245" t="e">
        <f t="shared" si="237"/>
        <v>#DIV/0!</v>
      </c>
      <c r="P488" s="245" t="e">
        <f t="shared" si="237"/>
        <v>#DIV/0!</v>
      </c>
      <c r="Q488" s="245" t="e">
        <f t="shared" si="237"/>
        <v>#DIV/0!</v>
      </c>
      <c r="R488" s="245" t="e">
        <f t="shared" si="237"/>
        <v>#DIV/0!</v>
      </c>
      <c r="S488" s="245" t="e">
        <f t="shared" si="237"/>
        <v>#DIV/0!</v>
      </c>
      <c r="T488" s="245" t="e">
        <f>T482/T$478</f>
        <v>#DIV/0!</v>
      </c>
      <c r="U488" s="246"/>
      <c r="V488" s="246"/>
      <c r="W488" s="215"/>
    </row>
    <row r="489" spans="1:23" hidden="1">
      <c r="A489" s="253"/>
      <c r="B489" s="243"/>
      <c r="C489" s="337" t="s">
        <v>424</v>
      </c>
      <c r="D489" s="243" t="s">
        <v>347</v>
      </c>
      <c r="E489" s="243"/>
      <c r="F489" s="248" t="e">
        <f>(J489-G489)/G489*100</f>
        <v>#DIV/0!</v>
      </c>
      <c r="G489" s="363">
        <v>0.7319375990752377</v>
      </c>
      <c r="H489" s="245" t="e">
        <f t="shared" si="238"/>
        <v>#DIV/0!</v>
      </c>
      <c r="I489" s="245" t="e">
        <f t="shared" si="238"/>
        <v>#DIV/0!</v>
      </c>
      <c r="J489" s="245" t="e">
        <f t="shared" si="237"/>
        <v>#DIV/0!</v>
      </c>
      <c r="K489" s="245" t="e">
        <f t="shared" si="237"/>
        <v>#DIV/0!</v>
      </c>
      <c r="L489" s="245" t="e">
        <f t="shared" si="237"/>
        <v>#DIV/0!</v>
      </c>
      <c r="M489" s="245" t="e">
        <f t="shared" si="237"/>
        <v>#DIV/0!</v>
      </c>
      <c r="N489" s="245" t="e">
        <f t="shared" si="237"/>
        <v>#DIV/0!</v>
      </c>
      <c r="O489" s="245" t="e">
        <f t="shared" si="237"/>
        <v>#DIV/0!</v>
      </c>
      <c r="P489" s="245" t="e">
        <f t="shared" si="237"/>
        <v>#DIV/0!</v>
      </c>
      <c r="Q489" s="245" t="e">
        <f t="shared" si="237"/>
        <v>#DIV/0!</v>
      </c>
      <c r="R489" s="245" t="e">
        <f t="shared" si="237"/>
        <v>#DIV/0!</v>
      </c>
      <c r="S489" s="245" t="e">
        <f t="shared" si="237"/>
        <v>#DIV/0!</v>
      </c>
      <c r="T489" s="245" t="e">
        <f>T483/T$478</f>
        <v>#DIV/0!</v>
      </c>
      <c r="U489" s="246"/>
      <c r="V489" s="246"/>
      <c r="W489" s="215"/>
    </row>
    <row r="490" spans="1:23" ht="23.25" hidden="1">
      <c r="A490" s="253"/>
      <c r="B490" s="243"/>
      <c r="C490" s="249" t="s">
        <v>504</v>
      </c>
      <c r="D490" s="243" t="s">
        <v>347</v>
      </c>
      <c r="E490" s="243"/>
      <c r="F490" s="248" t="e">
        <f>(J490-G490)/G490*100</f>
        <v>#DIV/0!</v>
      </c>
      <c r="G490" s="363">
        <v>2.0912903468735329</v>
      </c>
      <c r="H490" s="245" t="e">
        <f t="shared" si="238"/>
        <v>#DIV/0!</v>
      </c>
      <c r="I490" s="251">
        <f>I470</f>
        <v>101.03114006799802</v>
      </c>
      <c r="J490" s="245" t="e">
        <f t="shared" si="237"/>
        <v>#DIV/0!</v>
      </c>
      <c r="K490" s="245" t="e">
        <f t="shared" si="237"/>
        <v>#DIV/0!</v>
      </c>
      <c r="L490" s="245" t="e">
        <f t="shared" si="237"/>
        <v>#DIV/0!</v>
      </c>
      <c r="M490" s="245" t="e">
        <f t="shared" si="237"/>
        <v>#DIV/0!</v>
      </c>
      <c r="N490" s="245" t="e">
        <f t="shared" si="237"/>
        <v>#DIV/0!</v>
      </c>
      <c r="O490" s="245" t="e">
        <f t="shared" si="237"/>
        <v>#DIV/0!</v>
      </c>
      <c r="P490" s="245" t="e">
        <f t="shared" si="237"/>
        <v>#DIV/0!</v>
      </c>
      <c r="Q490" s="245" t="e">
        <f t="shared" si="237"/>
        <v>#DIV/0!</v>
      </c>
      <c r="R490" s="245" t="e">
        <f t="shared" si="237"/>
        <v>#DIV/0!</v>
      </c>
      <c r="S490" s="245" t="e">
        <f t="shared" si="237"/>
        <v>#DIV/0!</v>
      </c>
      <c r="T490" s="250" t="e">
        <f>T484/T478</f>
        <v>#DIV/0!</v>
      </c>
      <c r="U490" s="246"/>
      <c r="V490" s="246"/>
      <c r="W490" s="215"/>
    </row>
    <row r="491" spans="1:23" hidden="1">
      <c r="A491" s="253"/>
      <c r="B491" s="243"/>
      <c r="C491" s="249" t="s">
        <v>505</v>
      </c>
      <c r="D491" s="243"/>
      <c r="E491" s="243"/>
      <c r="F491" s="245"/>
      <c r="G491" s="363">
        <v>92.612285552134281</v>
      </c>
      <c r="H491" s="251">
        <f>H484/H485*100</f>
        <v>104.68394817943133</v>
      </c>
      <c r="I491" s="251">
        <f t="shared" ref="I491:T491" si="239">I484/I485*100</f>
        <v>101.03114006799802</v>
      </c>
      <c r="J491" s="251">
        <f t="shared" si="239"/>
        <v>98.197405477162391</v>
      </c>
      <c r="K491" s="251">
        <f t="shared" si="239"/>
        <v>106.00584267441302</v>
      </c>
      <c r="L491" s="251">
        <f t="shared" si="239"/>
        <v>105.40086311062655</v>
      </c>
      <c r="M491" s="251">
        <f t="shared" si="239"/>
        <v>108.00561570429682</v>
      </c>
      <c r="N491" s="251">
        <f t="shared" si="239"/>
        <v>112.89854213872388</v>
      </c>
      <c r="O491" s="251">
        <f t="shared" si="239"/>
        <v>108.28721376253799</v>
      </c>
      <c r="P491" s="251">
        <f t="shared" si="239"/>
        <v>103.02356227066582</v>
      </c>
      <c r="Q491" s="251">
        <f t="shared" si="239"/>
        <v>109.18037079306512</v>
      </c>
      <c r="R491" s="251">
        <f t="shared" si="239"/>
        <v>101.32466187743307</v>
      </c>
      <c r="S491" s="251">
        <f t="shared" si="239"/>
        <v>100.05624374902362</v>
      </c>
      <c r="T491" s="251">
        <f t="shared" si="239"/>
        <v>104.84953669484274</v>
      </c>
      <c r="U491" s="246"/>
      <c r="V491" s="246"/>
      <c r="W491" s="215"/>
    </row>
    <row r="492" spans="1:23" hidden="1">
      <c r="A492" s="303"/>
      <c r="B492" s="303"/>
      <c r="C492" s="382"/>
      <c r="D492" s="303"/>
      <c r="E492" s="303"/>
      <c r="F492" s="303"/>
      <c r="G492" s="303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310"/>
      <c r="T492" s="310"/>
      <c r="U492" s="310"/>
      <c r="V492" s="310"/>
      <c r="W492" s="215"/>
    </row>
    <row r="493" spans="1:23" hidden="1">
      <c r="A493" s="253"/>
      <c r="B493" s="253"/>
      <c r="C493" s="276"/>
      <c r="D493" s="253"/>
      <c r="E493" s="253"/>
      <c r="F493" s="253"/>
      <c r="G493" s="253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215"/>
    </row>
    <row r="494" spans="1:23" hidden="1">
      <c r="A494" s="253"/>
      <c r="B494" s="288" t="s">
        <v>506</v>
      </c>
      <c r="C494" s="276" t="s">
        <v>97</v>
      </c>
      <c r="D494" s="253" t="s">
        <v>121</v>
      </c>
      <c r="E494" s="253"/>
      <c r="F494" s="253"/>
      <c r="G494" s="253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>
        <f>SUM(H494:S494)</f>
        <v>0</v>
      </c>
      <c r="U494" s="358"/>
      <c r="V494" s="358"/>
      <c r="W494" s="215"/>
    </row>
    <row r="495" spans="1:23" hidden="1">
      <c r="A495" s="253"/>
      <c r="B495" s="288"/>
      <c r="C495" s="276" t="s">
        <v>370</v>
      </c>
      <c r="D495" s="253" t="s">
        <v>173</v>
      </c>
      <c r="E495" s="253"/>
      <c r="F495" s="253"/>
      <c r="G495" s="253"/>
      <c r="H495" s="358">
        <f>79058598.0198547/1000</f>
        <v>79058.598019854689</v>
      </c>
      <c r="I495" s="358">
        <f>74742863.1148069/1000</f>
        <v>74742.863114806911</v>
      </c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>
        <f>SUM(H495:S495)</f>
        <v>153801.4611346616</v>
      </c>
      <c r="U495" s="358"/>
      <c r="V495" s="358"/>
      <c r="W495" s="215"/>
    </row>
    <row r="496" spans="1:23" hidden="1">
      <c r="A496" s="253"/>
      <c r="B496" s="288"/>
      <c r="C496" s="276" t="s">
        <v>492</v>
      </c>
      <c r="D496" s="253" t="s">
        <v>173</v>
      </c>
      <c r="E496" s="253"/>
      <c r="F496" s="253"/>
      <c r="G496" s="253"/>
      <c r="H496" s="358">
        <f>86285678.4197662/1000</f>
        <v>86285.678419766205</v>
      </c>
      <c r="I496" s="358">
        <f>78199292.1913111/1000</f>
        <v>78199.292191311106</v>
      </c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>
        <f>SUM(H496:S496)</f>
        <v>164484.97061107733</v>
      </c>
      <c r="U496" s="358"/>
      <c r="V496" s="358"/>
      <c r="W496" s="215"/>
    </row>
    <row r="497" spans="1:23" hidden="1">
      <c r="A497" s="253"/>
      <c r="B497" s="288"/>
      <c r="C497" s="276" t="s">
        <v>497</v>
      </c>
      <c r="D497" s="253" t="s">
        <v>401</v>
      </c>
      <c r="E497" s="253"/>
      <c r="F497" s="253"/>
      <c r="G497" s="253"/>
      <c r="H497" s="381">
        <f t="shared" ref="H497:S497" si="240">H495/H496*100</f>
        <v>91.624241088129466</v>
      </c>
      <c r="I497" s="381">
        <f t="shared" si="240"/>
        <v>95.579973961850968</v>
      </c>
      <c r="J497" s="381" t="e">
        <f t="shared" si="240"/>
        <v>#DIV/0!</v>
      </c>
      <c r="K497" s="381" t="e">
        <f t="shared" si="240"/>
        <v>#DIV/0!</v>
      </c>
      <c r="L497" s="381" t="e">
        <f t="shared" si="240"/>
        <v>#DIV/0!</v>
      </c>
      <c r="M497" s="381" t="e">
        <f t="shared" si="240"/>
        <v>#DIV/0!</v>
      </c>
      <c r="N497" s="381" t="e">
        <f t="shared" si="240"/>
        <v>#DIV/0!</v>
      </c>
      <c r="O497" s="381" t="e">
        <f t="shared" si="240"/>
        <v>#DIV/0!</v>
      </c>
      <c r="P497" s="381" t="e">
        <f t="shared" si="240"/>
        <v>#DIV/0!</v>
      </c>
      <c r="Q497" s="381" t="e">
        <f t="shared" si="240"/>
        <v>#DIV/0!</v>
      </c>
      <c r="R497" s="381" t="e">
        <f t="shared" si="240"/>
        <v>#DIV/0!</v>
      </c>
      <c r="S497" s="381" t="e">
        <f t="shared" si="240"/>
        <v>#DIV/0!</v>
      </c>
      <c r="T497" s="381">
        <f>T495/T496*100</f>
        <v>93.504871942569906</v>
      </c>
      <c r="U497" s="358"/>
      <c r="V497" s="358"/>
      <c r="W497" s="215"/>
    </row>
    <row r="498" spans="1:23" hidden="1">
      <c r="A498" s="253"/>
      <c r="B498" s="288"/>
      <c r="C498" s="276"/>
      <c r="D498" s="253"/>
      <c r="E498" s="253"/>
      <c r="F498" s="253"/>
      <c r="G498" s="253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215"/>
    </row>
    <row r="499" spans="1:23" hidden="1">
      <c r="A499" s="253"/>
      <c r="B499" s="288" t="s">
        <v>507</v>
      </c>
      <c r="C499" s="276" t="s">
        <v>97</v>
      </c>
      <c r="D499" s="253" t="s">
        <v>121</v>
      </c>
      <c r="E499" s="253"/>
      <c r="F499" s="253"/>
      <c r="G499" s="253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>
        <f>SUM(H499:S499)</f>
        <v>0</v>
      </c>
      <c r="U499" s="358"/>
      <c r="V499" s="358"/>
      <c r="W499" s="215"/>
    </row>
    <row r="500" spans="1:23" hidden="1">
      <c r="A500" s="253"/>
      <c r="B500" s="288"/>
      <c r="C500" s="276" t="s">
        <v>370</v>
      </c>
      <c r="D500" s="253" t="s">
        <v>173</v>
      </c>
      <c r="E500" s="253"/>
      <c r="F500" s="253"/>
      <c r="G500" s="253"/>
      <c r="H500" s="358">
        <f>71483111.2724956/1000</f>
        <v>71483.111272495604</v>
      </c>
      <c r="I500" s="358">
        <f>77233249.8166329/1000</f>
        <v>77233.249816632902</v>
      </c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>
        <f>SUM(H500:S500)</f>
        <v>148716.36108912851</v>
      </c>
      <c r="U500" s="358"/>
      <c r="V500" s="358"/>
      <c r="W500" s="215"/>
    </row>
    <row r="501" spans="1:23" hidden="1">
      <c r="A501" s="253"/>
      <c r="B501" s="288"/>
      <c r="C501" s="276" t="s">
        <v>492</v>
      </c>
      <c r="D501" s="253" t="s">
        <v>173</v>
      </c>
      <c r="E501" s="253"/>
      <c r="F501" s="253"/>
      <c r="G501" s="253"/>
      <c r="H501" s="358">
        <f>87844068.0456791/1000</f>
        <v>87844.068045679101</v>
      </c>
      <c r="I501" s="358">
        <f>97279026.2986336/1000</f>
        <v>97279.026298633602</v>
      </c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>
        <f>SUM(H501:S501)</f>
        <v>185123.0943443127</v>
      </c>
      <c r="U501" s="358"/>
      <c r="V501" s="358"/>
      <c r="W501" s="215"/>
    </row>
    <row r="502" spans="1:23" hidden="1">
      <c r="A502" s="253"/>
      <c r="B502" s="288"/>
      <c r="C502" s="276" t="s">
        <v>497</v>
      </c>
      <c r="D502" s="253" t="s">
        <v>401</v>
      </c>
      <c r="E502" s="253"/>
      <c r="F502" s="253"/>
      <c r="G502" s="253"/>
      <c r="H502" s="381">
        <f>H500/H501*100</f>
        <v>81.375001024911825</v>
      </c>
      <c r="I502" s="381">
        <f t="shared" ref="I502:T502" si="241">I500/I501*100</f>
        <v>79.39352680148869</v>
      </c>
      <c r="J502" s="381" t="e">
        <f t="shared" si="241"/>
        <v>#DIV/0!</v>
      </c>
      <c r="K502" s="381" t="e">
        <f t="shared" si="241"/>
        <v>#DIV/0!</v>
      </c>
      <c r="L502" s="381" t="e">
        <f t="shared" si="241"/>
        <v>#DIV/0!</v>
      </c>
      <c r="M502" s="381" t="e">
        <f t="shared" si="241"/>
        <v>#DIV/0!</v>
      </c>
      <c r="N502" s="381" t="e">
        <f t="shared" si="241"/>
        <v>#DIV/0!</v>
      </c>
      <c r="O502" s="381" t="e">
        <f t="shared" si="241"/>
        <v>#DIV/0!</v>
      </c>
      <c r="P502" s="381" t="e">
        <f t="shared" si="241"/>
        <v>#DIV/0!</v>
      </c>
      <c r="Q502" s="381" t="e">
        <f t="shared" si="241"/>
        <v>#DIV/0!</v>
      </c>
      <c r="R502" s="381" t="e">
        <f t="shared" si="241"/>
        <v>#DIV/0!</v>
      </c>
      <c r="S502" s="381" t="e">
        <f t="shared" si="241"/>
        <v>#DIV/0!</v>
      </c>
      <c r="T502" s="381">
        <f t="shared" si="241"/>
        <v>80.333770141357476</v>
      </c>
      <c r="U502" s="358"/>
      <c r="V502" s="358"/>
      <c r="W502" s="215"/>
    </row>
    <row r="503" spans="1:23" hidden="1">
      <c r="A503" s="253"/>
      <c r="B503" s="288"/>
      <c r="C503" s="253"/>
      <c r="D503" s="253"/>
      <c r="E503" s="253"/>
      <c r="F503" s="253"/>
      <c r="G503" s="253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215"/>
    </row>
    <row r="504" spans="1:23" hidden="1">
      <c r="A504" s="253"/>
      <c r="B504" s="288" t="s">
        <v>508</v>
      </c>
      <c r="C504" s="276" t="s">
        <v>97</v>
      </c>
      <c r="D504" s="253" t="s">
        <v>121</v>
      </c>
      <c r="E504" s="253"/>
      <c r="F504" s="253"/>
      <c r="G504" s="253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>
        <f>SUM(H504:S504)</f>
        <v>0</v>
      </c>
      <c r="U504" s="358"/>
      <c r="V504" s="358"/>
      <c r="W504" s="215"/>
    </row>
    <row r="505" spans="1:23" hidden="1">
      <c r="A505" s="253"/>
      <c r="B505" s="253"/>
      <c r="C505" s="276" t="s">
        <v>370</v>
      </c>
      <c r="D505" s="253" t="s">
        <v>173</v>
      </c>
      <c r="E505" s="253"/>
      <c r="F505" s="253"/>
      <c r="G505" s="253"/>
      <c r="H505" s="358">
        <f>7607632.17982168/1000</f>
        <v>7607.6321798216804</v>
      </c>
      <c r="I505" s="358">
        <f>6964564.85056977/1000</f>
        <v>6964.56485056977</v>
      </c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>
        <f>SUM(H505:S505)</f>
        <v>14572.19703039145</v>
      </c>
      <c r="U505" s="358"/>
      <c r="V505" s="358"/>
      <c r="W505" s="215"/>
    </row>
    <row r="506" spans="1:23" hidden="1">
      <c r="A506" s="253"/>
      <c r="B506" s="253"/>
      <c r="C506" s="276" t="s">
        <v>492</v>
      </c>
      <c r="D506" s="253" t="s">
        <v>173</v>
      </c>
      <c r="E506" s="253"/>
      <c r="F506" s="253"/>
      <c r="G506" s="253"/>
      <c r="H506" s="358">
        <f>8086266.50892922/1000</f>
        <v>8086.2665089292204</v>
      </c>
      <c r="I506" s="358">
        <f>7157274.13795614/1000</f>
        <v>7157.2741379561394</v>
      </c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>
        <f>SUM(H506:S506)</f>
        <v>15243.54064688536</v>
      </c>
      <c r="U506" s="358"/>
      <c r="V506" s="358"/>
      <c r="W506" s="215"/>
    </row>
    <row r="507" spans="1:23" hidden="1">
      <c r="A507" s="253"/>
      <c r="B507" s="253"/>
      <c r="C507" s="276" t="s">
        <v>497</v>
      </c>
      <c r="D507" s="253" t="s">
        <v>401</v>
      </c>
      <c r="E507" s="253"/>
      <c r="F507" s="253"/>
      <c r="G507" s="253"/>
      <c r="H507" s="381">
        <f>H505/H506*100</f>
        <v>94.080898414874028</v>
      </c>
      <c r="I507" s="381">
        <f t="shared" ref="I507:T507" si="242">I505/I506*100</f>
        <v>97.307504453903732</v>
      </c>
      <c r="J507" s="381" t="e">
        <f t="shared" si="242"/>
        <v>#DIV/0!</v>
      </c>
      <c r="K507" s="381" t="e">
        <f t="shared" si="242"/>
        <v>#DIV/0!</v>
      </c>
      <c r="L507" s="381" t="e">
        <f t="shared" si="242"/>
        <v>#DIV/0!</v>
      </c>
      <c r="M507" s="381" t="e">
        <f t="shared" si="242"/>
        <v>#DIV/0!</v>
      </c>
      <c r="N507" s="381" t="e">
        <f t="shared" si="242"/>
        <v>#DIV/0!</v>
      </c>
      <c r="O507" s="381" t="e">
        <f t="shared" si="242"/>
        <v>#DIV/0!</v>
      </c>
      <c r="P507" s="381" t="e">
        <f t="shared" si="242"/>
        <v>#DIV/0!</v>
      </c>
      <c r="Q507" s="381" t="e">
        <f t="shared" si="242"/>
        <v>#DIV/0!</v>
      </c>
      <c r="R507" s="381" t="e">
        <f t="shared" si="242"/>
        <v>#DIV/0!</v>
      </c>
      <c r="S507" s="381" t="e">
        <f t="shared" si="242"/>
        <v>#DIV/0!</v>
      </c>
      <c r="T507" s="381">
        <f t="shared" si="242"/>
        <v>95.59588135036671</v>
      </c>
      <c r="U507" s="358"/>
      <c r="V507" s="358"/>
      <c r="W507" s="215"/>
    </row>
    <row r="508" spans="1:23" hidden="1">
      <c r="A508" s="253"/>
      <c r="B508" s="253"/>
      <c r="C508" s="276"/>
      <c r="D508" s="253"/>
      <c r="E508" s="253"/>
      <c r="F508" s="253"/>
      <c r="G508" s="253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215"/>
    </row>
    <row r="509" spans="1:23" ht="21.75" hidden="1" thickBot="1">
      <c r="A509" s="383"/>
      <c r="B509" s="384" t="s">
        <v>108</v>
      </c>
      <c r="C509" s="385" t="s">
        <v>370</v>
      </c>
      <c r="D509" s="253" t="s">
        <v>173</v>
      </c>
      <c r="E509" s="253"/>
      <c r="F509" s="253"/>
      <c r="G509" s="358">
        <f>G495+G78+G505</f>
        <v>0</v>
      </c>
      <c r="H509" s="579">
        <f>H495+H500+H505</f>
        <v>158149.34147217195</v>
      </c>
      <c r="I509" s="579">
        <f>I495+I500+I505</f>
        <v>158940.67778200959</v>
      </c>
      <c r="J509" s="339">
        <f>175955298.224746/1000</f>
        <v>175955.29822474599</v>
      </c>
      <c r="K509" s="358">
        <f>149579777.528781/1000</f>
        <v>149579.77752878101</v>
      </c>
      <c r="L509" s="358"/>
      <c r="M509" s="358"/>
      <c r="N509" s="358"/>
      <c r="O509" s="358"/>
      <c r="P509" s="358"/>
      <c r="Q509" s="381"/>
      <c r="R509" s="358"/>
      <c r="S509" s="358"/>
      <c r="T509" s="358">
        <f>SUM(H509:S509)</f>
        <v>642625.09500770853</v>
      </c>
      <c r="U509" s="358"/>
      <c r="V509" s="358"/>
      <c r="W509" s="215"/>
    </row>
    <row r="510" spans="1:23" hidden="1">
      <c r="A510" s="253"/>
      <c r="B510" s="342"/>
      <c r="C510" s="276" t="s">
        <v>492</v>
      </c>
      <c r="D510" s="253" t="s">
        <v>173</v>
      </c>
      <c r="E510" s="253"/>
      <c r="F510" s="253"/>
      <c r="G510" s="253"/>
      <c r="H510" s="579">
        <f>H496+H501+H506</f>
        <v>182216.01297437455</v>
      </c>
      <c r="I510" s="579">
        <f>I496+I501+I506</f>
        <v>182635.59262790086</v>
      </c>
      <c r="J510" s="339">
        <f>200672150.510079/1000</f>
        <v>200672.15051007899</v>
      </c>
      <c r="K510" s="358">
        <f>167484563.608175/1000</f>
        <v>167484.563608175</v>
      </c>
      <c r="L510" s="358"/>
      <c r="M510" s="358"/>
      <c r="N510" s="358"/>
      <c r="O510" s="358"/>
      <c r="P510" s="358"/>
      <c r="Q510" s="381"/>
      <c r="R510" s="358"/>
      <c r="S510" s="358"/>
      <c r="T510" s="358">
        <f>SUM(H510:S510)</f>
        <v>733008.31972052937</v>
      </c>
      <c r="U510" s="358"/>
      <c r="V510" s="358"/>
      <c r="W510" s="215"/>
    </row>
    <row r="511" spans="1:23" hidden="1">
      <c r="A511" s="253"/>
      <c r="B511" s="253"/>
      <c r="C511" s="276" t="s">
        <v>497</v>
      </c>
      <c r="D511" s="253" t="s">
        <v>401</v>
      </c>
      <c r="E511" s="253"/>
      <c r="F511" s="253"/>
      <c r="G511" s="253"/>
      <c r="H511" s="814">
        <f>H509/H510*100</f>
        <v>86.792230216568754</v>
      </c>
      <c r="I511" s="814">
        <f>I509/I510*100</f>
        <v>87.026124259269139</v>
      </c>
      <c r="J511" s="339">
        <f>J509/J510*100</f>
        <v>87.682968352854942</v>
      </c>
      <c r="K511" s="814">
        <f t="shared" ref="K511:S511" si="243">K509/K510*100</f>
        <v>89.309590272879305</v>
      </c>
      <c r="L511" s="814" t="e">
        <f t="shared" si="243"/>
        <v>#DIV/0!</v>
      </c>
      <c r="M511" s="814" t="e">
        <f t="shared" si="243"/>
        <v>#DIV/0!</v>
      </c>
      <c r="N511" s="814" t="e">
        <f t="shared" si="243"/>
        <v>#DIV/0!</v>
      </c>
      <c r="O511" s="814" t="e">
        <f t="shared" si="243"/>
        <v>#DIV/0!</v>
      </c>
      <c r="P511" s="814" t="e">
        <f t="shared" si="243"/>
        <v>#DIV/0!</v>
      </c>
      <c r="Q511" s="814" t="e">
        <f t="shared" si="243"/>
        <v>#DIV/0!</v>
      </c>
      <c r="R511" s="814" t="e">
        <f t="shared" si="243"/>
        <v>#DIV/0!</v>
      </c>
      <c r="S511" s="814" t="e">
        <f t="shared" si="243"/>
        <v>#DIV/0!</v>
      </c>
      <c r="T511" s="381">
        <f>T509/T510*100</f>
        <v>87.669549951727589</v>
      </c>
      <c r="U511" s="358"/>
      <c r="V511" s="358"/>
      <c r="W511" s="215"/>
    </row>
    <row r="512" spans="1:23" hidden="1">
      <c r="A512" s="342"/>
      <c r="B512" s="342"/>
      <c r="C512" s="386"/>
      <c r="D512" s="342"/>
      <c r="E512" s="253"/>
      <c r="F512" s="253"/>
      <c r="G512" s="253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215"/>
    </row>
    <row r="513" spans="1:29" hidden="1">
      <c r="A513" s="229">
        <v>20</v>
      </c>
      <c r="B513" s="229" t="s">
        <v>108</v>
      </c>
      <c r="C513" s="320" t="s">
        <v>138</v>
      </c>
      <c r="D513" s="229" t="s">
        <v>90</v>
      </c>
      <c r="E513" s="238">
        <f>'[2]Price&amp;Heating-Value'!$R$6</f>
        <v>3.6</v>
      </c>
      <c r="F513" s="62"/>
      <c r="G513" s="256">
        <f>'[2]Price&amp;Heating-Value'!$P$6</f>
        <v>2.7124999999999999</v>
      </c>
      <c r="H513" s="275"/>
      <c r="I513" s="275"/>
      <c r="J513" s="275"/>
      <c r="K513" s="275"/>
      <c r="L513" s="275"/>
      <c r="M513" s="275"/>
      <c r="N513" s="275"/>
      <c r="O513" s="275"/>
      <c r="P513" s="275"/>
      <c r="Q513" s="275"/>
      <c r="R513" s="275"/>
      <c r="S513" s="275"/>
      <c r="T513" s="275">
        <f>SUM(H513:S513)</f>
        <v>0</v>
      </c>
      <c r="U513" s="275">
        <f>T513*E513</f>
        <v>0</v>
      </c>
      <c r="V513" s="275">
        <f>G513*T513</f>
        <v>0</v>
      </c>
      <c r="W513" s="227">
        <f>'[2]Price&amp;Heating-Value'!D$6</f>
        <v>2.4500000000000002</v>
      </c>
      <c r="X513" s="227">
        <f>'[2]Price&amp;Heating-Value'!E$6</f>
        <v>2.54</v>
      </c>
      <c r="Y513" s="227">
        <f>'[2]Price&amp;Heating-Value'!F$6</f>
        <v>2.58</v>
      </c>
      <c r="Z513" s="227">
        <f>'[2]Price&amp;Heating-Value'!G$6</f>
        <v>2.67</v>
      </c>
      <c r="AA513" s="227">
        <f>'[2]Price&amp;Heating-Value'!H$6</f>
        <v>2.67</v>
      </c>
      <c r="AB513" s="227">
        <f>'[2]Price&amp;Heating-Value'!I$6</f>
        <v>2.67</v>
      </c>
      <c r="AC513" s="227">
        <f>'[2]Price&amp;Heating-Value'!J$6</f>
        <v>2.62</v>
      </c>
    </row>
    <row r="514" spans="1:29" hidden="1">
      <c r="A514" s="229"/>
      <c r="B514" s="229"/>
      <c r="C514" s="278" t="s">
        <v>499</v>
      </c>
      <c r="D514" s="62" t="s">
        <v>121</v>
      </c>
      <c r="E514" s="62">
        <f>'[2]Price&amp;Heating-Value'!$R$10</f>
        <v>3180</v>
      </c>
      <c r="F514" s="62"/>
      <c r="G514" s="230">
        <f>'[2]Price&amp;Heating-Value'!$P$10</f>
        <v>1321.5833333333333</v>
      </c>
      <c r="H514" s="275"/>
      <c r="I514" s="275"/>
      <c r="J514" s="254"/>
      <c r="K514" s="275"/>
      <c r="L514" s="275"/>
      <c r="M514" s="275"/>
      <c r="N514" s="275"/>
      <c r="O514" s="275"/>
      <c r="P514" s="275"/>
      <c r="Q514" s="275"/>
      <c r="R514" s="275"/>
      <c r="S514" s="275"/>
      <c r="T514" s="275">
        <f>SUM(H514:S514)</f>
        <v>0</v>
      </c>
      <c r="U514" s="225">
        <f>T514*E514</f>
        <v>0</v>
      </c>
      <c r="V514" s="225">
        <f>G514*T514</f>
        <v>0</v>
      </c>
      <c r="W514" s="214">
        <f>'[2]Price&amp;Heating-Value'!D$10</f>
        <v>1230</v>
      </c>
      <c r="X514" s="214">
        <f>'[2]Price&amp;Heating-Value'!E$10</f>
        <v>1238</v>
      </c>
      <c r="Y514" s="214">
        <f>'[2]Price&amp;Heating-Value'!F$10</f>
        <v>1227</v>
      </c>
      <c r="Z514" s="214">
        <f>'[2]Price&amp;Heating-Value'!G$10</f>
        <v>1252</v>
      </c>
      <c r="AA514" s="214">
        <f>'[2]Price&amp;Heating-Value'!H$10</f>
        <v>1372</v>
      </c>
      <c r="AB514" s="214">
        <f>'[2]Price&amp;Heating-Value'!I$10</f>
        <v>1511</v>
      </c>
      <c r="AC514" s="214">
        <f>'[2]Price&amp;Heating-Value'!J$10</f>
        <v>1608</v>
      </c>
    </row>
    <row r="515" spans="1:29" hidden="1">
      <c r="A515" s="62"/>
      <c r="B515" s="62"/>
      <c r="C515" s="278" t="s">
        <v>101</v>
      </c>
      <c r="D515" s="62" t="s">
        <v>102</v>
      </c>
      <c r="E515" s="62">
        <f>'[2]Price&amp;Heating-Value'!$R$23/1000</f>
        <v>50.22</v>
      </c>
      <c r="F515" s="62"/>
      <c r="G515" s="230">
        <f>'[2]Price&amp;Heating-Value'!$P$23/1000</f>
        <v>11.61472</v>
      </c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>
        <f>SUM(H515:S515)</f>
        <v>0</v>
      </c>
      <c r="U515" s="225">
        <f>T515*E515</f>
        <v>0</v>
      </c>
      <c r="V515" s="225">
        <f>G515*T515</f>
        <v>0</v>
      </c>
      <c r="W515" s="232">
        <f>'[2]Price&amp;Heating-Value'!D$23/1000</f>
        <v>11.61472</v>
      </c>
      <c r="X515" s="232">
        <f>'[2]Price&amp;Heating-Value'!E$23/1000</f>
        <v>11.61472</v>
      </c>
      <c r="Y515" s="232">
        <f>'[2]Price&amp;Heating-Value'!F$23/1000</f>
        <v>11.61472</v>
      </c>
      <c r="Z515" s="232">
        <f>'[2]Price&amp;Heating-Value'!G$23/1000</f>
        <v>11.61472</v>
      </c>
      <c r="AA515" s="232">
        <f>'[2]Price&amp;Heating-Value'!H$23/1000</f>
        <v>11.61472</v>
      </c>
      <c r="AB515" s="232">
        <f>'[2]Price&amp;Heating-Value'!I$23/1000</f>
        <v>11.61472</v>
      </c>
      <c r="AC515" s="232">
        <f>'[2]Price&amp;Heating-Value'!J$23/1000</f>
        <v>11.61472</v>
      </c>
    </row>
    <row r="516" spans="1:29" hidden="1">
      <c r="A516" s="62"/>
      <c r="B516" s="62"/>
      <c r="C516" s="278" t="s">
        <v>424</v>
      </c>
      <c r="D516" s="62" t="s">
        <v>176</v>
      </c>
      <c r="E516" s="238">
        <f>'[2]Price&amp;Heating-Value'!$S$16/1000</f>
        <v>39.770000000000003</v>
      </c>
      <c r="F516" s="321">
        <f>'[2]Price&amp;Heating-Value'!$T$16</f>
        <v>0.98550000000000004</v>
      </c>
      <c r="G516" s="230">
        <f>'[2]Price&amp;Heating-Value'!$P$16*'[2]Price&amp;Heating-Value'!$T$16/1000</f>
        <v>17.944656726937499</v>
      </c>
      <c r="H516" s="225"/>
      <c r="I516" s="225"/>
      <c r="J516" s="225"/>
      <c r="K516" s="225"/>
      <c r="L516" s="225"/>
      <c r="M516" s="254"/>
      <c r="N516" s="225"/>
      <c r="O516" s="225"/>
      <c r="P516" s="225"/>
      <c r="Q516" s="225"/>
      <c r="R516" s="225"/>
      <c r="S516" s="225"/>
      <c r="T516" s="225">
        <f>SUM(H516:S516)</f>
        <v>0</v>
      </c>
      <c r="U516" s="225">
        <f>T516*E516</f>
        <v>0</v>
      </c>
      <c r="V516" s="225">
        <f>G516*T516</f>
        <v>0</v>
      </c>
      <c r="W516" s="322">
        <f>'[2]Price&amp;Heating-Value'!D$16*'[2]Price&amp;Heating-Value'!$T$16/1000</f>
        <v>16.779635460000002</v>
      </c>
      <c r="X516" s="232">
        <f>'[2]Price&amp;Heating-Value'!E$16*'[2]Price&amp;Heating-Value'!$T$16/1000</f>
        <v>16.47036585</v>
      </c>
      <c r="Y516" s="232">
        <f>'[2]Price&amp;Heating-Value'!F$16*'[2]Price&amp;Heating-Value'!$T$16/1000</f>
        <v>16.780118354999999</v>
      </c>
      <c r="Z516" s="232">
        <f>'[2]Price&amp;Heating-Value'!G$16*'[2]Price&amp;Heating-Value'!$T$16/1000</f>
        <v>18.287135100000004</v>
      </c>
      <c r="AA516" s="232">
        <f>'[2]Price&amp;Heating-Value'!H$16*'[2]Price&amp;Heating-Value'!$T$16/1000</f>
        <v>20.715278985000001</v>
      </c>
      <c r="AB516" s="232">
        <f>'[2]Price&amp;Heating-Value'!I$16*'[2]Price&amp;Heating-Value'!$T$16/1000</f>
        <v>22.335056640000001</v>
      </c>
      <c r="AC516" s="232">
        <f>'[2]Price&amp;Heating-Value'!J$16*'[2]Price&amp;Heating-Value'!$T$16/1000</f>
        <v>25.718475240000004</v>
      </c>
    </row>
    <row r="517" spans="1:29" hidden="1">
      <c r="A517" s="62"/>
      <c r="B517" s="62"/>
      <c r="C517" s="237"/>
      <c r="D517" s="62"/>
      <c r="E517" s="62"/>
      <c r="F517" s="62"/>
      <c r="G517" s="62"/>
      <c r="H517" s="257"/>
      <c r="I517" s="257"/>
      <c r="J517" s="257"/>
      <c r="K517" s="257"/>
      <c r="L517" s="257"/>
      <c r="M517" s="257"/>
      <c r="N517" s="257"/>
      <c r="O517" s="257"/>
      <c r="P517" s="257"/>
      <c r="Q517" s="257"/>
      <c r="R517" s="257"/>
      <c r="S517" s="257"/>
      <c r="T517" s="257"/>
      <c r="U517" s="257">
        <f>SUM(U513:U516)</f>
        <v>0</v>
      </c>
      <c r="V517" s="225">
        <f>SUM(V513:V516)</f>
        <v>0</v>
      </c>
    </row>
    <row r="518" spans="1:29" hidden="1">
      <c r="A518" s="253"/>
      <c r="B518" s="233"/>
      <c r="C518" s="234" t="s">
        <v>107</v>
      </c>
      <c r="D518" s="233" t="s">
        <v>121</v>
      </c>
      <c r="E518" s="233"/>
      <c r="F518" s="233"/>
      <c r="G518" s="253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36">
        <f>SUM(H518:S518)</f>
        <v>0</v>
      </c>
      <c r="U518" s="259"/>
      <c r="V518" s="785" t="e">
        <f>V517/T518</f>
        <v>#DIV/0!</v>
      </c>
    </row>
    <row r="519" spans="1:29" hidden="1">
      <c r="A519" s="253"/>
      <c r="B519" s="253"/>
      <c r="C519" s="276"/>
      <c r="D519" s="253"/>
      <c r="E519" s="253"/>
      <c r="F519" s="253"/>
      <c r="G519" s="253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77"/>
      <c r="U519" s="277"/>
      <c r="V519" s="771" t="s">
        <v>137</v>
      </c>
      <c r="W519" s="215"/>
    </row>
    <row r="520" spans="1:29" hidden="1">
      <c r="A520" s="253"/>
      <c r="B520" s="253"/>
      <c r="C520" s="278" t="s">
        <v>138</v>
      </c>
      <c r="D520" s="253" t="s">
        <v>173</v>
      </c>
      <c r="E520" s="62"/>
      <c r="F520" s="62"/>
      <c r="G520" s="253"/>
      <c r="H520" s="277">
        <f>H513*$E513/1000</f>
        <v>0</v>
      </c>
      <c r="I520" s="277">
        <f t="shared" ref="I520:S523" si="244">I513*$E513/1000</f>
        <v>0</v>
      </c>
      <c r="J520" s="277">
        <f t="shared" si="244"/>
        <v>0</v>
      </c>
      <c r="K520" s="277">
        <f t="shared" si="244"/>
        <v>0</v>
      </c>
      <c r="L520" s="277">
        <f t="shared" si="244"/>
        <v>0</v>
      </c>
      <c r="M520" s="277">
        <f t="shared" si="244"/>
        <v>0</v>
      </c>
      <c r="N520" s="277">
        <f t="shared" si="244"/>
        <v>0</v>
      </c>
      <c r="O520" s="277">
        <f t="shared" si="244"/>
        <v>0</v>
      </c>
      <c r="P520" s="277">
        <f t="shared" si="244"/>
        <v>0</v>
      </c>
      <c r="Q520" s="277">
        <f t="shared" si="244"/>
        <v>0</v>
      </c>
      <c r="R520" s="277">
        <f t="shared" si="244"/>
        <v>0</v>
      </c>
      <c r="S520" s="277">
        <f t="shared" si="244"/>
        <v>0</v>
      </c>
      <c r="T520" s="277">
        <f t="shared" ref="T520:T525" si="245">SUM(H520:S520)</f>
        <v>0</v>
      </c>
      <c r="U520" s="277"/>
      <c r="V520" s="277"/>
      <c r="W520" s="215"/>
    </row>
    <row r="521" spans="1:29" hidden="1">
      <c r="A521" s="253"/>
      <c r="B521" s="253"/>
      <c r="C521" s="278" t="s">
        <v>499</v>
      </c>
      <c r="D521" s="253" t="s">
        <v>173</v>
      </c>
      <c r="E521" s="62"/>
      <c r="F521" s="62"/>
      <c r="G521" s="253"/>
      <c r="H521" s="277">
        <f>H514*$E514/1000</f>
        <v>0</v>
      </c>
      <c r="I521" s="277">
        <f t="shared" si="244"/>
        <v>0</v>
      </c>
      <c r="J521" s="277">
        <f t="shared" si="244"/>
        <v>0</v>
      </c>
      <c r="K521" s="277">
        <f t="shared" si="244"/>
        <v>0</v>
      </c>
      <c r="L521" s="277">
        <f t="shared" si="244"/>
        <v>0</v>
      </c>
      <c r="M521" s="277">
        <f t="shared" si="244"/>
        <v>0</v>
      </c>
      <c r="N521" s="277">
        <f t="shared" si="244"/>
        <v>0</v>
      </c>
      <c r="O521" s="277">
        <f t="shared" si="244"/>
        <v>0</v>
      </c>
      <c r="P521" s="277">
        <f t="shared" si="244"/>
        <v>0</v>
      </c>
      <c r="Q521" s="277">
        <f t="shared" si="244"/>
        <v>0</v>
      </c>
      <c r="R521" s="277">
        <f t="shared" si="244"/>
        <v>0</v>
      </c>
      <c r="S521" s="277">
        <f t="shared" si="244"/>
        <v>0</v>
      </c>
      <c r="T521" s="277">
        <f t="shared" si="245"/>
        <v>0</v>
      </c>
      <c r="U521" s="277"/>
      <c r="V521" s="277"/>
      <c r="W521" s="215"/>
    </row>
    <row r="522" spans="1:29" hidden="1">
      <c r="A522" s="253"/>
      <c r="B522" s="253"/>
      <c r="C522" s="278" t="s">
        <v>101</v>
      </c>
      <c r="D522" s="253" t="s">
        <v>173</v>
      </c>
      <c r="E522" s="238">
        <f>270*33/E515</f>
        <v>177.41935483870969</v>
      </c>
      <c r="F522" s="62"/>
      <c r="G522" s="253"/>
      <c r="H522" s="277">
        <f>H515*$E515/1000</f>
        <v>0</v>
      </c>
      <c r="I522" s="277">
        <f>I515*$E515/1000</f>
        <v>0</v>
      </c>
      <c r="J522" s="277">
        <f t="shared" si="244"/>
        <v>0</v>
      </c>
      <c r="K522" s="277">
        <f t="shared" si="244"/>
        <v>0</v>
      </c>
      <c r="L522" s="277">
        <f t="shared" si="244"/>
        <v>0</v>
      </c>
      <c r="M522" s="277">
        <f t="shared" si="244"/>
        <v>0</v>
      </c>
      <c r="N522" s="277">
        <f t="shared" si="244"/>
        <v>0</v>
      </c>
      <c r="O522" s="277">
        <f t="shared" si="244"/>
        <v>0</v>
      </c>
      <c r="P522" s="277">
        <f t="shared" si="244"/>
        <v>0</v>
      </c>
      <c r="Q522" s="277">
        <f t="shared" si="244"/>
        <v>0</v>
      </c>
      <c r="R522" s="277">
        <f t="shared" si="244"/>
        <v>0</v>
      </c>
      <c r="S522" s="277">
        <f t="shared" si="244"/>
        <v>0</v>
      </c>
      <c r="T522" s="277">
        <f t="shared" si="245"/>
        <v>0</v>
      </c>
      <c r="U522" s="277"/>
      <c r="V522" s="277"/>
      <c r="W522" s="215"/>
    </row>
    <row r="523" spans="1:29" hidden="1">
      <c r="A523" s="253"/>
      <c r="B523" s="253"/>
      <c r="C523" s="278" t="s">
        <v>424</v>
      </c>
      <c r="D523" s="253" t="s">
        <v>173</v>
      </c>
      <c r="E523" s="238">
        <f>467*33/E516*F516</f>
        <v>381.88434749811415</v>
      </c>
      <c r="F523" s="62"/>
      <c r="G523" s="253"/>
      <c r="H523" s="277">
        <f>H516*$E516/1000</f>
        <v>0</v>
      </c>
      <c r="I523" s="277">
        <f>I516*$E516/1000</f>
        <v>0</v>
      </c>
      <c r="J523" s="277">
        <f t="shared" si="244"/>
        <v>0</v>
      </c>
      <c r="K523" s="277">
        <f t="shared" si="244"/>
        <v>0</v>
      </c>
      <c r="L523" s="277">
        <f t="shared" si="244"/>
        <v>0</v>
      </c>
      <c r="M523" s="277">
        <f t="shared" si="244"/>
        <v>0</v>
      </c>
      <c r="N523" s="277">
        <f t="shared" si="244"/>
        <v>0</v>
      </c>
      <c r="O523" s="277">
        <f t="shared" si="244"/>
        <v>0</v>
      </c>
      <c r="P523" s="277">
        <f t="shared" si="244"/>
        <v>0</v>
      </c>
      <c r="Q523" s="277">
        <f t="shared" si="244"/>
        <v>0</v>
      </c>
      <c r="R523" s="277">
        <f t="shared" si="244"/>
        <v>0</v>
      </c>
      <c r="S523" s="277">
        <f t="shared" si="244"/>
        <v>0</v>
      </c>
      <c r="T523" s="277">
        <f t="shared" si="245"/>
        <v>0</v>
      </c>
      <c r="U523" s="277"/>
      <c r="V523" s="277"/>
      <c r="W523" s="215"/>
    </row>
    <row r="524" spans="1:29" hidden="1">
      <c r="A524" s="253"/>
      <c r="B524" s="62"/>
      <c r="C524" s="237" t="s">
        <v>509</v>
      </c>
      <c r="D524" s="62" t="s">
        <v>173</v>
      </c>
      <c r="E524" s="253"/>
      <c r="F524" s="253"/>
      <c r="G524" s="253"/>
      <c r="H524" s="277">
        <f>H509</f>
        <v>158149.34147217195</v>
      </c>
      <c r="I524" s="277">
        <f t="shared" ref="I524:K525" si="246">I509</f>
        <v>158940.67778200959</v>
      </c>
      <c r="J524" s="277">
        <f t="shared" si="246"/>
        <v>175955.29822474599</v>
      </c>
      <c r="K524" s="277">
        <f t="shared" si="246"/>
        <v>149579.77752878101</v>
      </c>
      <c r="L524" s="277">
        <f>182257166.580931/1000</f>
        <v>182257.16658093102</v>
      </c>
      <c r="M524" s="277">
        <v>166533.93964189876</v>
      </c>
      <c r="N524" s="277">
        <f>188014127.486019/1000</f>
        <v>188014.12748601899</v>
      </c>
      <c r="O524" s="277">
        <f>175146482.200192/1000</f>
        <v>175146.482200192</v>
      </c>
      <c r="P524" s="277">
        <f>178584812.809805/1000</f>
        <v>178584.81280980501</v>
      </c>
      <c r="Q524" s="277">
        <f>177733138.467451/1000</f>
        <v>177733.138467451</v>
      </c>
      <c r="R524" s="277">
        <f>158499165.453357/1000</f>
        <v>158499.16545335701</v>
      </c>
      <c r="S524" s="277">
        <v>166310.0807367313</v>
      </c>
      <c r="T524" s="277">
        <f t="shared" si="245"/>
        <v>2035704.0083840936</v>
      </c>
      <c r="U524" s="277"/>
      <c r="V524" s="786">
        <f>V517/T524</f>
        <v>0</v>
      </c>
      <c r="W524" s="215"/>
    </row>
    <row r="525" spans="1:29" hidden="1">
      <c r="A525" s="253"/>
      <c r="B525" s="62"/>
      <c r="C525" s="237" t="s">
        <v>345</v>
      </c>
      <c r="D525" s="62" t="s">
        <v>173</v>
      </c>
      <c r="E525" s="62"/>
      <c r="F525" s="62"/>
      <c r="G525" s="253"/>
      <c r="H525" s="225">
        <f>H510</f>
        <v>182216.01297437455</v>
      </c>
      <c r="I525" s="225">
        <f t="shared" si="246"/>
        <v>182635.59262790086</v>
      </c>
      <c r="J525" s="225">
        <f t="shared" si="246"/>
        <v>200672.15051007899</v>
      </c>
      <c r="K525" s="225">
        <f t="shared" si="246"/>
        <v>167484.563608175</v>
      </c>
      <c r="L525" s="225">
        <f>202428042.340386/1000</f>
        <v>202428.04234038599</v>
      </c>
      <c r="M525" s="225">
        <v>184165.86612712519</v>
      </c>
      <c r="N525" s="225">
        <f>202743570.591988/1000</f>
        <v>202743.57059198798</v>
      </c>
      <c r="O525" s="225">
        <f>192469751.576587/1000</f>
        <v>192469.751576587</v>
      </c>
      <c r="P525" s="225">
        <f>198444288.289444/1000</f>
        <v>198444.288289444</v>
      </c>
      <c r="Q525" s="225">
        <f>195836337.746735/1000</f>
        <v>195836.33774673499</v>
      </c>
      <c r="R525" s="225">
        <f>187119437.120048/1000</f>
        <v>187119.43712004798</v>
      </c>
      <c r="S525" s="225">
        <v>199317.74500607428</v>
      </c>
      <c r="T525" s="277">
        <f t="shared" si="245"/>
        <v>2295533.3585189166</v>
      </c>
      <c r="U525" s="277"/>
      <c r="V525" s="271" t="s">
        <v>158</v>
      </c>
      <c r="W525" s="215"/>
    </row>
    <row r="526" spans="1:29" hidden="1">
      <c r="A526" s="253"/>
      <c r="B526" s="243" t="s">
        <v>174</v>
      </c>
      <c r="C526" s="244" t="s">
        <v>138</v>
      </c>
      <c r="D526" s="243" t="s">
        <v>347</v>
      </c>
      <c r="E526" s="243"/>
      <c r="F526" s="248" t="e">
        <f>(J526-G526)/G526*100</f>
        <v>#DIV/0!</v>
      </c>
      <c r="G526" s="352">
        <v>5.0477319439666019E-2</v>
      </c>
      <c r="H526" s="245" t="e">
        <f t="shared" ref="H526:T530" si="247">H520/H$518</f>
        <v>#DIV/0!</v>
      </c>
      <c r="I526" s="245" t="e">
        <f t="shared" si="247"/>
        <v>#DIV/0!</v>
      </c>
      <c r="J526" s="245" t="e">
        <f t="shared" si="247"/>
        <v>#DIV/0!</v>
      </c>
      <c r="K526" s="245" t="e">
        <f t="shared" si="247"/>
        <v>#DIV/0!</v>
      </c>
      <c r="L526" s="245" t="e">
        <f t="shared" si="247"/>
        <v>#DIV/0!</v>
      </c>
      <c r="M526" s="245" t="e">
        <f t="shared" si="247"/>
        <v>#DIV/0!</v>
      </c>
      <c r="N526" s="245" t="e">
        <f t="shared" si="247"/>
        <v>#DIV/0!</v>
      </c>
      <c r="O526" s="245" t="e">
        <f t="shared" si="247"/>
        <v>#DIV/0!</v>
      </c>
      <c r="P526" s="245" t="e">
        <f t="shared" si="247"/>
        <v>#DIV/0!</v>
      </c>
      <c r="Q526" s="245" t="e">
        <f>Q520/Q$518</f>
        <v>#DIV/0!</v>
      </c>
      <c r="R526" s="245" t="e">
        <f t="shared" si="247"/>
        <v>#DIV/0!</v>
      </c>
      <c r="S526" s="245" t="e">
        <f t="shared" si="247"/>
        <v>#DIV/0!</v>
      </c>
      <c r="T526" s="245" t="e">
        <f t="shared" si="247"/>
        <v>#DIV/0!</v>
      </c>
      <c r="U526" s="246"/>
      <c r="V526" s="246"/>
      <c r="W526" s="215"/>
    </row>
    <row r="527" spans="1:29" hidden="1">
      <c r="A527" s="253"/>
      <c r="B527" s="243"/>
      <c r="C527" s="337" t="s">
        <v>499</v>
      </c>
      <c r="D527" s="243" t="s">
        <v>347</v>
      </c>
      <c r="E527" s="243"/>
      <c r="F527" s="248" t="e">
        <f>(J527-G527)/G527*100</f>
        <v>#DIV/0!</v>
      </c>
      <c r="G527" s="352">
        <v>0.39812210562064609</v>
      </c>
      <c r="H527" s="245" t="e">
        <f t="shared" si="247"/>
        <v>#DIV/0!</v>
      </c>
      <c r="I527" s="245" t="e">
        <f t="shared" si="247"/>
        <v>#DIV/0!</v>
      </c>
      <c r="J527" s="245" t="e">
        <f t="shared" si="247"/>
        <v>#DIV/0!</v>
      </c>
      <c r="K527" s="245" t="e">
        <f t="shared" si="247"/>
        <v>#DIV/0!</v>
      </c>
      <c r="L527" s="245" t="e">
        <f t="shared" si="247"/>
        <v>#DIV/0!</v>
      </c>
      <c r="M527" s="245" t="e">
        <f t="shared" si="247"/>
        <v>#DIV/0!</v>
      </c>
      <c r="N527" s="245" t="e">
        <f t="shared" si="247"/>
        <v>#DIV/0!</v>
      </c>
      <c r="O527" s="245" t="e">
        <f t="shared" si="247"/>
        <v>#DIV/0!</v>
      </c>
      <c r="P527" s="245" t="e">
        <f t="shared" si="247"/>
        <v>#DIV/0!</v>
      </c>
      <c r="Q527" s="245" t="e">
        <f t="shared" si="247"/>
        <v>#DIV/0!</v>
      </c>
      <c r="R527" s="245" t="e">
        <f t="shared" si="247"/>
        <v>#DIV/0!</v>
      </c>
      <c r="S527" s="245" t="e">
        <f t="shared" si="247"/>
        <v>#DIV/0!</v>
      </c>
      <c r="T527" s="245" t="e">
        <f t="shared" si="247"/>
        <v>#DIV/0!</v>
      </c>
      <c r="U527" s="246"/>
      <c r="V527" s="246"/>
      <c r="W527" s="215"/>
    </row>
    <row r="528" spans="1:29" hidden="1">
      <c r="A528" s="253"/>
      <c r="B528" s="243"/>
      <c r="C528" s="337" t="s">
        <v>101</v>
      </c>
      <c r="D528" s="243" t="s">
        <v>347</v>
      </c>
      <c r="E528" s="243" t="e">
        <f>((J528+J529)-(G528+G529))/(G528+G529)*100</f>
        <v>#DIV/0!</v>
      </c>
      <c r="F528" s="248" t="e">
        <f>(J528-G528)/G528*100</f>
        <v>#DIV/0!</v>
      </c>
      <c r="G528" s="352">
        <v>0.17923895837370185</v>
      </c>
      <c r="H528" s="245" t="e">
        <f t="shared" si="247"/>
        <v>#DIV/0!</v>
      </c>
      <c r="I528" s="245" t="e">
        <f t="shared" si="247"/>
        <v>#DIV/0!</v>
      </c>
      <c r="J528" s="245" t="e">
        <f t="shared" si="247"/>
        <v>#DIV/0!</v>
      </c>
      <c r="K528" s="245" t="e">
        <f t="shared" si="247"/>
        <v>#DIV/0!</v>
      </c>
      <c r="L528" s="245" t="e">
        <f t="shared" si="247"/>
        <v>#DIV/0!</v>
      </c>
      <c r="M528" s="245" t="e">
        <f t="shared" si="247"/>
        <v>#DIV/0!</v>
      </c>
      <c r="N528" s="245" t="e">
        <f t="shared" si="247"/>
        <v>#DIV/0!</v>
      </c>
      <c r="O528" s="245" t="e">
        <f t="shared" si="247"/>
        <v>#DIV/0!</v>
      </c>
      <c r="P528" s="245" t="e">
        <f t="shared" si="247"/>
        <v>#DIV/0!</v>
      </c>
      <c r="Q528" s="245" t="e">
        <f t="shared" si="247"/>
        <v>#DIV/0!</v>
      </c>
      <c r="R528" s="245" t="e">
        <f t="shared" si="247"/>
        <v>#DIV/0!</v>
      </c>
      <c r="S528" s="245" t="e">
        <f t="shared" si="247"/>
        <v>#DIV/0!</v>
      </c>
      <c r="T528" s="245" t="e">
        <f t="shared" si="247"/>
        <v>#DIV/0!</v>
      </c>
      <c r="U528" s="246"/>
      <c r="V528" s="246"/>
      <c r="W528" s="215"/>
    </row>
    <row r="529" spans="1:29" hidden="1">
      <c r="A529" s="253"/>
      <c r="B529" s="243"/>
      <c r="C529" s="337" t="s">
        <v>424</v>
      </c>
      <c r="D529" s="243" t="s">
        <v>347</v>
      </c>
      <c r="E529" s="243"/>
      <c r="F529" s="248" t="e">
        <f>(J529-G529)/G529*100</f>
        <v>#DIV/0!</v>
      </c>
      <c r="G529" s="352">
        <v>0.61885684080430114</v>
      </c>
      <c r="H529" s="245" t="e">
        <f t="shared" si="247"/>
        <v>#DIV/0!</v>
      </c>
      <c r="I529" s="245" t="e">
        <f t="shared" si="247"/>
        <v>#DIV/0!</v>
      </c>
      <c r="J529" s="245" t="e">
        <f t="shared" si="247"/>
        <v>#DIV/0!</v>
      </c>
      <c r="K529" s="245" t="e">
        <f t="shared" si="247"/>
        <v>#DIV/0!</v>
      </c>
      <c r="L529" s="245" t="e">
        <f t="shared" si="247"/>
        <v>#DIV/0!</v>
      </c>
      <c r="M529" s="245" t="e">
        <f t="shared" si="247"/>
        <v>#DIV/0!</v>
      </c>
      <c r="N529" s="245" t="e">
        <f t="shared" si="247"/>
        <v>#DIV/0!</v>
      </c>
      <c r="O529" s="245" t="e">
        <f t="shared" si="247"/>
        <v>#DIV/0!</v>
      </c>
      <c r="P529" s="245" t="e">
        <f t="shared" si="247"/>
        <v>#DIV/0!</v>
      </c>
      <c r="Q529" s="245" t="e">
        <f t="shared" si="247"/>
        <v>#DIV/0!</v>
      </c>
      <c r="R529" s="245" t="e">
        <f t="shared" si="247"/>
        <v>#DIV/0!</v>
      </c>
      <c r="S529" s="245" t="e">
        <f t="shared" si="247"/>
        <v>#DIV/0!</v>
      </c>
      <c r="T529" s="245" t="e">
        <f t="shared" si="247"/>
        <v>#DIV/0!</v>
      </c>
      <c r="U529" s="246"/>
      <c r="V529" s="246"/>
      <c r="W529" s="215"/>
    </row>
    <row r="530" spans="1:29" ht="23.25" hidden="1">
      <c r="A530" s="253"/>
      <c r="B530" s="243"/>
      <c r="C530" s="249" t="s">
        <v>510</v>
      </c>
      <c r="D530" s="243" t="s">
        <v>347</v>
      </c>
      <c r="E530" s="243"/>
      <c r="F530" s="248" t="e">
        <f>(J530-G530)/G530*100</f>
        <v>#DIV/0!</v>
      </c>
      <c r="G530" s="352">
        <v>1.2466952242383149</v>
      </c>
      <c r="H530" s="245" t="e">
        <f t="shared" si="247"/>
        <v>#DIV/0!</v>
      </c>
      <c r="I530" s="245" t="e">
        <f t="shared" si="247"/>
        <v>#DIV/0!</v>
      </c>
      <c r="J530" s="245" t="e">
        <f t="shared" si="247"/>
        <v>#DIV/0!</v>
      </c>
      <c r="K530" s="245" t="e">
        <f t="shared" si="247"/>
        <v>#DIV/0!</v>
      </c>
      <c r="L530" s="245" t="e">
        <f t="shared" si="247"/>
        <v>#DIV/0!</v>
      </c>
      <c r="M530" s="245" t="e">
        <f t="shared" si="247"/>
        <v>#DIV/0!</v>
      </c>
      <c r="N530" s="245" t="e">
        <f t="shared" si="247"/>
        <v>#DIV/0!</v>
      </c>
      <c r="O530" s="245" t="e">
        <f t="shared" si="247"/>
        <v>#DIV/0!</v>
      </c>
      <c r="P530" s="245" t="e">
        <f t="shared" si="247"/>
        <v>#DIV/0!</v>
      </c>
      <c r="Q530" s="245" t="e">
        <f t="shared" si="247"/>
        <v>#DIV/0!</v>
      </c>
      <c r="R530" s="245" t="e">
        <f t="shared" si="247"/>
        <v>#DIV/0!</v>
      </c>
      <c r="S530" s="245" t="e">
        <f t="shared" si="247"/>
        <v>#DIV/0!</v>
      </c>
      <c r="T530" s="250" t="e">
        <f>T524/T518</f>
        <v>#DIV/0!</v>
      </c>
      <c r="U530" s="246"/>
      <c r="V530" s="246"/>
      <c r="W530" s="215"/>
    </row>
    <row r="531" spans="1:29" hidden="1">
      <c r="A531" s="253"/>
      <c r="B531" s="243"/>
      <c r="C531" s="249" t="s">
        <v>511</v>
      </c>
      <c r="D531" s="243"/>
      <c r="E531" s="243"/>
      <c r="F531" s="243"/>
      <c r="G531" s="283">
        <v>98.127699551026154</v>
      </c>
      <c r="H531" s="251">
        <f>H524/H525*100</f>
        <v>86.792230216568754</v>
      </c>
      <c r="I531" s="251">
        <f t="shared" ref="I531:T531" si="248">I524/I525*100</f>
        <v>87.026124259269139</v>
      </c>
      <c r="J531" s="251">
        <f t="shared" si="248"/>
        <v>87.682968352854942</v>
      </c>
      <c r="K531" s="251">
        <f t="shared" si="248"/>
        <v>89.309590272879305</v>
      </c>
      <c r="L531" s="251">
        <f t="shared" si="248"/>
        <v>90.035532860838856</v>
      </c>
      <c r="M531" s="251">
        <f t="shared" si="248"/>
        <v>90.426061649743744</v>
      </c>
      <c r="N531" s="251">
        <f t="shared" si="248"/>
        <v>92.734939478987812</v>
      </c>
      <c r="O531" s="251">
        <f t="shared" si="248"/>
        <v>90.9994847322792</v>
      </c>
      <c r="P531" s="251">
        <f t="shared" si="248"/>
        <v>89.992417695251248</v>
      </c>
      <c r="Q531" s="251">
        <f t="shared" si="248"/>
        <v>90.755954953214086</v>
      </c>
      <c r="R531" s="251">
        <f t="shared" si="248"/>
        <v>84.704810944717948</v>
      </c>
      <c r="S531" s="251">
        <f t="shared" si="248"/>
        <v>83.439676046737802</v>
      </c>
      <c r="T531" s="251">
        <f t="shared" si="248"/>
        <v>88.681090206309804</v>
      </c>
      <c r="U531" s="246"/>
      <c r="V531" s="246"/>
      <c r="W531" s="215"/>
    </row>
    <row r="532" spans="1:29" hidden="1">
      <c r="A532" s="253"/>
      <c r="B532" s="253"/>
      <c r="C532" s="276"/>
      <c r="D532" s="253"/>
      <c r="E532" s="253"/>
      <c r="F532" s="253"/>
      <c r="G532" s="253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215"/>
    </row>
    <row r="533" spans="1:29" hidden="1">
      <c r="A533" s="253"/>
      <c r="B533" s="253" t="s">
        <v>512</v>
      </c>
      <c r="C533" s="276" t="s">
        <v>513</v>
      </c>
      <c r="D533" s="253" t="s">
        <v>514</v>
      </c>
      <c r="E533" s="253"/>
      <c r="F533" s="253"/>
      <c r="G533" s="253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215"/>
    </row>
    <row r="534" spans="1:29" hidden="1">
      <c r="A534" s="253"/>
      <c r="B534" s="253"/>
      <c r="C534" s="276" t="s">
        <v>370</v>
      </c>
      <c r="D534" s="253" t="s">
        <v>173</v>
      </c>
      <c r="E534" s="253"/>
      <c r="F534" s="253"/>
      <c r="G534" s="253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215"/>
    </row>
    <row r="535" spans="1:29" hidden="1">
      <c r="A535" s="253"/>
      <c r="B535" s="253"/>
      <c r="C535" s="276" t="s">
        <v>492</v>
      </c>
      <c r="D535" s="253" t="s">
        <v>173</v>
      </c>
      <c r="E535" s="253"/>
      <c r="F535" s="253"/>
      <c r="G535" s="253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</row>
    <row r="536" spans="1:29" hidden="1">
      <c r="A536" s="253"/>
      <c r="B536" s="253"/>
      <c r="C536" s="276" t="s">
        <v>497</v>
      </c>
      <c r="D536" s="253" t="s">
        <v>401</v>
      </c>
      <c r="E536" s="253"/>
      <c r="F536" s="253"/>
      <c r="G536" s="253"/>
      <c r="H536" s="381" t="e">
        <f>H534/H535*100</f>
        <v>#DIV/0!</v>
      </c>
      <c r="I536" s="381" t="e">
        <f>I534/I535*100</f>
        <v>#DIV/0!</v>
      </c>
      <c r="J536" s="381" t="e">
        <f t="shared" ref="J536:T536" si="249">J534/J535*100</f>
        <v>#DIV/0!</v>
      </c>
      <c r="K536" s="381" t="e">
        <f t="shared" si="249"/>
        <v>#DIV/0!</v>
      </c>
      <c r="L536" s="381" t="e">
        <f t="shared" si="249"/>
        <v>#DIV/0!</v>
      </c>
      <c r="M536" s="381" t="e">
        <f t="shared" si="249"/>
        <v>#DIV/0!</v>
      </c>
      <c r="N536" s="381" t="e">
        <f t="shared" si="249"/>
        <v>#DIV/0!</v>
      </c>
      <c r="O536" s="381" t="e">
        <f t="shared" si="249"/>
        <v>#DIV/0!</v>
      </c>
      <c r="P536" s="381" t="e">
        <f t="shared" si="249"/>
        <v>#DIV/0!</v>
      </c>
      <c r="Q536" s="381" t="e">
        <f t="shared" si="249"/>
        <v>#DIV/0!</v>
      </c>
      <c r="R536" s="381" t="e">
        <f t="shared" si="249"/>
        <v>#DIV/0!</v>
      </c>
      <c r="S536" s="381" t="e">
        <f t="shared" si="249"/>
        <v>#DIV/0!</v>
      </c>
      <c r="T536" s="381" t="e">
        <f t="shared" si="249"/>
        <v>#DIV/0!</v>
      </c>
      <c r="U536" s="358"/>
      <c r="V536" s="358"/>
    </row>
    <row r="537" spans="1:29" hidden="1">
      <c r="A537" s="253"/>
      <c r="B537" s="253"/>
      <c r="C537" s="276"/>
      <c r="D537" s="253"/>
      <c r="E537" s="253"/>
      <c r="F537" s="253"/>
      <c r="G537" s="253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</row>
    <row r="538" spans="1:29" hidden="1">
      <c r="A538" s="62"/>
      <c r="B538" s="62"/>
      <c r="C538" s="237"/>
      <c r="D538" s="62"/>
      <c r="E538" s="62"/>
      <c r="F538" s="62"/>
      <c r="G538" s="62"/>
      <c r="H538" s="257"/>
      <c r="I538" s="257"/>
      <c r="J538" s="257"/>
      <c r="K538" s="257"/>
      <c r="L538" s="257"/>
      <c r="M538" s="257"/>
      <c r="N538" s="257"/>
      <c r="O538" s="257"/>
      <c r="P538" s="257"/>
      <c r="Q538" s="257"/>
      <c r="R538" s="257"/>
      <c r="S538" s="257"/>
      <c r="T538" s="257"/>
      <c r="U538" s="225"/>
      <c r="V538" s="225"/>
    </row>
    <row r="539" spans="1:29" hidden="1">
      <c r="A539" s="62">
        <v>21</v>
      </c>
      <c r="B539" s="361" t="s">
        <v>500</v>
      </c>
      <c r="C539" s="60"/>
      <c r="D539" s="62"/>
      <c r="E539" s="62"/>
      <c r="F539" s="62"/>
      <c r="G539" s="62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</row>
    <row r="540" spans="1:29" hidden="1">
      <c r="A540" s="62"/>
      <c r="B540" s="389">
        <v>21.1</v>
      </c>
      <c r="C540" s="387" t="s">
        <v>515</v>
      </c>
      <c r="D540" s="62"/>
      <c r="E540" s="62"/>
      <c r="F540" s="62"/>
      <c r="G540" s="62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</row>
    <row r="541" spans="1:29" hidden="1">
      <c r="A541" s="62"/>
      <c r="B541" s="237"/>
      <c r="C541" s="278" t="s">
        <v>138</v>
      </c>
      <c r="D541" s="62" t="s">
        <v>90</v>
      </c>
      <c r="E541" s="238">
        <f>'[2]Price&amp;Heating-Value'!$R$6</f>
        <v>3.6</v>
      </c>
      <c r="F541" s="62"/>
      <c r="G541" s="256">
        <f>'[2]Price&amp;Heating-Value'!$P$6</f>
        <v>2.7124999999999999</v>
      </c>
      <c r="H541" s="351"/>
      <c r="I541" s="351"/>
      <c r="J541" s="351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>
        <f>SUM(H541:S541)</f>
        <v>0</v>
      </c>
      <c r="U541" s="225">
        <f>T541*E541</f>
        <v>0</v>
      </c>
      <c r="V541" s="225">
        <f>T541*G541</f>
        <v>0</v>
      </c>
      <c r="W541" s="227">
        <f>'[2]Price&amp;Heating-Value'!D$6</f>
        <v>2.4500000000000002</v>
      </c>
      <c r="X541" s="227">
        <f>'[2]Price&amp;Heating-Value'!E$6</f>
        <v>2.54</v>
      </c>
      <c r="Y541" s="227">
        <f>'[2]Price&amp;Heating-Value'!F$6</f>
        <v>2.58</v>
      </c>
      <c r="Z541" s="227">
        <f>'[2]Price&amp;Heating-Value'!G$6</f>
        <v>2.67</v>
      </c>
      <c r="AA541" s="227">
        <f>'[2]Price&amp;Heating-Value'!H$6</f>
        <v>2.67</v>
      </c>
      <c r="AB541" s="227">
        <f>'[2]Price&amp;Heating-Value'!I$6</f>
        <v>2.67</v>
      </c>
      <c r="AC541" s="227">
        <f>'[2]Price&amp;Heating-Value'!J$6</f>
        <v>2.62</v>
      </c>
    </row>
    <row r="542" spans="1:29" hidden="1">
      <c r="A542" s="229"/>
      <c r="B542" s="229"/>
      <c r="C542" s="237"/>
      <c r="D542" s="229"/>
      <c r="E542" s="229"/>
      <c r="F542" s="229"/>
      <c r="G542" s="229"/>
      <c r="H542" s="274"/>
      <c r="I542" s="274"/>
      <c r="J542" s="274"/>
      <c r="K542" s="274"/>
      <c r="L542" s="274"/>
      <c r="M542" s="274"/>
      <c r="N542" s="274"/>
      <c r="O542" s="274"/>
      <c r="P542" s="274"/>
      <c r="Q542" s="274"/>
      <c r="R542" s="274"/>
      <c r="S542" s="274"/>
      <c r="T542" s="274"/>
      <c r="U542" s="274">
        <f>SUM(U541)</f>
        <v>0</v>
      </c>
      <c r="V542" s="275">
        <f>SUM(V541)</f>
        <v>0</v>
      </c>
    </row>
    <row r="543" spans="1:29" hidden="1">
      <c r="A543" s="253"/>
      <c r="B543" s="233"/>
      <c r="C543" s="234" t="s">
        <v>107</v>
      </c>
      <c r="D543" s="233" t="s">
        <v>163</v>
      </c>
      <c r="E543" s="233"/>
      <c r="F543" s="233"/>
      <c r="G543" s="253"/>
      <c r="H543" s="817"/>
      <c r="I543" s="818"/>
      <c r="J543" s="818"/>
      <c r="K543" s="264"/>
      <c r="L543" s="264"/>
      <c r="M543" s="264"/>
      <c r="N543" s="264"/>
      <c r="O543" s="264"/>
      <c r="P543" s="264"/>
      <c r="Q543" s="264"/>
      <c r="R543" s="264"/>
      <c r="S543" s="264"/>
      <c r="T543" s="236">
        <f>SUM(H543:S543)</f>
        <v>0</v>
      </c>
      <c r="U543" s="259"/>
      <c r="V543" s="785" t="e">
        <f>V542/T543</f>
        <v>#DIV/0!</v>
      </c>
    </row>
    <row r="544" spans="1:29" hidden="1">
      <c r="A544" s="253"/>
      <c r="B544" s="253"/>
      <c r="C544" s="276"/>
      <c r="D544" s="253"/>
      <c r="E544" s="253"/>
      <c r="F544" s="253"/>
      <c r="G544" s="253"/>
      <c r="H544" s="277"/>
      <c r="I544" s="277"/>
      <c r="J544" s="277"/>
      <c r="K544" s="277"/>
      <c r="L544" s="277"/>
      <c r="M544" s="277"/>
      <c r="N544" s="277"/>
      <c r="O544" s="277"/>
      <c r="P544" s="277"/>
      <c r="Q544" s="277"/>
      <c r="R544" s="277"/>
      <c r="S544" s="277"/>
      <c r="T544" s="277"/>
      <c r="U544" s="277"/>
      <c r="V544" s="771" t="s">
        <v>137</v>
      </c>
    </row>
    <row r="545" spans="1:29" hidden="1">
      <c r="A545" s="253"/>
      <c r="B545" s="253"/>
      <c r="C545" s="278" t="s">
        <v>138</v>
      </c>
      <c r="D545" s="253" t="s">
        <v>173</v>
      </c>
      <c r="E545" s="62"/>
      <c r="F545" s="62"/>
      <c r="G545" s="253"/>
      <c r="H545" s="518">
        <f>(H541*$E$541)/1000</f>
        <v>0</v>
      </c>
      <c r="I545" s="518">
        <f>683697.6/1000</f>
        <v>683.69759999999997</v>
      </c>
      <c r="J545" s="518"/>
      <c r="K545" s="518">
        <f>(K541*$E$541)/1000</f>
        <v>0</v>
      </c>
      <c r="L545" s="277"/>
      <c r="M545" s="277"/>
      <c r="N545" s="277"/>
      <c r="O545" s="277"/>
      <c r="P545" s="277"/>
      <c r="Q545" s="277"/>
      <c r="R545" s="277"/>
      <c r="S545" s="277"/>
      <c r="T545" s="277">
        <f>SUM(H545:S545)</f>
        <v>683.69759999999997</v>
      </c>
      <c r="U545" s="277"/>
      <c r="V545" s="277"/>
    </row>
    <row r="546" spans="1:29" hidden="1">
      <c r="A546" s="253"/>
      <c r="B546" s="62"/>
      <c r="C546" s="237" t="s">
        <v>516</v>
      </c>
      <c r="D546" s="62" t="s">
        <v>173</v>
      </c>
      <c r="E546" s="253"/>
      <c r="F546" s="253"/>
      <c r="G546" s="253"/>
      <c r="H546" s="358">
        <f>361324.8/1000</f>
        <v>361.32479999999998</v>
      </c>
      <c r="I546" s="358">
        <f>322372.8/1000</f>
        <v>322.37279999999998</v>
      </c>
      <c r="J546" s="518">
        <f>353484/1000</f>
        <v>353.48399999999998</v>
      </c>
      <c r="K546" s="277">
        <f>313610.4/1000</f>
        <v>313.61040000000003</v>
      </c>
      <c r="L546" s="277">
        <f>369349.2/1000</f>
        <v>369.3492</v>
      </c>
      <c r="M546" s="277">
        <v>318.34440000000001</v>
      </c>
      <c r="N546" s="277">
        <v>336.35520000000008</v>
      </c>
      <c r="O546" s="277">
        <f>324205.2/1000</f>
        <v>324.20519999999999</v>
      </c>
      <c r="P546" s="277">
        <v>360.86399999999986</v>
      </c>
      <c r="Q546" s="277">
        <f>389570.4/1000</f>
        <v>389.57040000000001</v>
      </c>
      <c r="R546" s="277">
        <f>366955.2/1000</f>
        <v>366.95519999999999</v>
      </c>
      <c r="S546" s="277">
        <v>384.71759999999989</v>
      </c>
      <c r="T546" s="279">
        <f>SUM(H546:S546)</f>
        <v>4201.1531999999997</v>
      </c>
      <c r="U546" s="277">
        <f>T546*12/11</f>
        <v>4583.0762181818172</v>
      </c>
      <c r="V546" s="786">
        <f>V542/T546</f>
        <v>0</v>
      </c>
    </row>
    <row r="547" spans="1:29" hidden="1">
      <c r="A547" s="253"/>
      <c r="B547" s="253"/>
      <c r="C547" s="237" t="s">
        <v>345</v>
      </c>
      <c r="D547" s="62" t="s">
        <v>173</v>
      </c>
      <c r="E547" s="1771" t="s">
        <v>870</v>
      </c>
      <c r="F547" s="1772"/>
      <c r="G547" s="1773"/>
      <c r="H547" s="358">
        <f>345656.461866/1000</f>
        <v>345.65646186600003</v>
      </c>
      <c r="I547" s="358">
        <f>316803.8594652/1000</f>
        <v>316.80385946519999</v>
      </c>
      <c r="J547" s="518">
        <f>343053.5781968/1000</f>
        <v>343.0535781968</v>
      </c>
      <c r="K547" s="277">
        <f>304219.6984288/1000</f>
        <v>304.21969842879997</v>
      </c>
      <c r="L547" s="277">
        <f>360682.4440032/1000</f>
        <v>360.68244400319998</v>
      </c>
      <c r="M547" s="277">
        <v>315.42447135679993</v>
      </c>
      <c r="N547" s="277">
        <v>334.414725788</v>
      </c>
      <c r="O547" s="277">
        <f>321800.867292/1000</f>
        <v>321.80086729199996</v>
      </c>
      <c r="P547" s="277">
        <v>352.17856985000003</v>
      </c>
      <c r="Q547" s="277">
        <f>386216.0770768/1000</f>
        <v>386.21607707679999</v>
      </c>
      <c r="R547" s="277">
        <f>358521.1808588/1000</f>
        <v>358.52118085879999</v>
      </c>
      <c r="S547" s="277">
        <v>372.92072269800002</v>
      </c>
      <c r="T547" s="279">
        <f>SUM(H547:S547)</f>
        <v>4111.8926568804</v>
      </c>
      <c r="U547" s="277">
        <f>T547*12/11</f>
        <v>4485.7010802331633</v>
      </c>
      <c r="V547" s="271" t="s">
        <v>158</v>
      </c>
    </row>
    <row r="548" spans="1:29" hidden="1">
      <c r="A548" s="253"/>
      <c r="B548" s="243" t="s">
        <v>174</v>
      </c>
      <c r="C548" s="244" t="s">
        <v>138</v>
      </c>
      <c r="D548" s="243" t="s">
        <v>374</v>
      </c>
      <c r="E548" s="243"/>
      <c r="F548" s="243"/>
      <c r="G548" s="253"/>
      <c r="H548" s="345" t="e">
        <f>H545/H543*1000</f>
        <v>#DIV/0!</v>
      </c>
      <c r="I548" s="345" t="e">
        <f>I545/I543*1000</f>
        <v>#DIV/0!</v>
      </c>
      <c r="J548" s="345" t="e">
        <f>J545/J543*1000</f>
        <v>#DIV/0!</v>
      </c>
      <c r="K548" s="345" t="e">
        <f>K545/K543*1000</f>
        <v>#DIV/0!</v>
      </c>
      <c r="L548" s="245"/>
      <c r="M548" s="245"/>
      <c r="N548" s="245"/>
      <c r="O548" s="245"/>
      <c r="P548" s="245"/>
      <c r="Q548" s="245"/>
      <c r="R548" s="245"/>
      <c r="S548" s="245"/>
      <c r="T548" s="245" t="e">
        <f>T545/T543*1000</f>
        <v>#DIV/0!</v>
      </c>
      <c r="U548" s="246"/>
      <c r="V548" s="246"/>
    </row>
    <row r="549" spans="1:29" ht="23.25" hidden="1">
      <c r="A549" s="253"/>
      <c r="B549" s="243"/>
      <c r="C549" s="249" t="s">
        <v>517</v>
      </c>
      <c r="D549" s="243" t="s">
        <v>374</v>
      </c>
      <c r="E549" s="243"/>
      <c r="F549" s="243"/>
      <c r="G549" s="253"/>
      <c r="H549" s="245" t="e">
        <f>H546/H543*1000</f>
        <v>#DIV/0!</v>
      </c>
      <c r="I549" s="245" t="e">
        <f>I546/I543*1000</f>
        <v>#DIV/0!</v>
      </c>
      <c r="J549" s="245" t="e">
        <f>J546/J543*1000</f>
        <v>#DIV/0!</v>
      </c>
      <c r="K549" s="245" t="e">
        <f>K546/K543*1000</f>
        <v>#DIV/0!</v>
      </c>
      <c r="L549" s="245"/>
      <c r="M549" s="245"/>
      <c r="N549" s="245"/>
      <c r="O549" s="245"/>
      <c r="P549" s="245"/>
      <c r="Q549" s="245"/>
      <c r="R549" s="245"/>
      <c r="S549" s="245"/>
      <c r="T549" s="250" t="e">
        <f>T546/T543*1000</f>
        <v>#DIV/0!</v>
      </c>
      <c r="U549" s="246"/>
      <c r="V549" s="246"/>
    </row>
    <row r="550" spans="1:29" hidden="1">
      <c r="A550" s="253"/>
      <c r="B550" s="243"/>
      <c r="C550" s="249" t="s">
        <v>518</v>
      </c>
      <c r="D550" s="243"/>
      <c r="E550" s="243"/>
      <c r="F550" s="243"/>
      <c r="G550" s="253"/>
      <c r="H550" s="251">
        <f t="shared" ref="H550:S550" si="250">H546/H547*100</f>
        <v>104.53292209537052</v>
      </c>
      <c r="I550" s="251">
        <f t="shared" si="250"/>
        <v>101.75785122826501</v>
      </c>
      <c r="J550" s="251">
        <f t="shared" si="250"/>
        <v>103.04046436653587</v>
      </c>
      <c r="K550" s="251">
        <f t="shared" si="250"/>
        <v>103.08681575180702</v>
      </c>
      <c r="L550" s="251">
        <f t="shared" si="250"/>
        <v>102.40287714051397</v>
      </c>
      <c r="M550" s="251">
        <f t="shared" si="250"/>
        <v>100.92571404832351</v>
      </c>
      <c r="N550" s="251">
        <f t="shared" si="250"/>
        <v>100.58025979789844</v>
      </c>
      <c r="O550" s="251">
        <f t="shared" si="250"/>
        <v>100.74714923183173</v>
      </c>
      <c r="P550" s="251">
        <f t="shared" si="250"/>
        <v>102.46620064182189</v>
      </c>
      <c r="Q550" s="251">
        <f t="shared" si="250"/>
        <v>100.86850939727529</v>
      </c>
      <c r="R550" s="251">
        <f t="shared" si="250"/>
        <v>102.35244654750863</v>
      </c>
      <c r="S550" s="251">
        <f t="shared" si="250"/>
        <v>103.16337403206023</v>
      </c>
      <c r="T550" s="251">
        <f>T546/T547*100</f>
        <v>102.17078972064704</v>
      </c>
      <c r="U550" s="246"/>
      <c r="V550" s="246"/>
    </row>
    <row r="551" spans="1:29" hidden="1">
      <c r="A551" s="62"/>
      <c r="B551" s="389">
        <v>21.2</v>
      </c>
      <c r="C551" s="387" t="s">
        <v>519</v>
      </c>
      <c r="D551" s="62"/>
      <c r="E551" s="62"/>
      <c r="F551" s="62"/>
      <c r="G551" s="62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</row>
    <row r="552" spans="1:29" hidden="1">
      <c r="A552" s="62"/>
      <c r="B552" s="237"/>
      <c r="C552" s="278" t="s">
        <v>138</v>
      </c>
      <c r="D552" s="62" t="s">
        <v>90</v>
      </c>
      <c r="E552" s="238">
        <f>'[2]Price&amp;Heating-Value'!$R$6</f>
        <v>3.6</v>
      </c>
      <c r="F552" s="62"/>
      <c r="G552" s="256">
        <f>'[2]Price&amp;Heating-Value'!$P$6</f>
        <v>2.7124999999999999</v>
      </c>
      <c r="H552" s="351"/>
      <c r="I552" s="351"/>
      <c r="J552" s="351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>
        <f>SUM(H552:S552)</f>
        <v>0</v>
      </c>
      <c r="U552" s="225">
        <f>T552*E552</f>
        <v>0</v>
      </c>
      <c r="V552" s="225">
        <f>T552*G552</f>
        <v>0</v>
      </c>
      <c r="W552" s="227">
        <f>'[2]Price&amp;Heating-Value'!D$6</f>
        <v>2.4500000000000002</v>
      </c>
      <c r="X552" s="227">
        <f>'[2]Price&amp;Heating-Value'!E$6</f>
        <v>2.54</v>
      </c>
      <c r="Y552" s="227">
        <f>'[2]Price&amp;Heating-Value'!F$6</f>
        <v>2.58</v>
      </c>
      <c r="Z552" s="227">
        <f>'[2]Price&amp;Heating-Value'!G$6</f>
        <v>2.67</v>
      </c>
      <c r="AA552" s="227">
        <f>'[2]Price&amp;Heating-Value'!H$6</f>
        <v>2.67</v>
      </c>
      <c r="AB552" s="227">
        <f>'[2]Price&amp;Heating-Value'!I$6</f>
        <v>2.67</v>
      </c>
      <c r="AC552" s="227">
        <f>'[2]Price&amp;Heating-Value'!J$6</f>
        <v>2.62</v>
      </c>
    </row>
    <row r="553" spans="1:29" hidden="1">
      <c r="A553" s="229"/>
      <c r="B553" s="229"/>
      <c r="C553" s="237"/>
      <c r="D553" s="229"/>
      <c r="E553" s="229"/>
      <c r="F553" s="229"/>
      <c r="G553" s="229"/>
      <c r="H553" s="274"/>
      <c r="I553" s="274"/>
      <c r="J553" s="274"/>
      <c r="K553" s="274"/>
      <c r="L553" s="274"/>
      <c r="M553" s="274"/>
      <c r="N553" s="274"/>
      <c r="O553" s="274"/>
      <c r="P553" s="274"/>
      <c r="Q553" s="274"/>
      <c r="R553" s="274"/>
      <c r="S553" s="274"/>
      <c r="T553" s="225"/>
      <c r="U553" s="275"/>
      <c r="V553" s="275">
        <f>SUM(V552)</f>
        <v>0</v>
      </c>
    </row>
    <row r="554" spans="1:29" hidden="1">
      <c r="A554" s="253"/>
      <c r="B554" s="233"/>
      <c r="C554" s="234" t="s">
        <v>107</v>
      </c>
      <c r="D554" s="233" t="s">
        <v>163</v>
      </c>
      <c r="E554" s="233"/>
      <c r="F554" s="233"/>
      <c r="G554" s="253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36">
        <f>SUM(H554:S554)</f>
        <v>0</v>
      </c>
      <c r="U554" s="259"/>
      <c r="V554" s="785" t="e">
        <f>V553/T554</f>
        <v>#DIV/0!</v>
      </c>
    </row>
    <row r="555" spans="1:29" hidden="1">
      <c r="A555" s="253"/>
      <c r="B555" s="253"/>
      <c r="C555" s="276"/>
      <c r="D555" s="253"/>
      <c r="E555" s="253"/>
      <c r="F555" s="253"/>
      <c r="G555" s="253"/>
      <c r="H555" s="277"/>
      <c r="I555" s="277"/>
      <c r="J555" s="277"/>
      <c r="K555" s="277"/>
      <c r="L555" s="277"/>
      <c r="M555" s="277"/>
      <c r="N555" s="277"/>
      <c r="O555" s="277"/>
      <c r="P555" s="277"/>
      <c r="Q555" s="277"/>
      <c r="R555" s="277"/>
      <c r="S555" s="277"/>
      <c r="T555" s="277"/>
      <c r="U555" s="277"/>
      <c r="V555" s="771" t="s">
        <v>137</v>
      </c>
    </row>
    <row r="556" spans="1:29" hidden="1">
      <c r="A556" s="253"/>
      <c r="B556" s="253"/>
      <c r="C556" s="278" t="s">
        <v>138</v>
      </c>
      <c r="D556" s="253" t="s">
        <v>173</v>
      </c>
      <c r="E556" s="62"/>
      <c r="F556" s="62"/>
      <c r="G556" s="253"/>
      <c r="H556" s="277"/>
      <c r="I556" s="277"/>
      <c r="J556" s="277"/>
      <c r="K556" s="277"/>
      <c r="L556" s="277"/>
      <c r="M556" s="277"/>
      <c r="N556" s="277"/>
      <c r="O556" s="277"/>
      <c r="P556" s="277"/>
      <c r="Q556" s="277"/>
      <c r="R556" s="277"/>
      <c r="S556" s="277"/>
      <c r="T556" s="277">
        <f>SUM(H556:S556)</f>
        <v>0</v>
      </c>
      <c r="U556" s="277"/>
      <c r="V556" s="277"/>
    </row>
    <row r="557" spans="1:29" hidden="1">
      <c r="A557" s="253"/>
      <c r="B557" s="62"/>
      <c r="C557" s="237" t="s">
        <v>520</v>
      </c>
      <c r="D557" s="62" t="s">
        <v>173</v>
      </c>
      <c r="E557" s="253"/>
      <c r="F557" s="253"/>
      <c r="G557" s="253"/>
      <c r="H557" s="358">
        <f>7035082.038/1000</f>
        <v>7035.0820379999996</v>
      </c>
      <c r="I557" s="358">
        <f>6470045.9928/1000</f>
        <v>6470.0459928</v>
      </c>
      <c r="J557" s="277">
        <f>7349501.1276/1000</f>
        <v>7349.5011276000005</v>
      </c>
      <c r="K557" s="277">
        <f>7148979.1476/1000</f>
        <v>7148.9791476</v>
      </c>
      <c r="L557" s="277">
        <f>7508849.5692/1000</f>
        <v>7508.8495691999997</v>
      </c>
      <c r="M557" s="277">
        <v>6528.7178136000002</v>
      </c>
      <c r="N557" s="277">
        <v>6960.8408795999994</v>
      </c>
      <c r="O557" s="277">
        <f>7417230.2172/1000</f>
        <v>7417.2302172</v>
      </c>
      <c r="P557" s="277">
        <v>8749.411524000001</v>
      </c>
      <c r="Q557" s="277">
        <f>9091111.4208/1000</f>
        <v>9091.1114207999999</v>
      </c>
      <c r="R557" s="277">
        <f>8692120.1484/1000</f>
        <v>8692.1201483999994</v>
      </c>
      <c r="S557" s="277">
        <v>8765.0872523999988</v>
      </c>
      <c r="T557" s="279">
        <f>SUM(H557:S557)</f>
        <v>91716.977131200008</v>
      </c>
      <c r="U557" s="277">
        <f>T557*12/11</f>
        <v>100054.88414312727</v>
      </c>
      <c r="V557" s="786">
        <f>V553/T557</f>
        <v>0</v>
      </c>
    </row>
    <row r="558" spans="1:29" hidden="1">
      <c r="A558" s="253"/>
      <c r="B558" s="253"/>
      <c r="C558" s="237" t="s">
        <v>345</v>
      </c>
      <c r="D558" s="62" t="s">
        <v>173</v>
      </c>
      <c r="E558" s="1774" t="s">
        <v>871</v>
      </c>
      <c r="F558" s="1775"/>
      <c r="G558" s="1776"/>
      <c r="H558" s="358">
        <f>7237455.7557464/1000</f>
        <v>7237.4557557464004</v>
      </c>
      <c r="I558" s="358">
        <f>6543441.1360976/1000</f>
        <v>6543.4411360976001</v>
      </c>
      <c r="J558" s="340">
        <f>7262876.457356/1000</f>
        <v>7262.8764573560002</v>
      </c>
      <c r="K558" s="277">
        <f>6978491.3085504/1000</f>
        <v>6978.4913085503995</v>
      </c>
      <c r="L558" s="277">
        <f>7237421.268608/1000</f>
        <v>7237.421268608</v>
      </c>
      <c r="M558" s="277">
        <v>6395.7047864832002</v>
      </c>
      <c r="N558" s="277">
        <v>6603.3343456880002</v>
      </c>
      <c r="O558" s="277">
        <f>7280428.3557464/1000</f>
        <v>7280.4283557463996</v>
      </c>
      <c r="P558" s="277">
        <v>8026.716687595198</v>
      </c>
      <c r="Q558" s="277">
        <f>8321202.9587024/1000</f>
        <v>8321.2029587024008</v>
      </c>
      <c r="R558" s="277">
        <f>8005452.2038536/1000</f>
        <v>8005.4522038535997</v>
      </c>
      <c r="S558" s="277">
        <v>8305.0414485464007</v>
      </c>
      <c r="T558" s="279">
        <f>SUM(H558:S558)</f>
        <v>88197.566712973596</v>
      </c>
      <c r="U558" s="277">
        <f>T558*12/11</f>
        <v>96215.527323243921</v>
      </c>
      <c r="V558" s="271" t="s">
        <v>158</v>
      </c>
    </row>
    <row r="559" spans="1:29" hidden="1">
      <c r="A559" s="253"/>
      <c r="B559" s="243" t="s">
        <v>174</v>
      </c>
      <c r="C559" s="244" t="s">
        <v>138</v>
      </c>
      <c r="D559" s="243" t="s">
        <v>374</v>
      </c>
      <c r="E559" s="243"/>
      <c r="F559" s="243"/>
      <c r="G559" s="253"/>
      <c r="H559" s="245" t="e">
        <f>H556/H554*1000</f>
        <v>#DIV/0!</v>
      </c>
      <c r="I559" s="245" t="e">
        <f>I556/I554*1000</f>
        <v>#DIV/0!</v>
      </c>
      <c r="J559" s="245" t="e">
        <f>J556/J554*1000</f>
        <v>#DIV/0!</v>
      </c>
      <c r="K559" s="245" t="e">
        <f>K556/K554*1000</f>
        <v>#DIV/0!</v>
      </c>
      <c r="L559" s="245"/>
      <c r="M559" s="245"/>
      <c r="N559" s="245"/>
      <c r="O559" s="245"/>
      <c r="P559" s="245"/>
      <c r="Q559" s="245"/>
      <c r="R559" s="245"/>
      <c r="S559" s="245"/>
      <c r="T559" s="245" t="e">
        <f>T556/T554*1000</f>
        <v>#DIV/0!</v>
      </c>
      <c r="U559" s="246"/>
      <c r="V559" s="246"/>
    </row>
    <row r="560" spans="1:29" ht="23.25" hidden="1">
      <c r="A560" s="253"/>
      <c r="B560" s="243"/>
      <c r="C560" s="249" t="s">
        <v>521</v>
      </c>
      <c r="D560" s="243" t="s">
        <v>374</v>
      </c>
      <c r="E560" s="243"/>
      <c r="F560" s="243"/>
      <c r="G560" s="253"/>
      <c r="H560" s="245" t="e">
        <f>H557/H554*1000</f>
        <v>#DIV/0!</v>
      </c>
      <c r="I560" s="245" t="e">
        <f>I557/I554*1000</f>
        <v>#DIV/0!</v>
      </c>
      <c r="J560" s="245" t="e">
        <f>J557/J554*1000</f>
        <v>#DIV/0!</v>
      </c>
      <c r="K560" s="245" t="e">
        <f>K557/K554*1000</f>
        <v>#DIV/0!</v>
      </c>
      <c r="L560" s="245"/>
      <c r="M560" s="245"/>
      <c r="N560" s="245"/>
      <c r="O560" s="245"/>
      <c r="P560" s="245"/>
      <c r="Q560" s="245"/>
      <c r="R560" s="245"/>
      <c r="S560" s="245"/>
      <c r="T560" s="250" t="e">
        <f>T557/T554*1000</f>
        <v>#DIV/0!</v>
      </c>
      <c r="U560" s="246"/>
      <c r="V560" s="246"/>
    </row>
    <row r="561" spans="1:29" hidden="1">
      <c r="A561" s="253"/>
      <c r="B561" s="243"/>
      <c r="C561" s="249" t="s">
        <v>522</v>
      </c>
      <c r="D561" s="243"/>
      <c r="E561" s="243"/>
      <c r="F561" s="243"/>
      <c r="G561" s="253"/>
      <c r="H561" s="251">
        <f t="shared" ref="H561:S561" si="251">H557/H558*100</f>
        <v>97.203800277663603</v>
      </c>
      <c r="I561" s="251">
        <f t="shared" si="251"/>
        <v>98.878340283483141</v>
      </c>
      <c r="J561" s="251">
        <f t="shared" si="251"/>
        <v>101.19270471902719</v>
      </c>
      <c r="K561" s="251">
        <f t="shared" si="251"/>
        <v>102.44304723630894</v>
      </c>
      <c r="L561" s="251">
        <f t="shared" si="251"/>
        <v>103.7503454686175</v>
      </c>
      <c r="M561" s="251">
        <f t="shared" si="251"/>
        <v>102.07972430806862</v>
      </c>
      <c r="N561" s="251">
        <f t="shared" si="251"/>
        <v>105.41403047606475</v>
      </c>
      <c r="O561" s="251">
        <f t="shared" si="251"/>
        <v>101.8790358859259</v>
      </c>
      <c r="P561" s="251">
        <f t="shared" si="251"/>
        <v>109.00361710189279</v>
      </c>
      <c r="Q561" s="251">
        <f t="shared" si="251"/>
        <v>109.25236971046861</v>
      </c>
      <c r="R561" s="251">
        <f t="shared" si="251"/>
        <v>108.57750351961202</v>
      </c>
      <c r="S561" s="251">
        <f t="shared" si="251"/>
        <v>105.53935590452855</v>
      </c>
      <c r="T561" s="251">
        <f>T557/T558*100</f>
        <v>103.99037133266933</v>
      </c>
      <c r="U561" s="246"/>
      <c r="V561" s="246"/>
    </row>
    <row r="562" spans="1:29" hidden="1">
      <c r="A562" s="62"/>
      <c r="B562" s="389">
        <v>21.3</v>
      </c>
      <c r="C562" s="387" t="s">
        <v>523</v>
      </c>
      <c r="D562" s="62"/>
      <c r="E562" s="62"/>
      <c r="F562" s="62"/>
      <c r="G562" s="62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</row>
    <row r="563" spans="1:29" hidden="1">
      <c r="A563" s="62"/>
      <c r="B563" s="237"/>
      <c r="C563" s="278" t="s">
        <v>138</v>
      </c>
      <c r="D563" s="62" t="s">
        <v>90</v>
      </c>
      <c r="E563" s="238">
        <f>'[2]Price&amp;Heating-Value'!$R$6</f>
        <v>3.6</v>
      </c>
      <c r="F563" s="62"/>
      <c r="G563" s="256">
        <f>'[2]Price&amp;Heating-Value'!$P$6</f>
        <v>2.7124999999999999</v>
      </c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>
        <f>SUM(H563:S563)</f>
        <v>0</v>
      </c>
      <c r="U563" s="225">
        <f>T563*E563</f>
        <v>0</v>
      </c>
      <c r="V563" s="225">
        <f>T563*G563</f>
        <v>0</v>
      </c>
      <c r="W563" s="227">
        <f>'[2]Price&amp;Heating-Value'!D$6</f>
        <v>2.4500000000000002</v>
      </c>
      <c r="X563" s="227">
        <f>'[2]Price&amp;Heating-Value'!E$6</f>
        <v>2.54</v>
      </c>
      <c r="Y563" s="227">
        <f>'[2]Price&amp;Heating-Value'!F$6</f>
        <v>2.58</v>
      </c>
      <c r="Z563" s="227">
        <f>'[2]Price&amp;Heating-Value'!G$6</f>
        <v>2.67</v>
      </c>
      <c r="AA563" s="227">
        <f>'[2]Price&amp;Heating-Value'!H$6</f>
        <v>2.67</v>
      </c>
      <c r="AB563" s="227">
        <f>'[2]Price&amp;Heating-Value'!I$6</f>
        <v>2.67</v>
      </c>
      <c r="AC563" s="227">
        <f>'[2]Price&amp;Heating-Value'!J$6</f>
        <v>2.62</v>
      </c>
    </row>
    <row r="564" spans="1:29" hidden="1">
      <c r="A564" s="229"/>
      <c r="B564" s="229"/>
      <c r="C564" s="237"/>
      <c r="D564" s="229"/>
      <c r="E564" s="229"/>
      <c r="F564" s="229"/>
      <c r="G564" s="229"/>
      <c r="H564" s="274"/>
      <c r="I564" s="274"/>
      <c r="J564" s="274"/>
      <c r="K564" s="274"/>
      <c r="L564" s="274"/>
      <c r="M564" s="274"/>
      <c r="N564" s="274"/>
      <c r="O564" s="274"/>
      <c r="P564" s="274"/>
      <c r="Q564" s="274"/>
      <c r="R564" s="274"/>
      <c r="S564" s="274"/>
      <c r="T564" s="225"/>
      <c r="U564" s="275"/>
      <c r="V564" s="275">
        <f>SUM(V563)</f>
        <v>0</v>
      </c>
    </row>
    <row r="565" spans="1:29" hidden="1">
      <c r="A565" s="253"/>
      <c r="B565" s="233"/>
      <c r="C565" s="234" t="s">
        <v>107</v>
      </c>
      <c r="D565" s="233" t="s">
        <v>163</v>
      </c>
      <c r="E565" s="233"/>
      <c r="F565" s="233"/>
      <c r="G565" s="253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36">
        <f>SUM(H565:S565)</f>
        <v>0</v>
      </c>
      <c r="U565" s="259"/>
      <c r="V565" s="785" t="e">
        <f>V564/T565</f>
        <v>#DIV/0!</v>
      </c>
    </row>
    <row r="566" spans="1:29" hidden="1">
      <c r="A566" s="253"/>
      <c r="B566" s="253"/>
      <c r="C566" s="276"/>
      <c r="D566" s="253"/>
      <c r="E566" s="253"/>
      <c r="F566" s="253"/>
      <c r="G566" s="253"/>
      <c r="H566" s="277"/>
      <c r="I566" s="277"/>
      <c r="J566" s="277"/>
      <c r="K566" s="277"/>
      <c r="L566" s="277"/>
      <c r="M566" s="277"/>
      <c r="N566" s="277"/>
      <c r="O566" s="277"/>
      <c r="P566" s="277"/>
      <c r="Q566" s="277"/>
      <c r="R566" s="277"/>
      <c r="S566" s="277"/>
      <c r="T566" s="277"/>
      <c r="U566" s="277"/>
      <c r="V566" s="771" t="s">
        <v>137</v>
      </c>
    </row>
    <row r="567" spans="1:29" hidden="1">
      <c r="A567" s="253"/>
      <c r="B567" s="253"/>
      <c r="C567" s="278" t="s">
        <v>138</v>
      </c>
      <c r="D567" s="253" t="s">
        <v>173</v>
      </c>
      <c r="E567" s="62"/>
      <c r="F567" s="62"/>
      <c r="G567" s="253"/>
      <c r="H567" s="277"/>
      <c r="I567" s="277"/>
      <c r="J567" s="277"/>
      <c r="K567" s="277"/>
      <c r="L567" s="277"/>
      <c r="M567" s="277"/>
      <c r="N567" s="277"/>
      <c r="O567" s="277"/>
      <c r="P567" s="277"/>
      <c r="Q567" s="277"/>
      <c r="R567" s="277"/>
      <c r="S567" s="277"/>
      <c r="T567" s="277">
        <f>SUM(H567:S567)</f>
        <v>0</v>
      </c>
      <c r="U567" s="277"/>
      <c r="V567" s="277"/>
    </row>
    <row r="568" spans="1:29" hidden="1">
      <c r="A568" s="253"/>
      <c r="B568" s="62"/>
      <c r="C568" s="237" t="s">
        <v>524</v>
      </c>
      <c r="D568" s="62" t="s">
        <v>173</v>
      </c>
      <c r="E568" s="253"/>
      <c r="F568" s="253"/>
      <c r="G568" s="253"/>
      <c r="H568" s="358">
        <f>1280925.1764/1000</f>
        <v>1280.9251764000001</v>
      </c>
      <c r="I568" s="358">
        <f>1154700.6588/1000</f>
        <v>1154.7006588000002</v>
      </c>
      <c r="J568" s="277">
        <f>1332388.1448/1000</f>
        <v>1332.3881448</v>
      </c>
      <c r="K568" s="277">
        <f>1236307.4244/1000</f>
        <v>1236.3074243999999</v>
      </c>
      <c r="L568" s="277">
        <f>1274945.886/1000</f>
        <v>1274.945886</v>
      </c>
      <c r="M568" s="277">
        <v>1236.5960687999998</v>
      </c>
      <c r="N568" s="277">
        <v>1292.2239347999998</v>
      </c>
      <c r="O568" s="277">
        <f>1279110.78/1000</f>
        <v>1279.11078</v>
      </c>
      <c r="P568" s="277">
        <v>1252.3895927999999</v>
      </c>
      <c r="Q568" s="277">
        <f>1289337.3792/1000</f>
        <v>1289.3373792</v>
      </c>
      <c r="R568" s="277">
        <f>1236389.8896/1000</f>
        <v>1236.3898896000001</v>
      </c>
      <c r="S568" s="277">
        <v>1333.7077068000001</v>
      </c>
      <c r="T568" s="279">
        <f>SUM(H568:S568)</f>
        <v>15199.022642399999</v>
      </c>
      <c r="U568" s="277">
        <f>T568*12/11</f>
        <v>16580.751973527273</v>
      </c>
      <c r="V568" s="786">
        <f>V564/T568</f>
        <v>0</v>
      </c>
    </row>
    <row r="569" spans="1:29" hidden="1">
      <c r="A569" s="253"/>
      <c r="B569" s="253"/>
      <c r="C569" s="237" t="s">
        <v>345</v>
      </c>
      <c r="D569" s="62" t="s">
        <v>173</v>
      </c>
      <c r="E569" s="1771" t="s">
        <v>872</v>
      </c>
      <c r="F569" s="1772"/>
      <c r="G569" s="1773"/>
      <c r="H569" s="358">
        <f>1283946.0385216/1000</f>
        <v>1283.9460385216</v>
      </c>
      <c r="I569" s="358">
        <f>1160920.3626412/1000</f>
        <v>1160.9203626412</v>
      </c>
      <c r="J569" s="819">
        <f>1284102.6784394/1000</f>
        <v>1284.1026784393998</v>
      </c>
      <c r="K569" s="277">
        <f>1242989.4645256/1000</f>
        <v>1242.9894645255999</v>
      </c>
      <c r="L569" s="277">
        <f>1284434.3727596/1000</f>
        <v>1284.4343727595999</v>
      </c>
      <c r="M569" s="277">
        <v>1243.1134642179998</v>
      </c>
      <c r="N569" s="277">
        <v>1284.5399205981998</v>
      </c>
      <c r="O569" s="277">
        <f>1283917.7120448/1000</f>
        <v>1283.9177120447998</v>
      </c>
      <c r="P569" s="277">
        <v>1242.3008251170002</v>
      </c>
      <c r="Q569" s="277">
        <f>1284632.5166498/1000</f>
        <v>1284.6325166498</v>
      </c>
      <c r="R569" s="277">
        <f>1242247.9270916/1000</f>
        <v>1242.2479270915999</v>
      </c>
      <c r="S569" s="277">
        <v>1283.7456795961996</v>
      </c>
      <c r="T569" s="279">
        <f>SUM(H569:S569)</f>
        <v>15120.890962202995</v>
      </c>
      <c r="U569" s="277">
        <f>T569*12/11</f>
        <v>16495.517413312358</v>
      </c>
      <c r="V569" s="271" t="s">
        <v>158</v>
      </c>
    </row>
    <row r="570" spans="1:29" hidden="1">
      <c r="A570" s="253"/>
      <c r="B570" s="243" t="s">
        <v>174</v>
      </c>
      <c r="C570" s="244" t="s">
        <v>138</v>
      </c>
      <c r="D570" s="243" t="s">
        <v>374</v>
      </c>
      <c r="E570" s="243"/>
      <c r="F570" s="243"/>
      <c r="G570" s="253"/>
      <c r="H570" s="345" t="e">
        <f>H567/H565*1000</f>
        <v>#DIV/0!</v>
      </c>
      <c r="I570" s="345" t="e">
        <f>I567/I565*1000</f>
        <v>#DIV/0!</v>
      </c>
      <c r="J570" s="345" t="e">
        <f>J567/J565*1000</f>
        <v>#DIV/0!</v>
      </c>
      <c r="K570" s="345" t="e">
        <f>K567/K565*1000</f>
        <v>#DIV/0!</v>
      </c>
      <c r="L570" s="245"/>
      <c r="M570" s="245"/>
      <c r="N570" s="245"/>
      <c r="O570" s="245"/>
      <c r="P570" s="245"/>
      <c r="Q570" s="245"/>
      <c r="R570" s="245"/>
      <c r="S570" s="245"/>
      <c r="T570" s="245" t="e">
        <f>T567/T565*1000</f>
        <v>#DIV/0!</v>
      </c>
      <c r="U570" s="246"/>
      <c r="V570" s="246"/>
    </row>
    <row r="571" spans="1:29" ht="23.25" hidden="1">
      <c r="A571" s="253"/>
      <c r="B571" s="243"/>
      <c r="C571" s="249" t="s">
        <v>525</v>
      </c>
      <c r="D571" s="243" t="s">
        <v>374</v>
      </c>
      <c r="E571" s="243"/>
      <c r="F571" s="243"/>
      <c r="G571" s="253"/>
      <c r="H571" s="245" t="e">
        <f>H568/H565*1000</f>
        <v>#DIV/0!</v>
      </c>
      <c r="I571" s="245" t="e">
        <f>I568/I565*1000</f>
        <v>#DIV/0!</v>
      </c>
      <c r="J571" s="245" t="e">
        <f>J568/J565*1000</f>
        <v>#DIV/0!</v>
      </c>
      <c r="K571" s="245" t="e">
        <f>K568/K565*1000</f>
        <v>#DIV/0!</v>
      </c>
      <c r="L571" s="245"/>
      <c r="M571" s="245"/>
      <c r="N571" s="245"/>
      <c r="O571" s="245"/>
      <c r="P571" s="245"/>
      <c r="Q571" s="245"/>
      <c r="R571" s="245"/>
      <c r="S571" s="245"/>
      <c r="T571" s="250" t="e">
        <f>T568/T565*1000</f>
        <v>#DIV/0!</v>
      </c>
      <c r="U571" s="246"/>
      <c r="V571" s="246"/>
    </row>
    <row r="572" spans="1:29" hidden="1">
      <c r="A572" s="253"/>
      <c r="B572" s="243"/>
      <c r="C572" s="249" t="s">
        <v>526</v>
      </c>
      <c r="D572" s="243"/>
      <c r="E572" s="243"/>
      <c r="F572" s="243"/>
      <c r="G572" s="253"/>
      <c r="H572" s="251">
        <f t="shared" ref="H572:S572" si="252">H568/H569*100</f>
        <v>99.764720476486829</v>
      </c>
      <c r="I572" s="251">
        <f t="shared" si="252"/>
        <v>99.464243712027809</v>
      </c>
      <c r="J572" s="251">
        <f t="shared" si="252"/>
        <v>103.76024964135131</v>
      </c>
      <c r="K572" s="251">
        <f t="shared" si="252"/>
        <v>99.462421821238024</v>
      </c>
      <c r="L572" s="251">
        <f t="shared" si="252"/>
        <v>99.261271189806763</v>
      </c>
      <c r="M572" s="251">
        <f t="shared" si="252"/>
        <v>99.475719988110669</v>
      </c>
      <c r="N572" s="251">
        <f t="shared" si="252"/>
        <v>100.598191934605</v>
      </c>
      <c r="O572" s="251">
        <f t="shared" si="252"/>
        <v>99.625604351454569</v>
      </c>
      <c r="P572" s="251">
        <f t="shared" si="252"/>
        <v>100.81210343573986</v>
      </c>
      <c r="Q572" s="251">
        <f t="shared" si="252"/>
        <v>100.36624190102783</v>
      </c>
      <c r="R572" s="251">
        <f t="shared" si="252"/>
        <v>99.528432500160022</v>
      </c>
      <c r="S572" s="251">
        <f t="shared" si="252"/>
        <v>103.89189447706777</v>
      </c>
      <c r="T572" s="251">
        <f>T568/T569*100</f>
        <v>100.51671346875197</v>
      </c>
      <c r="U572" s="246"/>
      <c r="V572" s="246"/>
    </row>
    <row r="573" spans="1:29" hidden="1">
      <c r="A573" s="62"/>
      <c r="B573" s="237">
        <v>21.4</v>
      </c>
      <c r="C573" s="387" t="s">
        <v>527</v>
      </c>
      <c r="D573" s="62"/>
      <c r="E573" s="62"/>
      <c r="F573" s="62"/>
      <c r="G573" s="62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</row>
    <row r="574" spans="1:29" hidden="1">
      <c r="A574" s="62"/>
      <c r="B574" s="237"/>
      <c r="C574" s="278" t="s">
        <v>138</v>
      </c>
      <c r="D574" s="62" t="s">
        <v>90</v>
      </c>
      <c r="E574" s="238">
        <f>'[2]Price&amp;Heating-Value'!$R$6</f>
        <v>3.6</v>
      </c>
      <c r="F574" s="62"/>
      <c r="G574" s="256">
        <f>'[2]Price&amp;Heating-Value'!$P$6</f>
        <v>2.7124999999999999</v>
      </c>
      <c r="H574" s="351"/>
      <c r="I574" s="351"/>
      <c r="J574" s="351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>
        <f>SUM(H574:S574)</f>
        <v>0</v>
      </c>
      <c r="U574" s="225">
        <f>T574*E574</f>
        <v>0</v>
      </c>
      <c r="V574" s="225">
        <f>T574*G574</f>
        <v>0</v>
      </c>
      <c r="W574" s="227">
        <f>'[2]Price&amp;Heating-Value'!D$6</f>
        <v>2.4500000000000002</v>
      </c>
      <c r="X574" s="227">
        <f>'[2]Price&amp;Heating-Value'!E$6</f>
        <v>2.54</v>
      </c>
      <c r="Y574" s="227">
        <f>'[2]Price&amp;Heating-Value'!F$6</f>
        <v>2.58</v>
      </c>
      <c r="Z574" s="227">
        <f>'[2]Price&amp;Heating-Value'!G$6</f>
        <v>2.67</v>
      </c>
      <c r="AA574" s="227">
        <f>'[2]Price&amp;Heating-Value'!H$6</f>
        <v>2.67</v>
      </c>
      <c r="AB574" s="227">
        <f>'[2]Price&amp;Heating-Value'!I$6</f>
        <v>2.67</v>
      </c>
      <c r="AC574" s="227">
        <f>'[2]Price&amp;Heating-Value'!J$6</f>
        <v>2.62</v>
      </c>
    </row>
    <row r="575" spans="1:29" hidden="1">
      <c r="A575" s="229"/>
      <c r="B575" s="229"/>
      <c r="C575" s="237"/>
      <c r="D575" s="229"/>
      <c r="E575" s="229"/>
      <c r="F575" s="229"/>
      <c r="G575" s="229"/>
      <c r="H575" s="274"/>
      <c r="I575" s="274"/>
      <c r="J575" s="274"/>
      <c r="K575" s="274"/>
      <c r="L575" s="274"/>
      <c r="M575" s="274"/>
      <c r="N575" s="274"/>
      <c r="O575" s="274"/>
      <c r="P575" s="274"/>
      <c r="Q575" s="274"/>
      <c r="R575" s="274"/>
      <c r="S575" s="274"/>
      <c r="T575" s="257"/>
      <c r="U575" s="275"/>
      <c r="V575" s="275">
        <f>SUM(V574)</f>
        <v>0</v>
      </c>
    </row>
    <row r="576" spans="1:29" hidden="1">
      <c r="A576" s="253"/>
      <c r="B576" s="233"/>
      <c r="C576" s="234" t="s">
        <v>107</v>
      </c>
      <c r="D576" s="233" t="s">
        <v>163</v>
      </c>
      <c r="E576" s="233"/>
      <c r="F576" s="233"/>
      <c r="G576" s="253"/>
      <c r="H576" s="820"/>
      <c r="I576" s="820"/>
      <c r="J576" s="820"/>
      <c r="K576" s="264"/>
      <c r="L576" s="264"/>
      <c r="M576" s="264"/>
      <c r="N576" s="264"/>
      <c r="O576" s="264"/>
      <c r="P576" s="264"/>
      <c r="Q576" s="264"/>
      <c r="R576" s="264"/>
      <c r="S576" s="264"/>
      <c r="T576" s="236">
        <f>SUM(H576:S576)</f>
        <v>0</v>
      </c>
      <c r="U576" s="259"/>
      <c r="V576" s="785" t="e">
        <f>V575/T576</f>
        <v>#DIV/0!</v>
      </c>
    </row>
    <row r="577" spans="1:29" hidden="1">
      <c r="A577" s="253"/>
      <c r="B577" s="253"/>
      <c r="C577" s="278" t="s">
        <v>138</v>
      </c>
      <c r="D577" s="253" t="s">
        <v>173</v>
      </c>
      <c r="E577" s="62"/>
      <c r="F577" s="62"/>
      <c r="G577" s="253"/>
      <c r="H577" s="821"/>
      <c r="I577" s="821"/>
      <c r="J577" s="821"/>
      <c r="K577" s="821"/>
      <c r="L577" s="277"/>
      <c r="M577" s="277"/>
      <c r="N577" s="277"/>
      <c r="O577" s="277"/>
      <c r="P577" s="277"/>
      <c r="Q577" s="277"/>
      <c r="R577" s="277"/>
      <c r="S577" s="277"/>
      <c r="T577" s="277">
        <f>SUM(H577:S577)</f>
        <v>0</v>
      </c>
      <c r="U577" s="277"/>
      <c r="V577" s="277"/>
    </row>
    <row r="578" spans="1:29" hidden="1">
      <c r="A578" s="253"/>
      <c r="B578" s="62"/>
      <c r="C578" s="237" t="s">
        <v>528</v>
      </c>
      <c r="D578" s="62" t="s">
        <v>173</v>
      </c>
      <c r="E578" s="253"/>
      <c r="F578" s="253"/>
      <c r="G578" s="253"/>
      <c r="H578" s="390">
        <f>56246.4/1000</f>
        <v>56.246400000000001</v>
      </c>
      <c r="I578" s="390">
        <f>50803.2000002798/1000</f>
        <v>50.803200000279801</v>
      </c>
      <c r="J578" s="390">
        <f>56246.4/1000</f>
        <v>56.246400000000001</v>
      </c>
      <c r="K578" s="284">
        <f>54432/1000</f>
        <v>54.432000000000002</v>
      </c>
      <c r="L578" s="277">
        <f>56246.4/1000</f>
        <v>56.246400000000001</v>
      </c>
      <c r="M578" s="277">
        <v>54.432000000000031</v>
      </c>
      <c r="N578" s="277">
        <v>56.24640000000003</v>
      </c>
      <c r="O578" s="277">
        <f>56246.4/1000</f>
        <v>56.246400000000001</v>
      </c>
      <c r="P578" s="277">
        <v>54.432000000000031</v>
      </c>
      <c r="Q578" s="277">
        <f>56246.4/1000</f>
        <v>56.246400000000001</v>
      </c>
      <c r="R578" s="277">
        <f>54432/1000</f>
        <v>54.432000000000002</v>
      </c>
      <c r="S578" s="277">
        <v>56.24640000000003</v>
      </c>
      <c r="T578" s="279">
        <f>SUM(H578:S578)</f>
        <v>662.25600000027987</v>
      </c>
      <c r="U578" s="277">
        <f>T578*12/11</f>
        <v>722.46109090939615</v>
      </c>
      <c r="V578" s="786">
        <f>V575/T578</f>
        <v>0</v>
      </c>
    </row>
    <row r="579" spans="1:29" hidden="1">
      <c r="A579" s="253"/>
      <c r="B579" s="300"/>
      <c r="C579" s="237" t="s">
        <v>345</v>
      </c>
      <c r="D579" s="62" t="s">
        <v>173</v>
      </c>
      <c r="E579" s="1771" t="s">
        <v>873</v>
      </c>
      <c r="F579" s="1772"/>
      <c r="G579" s="1773"/>
      <c r="H579" s="821">
        <f>56246.4000003226/1000</f>
        <v>56.246400000322602</v>
      </c>
      <c r="I579" s="390">
        <f>50803.2000002798/1000</f>
        <v>50.803200000279801</v>
      </c>
      <c r="J579" s="822">
        <f>56246.4000003182/1000</f>
        <v>56.246400000318204</v>
      </c>
      <c r="K579" s="284">
        <f>54432.0000003019/1000</f>
        <v>54.432000000301905</v>
      </c>
      <c r="L579" s="277">
        <f>56246.4000002985/1000</f>
        <v>56.2464000002985</v>
      </c>
      <c r="M579" s="277">
        <v>54.432000000270314</v>
      </c>
      <c r="N579" s="277">
        <v>56.246400000287998</v>
      </c>
      <c r="O579" s="277">
        <f>56246.4000003272/1000</f>
        <v>56.246400000327199</v>
      </c>
      <c r="P579" s="277">
        <v>54.4320000003191</v>
      </c>
      <c r="Q579" s="277">
        <f>56246.4000003354/1000</f>
        <v>56.246400000335399</v>
      </c>
      <c r="R579" s="277">
        <f>54432.0000003258/1000</f>
        <v>54.4320000003258</v>
      </c>
      <c r="S579" s="277">
        <v>56.246400000353908</v>
      </c>
      <c r="T579" s="279">
        <f>SUM(H579:S579)</f>
        <v>662.25600000374072</v>
      </c>
      <c r="U579" s="277">
        <f>T579*12/11</f>
        <v>722.46109091317169</v>
      </c>
      <c r="V579" s="271" t="s">
        <v>158</v>
      </c>
    </row>
    <row r="580" spans="1:29" hidden="1">
      <c r="A580" s="253"/>
      <c r="B580" s="243" t="s">
        <v>174</v>
      </c>
      <c r="C580" s="244" t="s">
        <v>138</v>
      </c>
      <c r="D580" s="243" t="s">
        <v>374</v>
      </c>
      <c r="E580" s="243"/>
      <c r="F580" s="243"/>
      <c r="G580" s="253"/>
      <c r="H580" s="245" t="e">
        <f>H577/H576*1000</f>
        <v>#DIV/0!</v>
      </c>
      <c r="I580" s="245" t="e">
        <f>I577/I576*1000</f>
        <v>#DIV/0!</v>
      </c>
      <c r="J580" s="245" t="e">
        <f>J577/J576*1000</f>
        <v>#DIV/0!</v>
      </c>
      <c r="K580" s="245" t="e">
        <f>K577/K576*1000</f>
        <v>#DIV/0!</v>
      </c>
      <c r="L580" s="245"/>
      <c r="M580" s="245"/>
      <c r="N580" s="245"/>
      <c r="O580" s="245"/>
      <c r="P580" s="245"/>
      <c r="Q580" s="245"/>
      <c r="R580" s="245"/>
      <c r="S580" s="245"/>
      <c r="T580" s="245" t="e">
        <f>T577/T576*1000</f>
        <v>#DIV/0!</v>
      </c>
      <c r="U580" s="246"/>
      <c r="V580" s="246"/>
    </row>
    <row r="581" spans="1:29" ht="23.25" hidden="1">
      <c r="A581" s="253"/>
      <c r="B581" s="243"/>
      <c r="C581" s="249" t="s">
        <v>529</v>
      </c>
      <c r="D581" s="243" t="s">
        <v>374</v>
      </c>
      <c r="E581" s="243"/>
      <c r="F581" s="243"/>
      <c r="G581" s="253"/>
      <c r="H581" s="245" t="e">
        <f>H578/H576*1000</f>
        <v>#DIV/0!</v>
      </c>
      <c r="I581" s="245" t="e">
        <f>I578/I576*1000</f>
        <v>#DIV/0!</v>
      </c>
      <c r="J581" s="245" t="e">
        <f>J578/J576*1000</f>
        <v>#DIV/0!</v>
      </c>
      <c r="K581" s="245" t="e">
        <f>K578/K576*1000</f>
        <v>#DIV/0!</v>
      </c>
      <c r="L581" s="245"/>
      <c r="M581" s="245"/>
      <c r="N581" s="245"/>
      <c r="O581" s="245"/>
      <c r="P581" s="245"/>
      <c r="Q581" s="245"/>
      <c r="R581" s="245"/>
      <c r="S581" s="245"/>
      <c r="T581" s="250" t="e">
        <f>T578/T576*1000</f>
        <v>#DIV/0!</v>
      </c>
      <c r="U581" s="246"/>
      <c r="V581" s="246"/>
    </row>
    <row r="582" spans="1:29" hidden="1">
      <c r="A582" s="253"/>
      <c r="B582" s="243"/>
      <c r="C582" s="249" t="s">
        <v>530</v>
      </c>
      <c r="D582" s="243"/>
      <c r="E582" s="243"/>
      <c r="F582" s="243"/>
      <c r="G582" s="253"/>
      <c r="H582" s="251">
        <f t="shared" ref="H582:S582" si="253">H578/H579*100</f>
        <v>99.99999999942645</v>
      </c>
      <c r="I582" s="251">
        <f t="shared" si="253"/>
        <v>100</v>
      </c>
      <c r="J582" s="251">
        <f t="shared" si="253"/>
        <v>99.99999999943428</v>
      </c>
      <c r="K582" s="251">
        <f t="shared" si="253"/>
        <v>99.99999999944535</v>
      </c>
      <c r="L582" s="251">
        <f t="shared" si="253"/>
        <v>99.999999999469296</v>
      </c>
      <c r="M582" s="251">
        <f t="shared" si="253"/>
        <v>99.999999999503459</v>
      </c>
      <c r="N582" s="251">
        <f t="shared" si="253"/>
        <v>99.999999999488026</v>
      </c>
      <c r="O582" s="251">
        <f t="shared" si="253"/>
        <v>99.999999999418279</v>
      </c>
      <c r="P582" s="251">
        <f t="shared" si="253"/>
        <v>99.999999999413831</v>
      </c>
      <c r="Q582" s="251">
        <f t="shared" si="253"/>
        <v>99.999999999403698</v>
      </c>
      <c r="R582" s="251">
        <f t="shared" si="253"/>
        <v>99.999999999401453</v>
      </c>
      <c r="S582" s="251">
        <f t="shared" si="253"/>
        <v>99.999999999370843</v>
      </c>
      <c r="T582" s="251">
        <f>T578/T579*100</f>
        <v>99.999999999477424</v>
      </c>
      <c r="U582" s="246"/>
      <c r="V582" s="246"/>
    </row>
    <row r="583" spans="1:29" ht="23.25" hidden="1">
      <c r="A583" s="62"/>
      <c r="B583" s="300">
        <v>21.5</v>
      </c>
      <c r="C583" s="391" t="s">
        <v>531</v>
      </c>
      <c r="D583" s="1777" t="s">
        <v>532</v>
      </c>
      <c r="E583" s="1778"/>
      <c r="F583" s="1778"/>
      <c r="G583" s="1779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</row>
    <row r="584" spans="1:29" hidden="1">
      <c r="A584" s="62"/>
      <c r="B584" s="237"/>
      <c r="C584" s="278" t="s">
        <v>138</v>
      </c>
      <c r="D584" s="62" t="s">
        <v>90</v>
      </c>
      <c r="E584" s="238">
        <f>'[2]Price&amp;Heating-Value'!$R$6</f>
        <v>3.6</v>
      </c>
      <c r="F584" s="62"/>
      <c r="G584" s="256">
        <f>'[2]Price&amp;Heating-Value'!$P$6</f>
        <v>2.7124999999999999</v>
      </c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>
        <f>SUM(H584:S584)</f>
        <v>0</v>
      </c>
      <c r="U584" s="225">
        <f>T584*E584</f>
        <v>0</v>
      </c>
      <c r="V584" s="225">
        <f>T584*G584</f>
        <v>0</v>
      </c>
      <c r="W584" s="227">
        <f>'[2]Price&amp;Heating-Value'!D$6</f>
        <v>2.4500000000000002</v>
      </c>
      <c r="X584" s="227">
        <f>'[2]Price&amp;Heating-Value'!E$6</f>
        <v>2.54</v>
      </c>
      <c r="Y584" s="227">
        <f>'[2]Price&amp;Heating-Value'!F$6</f>
        <v>2.58</v>
      </c>
      <c r="Z584" s="227">
        <f>'[2]Price&amp;Heating-Value'!G$6</f>
        <v>2.67</v>
      </c>
      <c r="AA584" s="227">
        <f>'[2]Price&amp;Heating-Value'!H$6</f>
        <v>2.67</v>
      </c>
      <c r="AB584" s="227">
        <f>'[2]Price&amp;Heating-Value'!I$6</f>
        <v>2.67</v>
      </c>
      <c r="AC584" s="227">
        <f>'[2]Price&amp;Heating-Value'!J$6</f>
        <v>2.62</v>
      </c>
    </row>
    <row r="585" spans="1:29" hidden="1">
      <c r="A585" s="62"/>
      <c r="B585" s="62"/>
      <c r="C585" s="60" t="s">
        <v>533</v>
      </c>
      <c r="D585" s="62" t="s">
        <v>176</v>
      </c>
      <c r="E585" s="238">
        <f>'[2]Price&amp;Heating-Value'!$S$16/1000</f>
        <v>39.770000000000003</v>
      </c>
      <c r="F585" s="321">
        <f>'[2]Price&amp;Heating-Value'!$T$16</f>
        <v>0.98550000000000004</v>
      </c>
      <c r="G585" s="230">
        <f>'[2]Price&amp;Heating-Value'!$P$16*'[2]Price&amp;Heating-Value'!$T$16/1000</f>
        <v>17.944656726937499</v>
      </c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>
        <f>SUM(H585:S585)</f>
        <v>0</v>
      </c>
      <c r="U585" s="225">
        <f>T585*E585</f>
        <v>0</v>
      </c>
      <c r="V585" s="225">
        <f>G585*T585</f>
        <v>0</v>
      </c>
      <c r="W585" s="322">
        <f>'[2]Price&amp;Heating-Value'!D$16*'[2]Price&amp;Heating-Value'!$T$16/1000</f>
        <v>16.779635460000002</v>
      </c>
      <c r="X585" s="232">
        <f>'[2]Price&amp;Heating-Value'!E$16*'[2]Price&amp;Heating-Value'!$T$16/1000</f>
        <v>16.47036585</v>
      </c>
      <c r="Y585" s="232">
        <f>'[2]Price&amp;Heating-Value'!F$16*'[2]Price&amp;Heating-Value'!$T$16/1000</f>
        <v>16.780118354999999</v>
      </c>
      <c r="Z585" s="232">
        <f>'[2]Price&amp;Heating-Value'!G$16*'[2]Price&amp;Heating-Value'!$T$16/1000</f>
        <v>18.287135100000004</v>
      </c>
      <c r="AA585" s="232">
        <f>'[2]Price&amp;Heating-Value'!H$16*'[2]Price&amp;Heating-Value'!$T$16/1000</f>
        <v>20.715278985000001</v>
      </c>
      <c r="AB585" s="232">
        <f>'[2]Price&amp;Heating-Value'!I$16*'[2]Price&amp;Heating-Value'!$T$16/1000</f>
        <v>22.335056640000001</v>
      </c>
      <c r="AC585" s="232">
        <f>'[2]Price&amp;Heating-Value'!J$16*'[2]Price&amp;Heating-Value'!$T$16/1000</f>
        <v>25.718475240000004</v>
      </c>
    </row>
    <row r="586" spans="1:29" hidden="1">
      <c r="A586" s="229"/>
      <c r="B586" s="229"/>
      <c r="C586" s="60" t="s">
        <v>101</v>
      </c>
      <c r="D586" s="229" t="s">
        <v>102</v>
      </c>
      <c r="E586" s="62">
        <f>'[2]Price&amp;Heating-Value'!$R$23/1000</f>
        <v>50.22</v>
      </c>
      <c r="F586" s="62"/>
      <c r="G586" s="230">
        <f>'[2]Price&amp;Heating-Value'!$P$23/1000</f>
        <v>11.61472</v>
      </c>
      <c r="H586" s="275"/>
      <c r="I586" s="275"/>
      <c r="J586" s="275"/>
      <c r="K586" s="275"/>
      <c r="L586" s="275"/>
      <c r="M586" s="275"/>
      <c r="N586" s="275"/>
      <c r="O586" s="275"/>
      <c r="P586" s="275"/>
      <c r="Q586" s="275"/>
      <c r="R586" s="275"/>
      <c r="S586" s="275"/>
      <c r="T586" s="225">
        <f>SUM(H586:S586)</f>
        <v>0</v>
      </c>
      <c r="U586" s="225">
        <f>T586*E586</f>
        <v>0</v>
      </c>
      <c r="V586" s="225">
        <f>G586*T586</f>
        <v>0</v>
      </c>
      <c r="W586" s="232">
        <f>'[2]Price&amp;Heating-Value'!D$23/1000</f>
        <v>11.61472</v>
      </c>
      <c r="X586" s="232">
        <f>'[2]Price&amp;Heating-Value'!E$23/1000</f>
        <v>11.61472</v>
      </c>
      <c r="Y586" s="232">
        <f>'[2]Price&amp;Heating-Value'!F$23/1000</f>
        <v>11.61472</v>
      </c>
      <c r="Z586" s="232">
        <f>'[2]Price&amp;Heating-Value'!G$23/1000</f>
        <v>11.61472</v>
      </c>
      <c r="AA586" s="232">
        <f>'[2]Price&amp;Heating-Value'!H$23/1000</f>
        <v>11.61472</v>
      </c>
      <c r="AB586" s="232">
        <f>'[2]Price&amp;Heating-Value'!I$23/1000</f>
        <v>11.61472</v>
      </c>
      <c r="AC586" s="232">
        <f>'[2]Price&amp;Heating-Value'!J$23/1000</f>
        <v>11.61472</v>
      </c>
    </row>
    <row r="587" spans="1:29" hidden="1">
      <c r="A587" s="229"/>
      <c r="B587" s="229"/>
      <c r="C587" s="237" t="s">
        <v>383</v>
      </c>
      <c r="D587" s="229"/>
      <c r="E587" s="229"/>
      <c r="F587" s="229"/>
      <c r="G587" s="229"/>
      <c r="H587" s="274"/>
      <c r="I587" s="274"/>
      <c r="J587" s="274"/>
      <c r="K587" s="274"/>
      <c r="L587" s="274"/>
      <c r="M587" s="274"/>
      <c r="N587" s="274"/>
      <c r="O587" s="274"/>
      <c r="P587" s="274"/>
      <c r="Q587" s="274"/>
      <c r="R587" s="274"/>
      <c r="S587" s="274"/>
      <c r="T587" s="257"/>
      <c r="U587" s="275"/>
      <c r="V587" s="275">
        <f>SUM(V584:V586)</f>
        <v>0</v>
      </c>
    </row>
    <row r="588" spans="1:29" hidden="1">
      <c r="A588" s="253"/>
      <c r="B588" s="233"/>
      <c r="C588" s="234" t="s">
        <v>107</v>
      </c>
      <c r="D588" s="233" t="s">
        <v>121</v>
      </c>
      <c r="E588" s="233"/>
      <c r="F588" s="233"/>
      <c r="G588" s="253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36">
        <f>SUM(H588:S588)</f>
        <v>0</v>
      </c>
      <c r="U588" s="259"/>
      <c r="V588" s="785" t="e">
        <f>V587/T588</f>
        <v>#DIV/0!</v>
      </c>
    </row>
    <row r="589" spans="1:29" hidden="1">
      <c r="A589" s="253"/>
      <c r="B589" s="392"/>
      <c r="C589" s="393" t="s">
        <v>534</v>
      </c>
      <c r="D589" s="392"/>
      <c r="E589" s="392"/>
      <c r="F589" s="392"/>
      <c r="G589" s="392"/>
      <c r="H589" s="394"/>
      <c r="I589" s="394"/>
      <c r="J589" s="394"/>
      <c r="K589" s="394"/>
      <c r="L589" s="394"/>
      <c r="M589" s="394"/>
      <c r="N589" s="394"/>
      <c r="O589" s="394"/>
      <c r="P589" s="394"/>
      <c r="Q589" s="394"/>
      <c r="R589" s="394"/>
      <c r="S589" s="394"/>
      <c r="T589" s="395"/>
      <c r="U589" s="395"/>
      <c r="V589" s="823"/>
    </row>
    <row r="590" spans="1:29" hidden="1">
      <c r="A590" s="253"/>
      <c r="B590" s="392"/>
      <c r="C590" s="396" t="s">
        <v>535</v>
      </c>
      <c r="D590" s="392" t="s">
        <v>121</v>
      </c>
      <c r="E590" s="392">
        <v>3180</v>
      </c>
      <c r="F590" s="392"/>
      <c r="G590" s="397">
        <f>'[2]Price&amp;Heating-Value'!P10</f>
        <v>1321.5833333333333</v>
      </c>
      <c r="H590" s="824">
        <f t="shared" ref="H590:S590" si="254">H588</f>
        <v>0</v>
      </c>
      <c r="I590" s="824">
        <f t="shared" si="254"/>
        <v>0</v>
      </c>
      <c r="J590" s="824">
        <f t="shared" si="254"/>
        <v>0</v>
      </c>
      <c r="K590" s="824">
        <f t="shared" si="254"/>
        <v>0</v>
      </c>
      <c r="L590" s="824">
        <f t="shared" si="254"/>
        <v>0</v>
      </c>
      <c r="M590" s="824">
        <f t="shared" si="254"/>
        <v>0</v>
      </c>
      <c r="N590" s="824">
        <f t="shared" si="254"/>
        <v>0</v>
      </c>
      <c r="O590" s="824">
        <f t="shared" si="254"/>
        <v>0</v>
      </c>
      <c r="P590" s="824">
        <f t="shared" si="254"/>
        <v>0</v>
      </c>
      <c r="Q590" s="824">
        <f t="shared" si="254"/>
        <v>0</v>
      </c>
      <c r="R590" s="824">
        <f t="shared" si="254"/>
        <v>0</v>
      </c>
      <c r="S590" s="824">
        <f t="shared" si="254"/>
        <v>0</v>
      </c>
      <c r="T590" s="395">
        <f>SUM(H590:S590)</f>
        <v>0</v>
      </c>
      <c r="U590" s="824">
        <f>T590*E590</f>
        <v>0</v>
      </c>
      <c r="V590" s="392">
        <f>T590*G590</f>
        <v>0</v>
      </c>
    </row>
    <row r="591" spans="1:29" hidden="1">
      <c r="A591" s="253"/>
      <c r="B591" s="392"/>
      <c r="C591" s="393" t="s">
        <v>536</v>
      </c>
      <c r="D591" s="392"/>
      <c r="E591" s="392"/>
      <c r="F591" s="392"/>
      <c r="G591" s="392"/>
      <c r="H591" s="394"/>
      <c r="I591" s="394"/>
      <c r="J591" s="394"/>
      <c r="K591" s="394"/>
      <c r="L591" s="394"/>
      <c r="M591" s="394"/>
      <c r="N591" s="394"/>
      <c r="O591" s="394"/>
      <c r="P591" s="394"/>
      <c r="Q591" s="394"/>
      <c r="R591" s="394"/>
      <c r="S591" s="394"/>
      <c r="T591" s="395"/>
      <c r="U591" s="395"/>
      <c r="V591" s="823"/>
    </row>
    <row r="592" spans="1:29" hidden="1">
      <c r="A592" s="253"/>
      <c r="B592" s="392"/>
      <c r="C592" s="396" t="s">
        <v>535</v>
      </c>
      <c r="D592" s="392" t="s">
        <v>173</v>
      </c>
      <c r="E592" s="392"/>
      <c r="F592" s="392"/>
      <c r="G592" s="392"/>
      <c r="H592" s="395">
        <f>H590*$E$590/1000</f>
        <v>0</v>
      </c>
      <c r="I592" s="395">
        <f t="shared" ref="I592:S592" si="255">I590*$E$590/1000</f>
        <v>0</v>
      </c>
      <c r="J592" s="395">
        <f t="shared" si="255"/>
        <v>0</v>
      </c>
      <c r="K592" s="395">
        <f t="shared" si="255"/>
        <v>0</v>
      </c>
      <c r="L592" s="395">
        <f t="shared" si="255"/>
        <v>0</v>
      </c>
      <c r="M592" s="395">
        <f t="shared" si="255"/>
        <v>0</v>
      </c>
      <c r="N592" s="395">
        <f t="shared" si="255"/>
        <v>0</v>
      </c>
      <c r="O592" s="395">
        <f t="shared" si="255"/>
        <v>0</v>
      </c>
      <c r="P592" s="395">
        <f t="shared" si="255"/>
        <v>0</v>
      </c>
      <c r="Q592" s="395">
        <f t="shared" si="255"/>
        <v>0</v>
      </c>
      <c r="R592" s="395">
        <f t="shared" si="255"/>
        <v>0</v>
      </c>
      <c r="S592" s="395">
        <f t="shared" si="255"/>
        <v>0</v>
      </c>
      <c r="T592" s="395">
        <f t="shared" ref="T592:T598" si="256">SUM(H592:S592)</f>
        <v>0</v>
      </c>
      <c r="U592" s="395"/>
      <c r="V592" s="823"/>
    </row>
    <row r="593" spans="1:23" hidden="1">
      <c r="A593" s="253"/>
      <c r="B593" s="392"/>
      <c r="C593" s="392" t="s">
        <v>537</v>
      </c>
      <c r="D593" s="392" t="s">
        <v>173</v>
      </c>
      <c r="E593" s="392"/>
      <c r="F593" s="392"/>
      <c r="G593" s="392"/>
      <c r="H593" s="395">
        <f>SUM(H592:H592)</f>
        <v>0</v>
      </c>
      <c r="I593" s="395">
        <f t="shared" ref="I593:S593" si="257">SUM(I592:I592)</f>
        <v>0</v>
      </c>
      <c r="J593" s="395">
        <f t="shared" si="257"/>
        <v>0</v>
      </c>
      <c r="K593" s="395">
        <f t="shared" si="257"/>
        <v>0</v>
      </c>
      <c r="L593" s="395">
        <f t="shared" si="257"/>
        <v>0</v>
      </c>
      <c r="M593" s="395">
        <f t="shared" si="257"/>
        <v>0</v>
      </c>
      <c r="N593" s="395">
        <f t="shared" si="257"/>
        <v>0</v>
      </c>
      <c r="O593" s="395">
        <f t="shared" si="257"/>
        <v>0</v>
      </c>
      <c r="P593" s="395">
        <f t="shared" si="257"/>
        <v>0</v>
      </c>
      <c r="Q593" s="395">
        <f t="shared" si="257"/>
        <v>0</v>
      </c>
      <c r="R593" s="395">
        <f t="shared" si="257"/>
        <v>0</v>
      </c>
      <c r="S593" s="395">
        <f t="shared" si="257"/>
        <v>0</v>
      </c>
      <c r="T593" s="395">
        <f t="shared" si="256"/>
        <v>0</v>
      </c>
      <c r="U593" s="395"/>
      <c r="V593" s="823"/>
      <c r="W593" s="215"/>
    </row>
    <row r="594" spans="1:23" hidden="1">
      <c r="A594" s="253"/>
      <c r="B594" s="253"/>
      <c r="C594" s="278" t="s">
        <v>138</v>
      </c>
      <c r="D594" s="253" t="s">
        <v>173</v>
      </c>
      <c r="E594" s="62"/>
      <c r="F594" s="62"/>
      <c r="G594" s="253"/>
      <c r="H594" s="277">
        <f>(H584*$E$584)/1000</f>
        <v>0</v>
      </c>
      <c r="I594" s="277">
        <f t="shared" ref="I594:S594" si="258">(I584*$E$584)/1000</f>
        <v>0</v>
      </c>
      <c r="J594" s="277">
        <f t="shared" si="258"/>
        <v>0</v>
      </c>
      <c r="K594" s="277">
        <f t="shared" si="258"/>
        <v>0</v>
      </c>
      <c r="L594" s="277">
        <f t="shared" si="258"/>
        <v>0</v>
      </c>
      <c r="M594" s="277">
        <f t="shared" si="258"/>
        <v>0</v>
      </c>
      <c r="N594" s="277">
        <f t="shared" si="258"/>
        <v>0</v>
      </c>
      <c r="O594" s="277">
        <f t="shared" si="258"/>
        <v>0</v>
      </c>
      <c r="P594" s="277">
        <f t="shared" si="258"/>
        <v>0</v>
      </c>
      <c r="Q594" s="277">
        <f t="shared" si="258"/>
        <v>0</v>
      </c>
      <c r="R594" s="277">
        <f t="shared" si="258"/>
        <v>0</v>
      </c>
      <c r="S594" s="277">
        <f t="shared" si="258"/>
        <v>0</v>
      </c>
      <c r="T594" s="277">
        <f t="shared" si="256"/>
        <v>0</v>
      </c>
      <c r="U594" s="277"/>
      <c r="V594" s="277"/>
      <c r="W594" s="215"/>
    </row>
    <row r="595" spans="1:23" hidden="1">
      <c r="A595" s="253"/>
      <c r="B595" s="253"/>
      <c r="C595" s="278" t="s">
        <v>533</v>
      </c>
      <c r="D595" s="253" t="s">
        <v>173</v>
      </c>
      <c r="E595" s="253"/>
      <c r="F595" s="253"/>
      <c r="G595" s="253"/>
      <c r="H595" s="277">
        <f>H585*$E$585/1000</f>
        <v>0</v>
      </c>
      <c r="I595" s="277">
        <f t="shared" ref="I595:S595" si="259">I585*$E$585/1000</f>
        <v>0</v>
      </c>
      <c r="J595" s="277">
        <f t="shared" si="259"/>
        <v>0</v>
      </c>
      <c r="K595" s="277">
        <f t="shared" si="259"/>
        <v>0</v>
      </c>
      <c r="L595" s="277">
        <f t="shared" si="259"/>
        <v>0</v>
      </c>
      <c r="M595" s="277">
        <f t="shared" si="259"/>
        <v>0</v>
      </c>
      <c r="N595" s="277">
        <f t="shared" si="259"/>
        <v>0</v>
      </c>
      <c r="O595" s="277">
        <f t="shared" si="259"/>
        <v>0</v>
      </c>
      <c r="P595" s="277">
        <f t="shared" si="259"/>
        <v>0</v>
      </c>
      <c r="Q595" s="277">
        <f t="shared" si="259"/>
        <v>0</v>
      </c>
      <c r="R595" s="277">
        <f t="shared" si="259"/>
        <v>0</v>
      </c>
      <c r="S595" s="277">
        <f t="shared" si="259"/>
        <v>0</v>
      </c>
      <c r="T595" s="277">
        <f t="shared" si="256"/>
        <v>0</v>
      </c>
      <c r="U595" s="277"/>
      <c r="V595" s="277"/>
      <c r="W595" s="215"/>
    </row>
    <row r="596" spans="1:23" hidden="1">
      <c r="A596" s="253"/>
      <c r="B596" s="253"/>
      <c r="C596" s="60" t="s">
        <v>101</v>
      </c>
      <c r="D596" s="253" t="s">
        <v>173</v>
      </c>
      <c r="E596" s="253"/>
      <c r="F596" s="253"/>
      <c r="G596" s="253"/>
      <c r="H596" s="277">
        <f>H586*$E586/1000</f>
        <v>0</v>
      </c>
      <c r="I596" s="277">
        <f t="shared" ref="I596:S596" si="260">I586*$E586/1000</f>
        <v>0</v>
      </c>
      <c r="J596" s="277">
        <f t="shared" si="260"/>
        <v>0</v>
      </c>
      <c r="K596" s="277">
        <f t="shared" si="260"/>
        <v>0</v>
      </c>
      <c r="L596" s="277">
        <f t="shared" si="260"/>
        <v>0</v>
      </c>
      <c r="M596" s="277">
        <f t="shared" si="260"/>
        <v>0</v>
      </c>
      <c r="N596" s="277">
        <f t="shared" si="260"/>
        <v>0</v>
      </c>
      <c r="O596" s="277">
        <f t="shared" si="260"/>
        <v>0</v>
      </c>
      <c r="P596" s="277">
        <f t="shared" si="260"/>
        <v>0</v>
      </c>
      <c r="Q596" s="277">
        <f t="shared" si="260"/>
        <v>0</v>
      </c>
      <c r="R596" s="277">
        <f t="shared" si="260"/>
        <v>0</v>
      </c>
      <c r="S596" s="277">
        <f t="shared" si="260"/>
        <v>0</v>
      </c>
      <c r="T596" s="277">
        <f t="shared" si="256"/>
        <v>0</v>
      </c>
      <c r="U596" s="277"/>
      <c r="V596" s="277"/>
      <c r="W596" s="215"/>
    </row>
    <row r="597" spans="1:23" hidden="1">
      <c r="A597" s="253"/>
      <c r="B597" s="253"/>
      <c r="C597" s="282" t="s">
        <v>25</v>
      </c>
      <c r="D597" s="253"/>
      <c r="E597" s="253"/>
      <c r="F597" s="253"/>
      <c r="G597" s="253"/>
      <c r="H597" s="277">
        <f>SUM(H594:H596)</f>
        <v>0</v>
      </c>
      <c r="I597" s="277">
        <f t="shared" ref="I597:S597" si="261">SUM(I594:I595)</f>
        <v>0</v>
      </c>
      <c r="J597" s="277">
        <f t="shared" si="261"/>
        <v>0</v>
      </c>
      <c r="K597" s="277">
        <f t="shared" si="261"/>
        <v>0</v>
      </c>
      <c r="L597" s="277">
        <f t="shared" si="261"/>
        <v>0</v>
      </c>
      <c r="M597" s="277">
        <f t="shared" si="261"/>
        <v>0</v>
      </c>
      <c r="N597" s="277">
        <f t="shared" si="261"/>
        <v>0</v>
      </c>
      <c r="O597" s="277">
        <f t="shared" si="261"/>
        <v>0</v>
      </c>
      <c r="P597" s="277">
        <f t="shared" si="261"/>
        <v>0</v>
      </c>
      <c r="Q597" s="277">
        <f t="shared" si="261"/>
        <v>0</v>
      </c>
      <c r="R597" s="277">
        <f t="shared" si="261"/>
        <v>0</v>
      </c>
      <c r="S597" s="277">
        <f t="shared" si="261"/>
        <v>0</v>
      </c>
      <c r="T597" s="277">
        <f t="shared" si="256"/>
        <v>0</v>
      </c>
      <c r="U597" s="277"/>
      <c r="V597" s="277"/>
      <c r="W597" s="215"/>
    </row>
    <row r="598" spans="1:23" hidden="1">
      <c r="A598" s="253"/>
      <c r="B598" s="62"/>
      <c r="C598" s="237" t="s">
        <v>538</v>
      </c>
      <c r="D598" s="62" t="s">
        <v>173</v>
      </c>
      <c r="E598" s="253"/>
      <c r="F598" s="253"/>
      <c r="G598" s="253"/>
      <c r="H598" s="277">
        <f>SUM(H594:H596)</f>
        <v>0</v>
      </c>
      <c r="I598" s="277">
        <f t="shared" ref="I598:S598" si="262">SUM(I594:I596)</f>
        <v>0</v>
      </c>
      <c r="J598" s="277">
        <f t="shared" si="262"/>
        <v>0</v>
      </c>
      <c r="K598" s="277">
        <f t="shared" si="262"/>
        <v>0</v>
      </c>
      <c r="L598" s="277">
        <f t="shared" si="262"/>
        <v>0</v>
      </c>
      <c r="M598" s="277">
        <f t="shared" si="262"/>
        <v>0</v>
      </c>
      <c r="N598" s="277">
        <f t="shared" si="262"/>
        <v>0</v>
      </c>
      <c r="O598" s="277">
        <f t="shared" si="262"/>
        <v>0</v>
      </c>
      <c r="P598" s="277">
        <f t="shared" si="262"/>
        <v>0</v>
      </c>
      <c r="Q598" s="277">
        <f t="shared" si="262"/>
        <v>0</v>
      </c>
      <c r="R598" s="277">
        <f t="shared" si="262"/>
        <v>0</v>
      </c>
      <c r="S598" s="277">
        <f t="shared" si="262"/>
        <v>0</v>
      </c>
      <c r="T598" s="279">
        <f t="shared" si="256"/>
        <v>0</v>
      </c>
      <c r="U598" s="277"/>
      <c r="V598" s="786" t="e">
        <f>V587/T598</f>
        <v>#DIV/0!</v>
      </c>
      <c r="W598" s="215"/>
    </row>
    <row r="599" spans="1:23" hidden="1">
      <c r="A599" s="253"/>
      <c r="B599" s="253"/>
      <c r="C599" s="237" t="s">
        <v>345</v>
      </c>
      <c r="D599" s="62" t="s">
        <v>173</v>
      </c>
      <c r="E599" s="253"/>
      <c r="F599" s="253"/>
      <c r="G599" s="253"/>
      <c r="H599" s="277">
        <f>H588*[2]ข้อมูลการใช้พลังงานปี2550!$T$524</f>
        <v>0</v>
      </c>
      <c r="I599" s="277">
        <f>I588*[2]ข้อมูลการใช้พลังงานปี2550!$T$524</f>
        <v>0</v>
      </c>
      <c r="J599" s="277">
        <f>J588*[2]ข้อมูลการใช้พลังงานปี2550!$T$524</f>
        <v>0</v>
      </c>
      <c r="K599" s="277">
        <f>K588*[2]ข้อมูลการใช้พลังงานปี2550!$T$524</f>
        <v>0</v>
      </c>
      <c r="L599" s="277">
        <f>L588*[2]ข้อมูลการใช้พลังงานปี2550!$T$524</f>
        <v>0</v>
      </c>
      <c r="M599" s="277">
        <f>M588*[2]ข้อมูลการใช้พลังงานปี2550!$T$524</f>
        <v>0</v>
      </c>
      <c r="N599" s="277">
        <f>N588*[2]ข้อมูลการใช้พลังงานปี2550!$T$524</f>
        <v>0</v>
      </c>
      <c r="O599" s="277">
        <f>O588*[2]ข้อมูลการใช้พลังงานปี2550!$T$524</f>
        <v>0</v>
      </c>
      <c r="P599" s="277">
        <f>P588*[2]ข้อมูลการใช้พลังงานปี2550!$T$524</f>
        <v>0</v>
      </c>
      <c r="Q599" s="277">
        <f>Q588*[2]ข้อมูลการใช้พลังงานปี2550!$T$524</f>
        <v>0</v>
      </c>
      <c r="R599" s="277">
        <f>R588*[2]ข้อมูลการใช้พลังงานปี2550!$T$524</f>
        <v>0</v>
      </c>
      <c r="S599" s="277">
        <f>S588*[2]ข้อมูลการใช้พลังงานปี2550!$T$524</f>
        <v>0</v>
      </c>
      <c r="T599" s="277">
        <f>T588*[2]ข้อมูลการใช้พลังงานปี2550!$T$524</f>
        <v>0</v>
      </c>
      <c r="U599" s="277"/>
      <c r="V599" s="271" t="s">
        <v>158</v>
      </c>
      <c r="W599" s="215"/>
    </row>
    <row r="600" spans="1:23" hidden="1">
      <c r="A600" s="253"/>
      <c r="B600" s="243" t="s">
        <v>174</v>
      </c>
      <c r="C600" s="244" t="s">
        <v>138</v>
      </c>
      <c r="D600" s="243" t="s">
        <v>347</v>
      </c>
      <c r="E600" s="243"/>
      <c r="F600" s="243"/>
      <c r="G600" s="253"/>
      <c r="H600" s="362" t="e">
        <f t="shared" ref="H600:T600" si="263">H594/H588</f>
        <v>#DIV/0!</v>
      </c>
      <c r="I600" s="362" t="e">
        <f t="shared" si="263"/>
        <v>#DIV/0!</v>
      </c>
      <c r="J600" s="362" t="e">
        <f t="shared" si="263"/>
        <v>#DIV/0!</v>
      </c>
      <c r="K600" s="362" t="e">
        <f t="shared" si="263"/>
        <v>#DIV/0!</v>
      </c>
      <c r="L600" s="362" t="e">
        <f t="shared" si="263"/>
        <v>#DIV/0!</v>
      </c>
      <c r="M600" s="362" t="e">
        <f t="shared" si="263"/>
        <v>#DIV/0!</v>
      </c>
      <c r="N600" s="362" t="e">
        <f t="shared" si="263"/>
        <v>#DIV/0!</v>
      </c>
      <c r="O600" s="362" t="e">
        <f t="shared" si="263"/>
        <v>#DIV/0!</v>
      </c>
      <c r="P600" s="362" t="e">
        <f t="shared" si="263"/>
        <v>#DIV/0!</v>
      </c>
      <c r="Q600" s="362" t="e">
        <f t="shared" si="263"/>
        <v>#DIV/0!</v>
      </c>
      <c r="R600" s="362" t="e">
        <f t="shared" si="263"/>
        <v>#DIV/0!</v>
      </c>
      <c r="S600" s="362" t="e">
        <f t="shared" si="263"/>
        <v>#DIV/0!</v>
      </c>
      <c r="T600" s="362" t="e">
        <f t="shared" si="263"/>
        <v>#DIV/0!</v>
      </c>
      <c r="U600" s="246"/>
      <c r="V600" s="246"/>
      <c r="W600" s="215"/>
    </row>
    <row r="601" spans="1:23" hidden="1">
      <c r="A601" s="253"/>
      <c r="B601" s="243"/>
      <c r="C601" s="244" t="s">
        <v>533</v>
      </c>
      <c r="D601" s="243" t="s">
        <v>347</v>
      </c>
      <c r="E601" s="243"/>
      <c r="F601" s="243"/>
      <c r="G601" s="253"/>
      <c r="H601" s="362" t="e">
        <f t="shared" ref="H601:T601" si="264">H595/H588</f>
        <v>#DIV/0!</v>
      </c>
      <c r="I601" s="362" t="e">
        <f t="shared" si="264"/>
        <v>#DIV/0!</v>
      </c>
      <c r="J601" s="362" t="e">
        <f t="shared" si="264"/>
        <v>#DIV/0!</v>
      </c>
      <c r="K601" s="362" t="e">
        <f t="shared" si="264"/>
        <v>#DIV/0!</v>
      </c>
      <c r="L601" s="362" t="e">
        <f t="shared" si="264"/>
        <v>#DIV/0!</v>
      </c>
      <c r="M601" s="362" t="e">
        <f t="shared" si="264"/>
        <v>#DIV/0!</v>
      </c>
      <c r="N601" s="362" t="e">
        <f t="shared" si="264"/>
        <v>#DIV/0!</v>
      </c>
      <c r="O601" s="362" t="e">
        <f t="shared" si="264"/>
        <v>#DIV/0!</v>
      </c>
      <c r="P601" s="362" t="e">
        <f t="shared" si="264"/>
        <v>#DIV/0!</v>
      </c>
      <c r="Q601" s="362" t="e">
        <f t="shared" si="264"/>
        <v>#DIV/0!</v>
      </c>
      <c r="R601" s="362" t="e">
        <f t="shared" si="264"/>
        <v>#DIV/0!</v>
      </c>
      <c r="S601" s="362" t="e">
        <f t="shared" si="264"/>
        <v>#DIV/0!</v>
      </c>
      <c r="T601" s="362" t="e">
        <f t="shared" si="264"/>
        <v>#DIV/0!</v>
      </c>
      <c r="U601" s="246"/>
      <c r="V601" s="246"/>
      <c r="W601" s="215"/>
    </row>
    <row r="602" spans="1:23" hidden="1">
      <c r="A602" s="253"/>
      <c r="B602" s="243"/>
      <c r="C602" s="244" t="s">
        <v>101</v>
      </c>
      <c r="D602" s="243" t="s">
        <v>347</v>
      </c>
      <c r="E602" s="243"/>
      <c r="F602" s="243"/>
      <c r="G602" s="253"/>
      <c r="H602" s="362" t="e">
        <f t="shared" ref="H602:T602" si="265">H596/H588</f>
        <v>#DIV/0!</v>
      </c>
      <c r="I602" s="362" t="e">
        <f t="shared" si="265"/>
        <v>#DIV/0!</v>
      </c>
      <c r="J602" s="362" t="e">
        <f t="shared" si="265"/>
        <v>#DIV/0!</v>
      </c>
      <c r="K602" s="362" t="e">
        <f t="shared" si="265"/>
        <v>#DIV/0!</v>
      </c>
      <c r="L602" s="362" t="e">
        <f t="shared" si="265"/>
        <v>#DIV/0!</v>
      </c>
      <c r="M602" s="362" t="e">
        <f t="shared" si="265"/>
        <v>#DIV/0!</v>
      </c>
      <c r="N602" s="362" t="e">
        <f t="shared" si="265"/>
        <v>#DIV/0!</v>
      </c>
      <c r="O602" s="362" t="e">
        <f t="shared" si="265"/>
        <v>#DIV/0!</v>
      </c>
      <c r="P602" s="362" t="e">
        <f t="shared" si="265"/>
        <v>#DIV/0!</v>
      </c>
      <c r="Q602" s="362" t="e">
        <f t="shared" si="265"/>
        <v>#DIV/0!</v>
      </c>
      <c r="R602" s="362" t="e">
        <f t="shared" si="265"/>
        <v>#DIV/0!</v>
      </c>
      <c r="S602" s="362" t="e">
        <f t="shared" si="265"/>
        <v>#DIV/0!</v>
      </c>
      <c r="T602" s="362" t="e">
        <f t="shared" si="265"/>
        <v>#DIV/0!</v>
      </c>
      <c r="U602" s="246"/>
      <c r="V602" s="246"/>
      <c r="W602" s="215"/>
    </row>
    <row r="603" spans="1:23" hidden="1">
      <c r="A603" s="253"/>
      <c r="B603" s="243"/>
      <c r="C603" s="243" t="s">
        <v>539</v>
      </c>
      <c r="D603" s="243" t="s">
        <v>347</v>
      </c>
      <c r="E603" s="243"/>
      <c r="F603" s="243"/>
      <c r="G603" s="253"/>
      <c r="H603" s="362" t="e">
        <f t="shared" ref="H603:T603" si="266">H597/H588</f>
        <v>#DIV/0!</v>
      </c>
      <c r="I603" s="362" t="e">
        <f t="shared" si="266"/>
        <v>#DIV/0!</v>
      </c>
      <c r="J603" s="362" t="e">
        <f t="shared" si="266"/>
        <v>#DIV/0!</v>
      </c>
      <c r="K603" s="362" t="e">
        <f t="shared" si="266"/>
        <v>#DIV/0!</v>
      </c>
      <c r="L603" s="362" t="e">
        <f t="shared" si="266"/>
        <v>#DIV/0!</v>
      </c>
      <c r="M603" s="362" t="e">
        <f t="shared" si="266"/>
        <v>#DIV/0!</v>
      </c>
      <c r="N603" s="362" t="e">
        <f t="shared" si="266"/>
        <v>#DIV/0!</v>
      </c>
      <c r="O603" s="362" t="e">
        <f t="shared" si="266"/>
        <v>#DIV/0!</v>
      </c>
      <c r="P603" s="362" t="e">
        <f t="shared" si="266"/>
        <v>#DIV/0!</v>
      </c>
      <c r="Q603" s="362" t="e">
        <f t="shared" si="266"/>
        <v>#DIV/0!</v>
      </c>
      <c r="R603" s="362" t="e">
        <f t="shared" si="266"/>
        <v>#DIV/0!</v>
      </c>
      <c r="S603" s="362" t="e">
        <f t="shared" si="266"/>
        <v>#DIV/0!</v>
      </c>
      <c r="T603" s="362" t="e">
        <f t="shared" si="266"/>
        <v>#DIV/0!</v>
      </c>
      <c r="U603" s="246"/>
      <c r="V603" s="246"/>
      <c r="W603" s="215"/>
    </row>
    <row r="604" spans="1:23" ht="23.25" hidden="1">
      <c r="A604" s="253"/>
      <c r="B604" s="243"/>
      <c r="C604" s="249" t="s">
        <v>540</v>
      </c>
      <c r="D604" s="243" t="s">
        <v>347</v>
      </c>
      <c r="E604" s="243"/>
      <c r="F604" s="243"/>
      <c r="G604" s="253"/>
      <c r="H604" s="362" t="e">
        <f t="shared" ref="H604:T604" si="267">H598/H588</f>
        <v>#DIV/0!</v>
      </c>
      <c r="I604" s="362" t="e">
        <f t="shared" si="267"/>
        <v>#DIV/0!</v>
      </c>
      <c r="J604" s="362" t="e">
        <f t="shared" si="267"/>
        <v>#DIV/0!</v>
      </c>
      <c r="K604" s="362" t="e">
        <f t="shared" si="267"/>
        <v>#DIV/0!</v>
      </c>
      <c r="L604" s="362" t="e">
        <f t="shared" si="267"/>
        <v>#DIV/0!</v>
      </c>
      <c r="M604" s="362" t="e">
        <f t="shared" si="267"/>
        <v>#DIV/0!</v>
      </c>
      <c r="N604" s="362" t="e">
        <f t="shared" si="267"/>
        <v>#DIV/0!</v>
      </c>
      <c r="O604" s="362" t="e">
        <f t="shared" si="267"/>
        <v>#DIV/0!</v>
      </c>
      <c r="P604" s="362" t="e">
        <f t="shared" si="267"/>
        <v>#DIV/0!</v>
      </c>
      <c r="Q604" s="362" t="e">
        <f t="shared" si="267"/>
        <v>#DIV/0!</v>
      </c>
      <c r="R604" s="362" t="e">
        <f t="shared" si="267"/>
        <v>#DIV/0!</v>
      </c>
      <c r="S604" s="362" t="e">
        <f t="shared" si="267"/>
        <v>#DIV/0!</v>
      </c>
      <c r="T604" s="398" t="e">
        <f t="shared" si="267"/>
        <v>#DIV/0!</v>
      </c>
      <c r="U604" s="246"/>
      <c r="V604" s="246"/>
      <c r="W604" s="215"/>
    </row>
    <row r="605" spans="1:23" hidden="1">
      <c r="A605" s="253"/>
      <c r="B605" s="243"/>
      <c r="C605" s="249" t="s">
        <v>541</v>
      </c>
      <c r="D605" s="243"/>
      <c r="E605" s="243"/>
      <c r="F605" s="243"/>
      <c r="G605" s="253"/>
      <c r="H605" s="251" t="e">
        <f>H604/[2]ข้อมูลการใช้พลังงานปี2550!$T$524*100</f>
        <v>#DIV/0!</v>
      </c>
      <c r="I605" s="251" t="e">
        <f>I604/[2]ข้อมูลการใช้พลังงานปี2550!$T$524*100</f>
        <v>#DIV/0!</v>
      </c>
      <c r="J605" s="251" t="e">
        <f>J604/[2]ข้อมูลการใช้พลังงานปี2550!$T$524*100</f>
        <v>#DIV/0!</v>
      </c>
      <c r="K605" s="251" t="e">
        <f>K604/[2]ข้อมูลการใช้พลังงานปี2550!$T$524*100</f>
        <v>#DIV/0!</v>
      </c>
      <c r="L605" s="251" t="e">
        <f>L604/[2]ข้อมูลการใช้พลังงานปี2550!$T$524*100</f>
        <v>#DIV/0!</v>
      </c>
      <c r="M605" s="251" t="e">
        <f>M604/[2]ข้อมูลการใช้พลังงานปี2550!$T$524*100</f>
        <v>#DIV/0!</v>
      </c>
      <c r="N605" s="251" t="e">
        <f>N604/[2]ข้อมูลการใช้พลังงานปี2550!$T$524*100</f>
        <v>#DIV/0!</v>
      </c>
      <c r="O605" s="251" t="e">
        <f>O604/[2]ข้อมูลการใช้พลังงานปี2550!$T$524*100</f>
        <v>#DIV/0!</v>
      </c>
      <c r="P605" s="251" t="e">
        <f>P604/[2]ข้อมูลการใช้พลังงานปี2550!$T$524*100</f>
        <v>#DIV/0!</v>
      </c>
      <c r="Q605" s="251" t="e">
        <f>Q604/[2]ข้อมูลการใช้พลังงานปี2550!$T$524*100</f>
        <v>#DIV/0!</v>
      </c>
      <c r="R605" s="251" t="e">
        <f>R604/[2]ข้อมูลการใช้พลังงานปี2550!$T$524*100</f>
        <v>#DIV/0!</v>
      </c>
      <c r="S605" s="251" t="e">
        <f>S604/[2]ข้อมูลการใช้พลังงานปี2550!$T$524*100</f>
        <v>#DIV/0!</v>
      </c>
      <c r="T605" s="251" t="e">
        <f>T604/[2]ข้อมูลการใช้พลังงานปี2550!$T$524*100</f>
        <v>#DIV/0!</v>
      </c>
      <c r="U605" s="246"/>
      <c r="V605" s="246"/>
      <c r="W605" s="215"/>
    </row>
    <row r="606" spans="1:23" hidden="1">
      <c r="A606" s="62"/>
      <c r="B606" s="62"/>
      <c r="C606" s="237" t="s">
        <v>542</v>
      </c>
      <c r="D606" s="237"/>
      <c r="E606" s="62"/>
      <c r="F606" s="62"/>
      <c r="G606" s="62"/>
      <c r="H606" s="262">
        <f t="shared" ref="H606:S607" si="268">H546+H557+H568+H578</f>
        <v>8733.578414399999</v>
      </c>
      <c r="I606" s="262">
        <f t="shared" si="268"/>
        <v>7997.92265160028</v>
      </c>
      <c r="J606" s="262">
        <f t="shared" si="268"/>
        <v>9091.6196724000001</v>
      </c>
      <c r="K606" s="262">
        <f t="shared" si="268"/>
        <v>8753.3289720000012</v>
      </c>
      <c r="L606" s="262">
        <f t="shared" si="268"/>
        <v>9209.3910551999998</v>
      </c>
      <c r="M606" s="262">
        <f t="shared" si="268"/>
        <v>8138.0902823999995</v>
      </c>
      <c r="N606" s="262">
        <f t="shared" si="268"/>
        <v>8645.6664143999988</v>
      </c>
      <c r="O606" s="262">
        <f t="shared" si="268"/>
        <v>9076.7925972000012</v>
      </c>
      <c r="P606" s="262">
        <f t="shared" si="268"/>
        <v>10417.097116800001</v>
      </c>
      <c r="Q606" s="262">
        <f t="shared" si="268"/>
        <v>10826.265600000001</v>
      </c>
      <c r="R606" s="262">
        <f t="shared" si="268"/>
        <v>10349.897238000001</v>
      </c>
      <c r="S606" s="262">
        <f t="shared" si="268"/>
        <v>10539.758959199999</v>
      </c>
      <c r="T606" s="263">
        <f>SUM(H606:S606)</f>
        <v>111779.40897360029</v>
      </c>
      <c r="U606" s="225"/>
      <c r="V606" s="225"/>
      <c r="W606" s="215"/>
    </row>
    <row r="607" spans="1:23" hidden="1">
      <c r="A607" s="62"/>
      <c r="B607" s="62"/>
      <c r="C607" s="237" t="s">
        <v>543</v>
      </c>
      <c r="D607" s="62"/>
      <c r="E607" s="62"/>
      <c r="F607" s="62"/>
      <c r="G607" s="62"/>
      <c r="H607" s="262">
        <f t="shared" si="268"/>
        <v>8923.3046561343235</v>
      </c>
      <c r="I607" s="262">
        <f t="shared" si="268"/>
        <v>8071.9685582042794</v>
      </c>
      <c r="J607" s="262">
        <f t="shared" si="268"/>
        <v>8946.2791139925193</v>
      </c>
      <c r="K607" s="262">
        <f t="shared" si="268"/>
        <v>8580.1324715051014</v>
      </c>
      <c r="L607" s="262">
        <f t="shared" si="268"/>
        <v>8938.7844853710976</v>
      </c>
      <c r="M607" s="262">
        <f t="shared" si="268"/>
        <v>8008.6747220582693</v>
      </c>
      <c r="N607" s="262">
        <f t="shared" si="268"/>
        <v>8278.5353920744874</v>
      </c>
      <c r="O607" s="262">
        <f t="shared" si="268"/>
        <v>8942.3933350835268</v>
      </c>
      <c r="P607" s="262">
        <f t="shared" si="268"/>
        <v>9675.6280825625163</v>
      </c>
      <c r="Q607" s="262">
        <f t="shared" si="268"/>
        <v>10048.297952429337</v>
      </c>
      <c r="R607" s="262">
        <f t="shared" si="268"/>
        <v>9660.6533118043244</v>
      </c>
      <c r="S607" s="262">
        <f t="shared" si="268"/>
        <v>10017.954250840954</v>
      </c>
      <c r="T607" s="263">
        <f>SUM(H607:S607)</f>
        <v>108092.60633206074</v>
      </c>
      <c r="U607" s="254"/>
      <c r="V607" s="225"/>
      <c r="W607" s="215"/>
    </row>
    <row r="608" spans="1:23" hidden="1">
      <c r="A608" s="62"/>
      <c r="B608" s="62"/>
      <c r="C608" s="237" t="s">
        <v>544</v>
      </c>
      <c r="D608" s="62"/>
      <c r="E608" s="62"/>
      <c r="F608" s="62"/>
      <c r="G608" s="62"/>
      <c r="H608" s="262">
        <f>H606/H607*100</f>
        <v>97.873811899900815</v>
      </c>
      <c r="I608" s="262">
        <f t="shared" ref="I608:T608" si="269">I606/I607*100</f>
        <v>99.08267845606585</v>
      </c>
      <c r="J608" s="262">
        <f t="shared" si="269"/>
        <v>101.62459226406384</v>
      </c>
      <c r="K608" s="262">
        <f t="shared" si="269"/>
        <v>102.01857606593012</v>
      </c>
      <c r="L608" s="262">
        <f t="shared" si="269"/>
        <v>103.02733073240292</v>
      </c>
      <c r="M608" s="262">
        <f t="shared" si="269"/>
        <v>101.61594227301156</v>
      </c>
      <c r="N608" s="262">
        <f t="shared" si="269"/>
        <v>104.43473398298191</v>
      </c>
      <c r="O608" s="262">
        <f t="shared" si="269"/>
        <v>101.50294509624385</v>
      </c>
      <c r="P608" s="262">
        <f t="shared" si="269"/>
        <v>107.66326514320828</v>
      </c>
      <c r="Q608" s="262">
        <f t="shared" si="269"/>
        <v>107.74228283490119</v>
      </c>
      <c r="R608" s="262">
        <f t="shared" si="269"/>
        <v>107.1345477779799</v>
      </c>
      <c r="S608" s="262">
        <f t="shared" si="269"/>
        <v>105.20869526146261</v>
      </c>
      <c r="T608" s="262">
        <f t="shared" si="269"/>
        <v>103.41078152025838</v>
      </c>
      <c r="U608" s="254"/>
      <c r="V608" s="225"/>
      <c r="W608" s="215"/>
    </row>
    <row r="609" spans="1:29" hidden="1">
      <c r="A609" s="62"/>
      <c r="B609" s="62"/>
      <c r="C609" s="237" t="s">
        <v>545</v>
      </c>
      <c r="D609" s="62"/>
      <c r="E609" s="62"/>
      <c r="F609" s="62"/>
      <c r="G609" s="62"/>
      <c r="H609" s="825">
        <f>H608</f>
        <v>97.873811899900815</v>
      </c>
      <c r="I609" s="825">
        <f>(H606+I606)/(H607+I607)*100</f>
        <v>98.447967590684087</v>
      </c>
      <c r="J609" s="825">
        <f>(H606+I606+J606)/(H607+I607+J607)*100</f>
        <v>99.543467605824432</v>
      </c>
      <c r="K609" s="825">
        <f>(H606+I606+J606+K606)/(H607+I607+J607+K607)*100</f>
        <v>100.15863915936201</v>
      </c>
      <c r="L609" s="825">
        <f>(H606+I606+J606+K606+L606)/(H607+I607+J607+K607+L607)*100</f>
        <v>100.74866076170905</v>
      </c>
      <c r="M609" s="825">
        <f>(H606+I606+J606+K606+L606+M606)/(H607+I607+J607+K607+L607+M607)*100</f>
        <v>100.88361104406651</v>
      </c>
      <c r="N609" s="825">
        <f>(H606+I606+J606+K606+L606+M606+N606)/(H607+I607+J607+K607+L607+M607+N607)*100</f>
        <v>101.37564851275091</v>
      </c>
      <c r="O609" s="825">
        <f>(H606+I606+J606+K606+L606+M606+N606+O606)/(H607+I607+J607+K607+L607+M607+N607+O607)*100</f>
        <v>101.39222057439667</v>
      </c>
      <c r="P609" s="825">
        <f>(H606+I606+J606+K606+L606+M606+N606+O606+P606)/(H607+I607+J607+K607+L607+M607+N607+O607+P607)*100</f>
        <v>102.16649164330087</v>
      </c>
      <c r="Q609" s="825">
        <f>(H606+I606+J606+K606+L606+N606+M606+O606+P606+Q606)/(H607+I607+J607+K607+L607+M607+N607+O607+P607+Q607)*100</f>
        <v>102.80018327577469</v>
      </c>
      <c r="R609" s="825">
        <f>(H606+I606+J606+K606+L606+M606+N606+O606+P606+Q606+R606)/(H607+I607+J607+K607+M607+L607+N607+O607+P607+Q607+R607)*100</f>
        <v>103.22713144122035</v>
      </c>
      <c r="S609" s="825">
        <f>(H606+I606+J606+K606+L606+M606+N606+O606+P606+Q606+R606+S606)/(H607+I607+J607+K607+L607+M607+N607+O607+P607+Q607+R607+S607)*100</f>
        <v>103.41078152025838</v>
      </c>
      <c r="T609" s="399">
        <f>T606/T607*100</f>
        <v>103.41078152025838</v>
      </c>
      <c r="U609" s="254"/>
      <c r="V609" s="225"/>
    </row>
    <row r="610" spans="1:29" hidden="1">
      <c r="A610" s="229"/>
      <c r="B610" s="229"/>
      <c r="C610" s="400"/>
      <c r="D610" s="229"/>
      <c r="E610" s="229"/>
      <c r="F610" s="229"/>
      <c r="G610" s="229"/>
      <c r="H610" s="401"/>
      <c r="I610" s="402"/>
      <c r="J610" s="402"/>
      <c r="K610" s="402"/>
      <c r="L610" s="402"/>
      <c r="M610" s="402"/>
      <c r="N610" s="402"/>
      <c r="O610" s="402"/>
      <c r="P610" s="402"/>
      <c r="Q610" s="402"/>
      <c r="R610" s="402"/>
      <c r="S610" s="402"/>
      <c r="T610" s="403"/>
      <c r="U610" s="254"/>
      <c r="V610" s="225"/>
    </row>
    <row r="611" spans="1:29" hidden="1">
      <c r="A611" s="229">
        <v>22</v>
      </c>
      <c r="B611" s="266" t="s">
        <v>132</v>
      </c>
      <c r="C611" s="404" t="s">
        <v>138</v>
      </c>
      <c r="D611" s="229" t="s">
        <v>90</v>
      </c>
      <c r="E611" s="61">
        <f>'[2]Price&amp;Heating-Value'!$R$6</f>
        <v>3.6</v>
      </c>
      <c r="F611" s="229"/>
      <c r="G611" s="324">
        <f>'[2]Price&amp;Heating-Value'!$P$6</f>
        <v>2.7124999999999999</v>
      </c>
      <c r="H611" s="275">
        <v>115960</v>
      </c>
      <c r="I611" s="275">
        <v>99060</v>
      </c>
      <c r="J611" s="275">
        <v>116636</v>
      </c>
      <c r="K611" s="275">
        <v>117520</v>
      </c>
      <c r="L611" s="275">
        <v>120900</v>
      </c>
      <c r="M611" s="275">
        <v>107588</v>
      </c>
      <c r="N611" s="275">
        <v>123188.03</v>
      </c>
      <c r="O611" s="275">
        <v>118212</v>
      </c>
      <c r="P611" s="275">
        <v>119236</v>
      </c>
      <c r="Q611" s="275">
        <v>121888</v>
      </c>
      <c r="R611" s="275">
        <v>122408</v>
      </c>
      <c r="S611" s="275">
        <v>141908</v>
      </c>
      <c r="T611" s="275">
        <f>SUM(H611:S611)</f>
        <v>1424504.03</v>
      </c>
      <c r="U611" s="225">
        <f>T611*E611</f>
        <v>5128214.5080000004</v>
      </c>
      <c r="V611" s="225">
        <f>G611*T611</f>
        <v>3863967.1813750002</v>
      </c>
      <c r="W611" s="227">
        <f>'[2]Price&amp;Heating-Value'!D$6</f>
        <v>2.4500000000000002</v>
      </c>
      <c r="X611" s="227">
        <f>'[2]Price&amp;Heating-Value'!E$6</f>
        <v>2.54</v>
      </c>
      <c r="Y611" s="227">
        <f>'[2]Price&amp;Heating-Value'!F$6</f>
        <v>2.58</v>
      </c>
      <c r="Z611" s="227">
        <f>'[2]Price&amp;Heating-Value'!G$6</f>
        <v>2.67</v>
      </c>
      <c r="AA611" s="227">
        <f>'[2]Price&amp;Heating-Value'!H$6</f>
        <v>2.67</v>
      </c>
      <c r="AB611" s="227">
        <f>'[2]Price&amp;Heating-Value'!I$6</f>
        <v>2.67</v>
      </c>
      <c r="AC611" s="227">
        <f>'[2]Price&amp;Heating-Value'!J$6</f>
        <v>2.62</v>
      </c>
    </row>
    <row r="612" spans="1:29" hidden="1">
      <c r="A612" s="62"/>
      <c r="B612" s="62"/>
      <c r="C612" s="60" t="s">
        <v>550</v>
      </c>
      <c r="D612" s="62" t="s">
        <v>483</v>
      </c>
      <c r="E612" s="62">
        <f>'[2]Price&amp;Heating-Value'!$R$19/1000</f>
        <v>43.993000000000002</v>
      </c>
      <c r="F612" s="62"/>
      <c r="G612" s="371">
        <f>'[2]Price&amp;Heating-Value'!P19/1000</f>
        <v>5.9003324083333331</v>
      </c>
      <c r="H612" s="225">
        <f>60.06*1000</f>
        <v>60060</v>
      </c>
      <c r="I612" s="225">
        <f>50.051*1000</f>
        <v>50051</v>
      </c>
      <c r="J612" s="225">
        <f>61.285*1000</f>
        <v>61285</v>
      </c>
      <c r="K612" s="225">
        <f>53.863*1000</f>
        <v>53863</v>
      </c>
      <c r="L612" s="225">
        <f>54*1000</f>
        <v>54000</v>
      </c>
      <c r="M612" s="225">
        <f>49.296*1000</f>
        <v>49296</v>
      </c>
      <c r="N612" s="225">
        <f>54.267*1000</f>
        <v>54267</v>
      </c>
      <c r="O612" s="225">
        <f>61.727*1000</f>
        <v>61727</v>
      </c>
      <c r="P612" s="255">
        <f>56.502*1000</f>
        <v>56502</v>
      </c>
      <c r="Q612" s="225">
        <f>63*1000</f>
        <v>63000</v>
      </c>
      <c r="R612" s="225">
        <f>64.286*1000</f>
        <v>64286</v>
      </c>
      <c r="S612" s="225">
        <f>60*1000</f>
        <v>60000</v>
      </c>
      <c r="T612" s="225">
        <f>SUM(H612:S612)</f>
        <v>688337</v>
      </c>
      <c r="U612" s="225">
        <f>T612*E612</f>
        <v>30282009.641000003</v>
      </c>
      <c r="V612" s="225">
        <f>G612*T612</f>
        <v>4061417.1089549414</v>
      </c>
      <c r="W612" s="372">
        <f>'[2]Price&amp;Heating-Value'!D$19/1000</f>
        <v>5.3311999999999999</v>
      </c>
      <c r="X612" s="373">
        <f>'[2]Price&amp;Heating-Value'!E$19/1000</f>
        <v>5.3087400000000011</v>
      </c>
      <c r="Y612" s="373">
        <f>'[2]Price&amp;Heating-Value'!F$19/1000</f>
        <v>5.3071200000000003</v>
      </c>
      <c r="Z612" s="373">
        <f>'[2]Price&amp;Heating-Value'!G$19/1000</f>
        <v>5.3289600000000004</v>
      </c>
      <c r="AA612" s="373">
        <f>'[2]Price&amp;Heating-Value'!H$19/1000</f>
        <v>5.3113499999999991</v>
      </c>
      <c r="AB612" s="373">
        <f>'[2]Price&amp;Heating-Value'!I$19/1000</f>
        <v>5.3247999999999998</v>
      </c>
      <c r="AC612" s="373">
        <f>'[2]Price&amp;Heating-Value'!J$19/1000</f>
        <v>5.3135399999999997</v>
      </c>
    </row>
    <row r="613" spans="1:29" hidden="1">
      <c r="A613" s="62"/>
      <c r="B613" s="62"/>
      <c r="C613" s="60" t="s">
        <v>546</v>
      </c>
      <c r="D613" s="62" t="s">
        <v>121</v>
      </c>
      <c r="E613" s="309">
        <v>16210.0335</v>
      </c>
      <c r="F613" s="62"/>
      <c r="G613" s="371"/>
      <c r="H613" s="255">
        <v>0.501</v>
      </c>
      <c r="I613" s="255">
        <v>0.503</v>
      </c>
      <c r="J613" s="255">
        <v>0.67400000000000004</v>
      </c>
      <c r="K613" s="255">
        <v>0.626</v>
      </c>
      <c r="L613" s="255">
        <v>0.63500000000000001</v>
      </c>
      <c r="M613" s="255">
        <v>0.78400000000000003</v>
      </c>
      <c r="N613" s="255">
        <v>0.87</v>
      </c>
      <c r="O613" s="255">
        <v>0.749</v>
      </c>
      <c r="P613" s="255">
        <v>0.72099999999999997</v>
      </c>
      <c r="Q613" s="255">
        <v>0.79800000000000004</v>
      </c>
      <c r="R613" s="255">
        <v>0.79300000000000004</v>
      </c>
      <c r="S613" s="255">
        <v>0.98599999999999999</v>
      </c>
      <c r="T613" s="225"/>
      <c r="U613" s="225"/>
      <c r="V613" s="225"/>
      <c r="W613" s="373"/>
      <c r="X613" s="373"/>
      <c r="Y613" s="373"/>
      <c r="Z613" s="373"/>
      <c r="AA613" s="373"/>
      <c r="AB613" s="373"/>
      <c r="AC613" s="373"/>
    </row>
    <row r="614" spans="1:29" hidden="1">
      <c r="A614" s="62"/>
      <c r="B614" s="62"/>
      <c r="C614" s="60" t="s">
        <v>547</v>
      </c>
      <c r="D614" s="62" t="s">
        <v>121</v>
      </c>
      <c r="E614" s="62">
        <v>2732</v>
      </c>
      <c r="F614" s="62"/>
      <c r="G614" s="371"/>
      <c r="H614" s="225">
        <v>1648</v>
      </c>
      <c r="I614" s="225">
        <v>1456</v>
      </c>
      <c r="J614" s="225">
        <v>1735</v>
      </c>
      <c r="K614" s="225">
        <v>1559.45</v>
      </c>
      <c r="L614" s="225">
        <v>1927</v>
      </c>
      <c r="M614" s="225">
        <v>1350</v>
      </c>
      <c r="N614" s="225">
        <v>1363.39</v>
      </c>
      <c r="O614" s="225">
        <v>1395</v>
      </c>
      <c r="P614" s="225">
        <v>1350</v>
      </c>
      <c r="Q614" s="225">
        <v>1395</v>
      </c>
      <c r="R614" s="225">
        <v>1350</v>
      </c>
      <c r="S614" s="225">
        <v>1395</v>
      </c>
      <c r="T614" s="225"/>
      <c r="U614" s="225"/>
      <c r="V614" s="225"/>
      <c r="W614" s="373"/>
      <c r="X614" s="373"/>
      <c r="Y614" s="373"/>
      <c r="Z614" s="373"/>
      <c r="AA614" s="373"/>
      <c r="AB614" s="373"/>
      <c r="AC614" s="373"/>
    </row>
    <row r="615" spans="1:29" hidden="1">
      <c r="A615" s="62"/>
      <c r="B615" s="62"/>
      <c r="C615" s="60" t="s">
        <v>548</v>
      </c>
      <c r="D615" s="62" t="s">
        <v>121</v>
      </c>
      <c r="E615" s="62">
        <v>3180</v>
      </c>
      <c r="F615" s="62"/>
      <c r="G615" s="371"/>
      <c r="H615" s="225">
        <v>4807</v>
      </c>
      <c r="I615" s="225">
        <v>4249</v>
      </c>
      <c r="J615" s="225">
        <v>4860</v>
      </c>
      <c r="K615" s="225">
        <v>4260.92</v>
      </c>
      <c r="L615" s="225">
        <v>4608</v>
      </c>
      <c r="M615" s="225">
        <v>4698</v>
      </c>
      <c r="N615" s="225">
        <v>4407.75</v>
      </c>
      <c r="O615" s="225">
        <v>4490</v>
      </c>
      <c r="P615" s="225">
        <v>3623</v>
      </c>
      <c r="Q615" s="225">
        <v>3873</v>
      </c>
      <c r="R615" s="225">
        <v>3703</v>
      </c>
      <c r="S615" s="225">
        <v>4177</v>
      </c>
      <c r="T615" s="225"/>
      <c r="U615" s="225"/>
      <c r="V615" s="225"/>
      <c r="W615" s="373"/>
      <c r="X615" s="373"/>
      <c r="Y615" s="373"/>
      <c r="Z615" s="373"/>
      <c r="AA615" s="373"/>
      <c r="AB615" s="373"/>
      <c r="AC615" s="373"/>
    </row>
    <row r="616" spans="1:29" hidden="1">
      <c r="A616" s="253"/>
      <c r="B616" s="233"/>
      <c r="C616" s="234" t="s">
        <v>107</v>
      </c>
      <c r="D616" s="233" t="s">
        <v>147</v>
      </c>
      <c r="E616" s="233"/>
      <c r="F616" s="233"/>
      <c r="G616" s="253"/>
      <c r="H616" s="264">
        <v>2543.8000000000002</v>
      </c>
      <c r="I616" s="264">
        <v>2201.59</v>
      </c>
      <c r="J616" s="264">
        <v>2475.54</v>
      </c>
      <c r="K616" s="264">
        <v>2106.44</v>
      </c>
      <c r="L616" s="264">
        <v>2341.13</v>
      </c>
      <c r="M616" s="264">
        <v>2424</v>
      </c>
      <c r="N616" s="264">
        <v>2325.14</v>
      </c>
      <c r="O616" s="264">
        <v>2338.08</v>
      </c>
      <c r="P616" s="264">
        <v>2483.69</v>
      </c>
      <c r="Q616" s="264">
        <v>2451</v>
      </c>
      <c r="R616" s="264">
        <v>2479.7849999999999</v>
      </c>
      <c r="S616" s="264">
        <v>2435.5859999999998</v>
      </c>
      <c r="T616" s="236">
        <f>SUM(H616:S616)</f>
        <v>28605.780999999999</v>
      </c>
      <c r="U616" s="259"/>
      <c r="V616" s="785" t="e">
        <f>#REF!/T616</f>
        <v>#REF!</v>
      </c>
    </row>
    <row r="617" spans="1:29" hidden="1">
      <c r="A617" s="253"/>
      <c r="B617" s="253"/>
      <c r="C617" s="278" t="s">
        <v>138</v>
      </c>
      <c r="D617" s="253" t="s">
        <v>173</v>
      </c>
      <c r="E617" s="62"/>
      <c r="F617" s="62"/>
      <c r="G617" s="253"/>
      <c r="H617" s="277">
        <f t="shared" ref="H617:S621" si="270">H611*$E611/1000</f>
        <v>417.45600000000002</v>
      </c>
      <c r="I617" s="277">
        <f t="shared" si="270"/>
        <v>356.61599999999999</v>
      </c>
      <c r="J617" s="277">
        <f t="shared" si="270"/>
        <v>419.88960000000003</v>
      </c>
      <c r="K617" s="277">
        <f t="shared" si="270"/>
        <v>423.072</v>
      </c>
      <c r="L617" s="277">
        <f t="shared" si="270"/>
        <v>435.24</v>
      </c>
      <c r="M617" s="277">
        <f t="shared" si="270"/>
        <v>387.3168</v>
      </c>
      <c r="N617" s="277">
        <f t="shared" si="270"/>
        <v>443.47690799999998</v>
      </c>
      <c r="O617" s="277">
        <f t="shared" si="270"/>
        <v>425.56319999999999</v>
      </c>
      <c r="P617" s="277">
        <f t="shared" si="270"/>
        <v>429.24960000000004</v>
      </c>
      <c r="Q617" s="277">
        <f t="shared" si="270"/>
        <v>438.79679999999996</v>
      </c>
      <c r="R617" s="277">
        <f t="shared" si="270"/>
        <v>440.66879999999998</v>
      </c>
      <c r="S617" s="277">
        <f t="shared" si="270"/>
        <v>510.86879999999996</v>
      </c>
      <c r="T617" s="277">
        <f>SUM(H617:S617)</f>
        <v>5128.2145080000009</v>
      </c>
      <c r="U617" s="277"/>
      <c r="V617" s="277"/>
    </row>
    <row r="618" spans="1:29" hidden="1">
      <c r="A618" s="253"/>
      <c r="B618" s="253"/>
      <c r="C618" s="60" t="s">
        <v>550</v>
      </c>
      <c r="D618" s="253" t="s">
        <v>173</v>
      </c>
      <c r="E618" s="62"/>
      <c r="F618" s="62"/>
      <c r="G618" s="253"/>
      <c r="H618" s="277">
        <f t="shared" si="270"/>
        <v>2642.21958</v>
      </c>
      <c r="I618" s="277">
        <f t="shared" si="270"/>
        <v>2201.8936430000003</v>
      </c>
      <c r="J618" s="277">
        <f t="shared" si="270"/>
        <v>2696.1110050000002</v>
      </c>
      <c r="K618" s="277">
        <f t="shared" si="270"/>
        <v>2369.5949590000005</v>
      </c>
      <c r="L618" s="277">
        <f t="shared" si="270"/>
        <v>2375.6219999999998</v>
      </c>
      <c r="M618" s="277">
        <f t="shared" si="270"/>
        <v>2168.6789280000003</v>
      </c>
      <c r="N618" s="277">
        <f t="shared" si="270"/>
        <v>2387.3681310000002</v>
      </c>
      <c r="O618" s="277">
        <f t="shared" si="270"/>
        <v>2715.5559110000004</v>
      </c>
      <c r="P618" s="277">
        <f t="shared" si="270"/>
        <v>2485.6924859999999</v>
      </c>
      <c r="Q618" s="277">
        <f t="shared" si="270"/>
        <v>2771.5590000000002</v>
      </c>
      <c r="R618" s="277">
        <f t="shared" si="270"/>
        <v>2828.1339980000002</v>
      </c>
      <c r="S618" s="277">
        <f t="shared" si="270"/>
        <v>2639.58</v>
      </c>
      <c r="T618" s="277">
        <f>SUM(H618:S618)</f>
        <v>30282.009641000004</v>
      </c>
      <c r="U618" s="277"/>
      <c r="V618" s="277"/>
    </row>
    <row r="619" spans="1:29" hidden="1">
      <c r="A619" s="253"/>
      <c r="B619" s="253"/>
      <c r="C619" s="60" t="s">
        <v>546</v>
      </c>
      <c r="D619" s="253" t="s">
        <v>173</v>
      </c>
      <c r="E619" s="253"/>
      <c r="F619" s="253"/>
      <c r="G619" s="253"/>
      <c r="H619" s="277">
        <f t="shared" si="270"/>
        <v>8.1212267835000009</v>
      </c>
      <c r="I619" s="277">
        <f t="shared" si="270"/>
        <v>8.1536468504999995</v>
      </c>
      <c r="J619" s="277">
        <f t="shared" si="270"/>
        <v>10.925562579000001</v>
      </c>
      <c r="K619" s="277">
        <f t="shared" si="270"/>
        <v>10.147480970999998</v>
      </c>
      <c r="L619" s="277">
        <f t="shared" si="270"/>
        <v>10.2933712725</v>
      </c>
      <c r="M619" s="277">
        <f t="shared" si="270"/>
        <v>12.708666264</v>
      </c>
      <c r="N619" s="277">
        <f t="shared" si="270"/>
        <v>14.102729145</v>
      </c>
      <c r="O619" s="277">
        <f t="shared" si="270"/>
        <v>12.141315091499999</v>
      </c>
      <c r="P619" s="277">
        <f t="shared" si="270"/>
        <v>11.687434153499998</v>
      </c>
      <c r="Q619" s="277">
        <f t="shared" si="270"/>
        <v>12.935606733</v>
      </c>
      <c r="R619" s="277">
        <f t="shared" si="270"/>
        <v>12.854556565500001</v>
      </c>
      <c r="S619" s="277">
        <f t="shared" si="270"/>
        <v>15.983093030999999</v>
      </c>
      <c r="T619" s="277"/>
      <c r="U619" s="277"/>
      <c r="V619" s="277"/>
    </row>
    <row r="620" spans="1:29" hidden="1">
      <c r="A620" s="253"/>
      <c r="B620" s="253"/>
      <c r="C620" s="60" t="s">
        <v>547</v>
      </c>
      <c r="D620" s="253" t="s">
        <v>173</v>
      </c>
      <c r="E620" s="253"/>
      <c r="F620" s="253"/>
      <c r="G620" s="253"/>
      <c r="H620" s="277">
        <f t="shared" si="270"/>
        <v>4502.3360000000002</v>
      </c>
      <c r="I620" s="277">
        <f t="shared" si="270"/>
        <v>3977.7919999999999</v>
      </c>
      <c r="J620" s="277">
        <f t="shared" si="270"/>
        <v>4740.0200000000004</v>
      </c>
      <c r="K620" s="277">
        <f t="shared" si="270"/>
        <v>4260.4174000000003</v>
      </c>
      <c r="L620" s="277">
        <f t="shared" si="270"/>
        <v>5264.5640000000003</v>
      </c>
      <c r="M620" s="277">
        <f t="shared" si="270"/>
        <v>3688.2</v>
      </c>
      <c r="N620" s="277">
        <f t="shared" si="270"/>
        <v>3724.7814800000006</v>
      </c>
      <c r="O620" s="277">
        <f t="shared" si="270"/>
        <v>3811.14</v>
      </c>
      <c r="P620" s="277">
        <f t="shared" si="270"/>
        <v>3688.2</v>
      </c>
      <c r="Q620" s="277">
        <f t="shared" si="270"/>
        <v>3811.14</v>
      </c>
      <c r="R620" s="277">
        <f t="shared" si="270"/>
        <v>3688.2</v>
      </c>
      <c r="S620" s="277">
        <f t="shared" si="270"/>
        <v>3811.14</v>
      </c>
      <c r="T620" s="277"/>
      <c r="U620" s="277"/>
      <c r="V620" s="277"/>
    </row>
    <row r="621" spans="1:29" hidden="1">
      <c r="A621" s="253"/>
      <c r="B621" s="253"/>
      <c r="C621" s="60" t="s">
        <v>548</v>
      </c>
      <c r="D621" s="253" t="s">
        <v>173</v>
      </c>
      <c r="E621" s="253"/>
      <c r="F621" s="253"/>
      <c r="G621" s="253"/>
      <c r="H621" s="277">
        <f t="shared" si="270"/>
        <v>15286.26</v>
      </c>
      <c r="I621" s="277">
        <f t="shared" si="270"/>
        <v>13511.82</v>
      </c>
      <c r="J621" s="277">
        <f t="shared" si="270"/>
        <v>15454.8</v>
      </c>
      <c r="K621" s="277">
        <f t="shared" si="270"/>
        <v>13549.7256</v>
      </c>
      <c r="L621" s="277">
        <f t="shared" si="270"/>
        <v>14653.44</v>
      </c>
      <c r="M621" s="277">
        <f t="shared" si="270"/>
        <v>14939.64</v>
      </c>
      <c r="N621" s="277">
        <f t="shared" si="270"/>
        <v>14016.645</v>
      </c>
      <c r="O621" s="277">
        <f t="shared" si="270"/>
        <v>14278.2</v>
      </c>
      <c r="P621" s="277">
        <f t="shared" si="270"/>
        <v>11521.14</v>
      </c>
      <c r="Q621" s="277">
        <f t="shared" si="270"/>
        <v>12316.14</v>
      </c>
      <c r="R621" s="277">
        <f t="shared" si="270"/>
        <v>11775.54</v>
      </c>
      <c r="S621" s="277">
        <f t="shared" si="270"/>
        <v>13282.86</v>
      </c>
      <c r="T621" s="277"/>
      <c r="U621" s="277"/>
      <c r="V621" s="277"/>
    </row>
    <row r="622" spans="1:29" hidden="1">
      <c r="A622" s="253"/>
      <c r="B622" s="62"/>
      <c r="C622" s="237" t="s">
        <v>549</v>
      </c>
      <c r="D622" s="62" t="s">
        <v>173</v>
      </c>
      <c r="E622" s="253"/>
      <c r="F622" s="253"/>
      <c r="G622" s="253"/>
      <c r="H622" s="277">
        <f t="shared" ref="H622:S622" si="271">SUM(H617:H621)</f>
        <v>22856.3928067835</v>
      </c>
      <c r="I622" s="277">
        <f t="shared" si="271"/>
        <v>20056.275289850499</v>
      </c>
      <c r="J622" s="277">
        <f t="shared" si="271"/>
        <v>23321.746167579</v>
      </c>
      <c r="K622" s="277">
        <f t="shared" si="271"/>
        <v>20612.957439971</v>
      </c>
      <c r="L622" s="277">
        <f t="shared" si="271"/>
        <v>22739.159371272501</v>
      </c>
      <c r="M622" s="277">
        <f t="shared" si="271"/>
        <v>21196.544394263998</v>
      </c>
      <c r="N622" s="277">
        <f t="shared" si="271"/>
        <v>20586.374248145003</v>
      </c>
      <c r="O622" s="277">
        <f t="shared" si="271"/>
        <v>21242.6004260915</v>
      </c>
      <c r="P622" s="277">
        <f t="shared" si="271"/>
        <v>18135.9695201535</v>
      </c>
      <c r="Q622" s="277">
        <f t="shared" si="271"/>
        <v>19350.571406732997</v>
      </c>
      <c r="R622" s="277">
        <f t="shared" si="271"/>
        <v>18745.397354565503</v>
      </c>
      <c r="S622" s="277">
        <f t="shared" si="271"/>
        <v>20260.431893031</v>
      </c>
      <c r="T622" s="279">
        <f>SUM(H622:S622)</f>
        <v>249104.42031844001</v>
      </c>
      <c r="U622" s="277">
        <f>T622*12/11</f>
        <v>271750.27671102545</v>
      </c>
      <c r="V622" s="786" t="e">
        <f>#REF!/T622</f>
        <v>#REF!</v>
      </c>
    </row>
    <row r="623" spans="1:29" hidden="1">
      <c r="A623" s="253"/>
      <c r="B623" s="62"/>
      <c r="C623" s="237" t="s">
        <v>345</v>
      </c>
      <c r="D623" s="62" t="s">
        <v>173</v>
      </c>
      <c r="E623" s="62" t="s">
        <v>360</v>
      </c>
      <c r="F623" s="62">
        <v>103.04085382080773</v>
      </c>
      <c r="G623" s="253"/>
      <c r="H623" s="231">
        <f>((7.6009*H616)*0.99422361*($F$623/100))+4835.1</f>
        <v>24643.139925800497</v>
      </c>
      <c r="I623" s="231">
        <f t="shared" ref="I623:S623" si="272">((7.6009*I616)*0.99422361*($F$623/100))+4835.1</f>
        <v>21978.422045853884</v>
      </c>
      <c r="J623" s="231">
        <f t="shared" si="272"/>
        <v>24111.613545843284</v>
      </c>
      <c r="K623" s="231">
        <f t="shared" si="272"/>
        <v>21237.508845547287</v>
      </c>
      <c r="L623" s="231">
        <f t="shared" si="272"/>
        <v>23064.990915751754</v>
      </c>
      <c r="M623" s="231">
        <f t="shared" si="272"/>
        <v>23710.282317847472</v>
      </c>
      <c r="N623" s="231">
        <f t="shared" si="272"/>
        <v>22940.48012150159</v>
      </c>
      <c r="O623" s="231">
        <f t="shared" si="272"/>
        <v>23041.241202026737</v>
      </c>
      <c r="P623" s="231">
        <f t="shared" si="272"/>
        <v>24175.075895633083</v>
      </c>
      <c r="Q623" s="231">
        <f t="shared" si="272"/>
        <v>23920.525685249231</v>
      </c>
      <c r="R623" s="231">
        <f t="shared" si="272"/>
        <v>24144.668475273669</v>
      </c>
      <c r="S623" s="231">
        <f t="shared" si="272"/>
        <v>23800.500082836981</v>
      </c>
      <c r="T623" s="279">
        <f>SUM(H623:S623)</f>
        <v>280768.44905916549</v>
      </c>
      <c r="U623" s="277">
        <f>T623*12/11</f>
        <v>306292.85351908958</v>
      </c>
      <c r="V623" s="271" t="s">
        <v>158</v>
      </c>
    </row>
    <row r="624" spans="1:29" hidden="1">
      <c r="A624" s="253"/>
      <c r="B624" s="243" t="s">
        <v>174</v>
      </c>
      <c r="C624" s="244" t="s">
        <v>138</v>
      </c>
      <c r="D624" s="243" t="s">
        <v>347</v>
      </c>
      <c r="E624" s="243"/>
      <c r="F624" s="243"/>
      <c r="G624" s="253"/>
      <c r="H624" s="245">
        <f>H617/H$616</f>
        <v>0.16410724113530936</v>
      </c>
      <c r="I624" s="245">
        <f t="shared" ref="I624:S625" si="273">I617/I$616</f>
        <v>0.16198111364968043</v>
      </c>
      <c r="J624" s="245">
        <f t="shared" si="273"/>
        <v>0.16961535664945832</v>
      </c>
      <c r="K624" s="245">
        <f t="shared" si="273"/>
        <v>0.20084692656804845</v>
      </c>
      <c r="L624" s="245">
        <f t="shared" si="273"/>
        <v>0.18591022284110664</v>
      </c>
      <c r="M624" s="245">
        <f t="shared" si="273"/>
        <v>0.15978415841584159</v>
      </c>
      <c r="N624" s="245">
        <f t="shared" si="273"/>
        <v>0.19073127123528047</v>
      </c>
      <c r="O624" s="245">
        <f t="shared" si="273"/>
        <v>0.1820139601724492</v>
      </c>
      <c r="P624" s="245">
        <f t="shared" si="273"/>
        <v>0.17282736573404894</v>
      </c>
      <c r="Q624" s="245">
        <f t="shared" si="273"/>
        <v>0.17902766217870256</v>
      </c>
      <c r="R624" s="245">
        <f t="shared" si="273"/>
        <v>0.17770443808636635</v>
      </c>
      <c r="S624" s="245">
        <f t="shared" si="273"/>
        <v>0.20975190364864965</v>
      </c>
      <c r="T624" s="245">
        <f>T617/T$616</f>
        <v>0.17927196282457736</v>
      </c>
      <c r="U624" s="246"/>
      <c r="V624" s="246"/>
    </row>
    <row r="625" spans="1:29" hidden="1">
      <c r="A625" s="253"/>
      <c r="B625" s="243"/>
      <c r="C625" s="244" t="s">
        <v>550</v>
      </c>
      <c r="D625" s="243" t="s">
        <v>347</v>
      </c>
      <c r="E625" s="243"/>
      <c r="F625" s="243"/>
      <c r="G625" s="253"/>
      <c r="H625" s="245">
        <f>H618/H$616</f>
        <v>1.038689983489268</v>
      </c>
      <c r="I625" s="245">
        <f t="shared" si="273"/>
        <v>1.0001379198670053</v>
      </c>
      <c r="J625" s="245">
        <f t="shared" si="273"/>
        <v>1.0891001579453372</v>
      </c>
      <c r="K625" s="245">
        <f t="shared" si="273"/>
        <v>1.1249287703423787</v>
      </c>
      <c r="L625" s="245">
        <f t="shared" si="273"/>
        <v>1.0147330562591568</v>
      </c>
      <c r="M625" s="245">
        <f t="shared" si="273"/>
        <v>0.89466952475247541</v>
      </c>
      <c r="N625" s="245">
        <f t="shared" si="273"/>
        <v>1.0267631759808014</v>
      </c>
      <c r="O625" s="245">
        <f t="shared" si="273"/>
        <v>1.1614469611818246</v>
      </c>
      <c r="P625" s="245">
        <f t="shared" si="273"/>
        <v>1.0008062544037299</v>
      </c>
      <c r="Q625" s="245">
        <f t="shared" si="273"/>
        <v>1.1307870257037944</v>
      </c>
      <c r="R625" s="245">
        <f t="shared" si="273"/>
        <v>1.1404754839633275</v>
      </c>
      <c r="S625" s="245">
        <f t="shared" si="273"/>
        <v>1.0837556136387712</v>
      </c>
      <c r="T625" s="245">
        <f>T618/T$616</f>
        <v>1.0585975485514625</v>
      </c>
      <c r="U625" s="246"/>
      <c r="V625" s="246"/>
    </row>
    <row r="626" spans="1:29" hidden="1">
      <c r="A626" s="253"/>
      <c r="B626" s="243"/>
      <c r="C626" s="244" t="s">
        <v>546</v>
      </c>
      <c r="D626" s="243" t="s">
        <v>347</v>
      </c>
      <c r="E626" s="243"/>
      <c r="F626" s="243"/>
      <c r="G626" s="253"/>
      <c r="H626" s="245">
        <f t="shared" ref="H626:S629" si="274">H619/H$616</f>
        <v>3.1925571127840243E-3</v>
      </c>
      <c r="I626" s="245">
        <f t="shared" si="274"/>
        <v>3.7035264742754097E-3</v>
      </c>
      <c r="J626" s="245">
        <f t="shared" si="274"/>
        <v>4.4134057938873946E-3</v>
      </c>
      <c r="K626" s="245">
        <f t="shared" si="274"/>
        <v>4.8173605566738187E-3</v>
      </c>
      <c r="L626" s="245">
        <f t="shared" si="274"/>
        <v>4.3967533936603263E-3</v>
      </c>
      <c r="M626" s="245">
        <f t="shared" si="274"/>
        <v>5.2428491188118813E-3</v>
      </c>
      <c r="N626" s="245">
        <f t="shared" si="274"/>
        <v>6.0653247309839413E-3</v>
      </c>
      <c r="O626" s="245">
        <f t="shared" si="274"/>
        <v>5.1928569986912339E-3</v>
      </c>
      <c r="P626" s="245">
        <f t="shared" si="274"/>
        <v>4.7056734751518897E-3</v>
      </c>
      <c r="Q626" s="245">
        <f t="shared" si="274"/>
        <v>5.277685325581395E-3</v>
      </c>
      <c r="R626" s="245">
        <f t="shared" si="274"/>
        <v>5.1837383343717302E-3</v>
      </c>
      <c r="S626" s="245">
        <f t="shared" si="274"/>
        <v>6.5623193067294687E-3</v>
      </c>
      <c r="T626" s="245"/>
      <c r="U626" s="246"/>
      <c r="V626" s="246"/>
    </row>
    <row r="627" spans="1:29" hidden="1">
      <c r="A627" s="253"/>
      <c r="B627" s="243"/>
      <c r="C627" s="244" t="s">
        <v>547</v>
      </c>
      <c r="D627" s="243" t="s">
        <v>347</v>
      </c>
      <c r="E627" s="243"/>
      <c r="F627" s="243"/>
      <c r="G627" s="253"/>
      <c r="H627" s="245">
        <f t="shared" si="274"/>
        <v>1.7699253085934428</v>
      </c>
      <c r="I627" s="245">
        <f t="shared" si="274"/>
        <v>1.8067814624884742</v>
      </c>
      <c r="J627" s="245">
        <f t="shared" si="274"/>
        <v>1.9147418341048823</v>
      </c>
      <c r="K627" s="245">
        <f t="shared" si="274"/>
        <v>2.0225676496838267</v>
      </c>
      <c r="L627" s="245">
        <f t="shared" si="274"/>
        <v>2.2487277511287282</v>
      </c>
      <c r="M627" s="245">
        <f t="shared" si="274"/>
        <v>1.5215346534653464</v>
      </c>
      <c r="N627" s="245">
        <f t="shared" si="274"/>
        <v>1.6019600884247833</v>
      </c>
      <c r="O627" s="245">
        <f t="shared" si="274"/>
        <v>1.6300297680147813</v>
      </c>
      <c r="P627" s="245">
        <f t="shared" si="274"/>
        <v>1.4849679307804113</v>
      </c>
      <c r="Q627" s="245">
        <f t="shared" si="274"/>
        <v>1.5549326805385557</v>
      </c>
      <c r="R627" s="245">
        <f t="shared" si="274"/>
        <v>1.4873063592206583</v>
      </c>
      <c r="S627" s="245">
        <f t="shared" si="274"/>
        <v>1.5647733235451347</v>
      </c>
      <c r="T627" s="245"/>
      <c r="U627" s="246"/>
      <c r="V627" s="246"/>
    </row>
    <row r="628" spans="1:29" hidden="1">
      <c r="A628" s="253"/>
      <c r="B628" s="243"/>
      <c r="C628" s="244" t="s">
        <v>548</v>
      </c>
      <c r="D628" s="243" t="s">
        <v>347</v>
      </c>
      <c r="E628" s="243"/>
      <c r="F628" s="243"/>
      <c r="G628" s="253"/>
      <c r="H628" s="245">
        <f t="shared" si="274"/>
        <v>6.0092224231464737</v>
      </c>
      <c r="I628" s="245">
        <f t="shared" si="274"/>
        <v>6.1373007689896841</v>
      </c>
      <c r="J628" s="245">
        <f t="shared" si="274"/>
        <v>6.2430015269395769</v>
      </c>
      <c r="K628" s="245">
        <f t="shared" si="274"/>
        <v>6.432523879151554</v>
      </c>
      <c r="L628" s="245">
        <f t="shared" si="274"/>
        <v>6.2591312742137344</v>
      </c>
      <c r="M628" s="245">
        <f t="shared" si="274"/>
        <v>6.1632178217821778</v>
      </c>
      <c r="N628" s="245">
        <f t="shared" si="274"/>
        <v>6.0283015216288058</v>
      </c>
      <c r="O628" s="245">
        <f t="shared" si="274"/>
        <v>6.1068055840689803</v>
      </c>
      <c r="P628" s="245">
        <f t="shared" si="274"/>
        <v>4.6387190027740983</v>
      </c>
      <c r="Q628" s="245">
        <f t="shared" si="274"/>
        <v>5.0249449204406362</v>
      </c>
      <c r="R628" s="245">
        <f t="shared" si="274"/>
        <v>4.7486132870389977</v>
      </c>
      <c r="S628" s="245">
        <f t="shared" si="274"/>
        <v>5.4536608438379925</v>
      </c>
      <c r="T628" s="245"/>
      <c r="U628" s="246"/>
      <c r="V628" s="246"/>
    </row>
    <row r="629" spans="1:29" ht="23.25" hidden="1">
      <c r="A629" s="253"/>
      <c r="B629" s="243"/>
      <c r="C629" s="249" t="s">
        <v>551</v>
      </c>
      <c r="D629" s="243" t="s">
        <v>347</v>
      </c>
      <c r="E629" s="243"/>
      <c r="F629" s="243"/>
      <c r="G629" s="253"/>
      <c r="H629" s="245">
        <f t="shared" si="274"/>
        <v>8.9851375134772784</v>
      </c>
      <c r="I629" s="245">
        <f t="shared" si="274"/>
        <v>9.109904791469118</v>
      </c>
      <c r="J629" s="245">
        <f t="shared" si="274"/>
        <v>9.4208722814331427</v>
      </c>
      <c r="K629" s="245">
        <f t="shared" si="274"/>
        <v>9.7856845863024819</v>
      </c>
      <c r="L629" s="245">
        <f t="shared" si="274"/>
        <v>9.7128990578363865</v>
      </c>
      <c r="M629" s="245">
        <f t="shared" si="274"/>
        <v>8.7444490075346533</v>
      </c>
      <c r="N629" s="245">
        <f t="shared" si="274"/>
        <v>8.853821382000655</v>
      </c>
      <c r="O629" s="245">
        <f t="shared" si="274"/>
        <v>9.0854891304367253</v>
      </c>
      <c r="P629" s="245">
        <f t="shared" si="274"/>
        <v>7.3020262271674401</v>
      </c>
      <c r="Q629" s="245">
        <f t="shared" si="274"/>
        <v>7.8949699741872692</v>
      </c>
      <c r="R629" s="245">
        <f t="shared" si="274"/>
        <v>7.5592833066437226</v>
      </c>
      <c r="S629" s="245">
        <f t="shared" si="274"/>
        <v>8.318504003977278</v>
      </c>
      <c r="T629" s="250">
        <f>T622/T616</f>
        <v>8.7081845560671809</v>
      </c>
      <c r="U629" s="246"/>
      <c r="V629" s="246"/>
    </row>
    <row r="630" spans="1:29" hidden="1">
      <c r="A630" s="253"/>
      <c r="B630" s="243"/>
      <c r="C630" s="249" t="s">
        <v>552</v>
      </c>
      <c r="D630" s="243"/>
      <c r="E630" s="243"/>
      <c r="F630" s="243"/>
      <c r="G630" s="253"/>
      <c r="H630" s="251">
        <f>H622/H623*100</f>
        <v>92.749515181925602</v>
      </c>
      <c r="I630" s="251">
        <f t="shared" ref="I630:S630" si="275">I622/I623*100</f>
        <v>91.254391457252098</v>
      </c>
      <c r="J630" s="251">
        <f t="shared" si="275"/>
        <v>96.724120611992575</v>
      </c>
      <c r="K630" s="251">
        <f t="shared" si="275"/>
        <v>97.059205907253883</v>
      </c>
      <c r="L630" s="251">
        <f t="shared" si="275"/>
        <v>98.587332873143538</v>
      </c>
      <c r="M630" s="251">
        <f t="shared" si="275"/>
        <v>89.398110533288317</v>
      </c>
      <c r="N630" s="251">
        <f t="shared" si="275"/>
        <v>89.738201376395182</v>
      </c>
      <c r="O630" s="251">
        <f t="shared" si="275"/>
        <v>92.19381994153585</v>
      </c>
      <c r="P630" s="251">
        <f t="shared" si="275"/>
        <v>75.019286799548496</v>
      </c>
      <c r="Q630" s="251">
        <f t="shared" si="275"/>
        <v>80.895259833966236</v>
      </c>
      <c r="R630" s="251">
        <f t="shared" si="275"/>
        <v>77.637832856402596</v>
      </c>
      <c r="S630" s="251">
        <f t="shared" si="275"/>
        <v>85.126076437533357</v>
      </c>
      <c r="T630" s="251">
        <f>T622/T623*100</f>
        <v>88.722369323608362</v>
      </c>
      <c r="U630" s="246"/>
      <c r="V630" s="246"/>
    </row>
    <row r="631" spans="1:29" hidden="1">
      <c r="A631" s="62"/>
      <c r="B631" s="62"/>
      <c r="C631" s="405"/>
      <c r="D631" s="62"/>
      <c r="E631" s="62"/>
      <c r="F631" s="62"/>
      <c r="G631" s="62"/>
      <c r="H631" s="254"/>
      <c r="I631" s="254"/>
      <c r="J631" s="254"/>
      <c r="K631" s="254"/>
      <c r="L631" s="254"/>
      <c r="M631" s="225"/>
      <c r="N631" s="225"/>
      <c r="O631" s="225"/>
      <c r="P631" s="225"/>
      <c r="Q631" s="225"/>
      <c r="R631" s="225"/>
      <c r="S631" s="225"/>
      <c r="T631" s="254"/>
      <c r="U631" s="225"/>
      <c r="V631" s="225"/>
    </row>
    <row r="632" spans="1:29" hidden="1">
      <c r="A632" s="229"/>
      <c r="B632" s="266" t="s">
        <v>130</v>
      </c>
      <c r="C632" s="320" t="s">
        <v>553</v>
      </c>
      <c r="D632" s="229" t="s">
        <v>90</v>
      </c>
      <c r="E632" s="238">
        <f>'[2]Price&amp;Heating-Value'!$R$6</f>
        <v>3.6</v>
      </c>
      <c r="F632" s="62"/>
      <c r="G632" s="256">
        <f>'[2]Price&amp;Heating-Value'!$P$6</f>
        <v>2.7124999999999999</v>
      </c>
      <c r="H632" s="406">
        <v>84740</v>
      </c>
      <c r="I632" s="406">
        <v>72390</v>
      </c>
      <c r="J632" s="406">
        <v>85234</v>
      </c>
      <c r="K632" s="406">
        <v>83445.63</v>
      </c>
      <c r="L632" s="406">
        <v>88350</v>
      </c>
      <c r="M632" s="406">
        <v>78622</v>
      </c>
      <c r="N632" s="406">
        <v>90022.47</v>
      </c>
      <c r="O632" s="406">
        <v>88578</v>
      </c>
      <c r="P632" s="406">
        <v>87134</v>
      </c>
      <c r="Q632" s="406">
        <v>89072</v>
      </c>
      <c r="R632" s="406">
        <v>89452</v>
      </c>
      <c r="S632" s="406">
        <v>103702</v>
      </c>
      <c r="T632" s="406">
        <f t="shared" ref="T632:T638" si="276">SUM(H632:S632)</f>
        <v>1040742.1</v>
      </c>
      <c r="U632" s="275">
        <f>T632*E632</f>
        <v>3746671.56</v>
      </c>
      <c r="V632" s="275">
        <f>G632*T632</f>
        <v>2823012.94625</v>
      </c>
      <c r="W632" s="227">
        <f>'[2]Price&amp;Heating-Value'!D$6</f>
        <v>2.4500000000000002</v>
      </c>
      <c r="X632" s="227">
        <f>'[2]Price&amp;Heating-Value'!E$6</f>
        <v>2.54</v>
      </c>
      <c r="Y632" s="227">
        <f>'[2]Price&amp;Heating-Value'!F$6</f>
        <v>2.58</v>
      </c>
      <c r="Z632" s="227">
        <f>'[2]Price&amp;Heating-Value'!G$6</f>
        <v>2.67</v>
      </c>
      <c r="AA632" s="227">
        <f>'[2]Price&amp;Heating-Value'!H$6</f>
        <v>2.67</v>
      </c>
      <c r="AB632" s="227">
        <f>'[2]Price&amp;Heating-Value'!I$6</f>
        <v>2.67</v>
      </c>
      <c r="AC632" s="227">
        <f>'[2]Price&amp;Heating-Value'!J$6</f>
        <v>2.62</v>
      </c>
    </row>
    <row r="633" spans="1:29" hidden="1">
      <c r="A633" s="229"/>
      <c r="B633" s="229"/>
      <c r="C633" s="320" t="s">
        <v>554</v>
      </c>
      <c r="D633" s="229" t="s">
        <v>121</v>
      </c>
      <c r="E633" s="229">
        <v>2732</v>
      </c>
      <c r="F633" s="229"/>
      <c r="G633" s="229"/>
      <c r="H633" s="406">
        <v>7722</v>
      </c>
      <c r="I633" s="406">
        <v>7073</v>
      </c>
      <c r="J633" s="406">
        <v>7847</v>
      </c>
      <c r="K633" s="406">
        <v>7184.75</v>
      </c>
      <c r="L633" s="406">
        <v>7975</v>
      </c>
      <c r="M633" s="406">
        <v>7691</v>
      </c>
      <c r="N633" s="406">
        <v>7565.97</v>
      </c>
      <c r="O633" s="406">
        <v>7677</v>
      </c>
      <c r="P633" s="406">
        <v>7775</v>
      </c>
      <c r="Q633" s="406">
        <v>8343</v>
      </c>
      <c r="R633" s="406">
        <v>7505</v>
      </c>
      <c r="S633" s="406">
        <v>7772</v>
      </c>
      <c r="T633" s="406">
        <f t="shared" si="276"/>
        <v>92130.72</v>
      </c>
      <c r="U633" s="275"/>
      <c r="V633" s="275">
        <f>SUM(V632)</f>
        <v>2823012.94625</v>
      </c>
    </row>
    <row r="634" spans="1:29" hidden="1">
      <c r="A634" s="253"/>
      <c r="B634" s="233"/>
      <c r="C634" s="234" t="s">
        <v>107</v>
      </c>
      <c r="D634" s="233" t="s">
        <v>121</v>
      </c>
      <c r="E634" s="233"/>
      <c r="F634" s="233"/>
      <c r="G634" s="253"/>
      <c r="H634" s="264">
        <v>41994.84</v>
      </c>
      <c r="I634" s="264">
        <v>38977.07</v>
      </c>
      <c r="J634" s="264">
        <v>43096.89</v>
      </c>
      <c r="K634" s="264">
        <v>40870.51</v>
      </c>
      <c r="L634" s="264">
        <v>43397.57</v>
      </c>
      <c r="M634" s="264">
        <v>41466.26</v>
      </c>
      <c r="N634" s="264">
        <v>41805.89</v>
      </c>
      <c r="O634" s="264">
        <v>41339.089999999997</v>
      </c>
      <c r="P634" s="264">
        <v>40620.74</v>
      </c>
      <c r="Q634" s="264">
        <v>43559</v>
      </c>
      <c r="R634" s="264">
        <v>39643</v>
      </c>
      <c r="S634" s="264">
        <v>41983</v>
      </c>
      <c r="T634" s="236">
        <f t="shared" si="276"/>
        <v>498753.86</v>
      </c>
      <c r="U634" s="259"/>
      <c r="V634" s="785">
        <f>V633/T634</f>
        <v>5.6601325275958771</v>
      </c>
    </row>
    <row r="635" spans="1:29" hidden="1">
      <c r="A635" s="253"/>
      <c r="B635" s="253"/>
      <c r="C635" s="320" t="s">
        <v>553</v>
      </c>
      <c r="D635" s="253" t="s">
        <v>173</v>
      </c>
      <c r="E635" s="62"/>
      <c r="F635" s="62"/>
      <c r="G635" s="253"/>
      <c r="H635" s="277">
        <f t="shared" ref="H635:S636" si="277">H632*$E632/1000</f>
        <v>305.06400000000002</v>
      </c>
      <c r="I635" s="277">
        <f t="shared" si="277"/>
        <v>260.60399999999998</v>
      </c>
      <c r="J635" s="277">
        <f t="shared" si="277"/>
        <v>306.8424</v>
      </c>
      <c r="K635" s="277">
        <f t="shared" si="277"/>
        <v>300.40426800000006</v>
      </c>
      <c r="L635" s="277">
        <f t="shared" si="277"/>
        <v>318.06</v>
      </c>
      <c r="M635" s="277">
        <f t="shared" si="277"/>
        <v>283.03919999999999</v>
      </c>
      <c r="N635" s="277">
        <f t="shared" si="277"/>
        <v>324.08089200000001</v>
      </c>
      <c r="O635" s="277">
        <f t="shared" si="277"/>
        <v>318.88079999999997</v>
      </c>
      <c r="P635" s="277">
        <f t="shared" si="277"/>
        <v>313.68240000000003</v>
      </c>
      <c r="Q635" s="277">
        <f t="shared" si="277"/>
        <v>320.6592</v>
      </c>
      <c r="R635" s="277">
        <f t="shared" si="277"/>
        <v>322.02719999999999</v>
      </c>
      <c r="S635" s="277">
        <f t="shared" si="277"/>
        <v>373.3272</v>
      </c>
      <c r="T635" s="277">
        <f t="shared" si="276"/>
        <v>3746.6715600000002</v>
      </c>
      <c r="U635" s="277"/>
      <c r="V635" s="277"/>
    </row>
    <row r="636" spans="1:29" hidden="1">
      <c r="A636" s="253"/>
      <c r="B636" s="253"/>
      <c r="C636" s="320" t="s">
        <v>554</v>
      </c>
      <c r="D636" s="253" t="s">
        <v>173</v>
      </c>
      <c r="E636" s="253"/>
      <c r="F636" s="253"/>
      <c r="G636" s="253"/>
      <c r="H636" s="277">
        <f t="shared" si="277"/>
        <v>21096.504000000001</v>
      </c>
      <c r="I636" s="277">
        <f t="shared" si="277"/>
        <v>19323.436000000002</v>
      </c>
      <c r="J636" s="277">
        <f t="shared" si="277"/>
        <v>21438.004000000001</v>
      </c>
      <c r="K636" s="277">
        <f t="shared" si="277"/>
        <v>19628.737000000001</v>
      </c>
      <c r="L636" s="277">
        <f t="shared" si="277"/>
        <v>21787.7</v>
      </c>
      <c r="M636" s="277">
        <f t="shared" si="277"/>
        <v>21011.812000000002</v>
      </c>
      <c r="N636" s="277">
        <f t="shared" si="277"/>
        <v>20670.230039999999</v>
      </c>
      <c r="O636" s="277">
        <f t="shared" si="277"/>
        <v>20973.563999999998</v>
      </c>
      <c r="P636" s="277">
        <f t="shared" si="277"/>
        <v>21241.3</v>
      </c>
      <c r="Q636" s="277">
        <f t="shared" si="277"/>
        <v>22793.076000000001</v>
      </c>
      <c r="R636" s="277">
        <f t="shared" si="277"/>
        <v>20503.66</v>
      </c>
      <c r="S636" s="277">
        <f t="shared" si="277"/>
        <v>21233.103999999999</v>
      </c>
      <c r="T636" s="277">
        <f t="shared" si="276"/>
        <v>251701.12704000002</v>
      </c>
      <c r="U636" s="277"/>
      <c r="V636" s="277"/>
    </row>
    <row r="637" spans="1:29" hidden="1">
      <c r="A637" s="253"/>
      <c r="B637" s="62"/>
      <c r="C637" s="237" t="s">
        <v>555</v>
      </c>
      <c r="D637" s="62" t="s">
        <v>173</v>
      </c>
      <c r="E637" s="253"/>
      <c r="F637" s="253"/>
      <c r="G637" s="253"/>
      <c r="H637" s="277">
        <f t="shared" ref="H637:M637" si="278">SUM(H635:H636)</f>
        <v>21401.567999999999</v>
      </c>
      <c r="I637" s="277">
        <f t="shared" si="278"/>
        <v>19584.04</v>
      </c>
      <c r="J637" s="277">
        <f t="shared" si="278"/>
        <v>21744.846400000002</v>
      </c>
      <c r="K637" s="277">
        <f t="shared" si="278"/>
        <v>19929.141267999999</v>
      </c>
      <c r="L637" s="277">
        <f t="shared" si="278"/>
        <v>22105.760000000002</v>
      </c>
      <c r="M637" s="277">
        <f t="shared" si="278"/>
        <v>21294.851200000001</v>
      </c>
      <c r="N637" s="277">
        <f t="shared" ref="N637:S637" si="279">SUM(N635:N636)</f>
        <v>20994.310932</v>
      </c>
      <c r="O637" s="277">
        <f t="shared" si="279"/>
        <v>21292.444799999997</v>
      </c>
      <c r="P637" s="277">
        <f t="shared" si="279"/>
        <v>21554.982400000001</v>
      </c>
      <c r="Q637" s="277">
        <f t="shared" si="279"/>
        <v>23113.735199999999</v>
      </c>
      <c r="R637" s="277">
        <f t="shared" si="279"/>
        <v>20825.6872</v>
      </c>
      <c r="S637" s="277">
        <f t="shared" si="279"/>
        <v>21606.431199999999</v>
      </c>
      <c r="T637" s="279">
        <f t="shared" si="276"/>
        <v>255447.79859999998</v>
      </c>
      <c r="U637" s="277">
        <f>T637*12/11</f>
        <v>278670.32574545452</v>
      </c>
      <c r="V637" s="786">
        <f>V633/T637</f>
        <v>11.051232235007408</v>
      </c>
    </row>
    <row r="638" spans="1:29" hidden="1">
      <c r="A638" s="253"/>
      <c r="B638" s="253"/>
      <c r="C638" s="237" t="s">
        <v>345</v>
      </c>
      <c r="D638" s="62" t="s">
        <v>173</v>
      </c>
      <c r="E638" s="253" t="s">
        <v>360</v>
      </c>
      <c r="F638" s="253">
        <v>101.68839836208056</v>
      </c>
      <c r="G638" s="253"/>
      <c r="H638" s="790">
        <f t="shared" ref="H638:S638" si="280">((0.4764*H634)*0.9571*($F$638/100))+1422.5</f>
        <v>20893.865409227605</v>
      </c>
      <c r="I638" s="790">
        <f t="shared" si="280"/>
        <v>19494.643447886527</v>
      </c>
      <c r="J638" s="790">
        <f t="shared" si="280"/>
        <v>21404.842906682989</v>
      </c>
      <c r="K638" s="790">
        <f t="shared" si="280"/>
        <v>20372.557546867447</v>
      </c>
      <c r="L638" s="790">
        <f t="shared" si="280"/>
        <v>21544.256466807197</v>
      </c>
      <c r="M638" s="790">
        <f t="shared" si="280"/>
        <v>20648.78352945358</v>
      </c>
      <c r="N638" s="790">
        <f t="shared" si="280"/>
        <v>20806.256681725044</v>
      </c>
      <c r="O638" s="790">
        <f t="shared" si="280"/>
        <v>20589.819772499352</v>
      </c>
      <c r="P638" s="790">
        <f t="shared" si="280"/>
        <v>20256.748963282822</v>
      </c>
      <c r="Q638" s="790">
        <f t="shared" si="280"/>
        <v>21619.105246276573</v>
      </c>
      <c r="R638" s="790">
        <f t="shared" si="280"/>
        <v>19803.409152600889</v>
      </c>
      <c r="S638" s="790">
        <f t="shared" si="280"/>
        <v>20888.375664143561</v>
      </c>
      <c r="T638" s="279">
        <f t="shared" si="276"/>
        <v>248322.66478745357</v>
      </c>
      <c r="U638" s="277">
        <f>T638*12/11</f>
        <v>270897.45249540388</v>
      </c>
      <c r="V638" s="271" t="s">
        <v>158</v>
      </c>
    </row>
    <row r="639" spans="1:29" hidden="1">
      <c r="A639" s="253"/>
      <c r="B639" s="243" t="s">
        <v>174</v>
      </c>
      <c r="C639" s="244" t="s">
        <v>138</v>
      </c>
      <c r="D639" s="243" t="s">
        <v>347</v>
      </c>
      <c r="E639" s="243"/>
      <c r="F639" s="243"/>
      <c r="G639" s="253"/>
      <c r="H639" s="245">
        <f t="shared" ref="H639:S639" si="281">H635/H634*1000</f>
        <v>7.2643210451569775</v>
      </c>
      <c r="I639" s="245">
        <f t="shared" si="281"/>
        <v>6.6860849212113687</v>
      </c>
      <c r="J639" s="245">
        <f t="shared" si="281"/>
        <v>7.1198269759140391</v>
      </c>
      <c r="K639" s="245">
        <f t="shared" si="281"/>
        <v>7.3501472822335723</v>
      </c>
      <c r="L639" s="245">
        <f t="shared" si="281"/>
        <v>7.3289817840031137</v>
      </c>
      <c r="M639" s="245">
        <f t="shared" si="281"/>
        <v>6.8257711209064906</v>
      </c>
      <c r="N639" s="245">
        <f t="shared" si="281"/>
        <v>7.7520390547839071</v>
      </c>
      <c r="O639" s="245">
        <f t="shared" si="281"/>
        <v>7.7137837335074382</v>
      </c>
      <c r="P639" s="245">
        <f t="shared" si="281"/>
        <v>7.7222226872282498</v>
      </c>
      <c r="Q639" s="245">
        <f t="shared" si="281"/>
        <v>7.3614913106361479</v>
      </c>
      <c r="R639" s="245">
        <f t="shared" si="281"/>
        <v>8.1231793759301762</v>
      </c>
      <c r="S639" s="245">
        <f t="shared" si="281"/>
        <v>8.892342138484624</v>
      </c>
      <c r="T639" s="245">
        <f>T635/T634*1000</f>
        <v>7.5120652900811642</v>
      </c>
      <c r="U639" s="246"/>
      <c r="V639" s="246"/>
    </row>
    <row r="640" spans="1:29" hidden="1">
      <c r="A640" s="253"/>
      <c r="B640" s="243"/>
      <c r="C640" s="244" t="s">
        <v>554</v>
      </c>
      <c r="D640" s="243" t="s">
        <v>347</v>
      </c>
      <c r="E640" s="243"/>
      <c r="F640" s="243"/>
      <c r="G640" s="253"/>
      <c r="H640" s="245">
        <f t="shared" ref="H640:S640" si="282">H636/H634*1000</f>
        <v>502.35943273030693</v>
      </c>
      <c r="I640" s="245">
        <f t="shared" si="282"/>
        <v>495.76420187561564</v>
      </c>
      <c r="J640" s="245">
        <f t="shared" si="282"/>
        <v>497.43737889207324</v>
      </c>
      <c r="K640" s="245">
        <f t="shared" si="282"/>
        <v>480.26650511579135</v>
      </c>
      <c r="L640" s="245">
        <f t="shared" si="282"/>
        <v>502.04884743546705</v>
      </c>
      <c r="M640" s="245">
        <f t="shared" si="282"/>
        <v>506.72069291997877</v>
      </c>
      <c r="N640" s="245">
        <f t="shared" si="282"/>
        <v>494.43344083812116</v>
      </c>
      <c r="O640" s="245">
        <f t="shared" si="282"/>
        <v>507.35427412649869</v>
      </c>
      <c r="P640" s="245">
        <f t="shared" si="282"/>
        <v>522.91760317512683</v>
      </c>
      <c r="Q640" s="245">
        <f t="shared" si="282"/>
        <v>523.26903739755278</v>
      </c>
      <c r="R640" s="245">
        <f t="shared" si="282"/>
        <v>517.2075776303509</v>
      </c>
      <c r="S640" s="245">
        <f t="shared" si="282"/>
        <v>505.7548055165185</v>
      </c>
      <c r="T640" s="245">
        <f>T636/T634*1000</f>
        <v>504.66000812504996</v>
      </c>
      <c r="U640" s="246"/>
      <c r="V640" s="246"/>
    </row>
    <row r="641" spans="1:29" ht="23.25" hidden="1">
      <c r="A641" s="253"/>
      <c r="B641" s="243"/>
      <c r="C641" s="249" t="s">
        <v>556</v>
      </c>
      <c r="D641" s="243" t="s">
        <v>347</v>
      </c>
      <c r="E641" s="243"/>
      <c r="F641" s="243"/>
      <c r="G641" s="253"/>
      <c r="H641" s="245">
        <f t="shared" ref="H641:S641" si="283">H637/H634*1000</f>
        <v>509.62375377546385</v>
      </c>
      <c r="I641" s="245">
        <f t="shared" si="283"/>
        <v>502.45028679682702</v>
      </c>
      <c r="J641" s="245">
        <f t="shared" si="283"/>
        <v>504.55720586798725</v>
      </c>
      <c r="K641" s="245">
        <f t="shared" si="283"/>
        <v>487.61665239802483</v>
      </c>
      <c r="L641" s="245">
        <f t="shared" si="283"/>
        <v>509.37782921947019</v>
      </c>
      <c r="M641" s="245">
        <f t="shared" si="283"/>
        <v>513.54646404088533</v>
      </c>
      <c r="N641" s="245">
        <f t="shared" si="283"/>
        <v>502.18547989290505</v>
      </c>
      <c r="O641" s="245">
        <f t="shared" si="283"/>
        <v>515.06805786000609</v>
      </c>
      <c r="P641" s="245">
        <f t="shared" si="283"/>
        <v>530.63982586235511</v>
      </c>
      <c r="Q641" s="245">
        <f t="shared" si="283"/>
        <v>530.63052870818888</v>
      </c>
      <c r="R641" s="245">
        <f t="shared" si="283"/>
        <v>525.33075700628103</v>
      </c>
      <c r="S641" s="245">
        <f t="shared" si="283"/>
        <v>514.64714765500321</v>
      </c>
      <c r="T641" s="250">
        <f>T637/T634*1000</f>
        <v>512.17207341513108</v>
      </c>
      <c r="U641" s="246"/>
      <c r="V641" s="246"/>
    </row>
    <row r="642" spans="1:29" hidden="1">
      <c r="A642" s="253"/>
      <c r="B642" s="243"/>
      <c r="C642" s="249" t="s">
        <v>557</v>
      </c>
      <c r="D642" s="243" t="s">
        <v>401</v>
      </c>
      <c r="E642" s="243"/>
      <c r="F642" s="243"/>
      <c r="G642" s="253"/>
      <c r="H642" s="251">
        <f t="shared" ref="H642:S642" si="284">H637/H638*100</f>
        <v>102.42991222939615</v>
      </c>
      <c r="I642" s="251">
        <f t="shared" si="284"/>
        <v>100.45856982382084</v>
      </c>
      <c r="J642" s="251">
        <f t="shared" si="284"/>
        <v>101.58844189980417</v>
      </c>
      <c r="K642" s="251">
        <f t="shared" si="284"/>
        <v>97.823462872310657</v>
      </c>
      <c r="L642" s="251">
        <f t="shared" si="284"/>
        <v>102.60627946969487</v>
      </c>
      <c r="M642" s="251">
        <f t="shared" si="284"/>
        <v>103.12884131709194</v>
      </c>
      <c r="N642" s="251">
        <f t="shared" si="284"/>
        <v>100.90383509706544</v>
      </c>
      <c r="O642" s="251">
        <f t="shared" si="284"/>
        <v>103.41248750724425</v>
      </c>
      <c r="P642" s="251">
        <f t="shared" si="284"/>
        <v>106.40889334744853</v>
      </c>
      <c r="Q642" s="251">
        <f t="shared" si="284"/>
        <v>106.91346814170694</v>
      </c>
      <c r="R642" s="251">
        <f t="shared" si="284"/>
        <v>105.16213162855776</v>
      </c>
      <c r="S642" s="251">
        <f t="shared" si="284"/>
        <v>103.43758436463317</v>
      </c>
      <c r="T642" s="251">
        <f>T637/T638*100</f>
        <v>102.86930466803948</v>
      </c>
      <c r="U642" s="246"/>
      <c r="V642" s="246"/>
    </row>
    <row r="643" spans="1:29" hidden="1">
      <c r="A643" s="342"/>
      <c r="B643" s="336"/>
      <c r="C643" s="364"/>
      <c r="D643" s="336"/>
      <c r="E643" s="243"/>
      <c r="F643" s="243"/>
      <c r="G643" s="253"/>
      <c r="H643" s="365"/>
      <c r="I643" s="365"/>
      <c r="J643" s="365"/>
      <c r="K643" s="365"/>
      <c r="L643" s="365"/>
      <c r="M643" s="365"/>
      <c r="N643" s="365"/>
      <c r="O643" s="365"/>
      <c r="P643" s="365"/>
      <c r="Q643" s="365"/>
      <c r="R643" s="365"/>
      <c r="S643" s="365"/>
      <c r="T643" s="365"/>
      <c r="U643" s="366"/>
      <c r="V643" s="366"/>
    </row>
    <row r="644" spans="1:29" hidden="1">
      <c r="A644" s="229"/>
      <c r="B644" s="266" t="s">
        <v>116</v>
      </c>
      <c r="C644" s="320" t="s">
        <v>553</v>
      </c>
      <c r="D644" s="229" t="s">
        <v>90</v>
      </c>
      <c r="E644" s="238">
        <f>'[2]Price&amp;Heating-Value'!$R$6</f>
        <v>3.6</v>
      </c>
      <c r="F644" s="62"/>
      <c r="G644" s="256">
        <f>'[2]Price&amp;Heating-Value'!$P$6</f>
        <v>2.7124999999999999</v>
      </c>
      <c r="H644" s="406">
        <v>124880</v>
      </c>
      <c r="I644" s="406">
        <v>106680</v>
      </c>
      <c r="J644" s="406">
        <v>125608</v>
      </c>
      <c r="K644" s="406">
        <v>83445.63</v>
      </c>
      <c r="L644" s="406">
        <v>130200</v>
      </c>
      <c r="M644" s="406">
        <v>115864</v>
      </c>
      <c r="N644" s="406">
        <v>132663.97</v>
      </c>
      <c r="O644" s="406">
        <v>130536</v>
      </c>
      <c r="P644" s="406">
        <v>128408</v>
      </c>
      <c r="Q644" s="406">
        <v>131264</v>
      </c>
      <c r="R644" s="406">
        <v>131824</v>
      </c>
      <c r="S644" s="406">
        <v>152824</v>
      </c>
      <c r="T644" s="406">
        <f t="shared" ref="T644:T650" si="285">SUM(H644:S644)</f>
        <v>1494197.6</v>
      </c>
      <c r="U644" s="275">
        <f>T644*E644</f>
        <v>5379111.3600000003</v>
      </c>
      <c r="V644" s="275">
        <f>G644*T644</f>
        <v>4053010.99</v>
      </c>
      <c r="W644" s="227">
        <f>'[2]Price&amp;Heating-Value'!D$6</f>
        <v>2.4500000000000002</v>
      </c>
      <c r="X644" s="227">
        <f>'[2]Price&amp;Heating-Value'!E$6</f>
        <v>2.54</v>
      </c>
      <c r="Y644" s="227">
        <f>'[2]Price&amp;Heating-Value'!F$6</f>
        <v>2.58</v>
      </c>
      <c r="Z644" s="227">
        <f>'[2]Price&amp;Heating-Value'!G$6</f>
        <v>2.67</v>
      </c>
      <c r="AA644" s="227">
        <f>'[2]Price&amp;Heating-Value'!H$6</f>
        <v>2.67</v>
      </c>
      <c r="AB644" s="227">
        <f>'[2]Price&amp;Heating-Value'!I$6</f>
        <v>2.67</v>
      </c>
      <c r="AC644" s="227">
        <f>'[2]Price&amp;Heating-Value'!J$6</f>
        <v>2.62</v>
      </c>
    </row>
    <row r="645" spans="1:29" hidden="1">
      <c r="A645" s="229"/>
      <c r="B645" s="229"/>
      <c r="C645" s="320" t="s">
        <v>554</v>
      </c>
      <c r="D645" s="229" t="s">
        <v>121</v>
      </c>
      <c r="E645" s="229">
        <v>2732</v>
      </c>
      <c r="F645" s="229"/>
      <c r="G645" s="229"/>
      <c r="H645" s="406">
        <v>15741</v>
      </c>
      <c r="I645" s="406">
        <v>14230</v>
      </c>
      <c r="J645" s="406">
        <v>15944</v>
      </c>
      <c r="K645" s="406">
        <v>7184.75</v>
      </c>
      <c r="L645" s="406">
        <v>15746</v>
      </c>
      <c r="M645" s="406">
        <v>14958</v>
      </c>
      <c r="N645" s="406">
        <v>14913.63</v>
      </c>
      <c r="O645" s="406">
        <v>15463</v>
      </c>
      <c r="P645" s="406">
        <v>14840</v>
      </c>
      <c r="Q645" s="406">
        <v>15423</v>
      </c>
      <c r="R645" s="406">
        <v>14886</v>
      </c>
      <c r="S645" s="406">
        <v>15390</v>
      </c>
      <c r="T645" s="406">
        <f t="shared" si="285"/>
        <v>174719.38</v>
      </c>
      <c r="U645" s="275"/>
      <c r="V645" s="275">
        <f>SUM(V644)</f>
        <v>4053010.99</v>
      </c>
    </row>
    <row r="646" spans="1:29" hidden="1">
      <c r="A646" s="253"/>
      <c r="B646" s="233"/>
      <c r="C646" s="234" t="s">
        <v>107</v>
      </c>
      <c r="D646" s="233" t="s">
        <v>121</v>
      </c>
      <c r="E646" s="233"/>
      <c r="F646" s="233"/>
      <c r="G646" s="253"/>
      <c r="H646" s="264">
        <v>118824</v>
      </c>
      <c r="I646" s="264">
        <v>106387</v>
      </c>
      <c r="J646" s="264">
        <v>119371</v>
      </c>
      <c r="K646" s="264">
        <v>40870.51</v>
      </c>
      <c r="L646" s="264">
        <v>118087</v>
      </c>
      <c r="M646" s="264">
        <v>113362</v>
      </c>
      <c r="N646" s="264">
        <v>117089</v>
      </c>
      <c r="O646" s="264">
        <v>117289</v>
      </c>
      <c r="P646" s="264">
        <v>113590</v>
      </c>
      <c r="Q646" s="264">
        <v>117571</v>
      </c>
      <c r="R646" s="264">
        <v>114059</v>
      </c>
      <c r="S646" s="264">
        <v>117805</v>
      </c>
      <c r="T646" s="236">
        <f t="shared" si="285"/>
        <v>1314304.51</v>
      </c>
      <c r="U646" s="259"/>
      <c r="V646" s="785">
        <f>V645/T646</f>
        <v>3.0837686085395841</v>
      </c>
    </row>
    <row r="647" spans="1:29" hidden="1">
      <c r="A647" s="253"/>
      <c r="B647" s="253"/>
      <c r="C647" s="320" t="s">
        <v>553</v>
      </c>
      <c r="D647" s="253" t="s">
        <v>173</v>
      </c>
      <c r="E647" s="62"/>
      <c r="F647" s="62"/>
      <c r="G647" s="253"/>
      <c r="H647" s="277">
        <f t="shared" ref="H647:S648" si="286">H644*$E644/1000</f>
        <v>449.56799999999998</v>
      </c>
      <c r="I647" s="277">
        <f t="shared" si="286"/>
        <v>384.048</v>
      </c>
      <c r="J647" s="277">
        <f t="shared" si="286"/>
        <v>452.18880000000001</v>
      </c>
      <c r="K647" s="277">
        <f t="shared" si="286"/>
        <v>300.40426800000006</v>
      </c>
      <c r="L647" s="277">
        <f t="shared" si="286"/>
        <v>468.72</v>
      </c>
      <c r="M647" s="277">
        <f t="shared" si="286"/>
        <v>417.11040000000003</v>
      </c>
      <c r="N647" s="277">
        <f t="shared" si="286"/>
        <v>477.59029200000003</v>
      </c>
      <c r="O647" s="277">
        <f t="shared" si="286"/>
        <v>469.92960000000005</v>
      </c>
      <c r="P647" s="277">
        <f t="shared" si="286"/>
        <v>462.2688</v>
      </c>
      <c r="Q647" s="277">
        <f t="shared" si="286"/>
        <v>472.55040000000002</v>
      </c>
      <c r="R647" s="277">
        <f t="shared" si="286"/>
        <v>474.56640000000004</v>
      </c>
      <c r="S647" s="277">
        <f t="shared" si="286"/>
        <v>550.16640000000007</v>
      </c>
      <c r="T647" s="277">
        <f t="shared" si="285"/>
        <v>5379.111359999999</v>
      </c>
      <c r="U647" s="277"/>
      <c r="V647" s="277"/>
    </row>
    <row r="648" spans="1:29" hidden="1">
      <c r="A648" s="253"/>
      <c r="B648" s="253"/>
      <c r="C648" s="320" t="s">
        <v>554</v>
      </c>
      <c r="D648" s="253" t="s">
        <v>173</v>
      </c>
      <c r="E648" s="253"/>
      <c r="F648" s="253"/>
      <c r="G648" s="253"/>
      <c r="H648" s="277">
        <f t="shared" si="286"/>
        <v>43004.411999999997</v>
      </c>
      <c r="I648" s="277">
        <f t="shared" si="286"/>
        <v>38876.36</v>
      </c>
      <c r="J648" s="277">
        <f t="shared" si="286"/>
        <v>43559.008000000002</v>
      </c>
      <c r="K648" s="277">
        <f t="shared" si="286"/>
        <v>19628.737000000001</v>
      </c>
      <c r="L648" s="277">
        <f t="shared" si="286"/>
        <v>43018.072</v>
      </c>
      <c r="M648" s="277">
        <f t="shared" si="286"/>
        <v>40865.256000000001</v>
      </c>
      <c r="N648" s="277">
        <f t="shared" si="286"/>
        <v>40744.03716</v>
      </c>
      <c r="O648" s="277">
        <f t="shared" si="286"/>
        <v>42244.915999999997</v>
      </c>
      <c r="P648" s="277">
        <f t="shared" si="286"/>
        <v>40542.879999999997</v>
      </c>
      <c r="Q648" s="277">
        <f t="shared" si="286"/>
        <v>42135.635999999999</v>
      </c>
      <c r="R648" s="277">
        <f t="shared" si="286"/>
        <v>40668.552000000003</v>
      </c>
      <c r="S648" s="277">
        <f t="shared" si="286"/>
        <v>42045.48</v>
      </c>
      <c r="T648" s="277">
        <f t="shared" si="285"/>
        <v>477333.34616000002</v>
      </c>
      <c r="U648" s="277"/>
      <c r="V648" s="277"/>
    </row>
    <row r="649" spans="1:29" hidden="1">
      <c r="A649" s="253"/>
      <c r="B649" s="62"/>
      <c r="C649" s="237" t="s">
        <v>558</v>
      </c>
      <c r="D649" s="62" t="s">
        <v>173</v>
      </c>
      <c r="E649" s="253"/>
      <c r="F649" s="253"/>
      <c r="G649" s="253"/>
      <c r="H649" s="277">
        <f t="shared" ref="H649:M649" si="287">SUM(H647:H648)</f>
        <v>43453.979999999996</v>
      </c>
      <c r="I649" s="277">
        <f t="shared" si="287"/>
        <v>39260.408000000003</v>
      </c>
      <c r="J649" s="277">
        <f t="shared" si="287"/>
        <v>44011.196800000005</v>
      </c>
      <c r="K649" s="277">
        <f t="shared" si="287"/>
        <v>19929.141267999999</v>
      </c>
      <c r="L649" s="277">
        <f t="shared" si="287"/>
        <v>43486.792000000001</v>
      </c>
      <c r="M649" s="277">
        <f t="shared" si="287"/>
        <v>41282.366399999999</v>
      </c>
      <c r="N649" s="277">
        <f t="shared" ref="N649:S649" si="288">SUM(N647:N648)</f>
        <v>41221.627452000001</v>
      </c>
      <c r="O649" s="277">
        <f t="shared" si="288"/>
        <v>42714.845600000001</v>
      </c>
      <c r="P649" s="277">
        <f t="shared" si="288"/>
        <v>41005.148799999995</v>
      </c>
      <c r="Q649" s="277">
        <f t="shared" si="288"/>
        <v>42608.186399999999</v>
      </c>
      <c r="R649" s="277">
        <f t="shared" si="288"/>
        <v>41143.118400000007</v>
      </c>
      <c r="S649" s="277">
        <f t="shared" si="288"/>
        <v>42595.646400000005</v>
      </c>
      <c r="T649" s="279">
        <f t="shared" si="285"/>
        <v>482712.45752000011</v>
      </c>
      <c r="U649" s="277">
        <f>T649*12/11</f>
        <v>526595.40820363641</v>
      </c>
      <c r="V649" s="786">
        <f>V645/T649</f>
        <v>8.3963256527972927</v>
      </c>
    </row>
    <row r="650" spans="1:29" hidden="1">
      <c r="A650" s="253"/>
      <c r="B650" s="253"/>
      <c r="C650" s="237" t="s">
        <v>345</v>
      </c>
      <c r="D650" s="62" t="s">
        <v>173</v>
      </c>
      <c r="E650" s="253" t="s">
        <v>360</v>
      </c>
      <c r="F650" s="253">
        <v>94.652835096478114</v>
      </c>
      <c r="G650" s="253"/>
      <c r="H650" s="790">
        <f t="shared" ref="H650:S650" si="289">((0.2799*H646)*0.9998568*($F$650/100))+11407</f>
        <v>42882.924710569598</v>
      </c>
      <c r="I650" s="790">
        <f t="shared" si="289"/>
        <v>39588.421280072776</v>
      </c>
      <c r="J650" s="790">
        <f t="shared" si="289"/>
        <v>43027.822465372345</v>
      </c>
      <c r="K650" s="790">
        <f t="shared" si="289"/>
        <v>22233.407928049735</v>
      </c>
      <c r="L650" s="790">
        <f t="shared" si="289"/>
        <v>42687.696839839024</v>
      </c>
      <c r="M650" s="790">
        <f t="shared" si="289"/>
        <v>41436.066325318039</v>
      </c>
      <c r="N650" s="790">
        <f t="shared" si="289"/>
        <v>42423.33128354443</v>
      </c>
      <c r="O650" s="790">
        <f t="shared" si="289"/>
        <v>42476.31035294215</v>
      </c>
      <c r="P650" s="790">
        <f t="shared" si="289"/>
        <v>41496.462464431432</v>
      </c>
      <c r="Q650" s="790">
        <f t="shared" si="289"/>
        <v>42551.010840792922</v>
      </c>
      <c r="R650" s="790">
        <f t="shared" si="289"/>
        <v>41620.698382169066</v>
      </c>
      <c r="S650" s="790">
        <f t="shared" si="289"/>
        <v>42612.996351988244</v>
      </c>
      <c r="T650" s="279">
        <f t="shared" si="285"/>
        <v>485037.1492250897</v>
      </c>
      <c r="U650" s="277">
        <f>T650*12/11</f>
        <v>529131.43551827967</v>
      </c>
      <c r="V650" s="271" t="s">
        <v>158</v>
      </c>
    </row>
    <row r="651" spans="1:29" hidden="1">
      <c r="A651" s="253"/>
      <c r="B651" s="243" t="s">
        <v>174</v>
      </c>
      <c r="C651" s="244" t="s">
        <v>138</v>
      </c>
      <c r="D651" s="243" t="s">
        <v>347</v>
      </c>
      <c r="E651" s="243"/>
      <c r="F651" s="243"/>
      <c r="G651" s="253"/>
      <c r="H651" s="245">
        <f t="shared" ref="H651:T651" si="290">H647/H646*1000</f>
        <v>3.783478085235306</v>
      </c>
      <c r="I651" s="245">
        <f t="shared" si="290"/>
        <v>3.6099147452226306</v>
      </c>
      <c r="J651" s="245">
        <f t="shared" si="290"/>
        <v>3.7880959361989093</v>
      </c>
      <c r="K651" s="245">
        <f t="shared" si="290"/>
        <v>7.3501472822335723</v>
      </c>
      <c r="L651" s="245">
        <f t="shared" si="290"/>
        <v>3.9692768890733103</v>
      </c>
      <c r="M651" s="245">
        <f t="shared" si="290"/>
        <v>3.6794551966267361</v>
      </c>
      <c r="N651" s="245">
        <f t="shared" si="290"/>
        <v>4.0788655808829182</v>
      </c>
      <c r="O651" s="245">
        <f t="shared" si="290"/>
        <v>4.0065956739336173</v>
      </c>
      <c r="P651" s="245">
        <f t="shared" si="290"/>
        <v>4.0696258473457174</v>
      </c>
      <c r="Q651" s="245">
        <f t="shared" si="290"/>
        <v>4.0192768624916013</v>
      </c>
      <c r="R651" s="245">
        <f t="shared" si="290"/>
        <v>4.1607098080817826</v>
      </c>
      <c r="S651" s="245">
        <f t="shared" si="290"/>
        <v>4.6701447306990369</v>
      </c>
      <c r="T651" s="245">
        <f t="shared" si="290"/>
        <v>4.0927435910571432</v>
      </c>
      <c r="U651" s="246"/>
      <c r="V651" s="246"/>
    </row>
    <row r="652" spans="1:29" hidden="1">
      <c r="A652" s="253"/>
      <c r="B652" s="243"/>
      <c r="C652" s="244" t="s">
        <v>554</v>
      </c>
      <c r="D652" s="243" t="s">
        <v>347</v>
      </c>
      <c r="E652" s="243"/>
      <c r="F652" s="243"/>
      <c r="G652" s="253"/>
      <c r="H652" s="245">
        <f t="shared" ref="H652:T652" si="291">H648/H646*1000</f>
        <v>361.91688547768126</v>
      </c>
      <c r="I652" s="245">
        <f t="shared" si="291"/>
        <v>365.42397097389716</v>
      </c>
      <c r="J652" s="245">
        <f t="shared" si="291"/>
        <v>364.90444077707321</v>
      </c>
      <c r="K652" s="245">
        <f t="shared" si="291"/>
        <v>480.26650511579135</v>
      </c>
      <c r="L652" s="245">
        <f t="shared" si="291"/>
        <v>364.29134451717806</v>
      </c>
      <c r="M652" s="245">
        <f t="shared" si="291"/>
        <v>360.48460683474184</v>
      </c>
      <c r="N652" s="245">
        <f t="shared" si="291"/>
        <v>347.9749349640017</v>
      </c>
      <c r="O652" s="245">
        <f t="shared" si="291"/>
        <v>360.17798770558193</v>
      </c>
      <c r="P652" s="245">
        <f t="shared" si="291"/>
        <v>356.92296857117702</v>
      </c>
      <c r="Q652" s="245">
        <f t="shared" si="291"/>
        <v>358.38460164496342</v>
      </c>
      <c r="R652" s="245">
        <f t="shared" si="291"/>
        <v>356.55715024680211</v>
      </c>
      <c r="S652" s="245">
        <f t="shared" si="291"/>
        <v>356.90743177284503</v>
      </c>
      <c r="T652" s="245">
        <f t="shared" si="291"/>
        <v>363.18322164168791</v>
      </c>
      <c r="U652" s="246"/>
      <c r="V652" s="246"/>
    </row>
    <row r="653" spans="1:29" ht="23.25" hidden="1">
      <c r="A653" s="253"/>
      <c r="B653" s="243"/>
      <c r="C653" s="249" t="s">
        <v>559</v>
      </c>
      <c r="D653" s="243" t="s">
        <v>347</v>
      </c>
      <c r="E653" s="243"/>
      <c r="F653" s="243"/>
      <c r="G653" s="253"/>
      <c r="H653" s="245">
        <f t="shared" ref="H653:T653" si="292">H649/H646*1000</f>
        <v>365.70036356291655</v>
      </c>
      <c r="I653" s="245">
        <f t="shared" si="292"/>
        <v>369.03388571911984</v>
      </c>
      <c r="J653" s="245">
        <f t="shared" si="292"/>
        <v>368.69253671327215</v>
      </c>
      <c r="K653" s="245">
        <f t="shared" si="292"/>
        <v>487.61665239802483</v>
      </c>
      <c r="L653" s="245">
        <f t="shared" si="292"/>
        <v>368.26062140625135</v>
      </c>
      <c r="M653" s="245">
        <f t="shared" si="292"/>
        <v>364.16406203136853</v>
      </c>
      <c r="N653" s="245">
        <f t="shared" si="292"/>
        <v>352.05380054488467</v>
      </c>
      <c r="O653" s="245">
        <f t="shared" si="292"/>
        <v>364.18458337951552</v>
      </c>
      <c r="P653" s="245">
        <f t="shared" si="292"/>
        <v>360.99259441852274</v>
      </c>
      <c r="Q653" s="245">
        <f t="shared" si="292"/>
        <v>362.40387850745503</v>
      </c>
      <c r="R653" s="245">
        <f t="shared" si="292"/>
        <v>360.71786005488394</v>
      </c>
      <c r="S653" s="245">
        <f t="shared" si="292"/>
        <v>361.57757650354404</v>
      </c>
      <c r="T653" s="250">
        <f t="shared" si="292"/>
        <v>367.27596523274514</v>
      </c>
      <c r="U653" s="246"/>
      <c r="V653" s="246"/>
    </row>
    <row r="654" spans="1:29" hidden="1">
      <c r="A654" s="253"/>
      <c r="B654" s="243"/>
      <c r="C654" s="249" t="s">
        <v>560</v>
      </c>
      <c r="D654" s="243" t="s">
        <v>401</v>
      </c>
      <c r="E654" s="243"/>
      <c r="F654" s="243"/>
      <c r="G654" s="253"/>
      <c r="H654" s="251">
        <f>H649/H650*100</f>
        <v>101.33166124578636</v>
      </c>
      <c r="I654" s="251">
        <f t="shared" ref="I654:T654" si="293">I649/I650*100</f>
        <v>99.171441372334073</v>
      </c>
      <c r="J654" s="251">
        <f t="shared" si="293"/>
        <v>102.28543830080888</v>
      </c>
      <c r="K654" s="251">
        <f t="shared" si="293"/>
        <v>89.636016810798196</v>
      </c>
      <c r="L654" s="251">
        <f t="shared" si="293"/>
        <v>101.87195660416893</v>
      </c>
      <c r="M654" s="251">
        <f t="shared" si="293"/>
        <v>99.629067286186554</v>
      </c>
      <c r="N654" s="251">
        <f t="shared" si="293"/>
        <v>97.167351560600906</v>
      </c>
      <c r="O654" s="251">
        <f t="shared" si="293"/>
        <v>100.5615724272561</v>
      </c>
      <c r="P654" s="251">
        <f t="shared" si="293"/>
        <v>98.816010726570809</v>
      </c>
      <c r="Q654" s="251">
        <f t="shared" si="293"/>
        <v>100.13436944993153</v>
      </c>
      <c r="R654" s="251">
        <f t="shared" si="293"/>
        <v>98.852542122710602</v>
      </c>
      <c r="S654" s="251">
        <f t="shared" si="293"/>
        <v>99.959284834502299</v>
      </c>
      <c r="T654" s="251">
        <f t="shared" si="293"/>
        <v>99.520718833845294</v>
      </c>
      <c r="U654" s="246"/>
      <c r="V654" s="246"/>
    </row>
    <row r="655" spans="1:29" hidden="1">
      <c r="A655" s="342"/>
      <c r="B655" s="336"/>
      <c r="C655" s="364"/>
      <c r="D655" s="336"/>
      <c r="E655" s="243"/>
      <c r="F655" s="243"/>
      <c r="G655" s="253"/>
      <c r="H655" s="365"/>
      <c r="I655" s="365"/>
      <c r="J655" s="365"/>
      <c r="K655" s="365"/>
      <c r="L655" s="365"/>
      <c r="M655" s="365"/>
      <c r="N655" s="365"/>
      <c r="O655" s="365"/>
      <c r="P655" s="365"/>
      <c r="Q655" s="365"/>
      <c r="R655" s="365"/>
      <c r="S655" s="365"/>
      <c r="T655" s="365"/>
      <c r="U655" s="366"/>
      <c r="V655" s="366"/>
    </row>
    <row r="656" spans="1:29" hidden="1">
      <c r="A656" s="229"/>
      <c r="B656" s="266" t="s">
        <v>136</v>
      </c>
      <c r="C656" s="320" t="s">
        <v>553</v>
      </c>
      <c r="D656" s="229" t="s">
        <v>90</v>
      </c>
      <c r="E656" s="238">
        <f>'[2]Price&amp;Heating-Value'!$R$6</f>
        <v>3.6</v>
      </c>
      <c r="F656" s="62"/>
      <c r="G656" s="256">
        <f>'[2]Price&amp;Heating-Value'!$P$6</f>
        <v>2.7124999999999999</v>
      </c>
      <c r="H656" s="406">
        <v>53520</v>
      </c>
      <c r="I656" s="406">
        <v>45720</v>
      </c>
      <c r="J656" s="406">
        <v>53832</v>
      </c>
      <c r="K656" s="406">
        <v>54240</v>
      </c>
      <c r="L656" s="406">
        <v>55800</v>
      </c>
      <c r="M656" s="406">
        <v>49656</v>
      </c>
      <c r="N656" s="406">
        <v>56856</v>
      </c>
      <c r="O656" s="406">
        <v>55944</v>
      </c>
      <c r="P656" s="406">
        <v>55032</v>
      </c>
      <c r="Q656" s="406">
        <v>54552</v>
      </c>
      <c r="R656" s="406">
        <v>56496</v>
      </c>
      <c r="S656" s="406">
        <v>65496</v>
      </c>
      <c r="T656" s="406">
        <f t="shared" ref="T656:T662" si="294">SUM(H656:S656)</f>
        <v>657144</v>
      </c>
      <c r="U656" s="275">
        <f>T656*E656</f>
        <v>2365718.4</v>
      </c>
      <c r="V656" s="275">
        <f>G656*T656</f>
        <v>1782503.0999999999</v>
      </c>
      <c r="W656" s="227">
        <f>'[2]Price&amp;Heating-Value'!D$6</f>
        <v>2.4500000000000002</v>
      </c>
      <c r="X656" s="227">
        <f>'[2]Price&amp;Heating-Value'!E$6</f>
        <v>2.54</v>
      </c>
      <c r="Y656" s="227">
        <f>'[2]Price&amp;Heating-Value'!F$6</f>
        <v>2.58</v>
      </c>
      <c r="Z656" s="227">
        <f>'[2]Price&amp;Heating-Value'!G$6</f>
        <v>2.67</v>
      </c>
      <c r="AA656" s="227">
        <f>'[2]Price&amp;Heating-Value'!H$6</f>
        <v>2.67</v>
      </c>
      <c r="AB656" s="227">
        <f>'[2]Price&amp;Heating-Value'!I$6</f>
        <v>2.67</v>
      </c>
      <c r="AC656" s="227">
        <f>'[2]Price&amp;Heating-Value'!J$6</f>
        <v>2.62</v>
      </c>
    </row>
    <row r="657" spans="1:29" hidden="1">
      <c r="A657" s="229"/>
      <c r="B657" s="229"/>
      <c r="C657" s="320" t="s">
        <v>554</v>
      </c>
      <c r="D657" s="229" t="s">
        <v>121</v>
      </c>
      <c r="E657" s="229">
        <v>2732</v>
      </c>
      <c r="F657" s="229"/>
      <c r="G657" s="229"/>
      <c r="H657" s="406">
        <v>3830</v>
      </c>
      <c r="I657" s="406">
        <v>3521</v>
      </c>
      <c r="J657" s="406">
        <v>4308</v>
      </c>
      <c r="K657" s="406">
        <v>3635.73</v>
      </c>
      <c r="L657" s="406">
        <v>3904</v>
      </c>
      <c r="M657" s="406">
        <v>3748</v>
      </c>
      <c r="N657" s="406">
        <v>3716.88</v>
      </c>
      <c r="O657" s="406">
        <v>3980</v>
      </c>
      <c r="P657" s="406">
        <v>3370</v>
      </c>
      <c r="Q657" s="406">
        <v>2826</v>
      </c>
      <c r="R657" s="406">
        <v>3088</v>
      </c>
      <c r="S657" s="406">
        <v>3458</v>
      </c>
      <c r="T657" s="406">
        <f t="shared" si="294"/>
        <v>43385.61</v>
      </c>
      <c r="U657" s="275"/>
      <c r="V657" s="275">
        <f>SUM(V656)</f>
        <v>1782503.0999999999</v>
      </c>
    </row>
    <row r="658" spans="1:29" hidden="1">
      <c r="A658" s="253"/>
      <c r="B658" s="233"/>
      <c r="C658" s="234" t="s">
        <v>107</v>
      </c>
      <c r="D658" s="233" t="s">
        <v>121</v>
      </c>
      <c r="E658" s="233"/>
      <c r="F658" s="233"/>
      <c r="G658" s="253"/>
      <c r="H658" s="264">
        <v>17854.206999999999</v>
      </c>
      <c r="I658" s="264">
        <v>16531.98</v>
      </c>
      <c r="J658" s="264">
        <v>18349.46</v>
      </c>
      <c r="K658" s="264">
        <v>16751.259999999998</v>
      </c>
      <c r="L658" s="264">
        <v>18591.09</v>
      </c>
      <c r="M658" s="264">
        <v>17896.784</v>
      </c>
      <c r="N658" s="264">
        <v>17484.11</v>
      </c>
      <c r="O658" s="264">
        <v>18884.91</v>
      </c>
      <c r="P658" s="264">
        <v>17362.66</v>
      </c>
      <c r="Q658" s="264">
        <v>15002</v>
      </c>
      <c r="R658" s="264">
        <v>16746</v>
      </c>
      <c r="S658" s="264">
        <v>18471</v>
      </c>
      <c r="T658" s="236">
        <f t="shared" si="294"/>
        <v>209925.46099999998</v>
      </c>
      <c r="U658" s="259"/>
      <c r="V658" s="785">
        <f>V657/T658</f>
        <v>8.4911239042128379</v>
      </c>
    </row>
    <row r="659" spans="1:29" hidden="1">
      <c r="A659" s="253"/>
      <c r="B659" s="253"/>
      <c r="C659" s="320" t="s">
        <v>553</v>
      </c>
      <c r="D659" s="253" t="s">
        <v>173</v>
      </c>
      <c r="E659" s="62"/>
      <c r="F659" s="62"/>
      <c r="G659" s="253"/>
      <c r="H659" s="277">
        <f t="shared" ref="H659:S660" si="295">H656*$E656/1000</f>
        <v>192.672</v>
      </c>
      <c r="I659" s="277">
        <f t="shared" si="295"/>
        <v>164.59200000000001</v>
      </c>
      <c r="J659" s="277">
        <f t="shared" si="295"/>
        <v>193.79520000000002</v>
      </c>
      <c r="K659" s="277">
        <f t="shared" si="295"/>
        <v>195.26400000000001</v>
      </c>
      <c r="L659" s="277">
        <f t="shared" si="295"/>
        <v>200.88</v>
      </c>
      <c r="M659" s="277">
        <f t="shared" si="295"/>
        <v>178.76160000000002</v>
      </c>
      <c r="N659" s="277">
        <f t="shared" si="295"/>
        <v>204.6816</v>
      </c>
      <c r="O659" s="277">
        <f t="shared" si="295"/>
        <v>201.39839999999998</v>
      </c>
      <c r="P659" s="277">
        <f t="shared" si="295"/>
        <v>198.11520000000002</v>
      </c>
      <c r="Q659" s="277">
        <f t="shared" si="295"/>
        <v>196.38720000000001</v>
      </c>
      <c r="R659" s="277">
        <f t="shared" si="295"/>
        <v>203.38560000000001</v>
      </c>
      <c r="S659" s="277">
        <f t="shared" si="295"/>
        <v>235.78560000000002</v>
      </c>
      <c r="T659" s="277">
        <f t="shared" si="294"/>
        <v>2365.7184000000002</v>
      </c>
      <c r="U659" s="277"/>
      <c r="V659" s="277"/>
    </row>
    <row r="660" spans="1:29" hidden="1">
      <c r="A660" s="253"/>
      <c r="B660" s="253"/>
      <c r="C660" s="320" t="s">
        <v>554</v>
      </c>
      <c r="D660" s="253" t="s">
        <v>173</v>
      </c>
      <c r="E660" s="253"/>
      <c r="F660" s="253"/>
      <c r="G660" s="253"/>
      <c r="H660" s="277">
        <f t="shared" si="295"/>
        <v>10463.56</v>
      </c>
      <c r="I660" s="277">
        <f t="shared" si="295"/>
        <v>9619.3719999999994</v>
      </c>
      <c r="J660" s="277">
        <f t="shared" si="295"/>
        <v>11769.456</v>
      </c>
      <c r="K660" s="277">
        <f t="shared" si="295"/>
        <v>9932.8143600000003</v>
      </c>
      <c r="L660" s="277">
        <f t="shared" si="295"/>
        <v>10665.727999999999</v>
      </c>
      <c r="M660" s="277">
        <f t="shared" si="295"/>
        <v>10239.536</v>
      </c>
      <c r="N660" s="277">
        <f t="shared" si="295"/>
        <v>10154.516160000001</v>
      </c>
      <c r="O660" s="277">
        <f t="shared" si="295"/>
        <v>10873.36</v>
      </c>
      <c r="P660" s="277">
        <f t="shared" si="295"/>
        <v>9206.84</v>
      </c>
      <c r="Q660" s="277">
        <f t="shared" si="295"/>
        <v>7720.6319999999996</v>
      </c>
      <c r="R660" s="277">
        <f t="shared" si="295"/>
        <v>8436.4159999999993</v>
      </c>
      <c r="S660" s="277">
        <f t="shared" si="295"/>
        <v>9447.2559999999994</v>
      </c>
      <c r="T660" s="277">
        <f t="shared" si="294"/>
        <v>118529.48651999999</v>
      </c>
      <c r="U660" s="277"/>
      <c r="V660" s="277"/>
    </row>
    <row r="661" spans="1:29" hidden="1">
      <c r="A661" s="253"/>
      <c r="B661" s="62"/>
      <c r="C661" s="237" t="s">
        <v>561</v>
      </c>
      <c r="D661" s="62" t="s">
        <v>173</v>
      </c>
      <c r="E661" s="253"/>
      <c r="F661" s="253"/>
      <c r="G661" s="253"/>
      <c r="H661" s="277">
        <f t="shared" ref="H661:M661" si="296">SUM(H659:H660)</f>
        <v>10656.232</v>
      </c>
      <c r="I661" s="277">
        <f t="shared" si="296"/>
        <v>9783.9639999999999</v>
      </c>
      <c r="J661" s="277">
        <f t="shared" si="296"/>
        <v>11963.251200000001</v>
      </c>
      <c r="K661" s="277">
        <f t="shared" si="296"/>
        <v>10128.07836</v>
      </c>
      <c r="L661" s="277">
        <f t="shared" si="296"/>
        <v>10866.607999999998</v>
      </c>
      <c r="M661" s="277">
        <f t="shared" si="296"/>
        <v>10418.2976</v>
      </c>
      <c r="N661" s="277">
        <f t="shared" ref="N661:S661" si="297">SUM(N659:N660)</f>
        <v>10359.197760000001</v>
      </c>
      <c r="O661" s="277">
        <f t="shared" si="297"/>
        <v>11074.758400000001</v>
      </c>
      <c r="P661" s="277">
        <f t="shared" si="297"/>
        <v>9404.9552000000003</v>
      </c>
      <c r="Q661" s="277">
        <f t="shared" si="297"/>
        <v>7917.0191999999997</v>
      </c>
      <c r="R661" s="277">
        <f t="shared" si="297"/>
        <v>8639.8015999999989</v>
      </c>
      <c r="S661" s="277">
        <f t="shared" si="297"/>
        <v>9683.0415999999987</v>
      </c>
      <c r="T661" s="279">
        <f t="shared" si="294"/>
        <v>120895.20491999999</v>
      </c>
      <c r="U661" s="277">
        <f>T661*12/11</f>
        <v>131885.67809454544</v>
      </c>
      <c r="V661" s="786">
        <f>V657/T661</f>
        <v>14.744200162277206</v>
      </c>
    </row>
    <row r="662" spans="1:29" hidden="1">
      <c r="A662" s="253"/>
      <c r="B662" s="253"/>
      <c r="C662" s="237" t="s">
        <v>345</v>
      </c>
      <c r="D662" s="62" t="s">
        <v>173</v>
      </c>
      <c r="E662" s="253" t="s">
        <v>360</v>
      </c>
      <c r="F662" s="253">
        <v>99.596075505164563</v>
      </c>
      <c r="G662" s="253"/>
      <c r="H662" s="790">
        <f t="shared" ref="H662:S662" si="298">((0.6024*H658)-107.06)*1.01126*($F$662/100)</f>
        <v>10724.71886050415</v>
      </c>
      <c r="I662" s="790">
        <f t="shared" si="298"/>
        <v>9922.4941421508192</v>
      </c>
      <c r="J662" s="790">
        <f t="shared" si="298"/>
        <v>11025.199941618544</v>
      </c>
      <c r="K662" s="790">
        <f t="shared" si="298"/>
        <v>10055.536226634433</v>
      </c>
      <c r="L662" s="790">
        <f t="shared" si="298"/>
        <v>11171.802271396802</v>
      </c>
      <c r="M662" s="790">
        <f t="shared" si="298"/>
        <v>10750.551279471038</v>
      </c>
      <c r="N662" s="790">
        <f t="shared" si="298"/>
        <v>10500.172726150206</v>
      </c>
      <c r="O662" s="790">
        <f t="shared" si="298"/>
        <v>11350.069442424601</v>
      </c>
      <c r="P662" s="790">
        <f t="shared" si="298"/>
        <v>10426.486292546888</v>
      </c>
      <c r="Q662" s="790">
        <f t="shared" si="298"/>
        <v>8994.2210282405522</v>
      </c>
      <c r="R662" s="790">
        <f t="shared" si="298"/>
        <v>10052.344866891715</v>
      </c>
      <c r="S662" s="790">
        <f t="shared" si="298"/>
        <v>11098.94098023647</v>
      </c>
      <c r="T662" s="279">
        <f t="shared" si="294"/>
        <v>126072.53805826622</v>
      </c>
      <c r="U662" s="277">
        <f>T662*12/11</f>
        <v>137533.67788174495</v>
      </c>
      <c r="V662" s="271" t="s">
        <v>158</v>
      </c>
    </row>
    <row r="663" spans="1:29" hidden="1">
      <c r="A663" s="253"/>
      <c r="B663" s="243" t="s">
        <v>174</v>
      </c>
      <c r="C663" s="244" t="s">
        <v>138</v>
      </c>
      <c r="D663" s="243" t="s">
        <v>347</v>
      </c>
      <c r="E663" s="243"/>
      <c r="F663" s="243"/>
      <c r="G663" s="253"/>
      <c r="H663" s="245">
        <f t="shared" ref="H663:T663" si="299">H659/H658*1000</f>
        <v>10.791406193509463</v>
      </c>
      <c r="I663" s="245">
        <f t="shared" si="299"/>
        <v>9.9559762351515069</v>
      </c>
      <c r="J663" s="245">
        <f t="shared" si="299"/>
        <v>10.56135711895609</v>
      </c>
      <c r="K663" s="245">
        <f t="shared" si="299"/>
        <v>11.656675378449146</v>
      </c>
      <c r="L663" s="245">
        <f t="shared" si="299"/>
        <v>10.805176027871415</v>
      </c>
      <c r="M663" s="245">
        <f t="shared" si="299"/>
        <v>9.9884761418587846</v>
      </c>
      <c r="N663" s="245">
        <f t="shared" si="299"/>
        <v>11.706721131358702</v>
      </c>
      <c r="O663" s="245">
        <f t="shared" si="299"/>
        <v>10.66451468394607</v>
      </c>
      <c r="P663" s="245">
        <f t="shared" si="299"/>
        <v>11.410417528189805</v>
      </c>
      <c r="Q663" s="245">
        <f t="shared" si="299"/>
        <v>13.090734568724169</v>
      </c>
      <c r="R663" s="245">
        <f t="shared" si="299"/>
        <v>12.145324256538876</v>
      </c>
      <c r="S663" s="245">
        <f t="shared" si="299"/>
        <v>12.765177846353744</v>
      </c>
      <c r="T663" s="245">
        <f t="shared" si="299"/>
        <v>11.269325734623493</v>
      </c>
      <c r="U663" s="246"/>
      <c r="V663" s="246"/>
    </row>
    <row r="664" spans="1:29" hidden="1">
      <c r="A664" s="253"/>
      <c r="B664" s="243"/>
      <c r="C664" s="244" t="s">
        <v>554</v>
      </c>
      <c r="D664" s="243" t="s">
        <v>347</v>
      </c>
      <c r="E664" s="243"/>
      <c r="F664" s="243"/>
      <c r="G664" s="253"/>
      <c r="H664" s="245">
        <f t="shared" ref="H664:T664" si="300">H660/H658*1000</f>
        <v>586.05571224753919</v>
      </c>
      <c r="I664" s="245">
        <f t="shared" si="300"/>
        <v>581.86448326213804</v>
      </c>
      <c r="J664" s="245">
        <f t="shared" si="300"/>
        <v>641.40612312296935</v>
      </c>
      <c r="K664" s="245">
        <f t="shared" si="300"/>
        <v>592.9592376931646</v>
      </c>
      <c r="L664" s="245">
        <f t="shared" si="300"/>
        <v>573.70105787234638</v>
      </c>
      <c r="M664" s="245">
        <f t="shared" si="300"/>
        <v>572.14391144241335</v>
      </c>
      <c r="N664" s="245">
        <f t="shared" si="300"/>
        <v>580.78541944657184</v>
      </c>
      <c r="O664" s="245">
        <f t="shared" si="300"/>
        <v>575.76975479364216</v>
      </c>
      <c r="P664" s="245">
        <f t="shared" si="300"/>
        <v>530.26667572825829</v>
      </c>
      <c r="Q664" s="245">
        <f t="shared" si="300"/>
        <v>514.64018130915883</v>
      </c>
      <c r="R664" s="245">
        <f t="shared" si="300"/>
        <v>503.78693419324014</v>
      </c>
      <c r="S664" s="245">
        <f t="shared" si="300"/>
        <v>511.46424124302956</v>
      </c>
      <c r="T664" s="245">
        <f t="shared" si="300"/>
        <v>564.62653913143015</v>
      </c>
      <c r="U664" s="246"/>
      <c r="V664" s="246"/>
    </row>
    <row r="665" spans="1:29" ht="23.25" hidden="1">
      <c r="A665" s="253"/>
      <c r="B665" s="243"/>
      <c r="C665" s="249" t="s">
        <v>562</v>
      </c>
      <c r="D665" s="243" t="s">
        <v>347</v>
      </c>
      <c r="E665" s="243"/>
      <c r="F665" s="243"/>
      <c r="G665" s="253"/>
      <c r="H665" s="245">
        <f t="shared" ref="H665:T665" si="301">H661/H658*1000</f>
        <v>596.84711844104868</v>
      </c>
      <c r="I665" s="245">
        <f t="shared" si="301"/>
        <v>591.82045949728945</v>
      </c>
      <c r="J665" s="245">
        <f t="shared" si="301"/>
        <v>651.96748024192539</v>
      </c>
      <c r="K665" s="245">
        <f t="shared" si="301"/>
        <v>604.61591307161382</v>
      </c>
      <c r="L665" s="245">
        <f t="shared" si="301"/>
        <v>584.50623390021769</v>
      </c>
      <c r="M665" s="245">
        <f t="shared" si="301"/>
        <v>582.13238758427212</v>
      </c>
      <c r="N665" s="245">
        <f t="shared" si="301"/>
        <v>592.49214057793051</v>
      </c>
      <c r="O665" s="245">
        <f t="shared" si="301"/>
        <v>586.43426947758826</v>
      </c>
      <c r="P665" s="245">
        <f t="shared" si="301"/>
        <v>541.67709325644807</v>
      </c>
      <c r="Q665" s="245">
        <f t="shared" si="301"/>
        <v>527.73091587788292</v>
      </c>
      <c r="R665" s="245">
        <f t="shared" si="301"/>
        <v>515.93225844977894</v>
      </c>
      <c r="S665" s="245">
        <f t="shared" si="301"/>
        <v>524.22941908938321</v>
      </c>
      <c r="T665" s="250">
        <f t="shared" si="301"/>
        <v>575.89586486605356</v>
      </c>
      <c r="U665" s="246"/>
      <c r="V665" s="246"/>
    </row>
    <row r="666" spans="1:29" hidden="1">
      <c r="A666" s="253"/>
      <c r="B666" s="243"/>
      <c r="C666" s="249" t="s">
        <v>563</v>
      </c>
      <c r="D666" s="243" t="s">
        <v>401</v>
      </c>
      <c r="E666" s="243"/>
      <c r="F666" s="243"/>
      <c r="G666" s="253"/>
      <c r="H666" s="251">
        <f>H661/H662*100</f>
        <v>99.361411134455309</v>
      </c>
      <c r="I666" s="251">
        <f t="shared" ref="I666:T666" si="302">I661/I662*100</f>
        <v>98.603877813720814</v>
      </c>
      <c r="J666" s="251">
        <f t="shared" si="302"/>
        <v>108.50824713700156</v>
      </c>
      <c r="K666" s="251">
        <f t="shared" si="302"/>
        <v>100.72141486769668</v>
      </c>
      <c r="L666" s="251">
        <f t="shared" si="302"/>
        <v>97.268173353030122</v>
      </c>
      <c r="M666" s="251">
        <f t="shared" si="302"/>
        <v>96.909426588146232</v>
      </c>
      <c r="N666" s="251">
        <f t="shared" si="302"/>
        <v>98.657403360621743</v>
      </c>
      <c r="O666" s="251">
        <f t="shared" si="302"/>
        <v>97.574366889813589</v>
      </c>
      <c r="P666" s="251">
        <f t="shared" si="302"/>
        <v>90.202537423589163</v>
      </c>
      <c r="Q666" s="251">
        <f t="shared" si="302"/>
        <v>88.0234005273131</v>
      </c>
      <c r="R666" s="251">
        <f t="shared" si="302"/>
        <v>85.948121700996822</v>
      </c>
      <c r="S666" s="251">
        <f t="shared" si="302"/>
        <v>87.242932611699459</v>
      </c>
      <c r="T666" s="251">
        <f t="shared" si="302"/>
        <v>95.893369628306004</v>
      </c>
      <c r="U666" s="246"/>
      <c r="V666" s="246"/>
    </row>
    <row r="667" spans="1:29" hidden="1">
      <c r="A667" s="342"/>
      <c r="B667" s="336"/>
      <c r="C667" s="364" t="s">
        <v>564</v>
      </c>
      <c r="D667" s="336"/>
      <c r="E667" s="243"/>
      <c r="F667" s="243"/>
      <c r="G667" s="253"/>
      <c r="H667" s="365">
        <f t="shared" ref="H667:T667" si="303">(H661+H649+H637+H622)/(H623+H638+H650+H662)*100</f>
        <v>99.216825004793023</v>
      </c>
      <c r="I667" s="365">
        <f t="shared" si="303"/>
        <v>97.472858845078235</v>
      </c>
      <c r="J667" s="365">
        <f t="shared" si="303"/>
        <v>101.47792448541193</v>
      </c>
      <c r="K667" s="365">
        <f t="shared" si="303"/>
        <v>95.534862798974984</v>
      </c>
      <c r="L667" s="365">
        <f t="shared" si="303"/>
        <v>100.7409182136016</v>
      </c>
      <c r="M667" s="365">
        <f t="shared" si="303"/>
        <v>97.562165625981507</v>
      </c>
      <c r="N667" s="365">
        <f t="shared" si="303"/>
        <v>96.370413075140206</v>
      </c>
      <c r="O667" s="365">
        <f t="shared" si="303"/>
        <v>98.837655149927457</v>
      </c>
      <c r="P667" s="365">
        <f t="shared" si="303"/>
        <v>93.509696031594288</v>
      </c>
      <c r="Q667" s="365">
        <f t="shared" si="303"/>
        <v>95.781679578371211</v>
      </c>
      <c r="R667" s="365">
        <f t="shared" si="303"/>
        <v>93.445886991394261</v>
      </c>
      <c r="S667" s="365">
        <f t="shared" si="303"/>
        <v>95.675582494680114</v>
      </c>
      <c r="T667" s="365">
        <f t="shared" si="303"/>
        <v>97.189887979399657</v>
      </c>
      <c r="U667" s="366"/>
      <c r="V667" s="366"/>
    </row>
    <row r="668" spans="1:29" hidden="1">
      <c r="A668" s="229">
        <v>23</v>
      </c>
      <c r="B668" s="229" t="s">
        <v>565</v>
      </c>
      <c r="C668" s="407" t="s">
        <v>117</v>
      </c>
      <c r="D668" s="229" t="s">
        <v>90</v>
      </c>
      <c r="E668" s="238">
        <f>'[2]Price&amp;Heating-Value'!$R$6</f>
        <v>3.6</v>
      </c>
      <c r="F668" s="62"/>
      <c r="G668" s="256">
        <f>'[2]Price&amp;Heating-Value'!$P$6</f>
        <v>2.7124999999999999</v>
      </c>
      <c r="H668" s="275">
        <v>3418746</v>
      </c>
      <c r="I668" s="275">
        <v>3020088</v>
      </c>
      <c r="J668" s="275">
        <v>3301826</v>
      </c>
      <c r="K668" s="275">
        <v>3342507</v>
      </c>
      <c r="L668" s="275">
        <v>3262426</v>
      </c>
      <c r="M668" s="275">
        <v>3121780</v>
      </c>
      <c r="N668" s="275">
        <v>3464367</v>
      </c>
      <c r="O668" s="275">
        <v>3268866</v>
      </c>
      <c r="P668" s="275">
        <v>3086640</v>
      </c>
      <c r="Q668" s="275">
        <v>3337606</v>
      </c>
      <c r="R668" s="275">
        <v>3317620</v>
      </c>
      <c r="S668" s="275">
        <v>3225716</v>
      </c>
      <c r="T668" s="275">
        <f>SUM(H668:S668)</f>
        <v>39168188</v>
      </c>
      <c r="U668" s="275">
        <f>T668*E668</f>
        <v>141005476.80000001</v>
      </c>
      <c r="V668" s="275">
        <f>G668*T668</f>
        <v>106243709.95</v>
      </c>
      <c r="W668" s="227">
        <f>'[2]Price&amp;Heating-Value'!D$6</f>
        <v>2.4500000000000002</v>
      </c>
      <c r="X668" s="227">
        <f>'[2]Price&amp;Heating-Value'!E$6</f>
        <v>2.54</v>
      </c>
      <c r="Y668" s="227">
        <f>'[2]Price&amp;Heating-Value'!F$6</f>
        <v>2.58</v>
      </c>
      <c r="Z668" s="227">
        <f>'[2]Price&amp;Heating-Value'!G$6</f>
        <v>2.67</v>
      </c>
      <c r="AA668" s="227">
        <f>'[2]Price&amp;Heating-Value'!H$6</f>
        <v>2.67</v>
      </c>
      <c r="AB668" s="227">
        <f>'[2]Price&amp;Heating-Value'!I$6</f>
        <v>2.67</v>
      </c>
      <c r="AC668" s="227">
        <f>'[2]Price&amp;Heating-Value'!J$6</f>
        <v>2.62</v>
      </c>
    </row>
    <row r="669" spans="1:29" hidden="1">
      <c r="A669" s="229"/>
      <c r="B669" s="266" t="s">
        <v>566</v>
      </c>
      <c r="C669" s="237"/>
      <c r="D669" s="229"/>
      <c r="E669" s="229"/>
      <c r="F669" s="229"/>
      <c r="G669" s="229"/>
      <c r="H669" s="274"/>
      <c r="I669" s="274"/>
      <c r="J669" s="274"/>
      <c r="K669" s="274"/>
      <c r="L669" s="274"/>
      <c r="M669" s="274"/>
      <c r="N669" s="274"/>
      <c r="O669" s="274"/>
      <c r="P669" s="274"/>
      <c r="Q669" s="274"/>
      <c r="R669" s="274"/>
      <c r="S669" s="274"/>
      <c r="T669" s="274">
        <f>SUM(H669:S669)</f>
        <v>0</v>
      </c>
      <c r="U669" s="275"/>
      <c r="V669" s="275">
        <f>SUM(V668)</f>
        <v>106243709.95</v>
      </c>
    </row>
    <row r="670" spans="1:29" hidden="1">
      <c r="A670" s="253"/>
      <c r="B670" s="233"/>
      <c r="C670" s="234" t="s">
        <v>107</v>
      </c>
      <c r="D670" s="233" t="s">
        <v>163</v>
      </c>
      <c r="E670" s="233"/>
      <c r="F670" s="233"/>
      <c r="G670" s="253"/>
      <c r="H670" s="264">
        <v>22576200</v>
      </c>
      <c r="I670" s="264">
        <v>19740880</v>
      </c>
      <c r="J670" s="264">
        <v>21239850</v>
      </c>
      <c r="K670" s="264">
        <v>21636290</v>
      </c>
      <c r="L670" s="264">
        <v>21123280</v>
      </c>
      <c r="M670" s="264">
        <v>19788030</v>
      </c>
      <c r="N670" s="264">
        <v>22196630</v>
      </c>
      <c r="O670" s="264">
        <v>20797910</v>
      </c>
      <c r="P670" s="264">
        <v>18932000</v>
      </c>
      <c r="Q670" s="264">
        <v>23808000</v>
      </c>
      <c r="R670" s="264">
        <v>23040000</v>
      </c>
      <c r="S670" s="264">
        <v>23808000</v>
      </c>
      <c r="T670" s="236">
        <f>SUM(H670:S670)</f>
        <v>258687070</v>
      </c>
      <c r="U670" s="259"/>
      <c r="V670" s="785">
        <f>V669/T670</f>
        <v>0.41070359624081715</v>
      </c>
    </row>
    <row r="671" spans="1:29" hidden="1">
      <c r="A671" s="253"/>
      <c r="B671" s="253"/>
      <c r="C671" s="276"/>
      <c r="D671" s="253"/>
      <c r="E671" s="253"/>
      <c r="F671" s="253"/>
      <c r="G671" s="253"/>
      <c r="H671" s="277"/>
      <c r="I671" s="277"/>
      <c r="J671" s="277"/>
      <c r="K671" s="277"/>
      <c r="L671" s="277"/>
      <c r="M671" s="277"/>
      <c r="N671" s="277"/>
      <c r="O671" s="277"/>
      <c r="P671" s="277"/>
      <c r="Q671" s="277"/>
      <c r="R671" s="277"/>
      <c r="S671" s="277"/>
      <c r="T671" s="277"/>
      <c r="U671" s="277"/>
      <c r="V671" s="771" t="s">
        <v>137</v>
      </c>
    </row>
    <row r="672" spans="1:29" hidden="1">
      <c r="A672" s="253"/>
      <c r="B672" s="253"/>
      <c r="C672" s="278" t="s">
        <v>138</v>
      </c>
      <c r="D672" s="253" t="s">
        <v>173</v>
      </c>
      <c r="E672" s="62"/>
      <c r="F672" s="62"/>
      <c r="G672" s="253"/>
      <c r="H672" s="277">
        <f t="shared" ref="H672:S672" si="304">H668*$E$668/1000</f>
        <v>12307.4856</v>
      </c>
      <c r="I672" s="277">
        <f t="shared" si="304"/>
        <v>10872.316800000001</v>
      </c>
      <c r="J672" s="277">
        <f t="shared" si="304"/>
        <v>11886.5736</v>
      </c>
      <c r="K672" s="277">
        <f t="shared" si="304"/>
        <v>12033.025200000002</v>
      </c>
      <c r="L672" s="277">
        <f t="shared" si="304"/>
        <v>11744.7336</v>
      </c>
      <c r="M672" s="277">
        <f t="shared" si="304"/>
        <v>11238.407999999999</v>
      </c>
      <c r="N672" s="277">
        <f t="shared" si="304"/>
        <v>12471.721200000002</v>
      </c>
      <c r="O672" s="277">
        <f t="shared" si="304"/>
        <v>11767.917599999999</v>
      </c>
      <c r="P672" s="277">
        <f t="shared" si="304"/>
        <v>11111.904</v>
      </c>
      <c r="Q672" s="277">
        <f t="shared" si="304"/>
        <v>12015.381599999999</v>
      </c>
      <c r="R672" s="277">
        <f t="shared" si="304"/>
        <v>11943.432000000001</v>
      </c>
      <c r="S672" s="277">
        <f t="shared" si="304"/>
        <v>11612.577600000001</v>
      </c>
      <c r="T672" s="277">
        <f>SUM(H672:S672)</f>
        <v>141005.4768</v>
      </c>
      <c r="U672" s="277"/>
      <c r="V672" s="277"/>
    </row>
    <row r="673" spans="1:29" hidden="1">
      <c r="A673" s="253"/>
      <c r="B673" s="62"/>
      <c r="C673" s="237" t="s">
        <v>567</v>
      </c>
      <c r="D673" s="62" t="s">
        <v>173</v>
      </c>
      <c r="E673" s="253"/>
      <c r="F673" s="253"/>
      <c r="G673" s="253"/>
      <c r="H673" s="277">
        <f t="shared" ref="H673:M673" si="305">SUM(H672)</f>
        <v>12307.4856</v>
      </c>
      <c r="I673" s="277">
        <f t="shared" si="305"/>
        <v>10872.316800000001</v>
      </c>
      <c r="J673" s="277">
        <f t="shared" si="305"/>
        <v>11886.5736</v>
      </c>
      <c r="K673" s="277">
        <f t="shared" si="305"/>
        <v>12033.025200000002</v>
      </c>
      <c r="L673" s="277">
        <f t="shared" si="305"/>
        <v>11744.7336</v>
      </c>
      <c r="M673" s="277">
        <f t="shared" si="305"/>
        <v>11238.407999999999</v>
      </c>
      <c r="N673" s="277">
        <f t="shared" ref="N673:S673" si="306">SUM(N672)</f>
        <v>12471.721200000002</v>
      </c>
      <c r="O673" s="277">
        <f t="shared" si="306"/>
        <v>11767.917599999999</v>
      </c>
      <c r="P673" s="277">
        <f t="shared" si="306"/>
        <v>11111.904</v>
      </c>
      <c r="Q673" s="277">
        <f t="shared" si="306"/>
        <v>12015.381599999999</v>
      </c>
      <c r="R673" s="277">
        <f t="shared" si="306"/>
        <v>11943.432000000001</v>
      </c>
      <c r="S673" s="277">
        <f t="shared" si="306"/>
        <v>11612.577600000001</v>
      </c>
      <c r="T673" s="279">
        <f>SUM(H673:S673)</f>
        <v>141005.4768</v>
      </c>
      <c r="U673" s="277">
        <f>T673*12/11</f>
        <v>153824.15650909091</v>
      </c>
      <c r="V673" s="786">
        <f>V669/T673</f>
        <v>753.47222222222217</v>
      </c>
    </row>
    <row r="674" spans="1:29" hidden="1">
      <c r="A674" s="253"/>
      <c r="B674" s="253"/>
      <c r="C674" s="237" t="s">
        <v>345</v>
      </c>
      <c r="D674" s="62" t="s">
        <v>173</v>
      </c>
      <c r="E674" s="253" t="s">
        <v>360</v>
      </c>
      <c r="F674" s="253">
        <v>93.242880338964255</v>
      </c>
      <c r="G674" s="253"/>
      <c r="H674" s="790">
        <f t="shared" ref="H674:R674" si="307">(0.0003*H670 + 5562.9)*(103.54/100)*($F$674/100)</f>
        <v>11909.396450625662</v>
      </c>
      <c r="I674" s="790">
        <f t="shared" si="307"/>
        <v>11088.199784727785</v>
      </c>
      <c r="J674" s="790">
        <f t="shared" si="307"/>
        <v>11522.348017125165</v>
      </c>
      <c r="K674" s="790">
        <f t="shared" si="307"/>
        <v>11637.169344604446</v>
      </c>
      <c r="L674" s="790">
        <f t="shared" si="307"/>
        <v>11488.585727385835</v>
      </c>
      <c r="M674" s="790">
        <f t="shared" si="307"/>
        <v>11101.85588802374</v>
      </c>
      <c r="N674" s="790">
        <f t="shared" si="307"/>
        <v>11799.461198705294</v>
      </c>
      <c r="O674" s="790">
        <f t="shared" si="307"/>
        <v>11394.348477557531</v>
      </c>
      <c r="P674" s="790">
        <f t="shared" si="307"/>
        <v>10853.923033210682</v>
      </c>
      <c r="Q674" s="790">
        <f t="shared" si="307"/>
        <v>12266.163959426432</v>
      </c>
      <c r="R674" s="790">
        <f t="shared" si="307"/>
        <v>12043.727324616404</v>
      </c>
      <c r="S674" s="790"/>
      <c r="T674" s="279">
        <f>SUM(H674:S674)</f>
        <v>127105.17920600896</v>
      </c>
      <c r="U674" s="277">
        <f>T674*12/11</f>
        <v>138660.19549746433</v>
      </c>
      <c r="V674" s="271" t="s">
        <v>158</v>
      </c>
    </row>
    <row r="675" spans="1:29" hidden="1">
      <c r="A675" s="253"/>
      <c r="B675" s="243" t="s">
        <v>174</v>
      </c>
      <c r="C675" s="244" t="s">
        <v>138</v>
      </c>
      <c r="D675" s="243" t="s">
        <v>374</v>
      </c>
      <c r="E675" s="243"/>
      <c r="F675" s="243"/>
      <c r="G675" s="253"/>
      <c r="H675" s="245">
        <f>H672/H670*1000</f>
        <v>0.54515310814043116</v>
      </c>
      <c r="I675" s="245">
        <f t="shared" ref="I675:T675" si="308">I672/I670*1000</f>
        <v>0.55075137481206515</v>
      </c>
      <c r="J675" s="245">
        <f t="shared" si="308"/>
        <v>0.55963547765167831</v>
      </c>
      <c r="K675" s="245">
        <f t="shared" si="308"/>
        <v>0.55615011630921951</v>
      </c>
      <c r="L675" s="245">
        <f>L672/L670*1000</f>
        <v>0.55600899102790846</v>
      </c>
      <c r="M675" s="245">
        <f t="shared" si="308"/>
        <v>0.56793970900589896</v>
      </c>
      <c r="N675" s="245">
        <f t="shared" si="308"/>
        <v>0.56187453681031774</v>
      </c>
      <c r="O675" s="245">
        <f t="shared" si="308"/>
        <v>0.56582212347298355</v>
      </c>
      <c r="P675" s="245">
        <f t="shared" si="308"/>
        <v>0.58693767166701882</v>
      </c>
      <c r="Q675" s="245">
        <f t="shared" si="308"/>
        <v>0.50467832661290324</v>
      </c>
      <c r="R675" s="245">
        <f t="shared" si="308"/>
        <v>0.51837812500000002</v>
      </c>
      <c r="S675" s="245">
        <f t="shared" si="308"/>
        <v>0.48775947580645163</v>
      </c>
      <c r="T675" s="245">
        <f t="shared" si="308"/>
        <v>0.54508127058689104</v>
      </c>
      <c r="U675" s="246"/>
      <c r="V675" s="246"/>
    </row>
    <row r="676" spans="1:29" ht="23.25" hidden="1">
      <c r="A676" s="253"/>
      <c r="B676" s="243"/>
      <c r="C676" s="249" t="s">
        <v>568</v>
      </c>
      <c r="D676" s="243" t="s">
        <v>374</v>
      </c>
      <c r="E676" s="243"/>
      <c r="F676" s="243"/>
      <c r="G676" s="253"/>
      <c r="H676" s="245">
        <f>H673/H670*1000</f>
        <v>0.54515310814043116</v>
      </c>
      <c r="I676" s="245">
        <f t="shared" ref="I676:S676" si="309">I673/I670*1000</f>
        <v>0.55075137481206515</v>
      </c>
      <c r="J676" s="245">
        <f t="shared" si="309"/>
        <v>0.55963547765167831</v>
      </c>
      <c r="K676" s="245">
        <f t="shared" si="309"/>
        <v>0.55615011630921951</v>
      </c>
      <c r="L676" s="245">
        <f t="shared" si="309"/>
        <v>0.55600899102790846</v>
      </c>
      <c r="M676" s="245">
        <f t="shared" si="309"/>
        <v>0.56793970900589896</v>
      </c>
      <c r="N676" s="245">
        <f t="shared" si="309"/>
        <v>0.56187453681031774</v>
      </c>
      <c r="O676" s="245">
        <f t="shared" si="309"/>
        <v>0.56582212347298355</v>
      </c>
      <c r="P676" s="245">
        <f t="shared" si="309"/>
        <v>0.58693767166701882</v>
      </c>
      <c r="Q676" s="245">
        <f t="shared" si="309"/>
        <v>0.50467832661290324</v>
      </c>
      <c r="R676" s="245">
        <f t="shared" si="309"/>
        <v>0.51837812500000002</v>
      </c>
      <c r="S676" s="245">
        <f t="shared" si="309"/>
        <v>0.48775947580645163</v>
      </c>
      <c r="T676" s="250">
        <f>T673/T670*1000</f>
        <v>0.54508127058689104</v>
      </c>
      <c r="U676" s="246"/>
      <c r="V676" s="246"/>
    </row>
    <row r="677" spans="1:29" hidden="1">
      <c r="A677" s="253"/>
      <c r="B677" s="243"/>
      <c r="C677" s="249" t="s">
        <v>569</v>
      </c>
      <c r="D677" s="243"/>
      <c r="E677" s="243"/>
      <c r="F677" s="243"/>
      <c r="G677" s="253"/>
      <c r="H677" s="251">
        <f>H673/H674*100</f>
        <v>103.34264755585852</v>
      </c>
      <c r="I677" s="251">
        <f t="shared" ref="I677:S677" si="310">I673/I674*100</f>
        <v>98.053038465043457</v>
      </c>
      <c r="J677" s="251">
        <f t="shared" si="310"/>
        <v>103.16103612157437</v>
      </c>
      <c r="K677" s="251">
        <f t="shared" si="310"/>
        <v>103.40165072513183</v>
      </c>
      <c r="L677" s="251">
        <f t="shared" si="310"/>
        <v>102.22958577054071</v>
      </c>
      <c r="M677" s="251">
        <f t="shared" si="310"/>
        <v>101.22999355561413</v>
      </c>
      <c r="N677" s="251">
        <f t="shared" si="310"/>
        <v>105.69737880377514</v>
      </c>
      <c r="O677" s="251">
        <f t="shared" si="310"/>
        <v>103.27854745866563</v>
      </c>
      <c r="P677" s="251">
        <f t="shared" si="310"/>
        <v>102.37684536733818</v>
      </c>
      <c r="Q677" s="251">
        <f t="shared" si="310"/>
        <v>97.955494804602623</v>
      </c>
      <c r="R677" s="251">
        <f t="shared" si="310"/>
        <v>99.167240158190822</v>
      </c>
      <c r="S677" s="251" t="e">
        <f t="shared" si="310"/>
        <v>#DIV/0!</v>
      </c>
      <c r="T677" s="251">
        <f>T673/T674*100</f>
        <v>110.93605916047038</v>
      </c>
      <c r="U677" s="246"/>
      <c r="V677" s="246"/>
    </row>
    <row r="678" spans="1:29" hidden="1">
      <c r="A678" s="253"/>
      <c r="B678" s="62"/>
      <c r="C678" s="60"/>
      <c r="D678" s="62"/>
      <c r="E678" s="62"/>
      <c r="F678" s="62"/>
      <c r="G678" s="253"/>
      <c r="H678" s="254"/>
      <c r="I678" s="254"/>
      <c r="J678" s="254"/>
      <c r="K678" s="254"/>
      <c r="L678" s="254"/>
      <c r="M678" s="254"/>
      <c r="N678" s="225"/>
      <c r="O678" s="225"/>
      <c r="P678" s="225"/>
      <c r="Q678" s="225"/>
      <c r="R678" s="225"/>
      <c r="S678" s="225"/>
      <c r="T678" s="225"/>
      <c r="U678" s="225"/>
      <c r="V678" s="225"/>
    </row>
    <row r="679" spans="1:29" hidden="1">
      <c r="A679" s="229"/>
      <c r="B679" s="229" t="s">
        <v>565</v>
      </c>
      <c r="C679" s="407" t="s">
        <v>117</v>
      </c>
      <c r="D679" s="229" t="s">
        <v>90</v>
      </c>
      <c r="E679" s="238">
        <f>'[2]Price&amp;Heating-Value'!$R$6</f>
        <v>3.6</v>
      </c>
      <c r="F679" s="62"/>
      <c r="G679" s="256">
        <f>'[2]Price&amp;Heating-Value'!$P$6</f>
        <v>2.7124999999999999</v>
      </c>
      <c r="H679" s="275">
        <v>19045</v>
      </c>
      <c r="I679" s="275">
        <v>17192</v>
      </c>
      <c r="J679" s="275">
        <v>19034</v>
      </c>
      <c r="K679" s="275">
        <v>18420</v>
      </c>
      <c r="L679" s="275">
        <v>19034</v>
      </c>
      <c r="M679" s="275">
        <v>18420</v>
      </c>
      <c r="N679" s="275">
        <v>19146.072</v>
      </c>
      <c r="O679" s="275">
        <v>19034</v>
      </c>
      <c r="P679" s="275">
        <v>18420</v>
      </c>
      <c r="Q679" s="275">
        <v>19034</v>
      </c>
      <c r="R679" s="275">
        <v>18420</v>
      </c>
      <c r="S679" s="275">
        <v>19034</v>
      </c>
      <c r="T679" s="275">
        <f>SUM(H679:S679)</f>
        <v>224233.07199999999</v>
      </c>
      <c r="U679" s="275">
        <f>T679*E679</f>
        <v>807239.05920000002</v>
      </c>
      <c r="V679" s="275">
        <f>G679*T679</f>
        <v>608232.20779999997</v>
      </c>
      <c r="W679" s="227">
        <f>'[2]Price&amp;Heating-Value'!D$6</f>
        <v>2.4500000000000002</v>
      </c>
      <c r="X679" s="227">
        <f>'[2]Price&amp;Heating-Value'!E$6</f>
        <v>2.54</v>
      </c>
      <c r="Y679" s="227">
        <f>'[2]Price&amp;Heating-Value'!F$6</f>
        <v>2.58</v>
      </c>
      <c r="Z679" s="227">
        <f>'[2]Price&amp;Heating-Value'!G$6</f>
        <v>2.67</v>
      </c>
      <c r="AA679" s="227">
        <f>'[2]Price&amp;Heating-Value'!H$6</f>
        <v>2.67</v>
      </c>
      <c r="AB679" s="227">
        <f>'[2]Price&amp;Heating-Value'!I$6</f>
        <v>2.67</v>
      </c>
      <c r="AC679" s="227">
        <f>'[2]Price&amp;Heating-Value'!J$6</f>
        <v>2.62</v>
      </c>
    </row>
    <row r="680" spans="1:29" hidden="1">
      <c r="A680" s="229"/>
      <c r="B680" s="266" t="s">
        <v>570</v>
      </c>
      <c r="C680" s="237"/>
      <c r="D680" s="229"/>
      <c r="E680" s="229"/>
      <c r="F680" s="229"/>
      <c r="G680" s="229"/>
      <c r="H680" s="274"/>
      <c r="I680" s="274"/>
      <c r="J680" s="274"/>
      <c r="K680" s="274"/>
      <c r="L680" s="274"/>
      <c r="M680" s="274"/>
      <c r="N680" s="274"/>
      <c r="O680" s="274"/>
      <c r="P680" s="274"/>
      <c r="Q680" s="274"/>
      <c r="R680" s="274"/>
      <c r="S680" s="274"/>
      <c r="T680" s="274"/>
      <c r="U680" s="275"/>
      <c r="V680" s="275">
        <f>SUM(V679)</f>
        <v>608232.20779999997</v>
      </c>
    </row>
    <row r="681" spans="1:29" hidden="1">
      <c r="A681" s="253"/>
      <c r="B681" s="233"/>
      <c r="C681" s="234" t="s">
        <v>107</v>
      </c>
      <c r="D681" s="233" t="s">
        <v>163</v>
      </c>
      <c r="E681" s="233"/>
      <c r="F681" s="233"/>
      <c r="G681" s="253"/>
      <c r="H681" s="264">
        <v>1273640</v>
      </c>
      <c r="I681" s="264">
        <v>1162840</v>
      </c>
      <c r="J681" s="264">
        <v>1308910</v>
      </c>
      <c r="K681" s="264">
        <v>1227480</v>
      </c>
      <c r="L681" s="264">
        <v>1032330</v>
      </c>
      <c r="M681" s="264">
        <v>855600</v>
      </c>
      <c r="N681" s="264">
        <v>1199640</v>
      </c>
      <c r="O681" s="264">
        <v>1387550</v>
      </c>
      <c r="P681" s="264">
        <v>1149780</v>
      </c>
      <c r="Q681" s="264">
        <v>1190400</v>
      </c>
      <c r="R681" s="264">
        <v>1152000</v>
      </c>
      <c r="S681" s="264">
        <v>1190400</v>
      </c>
      <c r="T681" s="236">
        <f>SUM(H681:S681)</f>
        <v>14130570</v>
      </c>
      <c r="U681" s="259"/>
      <c r="V681" s="785">
        <f>V680/T681</f>
        <v>4.3043713579848514E-2</v>
      </c>
    </row>
    <row r="682" spans="1:29" hidden="1">
      <c r="A682" s="253"/>
      <c r="B682" s="253"/>
      <c r="C682" s="276"/>
      <c r="D682" s="253"/>
      <c r="E682" s="253"/>
      <c r="F682" s="253"/>
      <c r="G682" s="253"/>
      <c r="H682" s="277"/>
      <c r="I682" s="277"/>
      <c r="J682" s="277"/>
      <c r="K682" s="255"/>
      <c r="L682" s="277"/>
      <c r="M682" s="277"/>
      <c r="N682" s="277"/>
      <c r="O682" s="277"/>
      <c r="P682" s="277"/>
      <c r="Q682" s="277"/>
      <c r="R682" s="277"/>
      <c r="S682" s="277"/>
      <c r="T682" s="277"/>
      <c r="U682" s="277"/>
      <c r="V682" s="771" t="s">
        <v>137</v>
      </c>
    </row>
    <row r="683" spans="1:29" hidden="1">
      <c r="A683" s="253"/>
      <c r="B683" s="253"/>
      <c r="C683" s="278" t="s">
        <v>138</v>
      </c>
      <c r="D683" s="253" t="s">
        <v>173</v>
      </c>
      <c r="E683" s="62"/>
      <c r="F683" s="62"/>
      <c r="G683" s="253"/>
      <c r="H683" s="277">
        <f t="shared" ref="H683:S683" si="311">H679*$E$679/1000</f>
        <v>68.561999999999998</v>
      </c>
      <c r="I683" s="277">
        <f t="shared" si="311"/>
        <v>61.891200000000005</v>
      </c>
      <c r="J683" s="277">
        <f t="shared" si="311"/>
        <v>68.522400000000005</v>
      </c>
      <c r="K683" s="277">
        <f t="shared" si="311"/>
        <v>66.311999999999998</v>
      </c>
      <c r="L683" s="277">
        <f t="shared" si="311"/>
        <v>68.522400000000005</v>
      </c>
      <c r="M683" s="277">
        <f t="shared" si="311"/>
        <v>66.311999999999998</v>
      </c>
      <c r="N683" s="277">
        <f t="shared" si="311"/>
        <v>68.925859200000005</v>
      </c>
      <c r="O683" s="277">
        <f t="shared" si="311"/>
        <v>68.522400000000005</v>
      </c>
      <c r="P683" s="277">
        <f t="shared" si="311"/>
        <v>66.311999999999998</v>
      </c>
      <c r="Q683" s="277">
        <f t="shared" si="311"/>
        <v>68.522400000000005</v>
      </c>
      <c r="R683" s="277">
        <f t="shared" si="311"/>
        <v>66.311999999999998</v>
      </c>
      <c r="S683" s="277">
        <f t="shared" si="311"/>
        <v>68.522400000000005</v>
      </c>
      <c r="T683" s="277">
        <f>SUM(H683:S683)</f>
        <v>807.23905919999993</v>
      </c>
      <c r="U683" s="277"/>
      <c r="V683" s="277"/>
    </row>
    <row r="684" spans="1:29" hidden="1">
      <c r="A684" s="253"/>
      <c r="B684" s="62"/>
      <c r="C684" s="237" t="s">
        <v>571</v>
      </c>
      <c r="D684" s="62" t="s">
        <v>173</v>
      </c>
      <c r="E684" s="253"/>
      <c r="F684" s="253"/>
      <c r="G684" s="253"/>
      <c r="H684" s="277">
        <f t="shared" ref="H684:M684" si="312">SUM(H683)</f>
        <v>68.561999999999998</v>
      </c>
      <c r="I684" s="277">
        <f t="shared" si="312"/>
        <v>61.891200000000005</v>
      </c>
      <c r="J684" s="277">
        <f t="shared" si="312"/>
        <v>68.522400000000005</v>
      </c>
      <c r="K684" s="277">
        <f t="shared" si="312"/>
        <v>66.311999999999998</v>
      </c>
      <c r="L684" s="277">
        <f t="shared" si="312"/>
        <v>68.522400000000005</v>
      </c>
      <c r="M684" s="277">
        <f t="shared" si="312"/>
        <v>66.311999999999998</v>
      </c>
      <c r="N684" s="277">
        <f t="shared" ref="N684:S684" si="313">SUM(N683)</f>
        <v>68.925859200000005</v>
      </c>
      <c r="O684" s="277">
        <f t="shared" si="313"/>
        <v>68.522400000000005</v>
      </c>
      <c r="P684" s="277">
        <f t="shared" si="313"/>
        <v>66.311999999999998</v>
      </c>
      <c r="Q684" s="277">
        <f t="shared" si="313"/>
        <v>68.522400000000005</v>
      </c>
      <c r="R684" s="277">
        <f t="shared" si="313"/>
        <v>66.311999999999998</v>
      </c>
      <c r="S684" s="277">
        <f t="shared" si="313"/>
        <v>68.522400000000005</v>
      </c>
      <c r="T684" s="279">
        <f>SUM(H684:S684)</f>
        <v>807.23905919999993</v>
      </c>
      <c r="U684" s="277">
        <f>T684*12/11</f>
        <v>880.62442821818161</v>
      </c>
      <c r="V684" s="786">
        <f>V680/T684</f>
        <v>753.47222222222229</v>
      </c>
    </row>
    <row r="685" spans="1:29" hidden="1">
      <c r="A685" s="253"/>
      <c r="B685" s="253"/>
      <c r="C685" s="237" t="s">
        <v>345</v>
      </c>
      <c r="D685" s="62" t="s">
        <v>173</v>
      </c>
      <c r="E685" s="253" t="s">
        <v>360</v>
      </c>
      <c r="F685" s="253">
        <v>101.45820920302226</v>
      </c>
      <c r="G685" s="253"/>
      <c r="H685" s="790">
        <f t="shared" ref="H685:S685" si="314">(0.000008*H681 + 58.272)*(98.1/100)*($F$685/100)</f>
        <v>68.139697251637799</v>
      </c>
      <c r="I685" s="790">
        <f t="shared" si="314"/>
        <v>67.25745887102336</v>
      </c>
      <c r="J685" s="790">
        <f t="shared" si="314"/>
        <v>68.420532519546398</v>
      </c>
      <c r="K685" s="790">
        <f t="shared" si="314"/>
        <v>67.772151009316829</v>
      </c>
      <c r="L685" s="790">
        <f t="shared" si="314"/>
        <v>66.218280792918733</v>
      </c>
      <c r="M685" s="790">
        <f t="shared" si="314"/>
        <v>64.811078726077639</v>
      </c>
      <c r="N685" s="790">
        <f t="shared" si="314"/>
        <v>67.550476672527068</v>
      </c>
      <c r="O685" s="790">
        <f t="shared" si="314"/>
        <v>69.046698821455422</v>
      </c>
      <c r="P685" s="790">
        <f t="shared" si="314"/>
        <v>67.153469401250575</v>
      </c>
      <c r="Q685" s="790">
        <f t="shared" si="314"/>
        <v>67.476903724540804</v>
      </c>
      <c r="R685" s="790">
        <f t="shared" si="314"/>
        <v>67.171146018623887</v>
      </c>
      <c r="S685" s="790">
        <f t="shared" si="314"/>
        <v>67.476903724540804</v>
      </c>
      <c r="T685" s="279">
        <f>SUM(H685:S685)</f>
        <v>808.49479753345918</v>
      </c>
      <c r="U685" s="277">
        <f>T685*12/11</f>
        <v>881.99432458195554</v>
      </c>
      <c r="V685" s="271" t="s">
        <v>158</v>
      </c>
    </row>
    <row r="686" spans="1:29" hidden="1">
      <c r="A686" s="253"/>
      <c r="B686" s="243" t="s">
        <v>174</v>
      </c>
      <c r="C686" s="244" t="s">
        <v>138</v>
      </c>
      <c r="D686" s="243" t="s">
        <v>374</v>
      </c>
      <c r="E686" s="243"/>
      <c r="F686" s="243"/>
      <c r="G686" s="253"/>
      <c r="H686" s="245"/>
      <c r="I686" s="245"/>
      <c r="J686" s="245"/>
      <c r="K686" s="245"/>
      <c r="L686" s="245"/>
      <c r="M686" s="245"/>
      <c r="N686" s="245"/>
      <c r="O686" s="245"/>
      <c r="P686" s="245"/>
      <c r="Q686" s="245"/>
      <c r="R686" s="245"/>
      <c r="S686" s="245"/>
      <c r="T686" s="245">
        <f>T683/T681*1000</f>
        <v>5.7127140603669913E-2</v>
      </c>
      <c r="U686" s="246"/>
      <c r="V686" s="246"/>
    </row>
    <row r="687" spans="1:29" ht="23.25" hidden="1">
      <c r="A687" s="253"/>
      <c r="B687" s="243"/>
      <c r="C687" s="249" t="s">
        <v>572</v>
      </c>
      <c r="D687" s="243" t="s">
        <v>374</v>
      </c>
      <c r="E687" s="243"/>
      <c r="F687" s="243"/>
      <c r="G687" s="253"/>
      <c r="H687" s="245">
        <f>H684/H681*1000</f>
        <v>5.3831537954209981E-2</v>
      </c>
      <c r="I687" s="245">
        <f t="shared" ref="I687:S687" si="315">I684/I681*1000</f>
        <v>5.3224175294967493E-2</v>
      </c>
      <c r="J687" s="245">
        <f t="shared" si="315"/>
        <v>5.2350734580681638E-2</v>
      </c>
      <c r="K687" s="245">
        <f t="shared" si="315"/>
        <v>5.4022876136474732E-2</v>
      </c>
      <c r="L687" s="245">
        <f t="shared" si="315"/>
        <v>6.6376449391183062E-2</v>
      </c>
      <c r="M687" s="245">
        <f t="shared" si="315"/>
        <v>7.7503506311360451E-2</v>
      </c>
      <c r="N687" s="245">
        <f t="shared" si="315"/>
        <v>5.7455452635790744E-2</v>
      </c>
      <c r="O687" s="245">
        <f t="shared" si="315"/>
        <v>4.93837339194984E-2</v>
      </c>
      <c r="P687" s="245">
        <f t="shared" si="315"/>
        <v>5.767364191410531E-2</v>
      </c>
      <c r="Q687" s="245">
        <f t="shared" si="315"/>
        <v>5.7562500000000003E-2</v>
      </c>
      <c r="R687" s="245">
        <f t="shared" si="315"/>
        <v>5.7562499999999996E-2</v>
      </c>
      <c r="S687" s="245">
        <f t="shared" si="315"/>
        <v>5.7562500000000003E-2</v>
      </c>
      <c r="T687" s="250">
        <f>T684/T681*1000</f>
        <v>5.7127140603669913E-2</v>
      </c>
      <c r="U687" s="246"/>
      <c r="V687" s="246"/>
    </row>
    <row r="688" spans="1:29" hidden="1">
      <c r="A688" s="253"/>
      <c r="B688" s="243"/>
      <c r="C688" s="249" t="s">
        <v>573</v>
      </c>
      <c r="D688" s="243"/>
      <c r="E688" s="243"/>
      <c r="F688" s="243"/>
      <c r="G688" s="253"/>
      <c r="H688" s="251">
        <f>H684/H685*100</f>
        <v>100.61976023580299</v>
      </c>
      <c r="I688" s="251">
        <f t="shared" ref="I688:R688" si="316">I684/I685*100</f>
        <v>92.02131784176683</v>
      </c>
      <c r="J688" s="251">
        <f t="shared" si="316"/>
        <v>100.14888437242797</v>
      </c>
      <c r="K688" s="251">
        <f t="shared" si="316"/>
        <v>97.845499976655461</v>
      </c>
      <c r="L688" s="251">
        <f t="shared" si="316"/>
        <v>103.47958174010412</v>
      </c>
      <c r="M688" s="251">
        <f t="shared" si="316"/>
        <v>102.31584059920675</v>
      </c>
      <c r="N688" s="251">
        <f t="shared" si="316"/>
        <v>102.03608115771048</v>
      </c>
      <c r="O688" s="251">
        <f t="shared" si="316"/>
        <v>99.240660552344181</v>
      </c>
      <c r="P688" s="251">
        <f t="shared" si="316"/>
        <v>98.746945751644361</v>
      </c>
      <c r="Q688" s="251">
        <f t="shared" si="316"/>
        <v>101.54941352929767</v>
      </c>
      <c r="R688" s="251">
        <f t="shared" si="316"/>
        <v>98.720959713288678</v>
      </c>
      <c r="S688" s="251">
        <f>S687/[2]ข้อมูลการใช้พลังงานปี2550!$T$561*100</f>
        <v>120.98375476469198</v>
      </c>
      <c r="T688" s="251">
        <f>T684/T685*100</f>
        <v>99.844681952525832</v>
      </c>
      <c r="U688" s="246"/>
      <c r="V688" s="246"/>
    </row>
    <row r="689" spans="1:29" hidden="1">
      <c r="A689" s="253"/>
      <c r="B689" s="62"/>
      <c r="C689" s="60"/>
      <c r="D689" s="62"/>
      <c r="E689" s="62"/>
      <c r="F689" s="62"/>
      <c r="G689" s="253"/>
      <c r="H689" s="254"/>
      <c r="I689" s="254"/>
      <c r="J689" s="254"/>
      <c r="K689" s="254"/>
      <c r="L689" s="254"/>
      <c r="M689" s="254"/>
      <c r="N689" s="225"/>
      <c r="O689" s="225"/>
      <c r="P689" s="225"/>
      <c r="Q689" s="225"/>
      <c r="R689" s="225"/>
      <c r="S689" s="225"/>
      <c r="T689" s="225"/>
      <c r="U689" s="225"/>
      <c r="V689" s="225"/>
    </row>
    <row r="690" spans="1:29" hidden="1">
      <c r="A690" s="229"/>
      <c r="B690" s="408" t="s">
        <v>565</v>
      </c>
      <c r="C690" s="407" t="s">
        <v>117</v>
      </c>
      <c r="D690" s="229" t="s">
        <v>90</v>
      </c>
      <c r="E690" s="238">
        <f>'[2]Price&amp;Heating-Value'!$R$6</f>
        <v>3.6</v>
      </c>
      <c r="F690" s="62"/>
      <c r="G690" s="256">
        <f>'[2]Price&amp;Heating-Value'!$P$6</f>
        <v>2.7124999999999999</v>
      </c>
      <c r="H690" s="275">
        <v>62040</v>
      </c>
      <c r="I690" s="275">
        <v>59095</v>
      </c>
      <c r="J690" s="275">
        <v>68630</v>
      </c>
      <c r="K690" s="275">
        <v>65970</v>
      </c>
      <c r="L690" s="275">
        <v>68680</v>
      </c>
      <c r="M690" s="275">
        <v>66550</v>
      </c>
      <c r="N690" s="275">
        <v>66150</v>
      </c>
      <c r="O690" s="275">
        <v>64750</v>
      </c>
      <c r="P690" s="275">
        <v>62780</v>
      </c>
      <c r="Q690" s="275">
        <v>61270</v>
      </c>
      <c r="R690" s="275">
        <v>57620</v>
      </c>
      <c r="S690" s="275">
        <v>50830</v>
      </c>
      <c r="T690" s="275">
        <f>SUM(H690:S690)</f>
        <v>754365</v>
      </c>
      <c r="U690" s="275">
        <f>T690*E690</f>
        <v>2715714</v>
      </c>
      <c r="V690" s="275">
        <f>G690*T690</f>
        <v>2046215.0625</v>
      </c>
      <c r="W690" s="227">
        <f>'[2]Price&amp;Heating-Value'!D$6</f>
        <v>2.4500000000000002</v>
      </c>
      <c r="X690" s="227">
        <f>'[2]Price&amp;Heating-Value'!E$6</f>
        <v>2.54</v>
      </c>
      <c r="Y690" s="227">
        <f>'[2]Price&amp;Heating-Value'!F$6</f>
        <v>2.58</v>
      </c>
      <c r="Z690" s="227">
        <f>'[2]Price&amp;Heating-Value'!G$6</f>
        <v>2.67</v>
      </c>
      <c r="AA690" s="227">
        <f>'[2]Price&amp;Heating-Value'!H$6</f>
        <v>2.67</v>
      </c>
      <c r="AB690" s="227">
        <f>'[2]Price&amp;Heating-Value'!I$6</f>
        <v>2.67</v>
      </c>
      <c r="AC690" s="227">
        <f>'[2]Price&amp;Heating-Value'!J$6</f>
        <v>2.62</v>
      </c>
    </row>
    <row r="691" spans="1:29" hidden="1">
      <c r="A691" s="229"/>
      <c r="B691" s="266" t="s">
        <v>574</v>
      </c>
      <c r="C691" s="237"/>
      <c r="D691" s="229"/>
      <c r="E691" s="229"/>
      <c r="F691" s="229"/>
      <c r="G691" s="229"/>
      <c r="H691" s="274"/>
      <c r="I691" s="274"/>
      <c r="J691" s="274"/>
      <c r="K691" s="274"/>
      <c r="L691" s="274"/>
      <c r="M691" s="274"/>
      <c r="N691" s="274"/>
      <c r="O691" s="274"/>
      <c r="P691" s="274"/>
      <c r="Q691" s="274"/>
      <c r="R691" s="274"/>
      <c r="S691" s="274"/>
      <c r="T691" s="274"/>
      <c r="U691" s="275"/>
      <c r="V691" s="275">
        <f>SUM(V690)</f>
        <v>2046215.0625</v>
      </c>
    </row>
    <row r="692" spans="1:29" hidden="1">
      <c r="A692" s="253"/>
      <c r="B692" s="233"/>
      <c r="C692" s="234" t="s">
        <v>107</v>
      </c>
      <c r="D692" s="233" t="s">
        <v>163</v>
      </c>
      <c r="E692" s="233"/>
      <c r="F692" s="233"/>
      <c r="G692" s="253"/>
      <c r="H692" s="264">
        <v>6664373</v>
      </c>
      <c r="I692" s="264">
        <v>5582831</v>
      </c>
      <c r="J692" s="264">
        <v>5750927</v>
      </c>
      <c r="K692" s="264">
        <v>6241163</v>
      </c>
      <c r="L692" s="264">
        <v>6776257</v>
      </c>
      <c r="M692" s="264">
        <v>6861087</v>
      </c>
      <c r="N692" s="264">
        <v>7250458</v>
      </c>
      <c r="O692" s="264">
        <v>6797175</v>
      </c>
      <c r="P692" s="264">
        <v>6225670</v>
      </c>
      <c r="Q692" s="264">
        <v>6696000</v>
      </c>
      <c r="R692" s="264">
        <v>6480000</v>
      </c>
      <c r="S692" s="264">
        <v>6696000</v>
      </c>
      <c r="T692" s="236">
        <f>SUM(H692:S692)</f>
        <v>78021941</v>
      </c>
      <c r="U692" s="259"/>
      <c r="V692" s="785">
        <f>V691/T692</f>
        <v>2.6226149161041764E-2</v>
      </c>
    </row>
    <row r="693" spans="1:29" hidden="1">
      <c r="A693" s="253"/>
      <c r="B693" s="253"/>
      <c r="C693" s="276"/>
      <c r="D693" s="253"/>
      <c r="E693" s="253"/>
      <c r="F693" s="253"/>
      <c r="G693" s="253"/>
      <c r="H693" s="277"/>
      <c r="I693" s="277"/>
      <c r="J693" s="277"/>
      <c r="K693" s="277"/>
      <c r="L693" s="277"/>
      <c r="M693" s="277"/>
      <c r="N693" s="277"/>
      <c r="O693" s="277"/>
      <c r="P693" s="277"/>
      <c r="Q693" s="277"/>
      <c r="R693" s="277"/>
      <c r="S693" s="277"/>
      <c r="T693" s="277"/>
      <c r="U693" s="277"/>
      <c r="V693" s="771" t="s">
        <v>137</v>
      </c>
    </row>
    <row r="694" spans="1:29" hidden="1">
      <c r="A694" s="253"/>
      <c r="B694" s="253"/>
      <c r="C694" s="278" t="s">
        <v>138</v>
      </c>
      <c r="D694" s="253" t="s">
        <v>173</v>
      </c>
      <c r="E694" s="62"/>
      <c r="F694" s="62"/>
      <c r="G694" s="253"/>
      <c r="H694" s="277">
        <f t="shared" ref="H694:S694" si="317">H690*$E690/1000</f>
        <v>223.34399999999999</v>
      </c>
      <c r="I694" s="277">
        <f t="shared" si="317"/>
        <v>212.74199999999999</v>
      </c>
      <c r="J694" s="277">
        <f t="shared" si="317"/>
        <v>247.06800000000001</v>
      </c>
      <c r="K694" s="277">
        <f t="shared" si="317"/>
        <v>237.49199999999999</v>
      </c>
      <c r="L694" s="277">
        <f t="shared" si="317"/>
        <v>247.24799999999999</v>
      </c>
      <c r="M694" s="277">
        <f t="shared" si="317"/>
        <v>239.58</v>
      </c>
      <c r="N694" s="277">
        <f t="shared" si="317"/>
        <v>238.14</v>
      </c>
      <c r="O694" s="277">
        <f t="shared" si="317"/>
        <v>233.1</v>
      </c>
      <c r="P694" s="277">
        <f t="shared" si="317"/>
        <v>226.00800000000001</v>
      </c>
      <c r="Q694" s="277">
        <f t="shared" si="317"/>
        <v>220.572</v>
      </c>
      <c r="R694" s="277">
        <f t="shared" si="317"/>
        <v>207.43199999999999</v>
      </c>
      <c r="S694" s="277">
        <f t="shared" si="317"/>
        <v>182.988</v>
      </c>
      <c r="T694" s="277">
        <f>SUM(H694:S694)</f>
        <v>2715.7139999999995</v>
      </c>
      <c r="U694" s="277"/>
      <c r="V694" s="277"/>
    </row>
    <row r="695" spans="1:29" hidden="1">
      <c r="A695" s="253"/>
      <c r="B695" s="62"/>
      <c r="C695" s="237" t="s">
        <v>575</v>
      </c>
      <c r="D695" s="62" t="s">
        <v>173</v>
      </c>
      <c r="E695" s="253">
        <v>3.4628733105958983E-5</v>
      </c>
      <c r="F695" s="253"/>
      <c r="G695" s="253"/>
      <c r="H695" s="277">
        <f t="shared" ref="H695:M695" si="318">SUM(H694)</f>
        <v>223.34399999999999</v>
      </c>
      <c r="I695" s="277">
        <f t="shared" si="318"/>
        <v>212.74199999999999</v>
      </c>
      <c r="J695" s="277">
        <f t="shared" si="318"/>
        <v>247.06800000000001</v>
      </c>
      <c r="K695" s="277">
        <f t="shared" si="318"/>
        <v>237.49199999999999</v>
      </c>
      <c r="L695" s="277">
        <f t="shared" si="318"/>
        <v>247.24799999999999</v>
      </c>
      <c r="M695" s="277">
        <f t="shared" si="318"/>
        <v>239.58</v>
      </c>
      <c r="N695" s="277">
        <f t="shared" ref="N695:S695" si="319">SUM(N694)</f>
        <v>238.14</v>
      </c>
      <c r="O695" s="277">
        <f t="shared" si="319"/>
        <v>233.1</v>
      </c>
      <c r="P695" s="277">
        <f t="shared" si="319"/>
        <v>226.00800000000001</v>
      </c>
      <c r="Q695" s="277">
        <f t="shared" si="319"/>
        <v>220.572</v>
      </c>
      <c r="R695" s="277">
        <f t="shared" si="319"/>
        <v>207.43199999999999</v>
      </c>
      <c r="S695" s="277">
        <f t="shared" si="319"/>
        <v>182.988</v>
      </c>
      <c r="T695" s="279">
        <f>SUM(H695:S695)</f>
        <v>2715.7139999999995</v>
      </c>
      <c r="U695" s="277">
        <f>T695*12/11</f>
        <v>2962.5970909090902</v>
      </c>
      <c r="V695" s="786">
        <f>V691/T695</f>
        <v>753.4722222222224</v>
      </c>
    </row>
    <row r="696" spans="1:29" hidden="1">
      <c r="A696" s="253"/>
      <c r="B696" s="253"/>
      <c r="C696" s="237" t="s">
        <v>345</v>
      </c>
      <c r="D696" s="62" t="s">
        <v>173</v>
      </c>
      <c r="E696" s="253" t="s">
        <v>360</v>
      </c>
      <c r="F696" s="253">
        <v>100.79581151553734</v>
      </c>
      <c r="G696" s="253"/>
      <c r="H696" s="790">
        <f>H692*$E$695*($F$696/100)</f>
        <v>232.61535815311655</v>
      </c>
      <c r="I696" s="790">
        <f>I692*$E$695*($F$696/100)</f>
        <v>194.86487814732484</v>
      </c>
      <c r="J696" s="790">
        <f t="shared" ref="J696:S696" si="320">J692*$E$695</f>
        <v>199.14731619485337</v>
      </c>
      <c r="K696" s="790">
        <f t="shared" si="320"/>
        <v>216.12356779778628</v>
      </c>
      <c r="L696" s="790">
        <f t="shared" si="320"/>
        <v>234.65319511038629</v>
      </c>
      <c r="M696" s="790">
        <f t="shared" si="320"/>
        <v>237.5907505397648</v>
      </c>
      <c r="N696" s="790">
        <f t="shared" si="320"/>
        <v>251.07417497796516</v>
      </c>
      <c r="O696" s="790">
        <f t="shared" si="320"/>
        <v>235.37755894949674</v>
      </c>
      <c r="P696" s="790">
        <f t="shared" si="320"/>
        <v>215.58706483577566</v>
      </c>
      <c r="Q696" s="790">
        <f t="shared" si="320"/>
        <v>231.87399687750136</v>
      </c>
      <c r="R696" s="790">
        <f t="shared" si="320"/>
        <v>224.39419052661421</v>
      </c>
      <c r="S696" s="790">
        <f t="shared" si="320"/>
        <v>231.87399687750136</v>
      </c>
      <c r="T696" s="279">
        <f>SUM(H696:S696)</f>
        <v>2705.1760489880867</v>
      </c>
      <c r="U696" s="277">
        <f>T696*12/11</f>
        <v>2951.10114435064</v>
      </c>
      <c r="V696" s="271" t="s">
        <v>158</v>
      </c>
    </row>
    <row r="697" spans="1:29" hidden="1">
      <c r="A697" s="253"/>
      <c r="B697" s="243" t="s">
        <v>174</v>
      </c>
      <c r="C697" s="244" t="s">
        <v>138</v>
      </c>
      <c r="D697" s="243" t="s">
        <v>374</v>
      </c>
      <c r="E697" s="243"/>
      <c r="F697" s="243"/>
      <c r="G697" s="253"/>
      <c r="H697" s="245">
        <f>H694/H692*1000</f>
        <v>3.351313019244271E-2</v>
      </c>
      <c r="I697" s="245">
        <f t="shared" ref="I697:T697" si="321">I694/I692*1000</f>
        <v>3.8106473221202648E-2</v>
      </c>
      <c r="J697" s="245">
        <f t="shared" si="321"/>
        <v>4.2961421697754118E-2</v>
      </c>
      <c r="K697" s="245">
        <f t="shared" si="321"/>
        <v>3.8052523223636364E-2</v>
      </c>
      <c r="L697" s="245">
        <f t="shared" si="321"/>
        <v>3.6487400049909559E-2</v>
      </c>
      <c r="M697" s="245">
        <f t="shared" si="321"/>
        <v>3.4918665220248633E-2</v>
      </c>
      <c r="N697" s="245">
        <f t="shared" si="321"/>
        <v>3.2844821665058949E-2</v>
      </c>
      <c r="O697" s="245">
        <f t="shared" si="321"/>
        <v>3.4293658762647714E-2</v>
      </c>
      <c r="P697" s="245">
        <f t="shared" si="321"/>
        <v>3.630259875643907E-2</v>
      </c>
      <c r="Q697" s="245">
        <f t="shared" si="321"/>
        <v>3.2940860215053762E-2</v>
      </c>
      <c r="R697" s="245">
        <f t="shared" si="321"/>
        <v>3.2011111111111108E-2</v>
      </c>
      <c r="S697" s="245">
        <f t="shared" si="321"/>
        <v>2.7327956989247313E-2</v>
      </c>
      <c r="T697" s="245">
        <f t="shared" si="321"/>
        <v>3.4807055107742062E-2</v>
      </c>
      <c r="U697" s="246"/>
      <c r="V697" s="246"/>
    </row>
    <row r="698" spans="1:29" ht="23.25" hidden="1">
      <c r="A698" s="253"/>
      <c r="B698" s="243"/>
      <c r="C698" s="249" t="s">
        <v>576</v>
      </c>
      <c r="D698" s="243" t="s">
        <v>374</v>
      </c>
      <c r="E698" s="243"/>
      <c r="F698" s="243"/>
      <c r="G698" s="253"/>
      <c r="H698" s="245">
        <f>H695/H692*1000</f>
        <v>3.351313019244271E-2</v>
      </c>
      <c r="I698" s="245">
        <f t="shared" ref="I698:S698" si="322">I695/I692*1000</f>
        <v>3.8106473221202648E-2</v>
      </c>
      <c r="J698" s="245">
        <f t="shared" si="322"/>
        <v>4.2961421697754118E-2</v>
      </c>
      <c r="K698" s="245">
        <f t="shared" si="322"/>
        <v>3.8052523223636364E-2</v>
      </c>
      <c r="L698" s="245">
        <f t="shared" si="322"/>
        <v>3.6487400049909559E-2</v>
      </c>
      <c r="M698" s="245">
        <f t="shared" si="322"/>
        <v>3.4918665220248633E-2</v>
      </c>
      <c r="N698" s="245">
        <f t="shared" si="322"/>
        <v>3.2844821665058949E-2</v>
      </c>
      <c r="O698" s="245">
        <f t="shared" si="322"/>
        <v>3.4293658762647714E-2</v>
      </c>
      <c r="P698" s="245">
        <f t="shared" si="322"/>
        <v>3.630259875643907E-2</v>
      </c>
      <c r="Q698" s="245">
        <f t="shared" si="322"/>
        <v>3.2940860215053762E-2</v>
      </c>
      <c r="R698" s="245">
        <f t="shared" si="322"/>
        <v>3.2011111111111108E-2</v>
      </c>
      <c r="S698" s="245">
        <f t="shared" si="322"/>
        <v>2.7327956989247313E-2</v>
      </c>
      <c r="T698" s="250">
        <f>T695/T692*1000</f>
        <v>3.4807055107742062E-2</v>
      </c>
      <c r="U698" s="246"/>
      <c r="V698" s="246"/>
    </row>
    <row r="699" spans="1:29" hidden="1">
      <c r="A699" s="253"/>
      <c r="B699" s="243"/>
      <c r="C699" s="249" t="s">
        <v>577</v>
      </c>
      <c r="D699" s="243"/>
      <c r="E699" s="243"/>
      <c r="F699" s="243"/>
      <c r="G699" s="253"/>
      <c r="H699" s="251">
        <f>H695/H696*100</f>
        <v>96.014296636848115</v>
      </c>
      <c r="I699" s="251">
        <f t="shared" ref="I699:S699" si="323">I695/I696*100</f>
        <v>109.17411183720824</v>
      </c>
      <c r="J699" s="251">
        <f t="shared" si="323"/>
        <v>124.0629322658103</v>
      </c>
      <c r="K699" s="251">
        <f t="shared" si="323"/>
        <v>109.88713652099564</v>
      </c>
      <c r="L699" s="251">
        <f t="shared" si="323"/>
        <v>105.36741248449178</v>
      </c>
      <c r="M699" s="251">
        <f t="shared" si="323"/>
        <v>100.83725879720318</v>
      </c>
      <c r="N699" s="251">
        <f t="shared" si="323"/>
        <v>94.848464610468071</v>
      </c>
      <c r="O699" s="251">
        <f t="shared" si="323"/>
        <v>99.032380589015517</v>
      </c>
      <c r="P699" s="251">
        <f t="shared" si="323"/>
        <v>104.83374787451302</v>
      </c>
      <c r="Q699" s="251">
        <f t="shared" si="323"/>
        <v>95.125802362620178</v>
      </c>
      <c r="R699" s="251">
        <f t="shared" si="323"/>
        <v>92.440895868646649</v>
      </c>
      <c r="S699" s="251">
        <f t="shared" si="323"/>
        <v>78.916999087514</v>
      </c>
      <c r="T699" s="251">
        <f>T695/T696*100</f>
        <v>100.38954769749107</v>
      </c>
      <c r="U699" s="246"/>
      <c r="V699" s="246"/>
    </row>
    <row r="700" spans="1:29" hidden="1">
      <c r="A700" s="253"/>
      <c r="B700" s="62"/>
      <c r="C700" s="60"/>
      <c r="D700" s="62"/>
      <c r="E700" s="62"/>
      <c r="F700" s="62"/>
      <c r="G700" s="253"/>
      <c r="H700" s="254"/>
      <c r="I700" s="254"/>
      <c r="J700" s="254"/>
      <c r="K700" s="254"/>
      <c r="L700" s="254"/>
      <c r="M700" s="254"/>
      <c r="N700" s="225"/>
      <c r="O700" s="225"/>
      <c r="P700" s="225"/>
      <c r="Q700" s="225"/>
      <c r="R700" s="225"/>
      <c r="S700" s="225"/>
      <c r="T700" s="225"/>
      <c r="U700" s="225"/>
      <c r="V700" s="225"/>
    </row>
    <row r="701" spans="1:29" hidden="1">
      <c r="A701" s="229">
        <v>23</v>
      </c>
      <c r="B701" s="408" t="s">
        <v>565</v>
      </c>
      <c r="C701" s="407" t="s">
        <v>117</v>
      </c>
      <c r="D701" s="229" t="s">
        <v>90</v>
      </c>
      <c r="E701" s="238">
        <f>'[2]Price&amp;Heating-Value'!$R$6</f>
        <v>3.6</v>
      </c>
      <c r="F701" s="62"/>
      <c r="G701" s="256">
        <f>'[2]Price&amp;Heating-Value'!$P$6</f>
        <v>2.7124999999999999</v>
      </c>
      <c r="H701" s="275">
        <v>3332704</v>
      </c>
      <c r="I701" s="275">
        <v>3060014</v>
      </c>
      <c r="J701" s="275">
        <v>3514682</v>
      </c>
      <c r="K701" s="275">
        <v>3351809</v>
      </c>
      <c r="L701" s="275">
        <v>3679166</v>
      </c>
      <c r="M701" s="275">
        <v>3664816</v>
      </c>
      <c r="N701" s="275">
        <v>3523539</v>
      </c>
      <c r="O701" s="275">
        <v>3511122</v>
      </c>
      <c r="P701" s="275">
        <v>3378261</v>
      </c>
      <c r="Q701" s="275">
        <v>3446898</v>
      </c>
      <c r="R701" s="275">
        <v>3399936</v>
      </c>
      <c r="S701" s="275">
        <v>3276926</v>
      </c>
      <c r="T701" s="275">
        <f>SUM(H701:S701)</f>
        <v>41139873</v>
      </c>
      <c r="U701" s="275">
        <f>T701*E701</f>
        <v>148103542.80000001</v>
      </c>
      <c r="V701" s="275">
        <f>G701*T701</f>
        <v>111591905.5125</v>
      </c>
      <c r="W701" s="227">
        <f>'[2]Price&amp;Heating-Value'!D$6</f>
        <v>2.4500000000000002</v>
      </c>
      <c r="X701" s="227">
        <f>'[2]Price&amp;Heating-Value'!E$6</f>
        <v>2.54</v>
      </c>
      <c r="Y701" s="227">
        <f>'[2]Price&amp;Heating-Value'!F$6</f>
        <v>2.58</v>
      </c>
      <c r="Z701" s="227">
        <f>'[2]Price&amp;Heating-Value'!G$6</f>
        <v>2.67</v>
      </c>
      <c r="AA701" s="227">
        <f>'[2]Price&amp;Heating-Value'!H$6</f>
        <v>2.67</v>
      </c>
      <c r="AB701" s="227">
        <f>'[2]Price&amp;Heating-Value'!I$6</f>
        <v>2.67</v>
      </c>
      <c r="AC701" s="227">
        <f>'[2]Price&amp;Heating-Value'!J$6</f>
        <v>2.62</v>
      </c>
    </row>
    <row r="702" spans="1:29" hidden="1">
      <c r="A702" s="229"/>
      <c r="B702" s="266" t="s">
        <v>578</v>
      </c>
      <c r="C702" s="237"/>
      <c r="D702" s="229"/>
      <c r="E702" s="229"/>
      <c r="F702" s="229"/>
      <c r="G702" s="229"/>
      <c r="H702" s="274"/>
      <c r="I702" s="274"/>
      <c r="J702" s="274"/>
      <c r="K702" s="274"/>
      <c r="L702" s="274"/>
      <c r="M702" s="274"/>
      <c r="N702" s="274"/>
      <c r="O702" s="274"/>
      <c r="P702" s="274"/>
      <c r="Q702" s="274"/>
      <c r="R702" s="274"/>
      <c r="S702" s="274"/>
      <c r="T702" s="274"/>
      <c r="U702" s="275"/>
      <c r="V702" s="275">
        <f>SUM(V701)</f>
        <v>111591905.5125</v>
      </c>
    </row>
    <row r="703" spans="1:29" hidden="1">
      <c r="A703" s="253"/>
      <c r="B703" s="233"/>
      <c r="C703" s="234" t="s">
        <v>107</v>
      </c>
      <c r="D703" s="233" t="s">
        <v>163</v>
      </c>
      <c r="E703" s="233"/>
      <c r="F703" s="233"/>
      <c r="G703" s="253"/>
      <c r="H703" s="264">
        <v>14132022</v>
      </c>
      <c r="I703" s="264">
        <v>12476610</v>
      </c>
      <c r="J703" s="264">
        <v>14099034</v>
      </c>
      <c r="K703" s="264">
        <v>13777547.68</v>
      </c>
      <c r="L703" s="264">
        <v>14200404</v>
      </c>
      <c r="M703" s="264">
        <v>13657212</v>
      </c>
      <c r="N703" s="264">
        <v>14118536.65</v>
      </c>
      <c r="O703" s="264">
        <v>14142315.359999999</v>
      </c>
      <c r="P703" s="264">
        <v>13647576</v>
      </c>
      <c r="Q703" s="264">
        <v>14136000</v>
      </c>
      <c r="R703" s="264">
        <v>13680000</v>
      </c>
      <c r="S703" s="264">
        <v>14136000</v>
      </c>
      <c r="T703" s="236">
        <f>SUM(H703:S703)</f>
        <v>166203257.69</v>
      </c>
      <c r="U703" s="259"/>
      <c r="V703" s="785">
        <f>V702/T703</f>
        <v>0.6714182806250385</v>
      </c>
    </row>
    <row r="704" spans="1:29" hidden="1">
      <c r="A704" s="253"/>
      <c r="B704" s="253"/>
      <c r="C704" s="276"/>
      <c r="D704" s="253"/>
      <c r="E704" s="253"/>
      <c r="F704" s="253"/>
      <c r="G704" s="253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7"/>
      <c r="U704" s="277"/>
      <c r="V704" s="771" t="s">
        <v>137</v>
      </c>
    </row>
    <row r="705" spans="1:29" hidden="1">
      <c r="A705" s="253"/>
      <c r="B705" s="253"/>
      <c r="C705" s="278" t="s">
        <v>138</v>
      </c>
      <c r="D705" s="253" t="s">
        <v>173</v>
      </c>
      <c r="E705" s="62"/>
      <c r="F705" s="62"/>
      <c r="G705" s="253"/>
      <c r="H705" s="277">
        <f t="shared" ref="H705:S705" si="324">H701*$E$701/1000</f>
        <v>11997.734400000001</v>
      </c>
      <c r="I705" s="277">
        <f t="shared" si="324"/>
        <v>11016.0504</v>
      </c>
      <c r="J705" s="277">
        <f t="shared" si="324"/>
        <v>12652.855200000002</v>
      </c>
      <c r="K705" s="277">
        <f t="shared" si="324"/>
        <v>12066.5124</v>
      </c>
      <c r="L705" s="277">
        <f t="shared" si="324"/>
        <v>13244.997599999999</v>
      </c>
      <c r="M705" s="277">
        <f t="shared" si="324"/>
        <v>13193.337599999999</v>
      </c>
      <c r="N705" s="277">
        <f t="shared" si="324"/>
        <v>12684.740400000001</v>
      </c>
      <c r="O705" s="277">
        <f t="shared" si="324"/>
        <v>12640.039200000001</v>
      </c>
      <c r="P705" s="277">
        <f t="shared" si="324"/>
        <v>12161.739599999999</v>
      </c>
      <c r="Q705" s="277">
        <f t="shared" si="324"/>
        <v>12408.8328</v>
      </c>
      <c r="R705" s="277">
        <f t="shared" si="324"/>
        <v>12239.7696</v>
      </c>
      <c r="S705" s="277">
        <f t="shared" si="324"/>
        <v>11796.9336</v>
      </c>
      <c r="T705" s="277">
        <f>SUM(H705:S705)</f>
        <v>148103.5428</v>
      </c>
      <c r="U705" s="277"/>
      <c r="V705" s="277"/>
    </row>
    <row r="706" spans="1:29" hidden="1">
      <c r="A706" s="253"/>
      <c r="B706" s="62"/>
      <c r="C706" s="237" t="s">
        <v>579</v>
      </c>
      <c r="D706" s="62" t="s">
        <v>173</v>
      </c>
      <c r="E706" s="253"/>
      <c r="F706" s="253"/>
      <c r="G706" s="253"/>
      <c r="H706" s="277">
        <f t="shared" ref="H706:M706" si="325">SUM(H705)</f>
        <v>11997.734400000001</v>
      </c>
      <c r="I706" s="277">
        <f t="shared" si="325"/>
        <v>11016.0504</v>
      </c>
      <c r="J706" s="277">
        <f t="shared" si="325"/>
        <v>12652.855200000002</v>
      </c>
      <c r="K706" s="277">
        <f t="shared" si="325"/>
        <v>12066.5124</v>
      </c>
      <c r="L706" s="277">
        <f t="shared" si="325"/>
        <v>13244.997599999999</v>
      </c>
      <c r="M706" s="277">
        <f t="shared" si="325"/>
        <v>13193.337599999999</v>
      </c>
      <c r="N706" s="277">
        <f t="shared" ref="N706:S706" si="326">SUM(N705)</f>
        <v>12684.740400000001</v>
      </c>
      <c r="O706" s="277">
        <f t="shared" si="326"/>
        <v>12640.039200000001</v>
      </c>
      <c r="P706" s="277">
        <f t="shared" si="326"/>
        <v>12161.739599999999</v>
      </c>
      <c r="Q706" s="277">
        <f t="shared" si="326"/>
        <v>12408.8328</v>
      </c>
      <c r="R706" s="277">
        <f t="shared" si="326"/>
        <v>12239.7696</v>
      </c>
      <c r="S706" s="277">
        <f t="shared" si="326"/>
        <v>11796.9336</v>
      </c>
      <c r="T706" s="279">
        <f>SUM(H706:S706)</f>
        <v>148103.5428</v>
      </c>
      <c r="U706" s="277">
        <f>T706*12/11</f>
        <v>161567.50123636363</v>
      </c>
      <c r="V706" s="786">
        <f>V702/T706</f>
        <v>753.47222222222229</v>
      </c>
    </row>
    <row r="707" spans="1:29" hidden="1">
      <c r="A707" s="253"/>
      <c r="B707" s="253"/>
      <c r="C707" s="237" t="s">
        <v>345</v>
      </c>
      <c r="D707" s="62" t="s">
        <v>173</v>
      </c>
      <c r="E707" s="253" t="s">
        <v>360</v>
      </c>
      <c r="F707" s="253">
        <v>99.871533802339812</v>
      </c>
      <c r="G707" s="253"/>
      <c r="H707" s="790">
        <f>( 0.0008*H703 + 447.82)*(106.33/100)*($F$707/100)</f>
        <v>12481.37522669672</v>
      </c>
      <c r="I707" s="790">
        <f>( 0.0008*I703 + 447.82)*(106.33/100)*($F$707/100)</f>
        <v>11075.024572193634</v>
      </c>
      <c r="J707" s="790">
        <f>( 0.0008*J703 + 447.82)*(106.33/100)*($F$707/100)</f>
        <v>12453.350363163807</v>
      </c>
      <c r="K707" s="790">
        <f>( 0.0008*K703 + 447.82)*(106.33/100)*($F$707/100)</f>
        <v>12180.232555303413</v>
      </c>
      <c r="L707" s="790">
        <f>( 0.0008*L703 + 447.82)*(106.33/100)*($F$707/100)</f>
        <v>12539.468964362164</v>
      </c>
      <c r="M707" s="790">
        <f t="shared" ref="M707:S707" si="327">( 0.0008*M703 + 447.82)*(106.33/100)*($F$707/100)</f>
        <v>12078.001713477888</v>
      </c>
      <c r="N707" s="790">
        <f t="shared" si="327"/>
        <v>12469.918785159083</v>
      </c>
      <c r="O707" s="790">
        <f t="shared" si="327"/>
        <v>12490.119922019114</v>
      </c>
      <c r="P707" s="790">
        <f t="shared" si="327"/>
        <v>12069.815476512837</v>
      </c>
      <c r="Q707" s="790">
        <f t="shared" si="327"/>
        <v>12484.754725518533</v>
      </c>
      <c r="R707" s="790">
        <f t="shared" si="327"/>
        <v>12097.361195416413</v>
      </c>
      <c r="S707" s="790">
        <f t="shared" si="327"/>
        <v>12484.754725518533</v>
      </c>
      <c r="T707" s="279">
        <f>SUM(H707:S707)</f>
        <v>146904.17822534216</v>
      </c>
      <c r="U707" s="277">
        <f>T707*12/11</f>
        <v>160259.10351855506</v>
      </c>
      <c r="V707" s="271" t="s">
        <v>158</v>
      </c>
    </row>
    <row r="708" spans="1:29" hidden="1">
      <c r="A708" s="253"/>
      <c r="B708" s="243" t="s">
        <v>174</v>
      </c>
      <c r="C708" s="244" t="s">
        <v>138</v>
      </c>
      <c r="D708" s="243" t="s">
        <v>374</v>
      </c>
      <c r="E708" s="243"/>
      <c r="F708" s="243"/>
      <c r="G708" s="253"/>
      <c r="H708" s="245">
        <f>H705/H703*1000</f>
        <v>0.84897507235694936</v>
      </c>
      <c r="I708" s="245">
        <f t="shared" ref="I708:T708" si="328">I705/I703*1000</f>
        <v>0.88293618218410297</v>
      </c>
      <c r="J708" s="245">
        <f t="shared" si="328"/>
        <v>0.89742710032474582</v>
      </c>
      <c r="K708" s="245">
        <f t="shared" si="328"/>
        <v>0.87580988142876814</v>
      </c>
      <c r="L708" s="245">
        <f>L705/L703*1000</f>
        <v>0.93271977332475886</v>
      </c>
      <c r="M708" s="245">
        <f t="shared" si="328"/>
        <v>0.96603447321459157</v>
      </c>
      <c r="N708" s="245">
        <f t="shared" si="328"/>
        <v>0.89844583149486679</v>
      </c>
      <c r="O708" s="245">
        <f t="shared" si="328"/>
        <v>0.89377438405531362</v>
      </c>
      <c r="P708" s="245">
        <f t="shared" si="328"/>
        <v>0.89112818276300487</v>
      </c>
      <c r="Q708" s="245">
        <f t="shared" si="328"/>
        <v>0.87781782682512743</v>
      </c>
      <c r="R708" s="245">
        <f t="shared" si="328"/>
        <v>0.89471999999999996</v>
      </c>
      <c r="S708" s="245">
        <f t="shared" si="328"/>
        <v>0.83453123938879459</v>
      </c>
      <c r="T708" s="245">
        <f t="shared" si="328"/>
        <v>0.89109891622124915</v>
      </c>
      <c r="U708" s="246"/>
      <c r="V708" s="246"/>
    </row>
    <row r="709" spans="1:29" ht="23.25" hidden="1">
      <c r="A709" s="253"/>
      <c r="B709" s="243"/>
      <c r="C709" s="249" t="s">
        <v>580</v>
      </c>
      <c r="D709" s="243" t="s">
        <v>374</v>
      </c>
      <c r="E709" s="243"/>
      <c r="F709" s="243"/>
      <c r="G709" s="253"/>
      <c r="H709" s="245">
        <f>H706/H703*1000</f>
        <v>0.84897507235694936</v>
      </c>
      <c r="I709" s="245">
        <f t="shared" ref="I709:S709" si="329">I706/I703*1000</f>
        <v>0.88293618218410297</v>
      </c>
      <c r="J709" s="245">
        <f t="shared" si="329"/>
        <v>0.89742710032474582</v>
      </c>
      <c r="K709" s="245">
        <f t="shared" si="329"/>
        <v>0.87580988142876814</v>
      </c>
      <c r="L709" s="245">
        <f t="shared" si="329"/>
        <v>0.93271977332475886</v>
      </c>
      <c r="M709" s="245">
        <f t="shared" si="329"/>
        <v>0.96603447321459157</v>
      </c>
      <c r="N709" s="245">
        <f t="shared" si="329"/>
        <v>0.89844583149486679</v>
      </c>
      <c r="O709" s="245">
        <f t="shared" si="329"/>
        <v>0.89377438405531362</v>
      </c>
      <c r="P709" s="245">
        <f t="shared" si="329"/>
        <v>0.89112818276300487</v>
      </c>
      <c r="Q709" s="245">
        <f t="shared" si="329"/>
        <v>0.87781782682512743</v>
      </c>
      <c r="R709" s="245">
        <f t="shared" si="329"/>
        <v>0.89471999999999996</v>
      </c>
      <c r="S709" s="245">
        <f t="shared" si="329"/>
        <v>0.83453123938879459</v>
      </c>
      <c r="T709" s="250">
        <f>T706/T703*1000</f>
        <v>0.89109891622124915</v>
      </c>
      <c r="U709" s="246"/>
      <c r="V709" s="246"/>
    </row>
    <row r="710" spans="1:29" hidden="1">
      <c r="A710" s="253"/>
      <c r="B710" s="243"/>
      <c r="C710" s="249" t="s">
        <v>581</v>
      </c>
      <c r="D710" s="243"/>
      <c r="E710" s="243"/>
      <c r="F710" s="243"/>
      <c r="G710" s="253"/>
      <c r="H710" s="251">
        <f>H706/H707*100</f>
        <v>96.125099855485104</v>
      </c>
      <c r="I710" s="251">
        <f t="shared" ref="I710:S710" si="330">I706/I707*100</f>
        <v>99.467503012664167</v>
      </c>
      <c r="J710" s="251">
        <f t="shared" si="330"/>
        <v>101.60201737699694</v>
      </c>
      <c r="K710" s="251">
        <f t="shared" si="330"/>
        <v>99.066354810656719</v>
      </c>
      <c r="L710" s="251">
        <f t="shared" si="330"/>
        <v>105.62646343033333</v>
      </c>
      <c r="M710" s="251">
        <f t="shared" si="330"/>
        <v>109.23444053893041</v>
      </c>
      <c r="N710" s="251">
        <f t="shared" si="330"/>
        <v>101.72271863628002</v>
      </c>
      <c r="O710" s="251">
        <f t="shared" si="330"/>
        <v>101.20030295078746</v>
      </c>
      <c r="P710" s="251">
        <f t="shared" si="330"/>
        <v>100.76160338711094</v>
      </c>
      <c r="Q710" s="251">
        <f t="shared" si="330"/>
        <v>99.391882922911165</v>
      </c>
      <c r="R710" s="251">
        <f t="shared" si="330"/>
        <v>101.17718568771463</v>
      </c>
      <c r="S710" s="251">
        <f t="shared" si="330"/>
        <v>94.490711746922486</v>
      </c>
      <c r="T710" s="251">
        <f>T706/T707*100</f>
        <v>100.81642645508563</v>
      </c>
      <c r="U710" s="246"/>
      <c r="V710" s="246"/>
    </row>
    <row r="711" spans="1:29" hidden="1">
      <c r="A711" s="253"/>
      <c r="B711" s="62"/>
      <c r="C711" s="60" t="s">
        <v>398</v>
      </c>
      <c r="D711" s="62"/>
      <c r="E711" s="62"/>
      <c r="F711" s="62"/>
      <c r="G711" s="253"/>
      <c r="H711" s="254">
        <f t="shared" ref="H711:T712" si="331">H706+H695+H684+H673+H661+H649+H637+H622</f>
        <v>122965.29880678348</v>
      </c>
      <c r="I711" s="254">
        <f t="shared" si="331"/>
        <v>110847.6876898505</v>
      </c>
      <c r="J711" s="254">
        <f t="shared" si="331"/>
        <v>125896.05976757902</v>
      </c>
      <c r="K711" s="254">
        <f t="shared" si="331"/>
        <v>95002.659935970994</v>
      </c>
      <c r="L711" s="254">
        <f t="shared" si="331"/>
        <v>124503.82097127249</v>
      </c>
      <c r="M711" s="254">
        <f t="shared" si="331"/>
        <v>118929.69719426401</v>
      </c>
      <c r="N711" s="254">
        <f t="shared" si="331"/>
        <v>118625.037851345</v>
      </c>
      <c r="O711" s="254">
        <f t="shared" si="331"/>
        <v>121034.22842609149</v>
      </c>
      <c r="P711" s="254">
        <f t="shared" si="331"/>
        <v>113667.0195201535</v>
      </c>
      <c r="Q711" s="254">
        <f t="shared" si="331"/>
        <v>117702.82100673299</v>
      </c>
      <c r="R711" s="254">
        <f t="shared" si="331"/>
        <v>113810.95015456551</v>
      </c>
      <c r="S711" s="254">
        <f t="shared" si="331"/>
        <v>117806.57269303099</v>
      </c>
      <c r="T711" s="254">
        <f t="shared" si="331"/>
        <v>1400791.85401764</v>
      </c>
      <c r="U711" s="225"/>
      <c r="V711" s="225"/>
    </row>
    <row r="712" spans="1:29" hidden="1">
      <c r="A712" s="253"/>
      <c r="B712" s="62"/>
      <c r="C712" s="60" t="s">
        <v>492</v>
      </c>
      <c r="D712" s="62"/>
      <c r="E712" s="62"/>
      <c r="F712" s="62"/>
      <c r="G712" s="253"/>
      <c r="H712" s="254">
        <f t="shared" si="331"/>
        <v>123836.17563882898</v>
      </c>
      <c r="I712" s="254">
        <f t="shared" si="331"/>
        <v>113409.32760990376</v>
      </c>
      <c r="J712" s="254">
        <f t="shared" si="331"/>
        <v>123812.74508852053</v>
      </c>
      <c r="K712" s="254">
        <f t="shared" si="331"/>
        <v>98000.308165813869</v>
      </c>
      <c r="L712" s="254">
        <f t="shared" si="331"/>
        <v>122797.67266144608</v>
      </c>
      <c r="M712" s="254">
        <f t="shared" si="331"/>
        <v>120027.94288285761</v>
      </c>
      <c r="N712" s="254">
        <f t="shared" si="331"/>
        <v>121258.24544843615</v>
      </c>
      <c r="O712" s="254">
        <f t="shared" si="331"/>
        <v>121646.33342724045</v>
      </c>
      <c r="P712" s="254">
        <f t="shared" si="331"/>
        <v>119561.25265985477</v>
      </c>
      <c r="Q712" s="254">
        <f t="shared" si="331"/>
        <v>122135.13238610628</v>
      </c>
      <c r="R712" s="254">
        <f t="shared" si="331"/>
        <v>120053.77473351339</v>
      </c>
      <c r="S712" s="254">
        <f t="shared" si="331"/>
        <v>111184.91870532584</v>
      </c>
      <c r="T712" s="254">
        <f t="shared" si="331"/>
        <v>1417723.8294078477</v>
      </c>
      <c r="U712" s="225"/>
      <c r="V712" s="225"/>
    </row>
    <row r="713" spans="1:29" hidden="1">
      <c r="A713" s="253"/>
      <c r="B713" s="62"/>
      <c r="C713" s="60" t="s">
        <v>582</v>
      </c>
      <c r="D713" s="62"/>
      <c r="E713" s="62"/>
      <c r="F713" s="62"/>
      <c r="G713" s="253"/>
      <c r="H713" s="254">
        <f t="shared" ref="H713:T713" si="332">H711/H712*100</f>
        <v>99.296750866575991</v>
      </c>
      <c r="I713" s="254">
        <f t="shared" si="332"/>
        <v>97.741244063394333</v>
      </c>
      <c r="J713" s="254">
        <f t="shared" si="332"/>
        <v>101.68263346198245</v>
      </c>
      <c r="K713" s="254">
        <f t="shared" si="332"/>
        <v>96.941184894264893</v>
      </c>
      <c r="L713" s="254">
        <f t="shared" si="332"/>
        <v>101.38939792004875</v>
      </c>
      <c r="M713" s="254">
        <f t="shared" si="332"/>
        <v>99.085008322049276</v>
      </c>
      <c r="N713" s="254">
        <f t="shared" si="332"/>
        <v>97.82843006893836</v>
      </c>
      <c r="O713" s="254">
        <f t="shared" si="332"/>
        <v>99.49681590566388</v>
      </c>
      <c r="P713" s="254">
        <f t="shared" si="332"/>
        <v>95.070114264802783</v>
      </c>
      <c r="Q713" s="254">
        <f t="shared" si="332"/>
        <v>96.370977545296782</v>
      </c>
      <c r="R713" s="254">
        <f t="shared" si="332"/>
        <v>94.799976433223151</v>
      </c>
      <c r="S713" s="254">
        <f t="shared" si="332"/>
        <v>105.95553251718839</v>
      </c>
      <c r="T713" s="254">
        <f t="shared" si="332"/>
        <v>98.805692967911824</v>
      </c>
      <c r="U713" s="225"/>
      <c r="V713" s="225"/>
    </row>
    <row r="714" spans="1:29" hidden="1">
      <c r="A714" s="253"/>
      <c r="B714" s="62"/>
      <c r="C714" s="60"/>
      <c r="D714" s="62"/>
      <c r="E714" s="62"/>
      <c r="F714" s="62"/>
      <c r="G714" s="253"/>
      <c r="H714" s="254"/>
      <c r="I714" s="254"/>
      <c r="J714" s="254"/>
      <c r="K714" s="254"/>
      <c r="L714" s="254"/>
      <c r="M714" s="254"/>
      <c r="N714" s="225"/>
      <c r="O714" s="225"/>
      <c r="P714" s="225"/>
      <c r="Q714" s="225"/>
      <c r="R714" s="225"/>
      <c r="S714" s="225"/>
      <c r="T714" s="225"/>
      <c r="U714" s="225"/>
      <c r="V714" s="225"/>
    </row>
    <row r="715" spans="1:29" hidden="1">
      <c r="A715" s="62">
        <v>23</v>
      </c>
      <c r="B715" s="62" t="s">
        <v>0</v>
      </c>
      <c r="C715" s="278" t="s">
        <v>138</v>
      </c>
      <c r="D715" s="62" t="s">
        <v>90</v>
      </c>
      <c r="E715" s="238">
        <f>'[2]Price&amp;Heating-Value'!$R$6</f>
        <v>3.6</v>
      </c>
      <c r="F715" s="62"/>
      <c r="G715" s="256">
        <f>'[2]Price&amp;Heating-Value'!$P$6</f>
        <v>2.7124999999999999</v>
      </c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>
        <f t="shared" ref="T715:T725" si="333">SUM(H715:S715)</f>
        <v>0</v>
      </c>
      <c r="U715" s="225">
        <f>T715*E715</f>
        <v>0</v>
      </c>
      <c r="V715" s="225">
        <f>G715*T715</f>
        <v>0</v>
      </c>
      <c r="W715" s="227">
        <f>'[2]Price&amp;Heating-Value'!D$6</f>
        <v>2.4500000000000002</v>
      </c>
      <c r="X715" s="227">
        <f>'[2]Price&amp;Heating-Value'!E$6</f>
        <v>2.54</v>
      </c>
      <c r="Y715" s="227">
        <f>'[2]Price&amp;Heating-Value'!F$6</f>
        <v>2.58</v>
      </c>
      <c r="Z715" s="227">
        <f>'[2]Price&amp;Heating-Value'!G$6</f>
        <v>2.67</v>
      </c>
      <c r="AA715" s="227">
        <f>'[2]Price&amp;Heating-Value'!H$6</f>
        <v>2.67</v>
      </c>
      <c r="AB715" s="227">
        <f>'[2]Price&amp;Heating-Value'!I$6</f>
        <v>2.67</v>
      </c>
      <c r="AC715" s="227">
        <f>'[2]Price&amp;Heating-Value'!J$6</f>
        <v>2.62</v>
      </c>
    </row>
    <row r="716" spans="1:29" hidden="1">
      <c r="A716" s="62"/>
      <c r="B716" s="62"/>
      <c r="C716" s="278" t="s">
        <v>533</v>
      </c>
      <c r="D716" s="62" t="s">
        <v>176</v>
      </c>
      <c r="E716" s="238">
        <f>'[2]Price&amp;Heating-Value'!$S$16/1000</f>
        <v>39.770000000000003</v>
      </c>
      <c r="F716" s="321">
        <f>'[2]Price&amp;Heating-Value'!$T$16</f>
        <v>0.98550000000000004</v>
      </c>
      <c r="G716" s="230">
        <f>'[2]Price&amp;Heating-Value'!$P$16*'[2]Price&amp;Heating-Value'!$T$16/1000</f>
        <v>17.944656726937499</v>
      </c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>
        <f t="shared" si="333"/>
        <v>0</v>
      </c>
      <c r="U716" s="225">
        <f>T716*E716</f>
        <v>0</v>
      </c>
      <c r="V716" s="225">
        <f>F716*G716*T716</f>
        <v>0</v>
      </c>
      <c r="W716" s="322">
        <f>'[2]Price&amp;Heating-Value'!D$16*'[2]Price&amp;Heating-Value'!$T$16/1000</f>
        <v>16.779635460000002</v>
      </c>
      <c r="X716" s="232">
        <f>'[2]Price&amp;Heating-Value'!E$16*'[2]Price&amp;Heating-Value'!$T$16/1000</f>
        <v>16.47036585</v>
      </c>
      <c r="Y716" s="232">
        <f>'[2]Price&amp;Heating-Value'!F$16*'[2]Price&amp;Heating-Value'!$T$16/1000</f>
        <v>16.780118354999999</v>
      </c>
      <c r="Z716" s="232">
        <f>'[2]Price&amp;Heating-Value'!G$16*'[2]Price&amp;Heating-Value'!$T$16/1000</f>
        <v>18.287135100000004</v>
      </c>
      <c r="AA716" s="232">
        <f>'[2]Price&amp;Heating-Value'!H$16*'[2]Price&amp;Heating-Value'!$T$16/1000</f>
        <v>20.715278985000001</v>
      </c>
      <c r="AB716" s="232">
        <f>'[2]Price&amp;Heating-Value'!I$16*'[2]Price&amp;Heating-Value'!$T$16/1000</f>
        <v>22.335056640000001</v>
      </c>
      <c r="AC716" s="232">
        <f>'[2]Price&amp;Heating-Value'!J$16*'[2]Price&amp;Heating-Value'!$T$16/1000</f>
        <v>25.718475240000004</v>
      </c>
    </row>
    <row r="717" spans="1:29" hidden="1">
      <c r="A717" s="62"/>
      <c r="B717" s="62"/>
      <c r="C717" s="278" t="s">
        <v>434</v>
      </c>
      <c r="D717" s="62" t="s">
        <v>176</v>
      </c>
      <c r="E717" s="62">
        <f>'[2]Price&amp;Heating-Value'!$R$18/'[2]Price&amp;Heating-Value'!$T$18/1000</f>
        <v>36.42</v>
      </c>
      <c r="F717" s="238">
        <f>'[2]Price&amp;Heating-Value'!$T$18</f>
        <v>0.83520000000000005</v>
      </c>
      <c r="G717" s="230">
        <f>'[2]Price&amp;Heating-Value'!$P$18*'[2]Price&amp;Heating-Value'!$T$18/1000</f>
        <v>25.160039938320001</v>
      </c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>
        <f t="shared" si="333"/>
        <v>0</v>
      </c>
      <c r="U717" s="225">
        <f>T717*E717</f>
        <v>0</v>
      </c>
      <c r="V717" s="225">
        <f>F717*G717*T717</f>
        <v>0</v>
      </c>
      <c r="W717" s="227">
        <f>'[2]Price&amp;Heating-Value'!D$18*'[2]Price&amp;Heating-Value'!$T$18/1000</f>
        <v>22.986641664000004</v>
      </c>
      <c r="X717" s="227">
        <f>'[2]Price&amp;Heating-Value'!E$18*'[2]Price&amp;Heating-Value'!$T$18/1000</f>
        <v>22.963013856000003</v>
      </c>
      <c r="Y717" s="227">
        <f>'[2]Price&amp;Heating-Value'!F$18*'[2]Price&amp;Heating-Value'!$T$18/1000</f>
        <v>24.774545952</v>
      </c>
      <c r="Z717" s="227">
        <f>'[2]Price&amp;Heating-Value'!G$18*'[2]Price&amp;Heating-Value'!$T$18/1000</f>
        <v>27.366797952000002</v>
      </c>
      <c r="AA717" s="227">
        <f>'[2]Price&amp;Heating-Value'!H$18*'[2]Price&amp;Heating-Value'!$T$18/1000</f>
        <v>31.132931903999999</v>
      </c>
      <c r="AB717" s="227">
        <f>'[2]Price&amp;Heating-Value'!I$18*'[2]Price&amp;Heating-Value'!$T$18/1000</f>
        <v>34.244001792000006</v>
      </c>
      <c r="AC717" s="227">
        <f>'[2]Price&amp;Heating-Value'!J$18*'[2]Price&amp;Heating-Value'!$T$18/1000</f>
        <v>35.755738848000007</v>
      </c>
    </row>
    <row r="718" spans="1:29" hidden="1">
      <c r="A718" s="62"/>
      <c r="B718" s="62"/>
      <c r="C718" s="278" t="s">
        <v>488</v>
      </c>
      <c r="D718" s="62" t="s">
        <v>102</v>
      </c>
      <c r="E718" s="62">
        <f>'[2]Price&amp;Heating-Value'!$R$19/1000</f>
        <v>43.993000000000002</v>
      </c>
      <c r="F718" s="62"/>
      <c r="G718" s="372">
        <f>'[2]Price&amp;Heating-Value'!$P$19/1000</f>
        <v>5.9003324083333331</v>
      </c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>
        <f t="shared" si="333"/>
        <v>0</v>
      </c>
      <c r="U718" s="225">
        <f>T718*E718</f>
        <v>0</v>
      </c>
      <c r="V718" s="225">
        <f>G718*T718</f>
        <v>0</v>
      </c>
      <c r="W718" s="372">
        <f>'[2]Price&amp;Heating-Value'!D$19/1000</f>
        <v>5.3311999999999999</v>
      </c>
      <c r="X718" s="373">
        <f>'[2]Price&amp;Heating-Value'!E$19/1000</f>
        <v>5.3087400000000011</v>
      </c>
      <c r="Y718" s="373">
        <f>'[2]Price&amp;Heating-Value'!F$19/1000</f>
        <v>5.3071200000000003</v>
      </c>
      <c r="Z718" s="373">
        <f>'[2]Price&amp;Heating-Value'!G$19/1000</f>
        <v>5.3289600000000004</v>
      </c>
      <c r="AA718" s="373">
        <f>'[2]Price&amp;Heating-Value'!H$19/1000</f>
        <v>5.3113499999999991</v>
      </c>
      <c r="AB718" s="373">
        <f>'[2]Price&amp;Heating-Value'!I$19/1000</f>
        <v>5.3247999999999998</v>
      </c>
      <c r="AC718" s="373">
        <f>'[2]Price&amp;Heating-Value'!J$19/1000</f>
        <v>5.3135399999999997</v>
      </c>
    </row>
    <row r="719" spans="1:29" hidden="1">
      <c r="A719" s="62"/>
      <c r="B719" s="62"/>
      <c r="C719" s="237" t="s">
        <v>383</v>
      </c>
      <c r="D719" s="62"/>
      <c r="E719" s="62"/>
      <c r="F719" s="62"/>
      <c r="G719" s="62"/>
      <c r="H719" s="262">
        <f t="shared" ref="H719:S719" si="334">(H715*3.6)+(H716*39.77)+(H717*36.42)+(H718*43.993)</f>
        <v>0</v>
      </c>
      <c r="I719" s="262">
        <f t="shared" si="334"/>
        <v>0</v>
      </c>
      <c r="J719" s="262">
        <f t="shared" si="334"/>
        <v>0</v>
      </c>
      <c r="K719" s="262">
        <f t="shared" si="334"/>
        <v>0</v>
      </c>
      <c r="L719" s="262">
        <f t="shared" si="334"/>
        <v>0</v>
      </c>
      <c r="M719" s="262">
        <f t="shared" si="334"/>
        <v>0</v>
      </c>
      <c r="N719" s="262">
        <f t="shared" si="334"/>
        <v>0</v>
      </c>
      <c r="O719" s="262">
        <f t="shared" si="334"/>
        <v>0</v>
      </c>
      <c r="P719" s="262">
        <f t="shared" si="334"/>
        <v>0</v>
      </c>
      <c r="Q719" s="262">
        <f t="shared" si="334"/>
        <v>0</v>
      </c>
      <c r="R719" s="262">
        <f t="shared" si="334"/>
        <v>0</v>
      </c>
      <c r="S719" s="262">
        <f t="shared" si="334"/>
        <v>0</v>
      </c>
      <c r="T719" s="257">
        <f t="shared" si="333"/>
        <v>0</v>
      </c>
      <c r="U719" s="225"/>
      <c r="V719" s="225"/>
    </row>
    <row r="720" spans="1:29" hidden="1">
      <c r="A720" s="253"/>
      <c r="B720" s="233"/>
      <c r="C720" s="234" t="s">
        <v>107</v>
      </c>
      <c r="D720" s="233" t="s">
        <v>121</v>
      </c>
      <c r="E720" s="233"/>
      <c r="F720" s="233"/>
      <c r="G720" s="253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36">
        <f t="shared" si="333"/>
        <v>0</v>
      </c>
      <c r="U720" s="259"/>
      <c r="V720" s="785" t="e">
        <f>V719/T720</f>
        <v>#DIV/0!</v>
      </c>
    </row>
    <row r="721" spans="1:23" hidden="1">
      <c r="A721" s="253"/>
      <c r="B721" s="253"/>
      <c r="C721" s="278" t="s">
        <v>138</v>
      </c>
      <c r="D721" s="253" t="s">
        <v>173</v>
      </c>
      <c r="E721" s="62"/>
      <c r="F721" s="62"/>
      <c r="G721" s="253"/>
      <c r="H721" s="277">
        <f>H715*$E715/1000</f>
        <v>0</v>
      </c>
      <c r="I721" s="277">
        <f>I715*$E715/1000</f>
        <v>0</v>
      </c>
      <c r="J721" s="277">
        <f t="shared" ref="J721:S721" si="335">J715*$E715/1000</f>
        <v>0</v>
      </c>
      <c r="K721" s="277">
        <f t="shared" si="335"/>
        <v>0</v>
      </c>
      <c r="L721" s="277">
        <f t="shared" si="335"/>
        <v>0</v>
      </c>
      <c r="M721" s="277">
        <f t="shared" si="335"/>
        <v>0</v>
      </c>
      <c r="N721" s="277">
        <f t="shared" si="335"/>
        <v>0</v>
      </c>
      <c r="O721" s="277">
        <f t="shared" si="335"/>
        <v>0</v>
      </c>
      <c r="P721" s="277">
        <f t="shared" si="335"/>
        <v>0</v>
      </c>
      <c r="Q721" s="277">
        <f t="shared" si="335"/>
        <v>0</v>
      </c>
      <c r="R721" s="277">
        <f t="shared" si="335"/>
        <v>0</v>
      </c>
      <c r="S721" s="277">
        <f t="shared" si="335"/>
        <v>0</v>
      </c>
      <c r="T721" s="277">
        <f t="shared" si="333"/>
        <v>0</v>
      </c>
      <c r="U721" s="277"/>
      <c r="V721" s="277"/>
    </row>
    <row r="722" spans="1:23" hidden="1">
      <c r="A722" s="253"/>
      <c r="B722" s="253"/>
      <c r="C722" s="278" t="s">
        <v>533</v>
      </c>
      <c r="D722" s="253" t="s">
        <v>173</v>
      </c>
      <c r="E722" s="62"/>
      <c r="F722" s="62"/>
      <c r="G722" s="253"/>
      <c r="H722" s="277">
        <f>H716*$E716/1000</f>
        <v>0</v>
      </c>
      <c r="I722" s="277">
        <f t="shared" ref="H722:S724" si="336">I716*$E716/1000</f>
        <v>0</v>
      </c>
      <c r="J722" s="277">
        <f>J716*$E716/1000</f>
        <v>0</v>
      </c>
      <c r="K722" s="277">
        <f t="shared" si="336"/>
        <v>0</v>
      </c>
      <c r="L722" s="277">
        <f t="shared" si="336"/>
        <v>0</v>
      </c>
      <c r="M722" s="277">
        <f t="shared" si="336"/>
        <v>0</v>
      </c>
      <c r="N722" s="277">
        <f t="shared" si="336"/>
        <v>0</v>
      </c>
      <c r="O722" s="277">
        <f t="shared" si="336"/>
        <v>0</v>
      </c>
      <c r="P722" s="277">
        <f t="shared" si="336"/>
        <v>0</v>
      </c>
      <c r="Q722" s="277">
        <f t="shared" si="336"/>
        <v>0</v>
      </c>
      <c r="R722" s="277">
        <f t="shared" si="336"/>
        <v>0</v>
      </c>
      <c r="S722" s="277">
        <f t="shared" si="336"/>
        <v>0</v>
      </c>
      <c r="T722" s="277">
        <f t="shared" si="333"/>
        <v>0</v>
      </c>
      <c r="U722" s="277"/>
      <c r="V722" s="277"/>
    </row>
    <row r="723" spans="1:23" hidden="1">
      <c r="A723" s="253"/>
      <c r="B723" s="253"/>
      <c r="C723" s="278" t="s">
        <v>434</v>
      </c>
      <c r="D723" s="253" t="s">
        <v>173</v>
      </c>
      <c r="E723" s="62"/>
      <c r="F723" s="62"/>
      <c r="G723" s="253"/>
      <c r="H723" s="277">
        <f t="shared" si="336"/>
        <v>0</v>
      </c>
      <c r="I723" s="277">
        <f t="shared" si="336"/>
        <v>0</v>
      </c>
      <c r="J723" s="277">
        <f t="shared" si="336"/>
        <v>0</v>
      </c>
      <c r="K723" s="277">
        <f t="shared" si="336"/>
        <v>0</v>
      </c>
      <c r="L723" s="277">
        <f t="shared" si="336"/>
        <v>0</v>
      </c>
      <c r="M723" s="277">
        <f t="shared" si="336"/>
        <v>0</v>
      </c>
      <c r="N723" s="277">
        <f t="shared" si="336"/>
        <v>0</v>
      </c>
      <c r="O723" s="277">
        <f t="shared" si="336"/>
        <v>0</v>
      </c>
      <c r="P723" s="277">
        <f t="shared" si="336"/>
        <v>0</v>
      </c>
      <c r="Q723" s="277">
        <f t="shared" si="336"/>
        <v>0</v>
      </c>
      <c r="R723" s="277">
        <f t="shared" si="336"/>
        <v>0</v>
      </c>
      <c r="S723" s="277">
        <f t="shared" si="336"/>
        <v>0</v>
      </c>
      <c r="T723" s="277">
        <f t="shared" si="333"/>
        <v>0</v>
      </c>
      <c r="U723" s="277"/>
      <c r="V723" s="277"/>
    </row>
    <row r="724" spans="1:23" hidden="1">
      <c r="A724" s="253"/>
      <c r="B724" s="253"/>
      <c r="C724" s="278" t="s">
        <v>488</v>
      </c>
      <c r="D724" s="253" t="s">
        <v>173</v>
      </c>
      <c r="E724" s="62"/>
      <c r="F724" s="62"/>
      <c r="G724" s="253"/>
      <c r="H724" s="277">
        <f t="shared" si="336"/>
        <v>0</v>
      </c>
      <c r="I724" s="277">
        <f t="shared" si="336"/>
        <v>0</v>
      </c>
      <c r="J724" s="277">
        <f t="shared" si="336"/>
        <v>0</v>
      </c>
      <c r="K724" s="277">
        <f t="shared" si="336"/>
        <v>0</v>
      </c>
      <c r="L724" s="277">
        <f t="shared" si="336"/>
        <v>0</v>
      </c>
      <c r="M724" s="277">
        <f t="shared" si="336"/>
        <v>0</v>
      </c>
      <c r="N724" s="277">
        <f t="shared" si="336"/>
        <v>0</v>
      </c>
      <c r="O724" s="277">
        <f t="shared" si="336"/>
        <v>0</v>
      </c>
      <c r="P724" s="277">
        <f t="shared" si="336"/>
        <v>0</v>
      </c>
      <c r="Q724" s="277">
        <f t="shared" si="336"/>
        <v>0</v>
      </c>
      <c r="R724" s="277">
        <f t="shared" si="336"/>
        <v>0</v>
      </c>
      <c r="S724" s="277">
        <f t="shared" si="336"/>
        <v>0</v>
      </c>
      <c r="T724" s="277">
        <f t="shared" si="333"/>
        <v>0</v>
      </c>
      <c r="U724" s="277"/>
      <c r="V724" s="277"/>
    </row>
    <row r="725" spans="1:23" hidden="1">
      <c r="A725" s="253"/>
      <c r="B725" s="62"/>
      <c r="C725" s="237" t="s">
        <v>583</v>
      </c>
      <c r="D725" s="62" t="s">
        <v>173</v>
      </c>
      <c r="E725" s="253"/>
      <c r="F725" s="253"/>
      <c r="G725" s="253"/>
      <c r="H725" s="277">
        <f t="shared" ref="H725:S725" si="337">SUM(H721:H724)</f>
        <v>0</v>
      </c>
      <c r="I725" s="277">
        <f t="shared" si="337"/>
        <v>0</v>
      </c>
      <c r="J725" s="277">
        <f t="shared" si="337"/>
        <v>0</v>
      </c>
      <c r="K725" s="277">
        <f t="shared" si="337"/>
        <v>0</v>
      </c>
      <c r="L725" s="277">
        <f t="shared" si="337"/>
        <v>0</v>
      </c>
      <c r="M725" s="277">
        <f t="shared" si="337"/>
        <v>0</v>
      </c>
      <c r="N725" s="277">
        <f t="shared" si="337"/>
        <v>0</v>
      </c>
      <c r="O725" s="277">
        <f t="shared" si="337"/>
        <v>0</v>
      </c>
      <c r="P725" s="277">
        <f t="shared" si="337"/>
        <v>0</v>
      </c>
      <c r="Q725" s="277">
        <f t="shared" si="337"/>
        <v>0</v>
      </c>
      <c r="R725" s="277">
        <f t="shared" si="337"/>
        <v>0</v>
      </c>
      <c r="S725" s="277">
        <f t="shared" si="337"/>
        <v>0</v>
      </c>
      <c r="T725" s="279">
        <f t="shared" si="333"/>
        <v>0</v>
      </c>
      <c r="U725" s="277"/>
      <c r="V725" s="786" t="e">
        <f>V719/T725</f>
        <v>#DIV/0!</v>
      </c>
    </row>
    <row r="726" spans="1:23" hidden="1">
      <c r="A726" s="253"/>
      <c r="B726" s="243" t="s">
        <v>174</v>
      </c>
      <c r="C726" s="244" t="s">
        <v>138</v>
      </c>
      <c r="D726" s="243" t="s">
        <v>347</v>
      </c>
      <c r="E726" s="243"/>
      <c r="F726" s="243"/>
      <c r="G726" s="253"/>
      <c r="H726" s="245" t="e">
        <f>H721/H$720*1000</f>
        <v>#DIV/0!</v>
      </c>
      <c r="I726" s="245" t="e">
        <f>I721/I$720*1000</f>
        <v>#DIV/0!</v>
      </c>
      <c r="J726" s="245" t="e">
        <f t="shared" ref="J726:S730" si="338">J721/J$720*1000</f>
        <v>#DIV/0!</v>
      </c>
      <c r="K726" s="245" t="e">
        <f t="shared" si="338"/>
        <v>#DIV/0!</v>
      </c>
      <c r="L726" s="245" t="e">
        <f t="shared" si="338"/>
        <v>#DIV/0!</v>
      </c>
      <c r="M726" s="245" t="e">
        <f t="shared" si="338"/>
        <v>#DIV/0!</v>
      </c>
      <c r="N726" s="245" t="e">
        <f t="shared" si="338"/>
        <v>#DIV/0!</v>
      </c>
      <c r="O726" s="245" t="e">
        <f t="shared" si="338"/>
        <v>#DIV/0!</v>
      </c>
      <c r="P726" s="245" t="e">
        <f t="shared" si="338"/>
        <v>#DIV/0!</v>
      </c>
      <c r="Q726" s="245" t="e">
        <f t="shared" si="338"/>
        <v>#DIV/0!</v>
      </c>
      <c r="R726" s="245" t="e">
        <f t="shared" si="338"/>
        <v>#DIV/0!</v>
      </c>
      <c r="S726" s="245" t="e">
        <f t="shared" si="338"/>
        <v>#DIV/0!</v>
      </c>
      <c r="T726" s="245" t="e">
        <f>T721/T$720*1000</f>
        <v>#DIV/0!</v>
      </c>
      <c r="U726" s="246"/>
      <c r="V726" s="246"/>
    </row>
    <row r="727" spans="1:23" hidden="1">
      <c r="A727" s="253"/>
      <c r="B727" s="243"/>
      <c r="C727" s="337" t="s">
        <v>533</v>
      </c>
      <c r="D727" s="243" t="s">
        <v>347</v>
      </c>
      <c r="E727" s="243"/>
      <c r="F727" s="243"/>
      <c r="G727" s="253"/>
      <c r="H727" s="245" t="e">
        <f t="shared" ref="H727:I729" si="339">H722/H$720*1000</f>
        <v>#DIV/0!</v>
      </c>
      <c r="I727" s="245" t="e">
        <f t="shared" si="339"/>
        <v>#DIV/0!</v>
      </c>
      <c r="J727" s="245" t="e">
        <f t="shared" si="338"/>
        <v>#DIV/0!</v>
      </c>
      <c r="K727" s="245" t="e">
        <f t="shared" si="338"/>
        <v>#DIV/0!</v>
      </c>
      <c r="L727" s="245" t="e">
        <f t="shared" si="338"/>
        <v>#DIV/0!</v>
      </c>
      <c r="M727" s="245" t="e">
        <f t="shared" si="338"/>
        <v>#DIV/0!</v>
      </c>
      <c r="N727" s="245" t="e">
        <f t="shared" si="338"/>
        <v>#DIV/0!</v>
      </c>
      <c r="O727" s="245" t="e">
        <f t="shared" si="338"/>
        <v>#DIV/0!</v>
      </c>
      <c r="P727" s="245" t="e">
        <f t="shared" si="338"/>
        <v>#DIV/0!</v>
      </c>
      <c r="Q727" s="245" t="e">
        <f t="shared" si="338"/>
        <v>#DIV/0!</v>
      </c>
      <c r="R727" s="245" t="e">
        <f t="shared" si="338"/>
        <v>#DIV/0!</v>
      </c>
      <c r="S727" s="245" t="e">
        <f t="shared" si="338"/>
        <v>#DIV/0!</v>
      </c>
      <c r="T727" s="245" t="e">
        <f>T722/T$720*1000</f>
        <v>#DIV/0!</v>
      </c>
      <c r="U727" s="246"/>
      <c r="V727" s="246"/>
      <c r="W727" s="215"/>
    </row>
    <row r="728" spans="1:23" hidden="1">
      <c r="A728" s="253"/>
      <c r="B728" s="243"/>
      <c r="C728" s="337" t="s">
        <v>434</v>
      </c>
      <c r="D728" s="243" t="s">
        <v>347</v>
      </c>
      <c r="E728" s="243"/>
      <c r="F728" s="243"/>
      <c r="G728" s="253"/>
      <c r="H728" s="245" t="e">
        <f t="shared" si="339"/>
        <v>#DIV/0!</v>
      </c>
      <c r="I728" s="245" t="e">
        <f t="shared" si="339"/>
        <v>#DIV/0!</v>
      </c>
      <c r="J728" s="245" t="e">
        <f t="shared" si="338"/>
        <v>#DIV/0!</v>
      </c>
      <c r="K728" s="245" t="e">
        <f t="shared" si="338"/>
        <v>#DIV/0!</v>
      </c>
      <c r="L728" s="245" t="e">
        <f t="shared" si="338"/>
        <v>#DIV/0!</v>
      </c>
      <c r="M728" s="245" t="e">
        <f t="shared" si="338"/>
        <v>#DIV/0!</v>
      </c>
      <c r="N728" s="245" t="e">
        <f t="shared" si="338"/>
        <v>#DIV/0!</v>
      </c>
      <c r="O728" s="245" t="e">
        <f t="shared" si="338"/>
        <v>#DIV/0!</v>
      </c>
      <c r="P728" s="245" t="e">
        <f t="shared" si="338"/>
        <v>#DIV/0!</v>
      </c>
      <c r="Q728" s="245" t="e">
        <f t="shared" si="338"/>
        <v>#DIV/0!</v>
      </c>
      <c r="R728" s="245" t="e">
        <f t="shared" si="338"/>
        <v>#DIV/0!</v>
      </c>
      <c r="S728" s="245" t="e">
        <f t="shared" si="338"/>
        <v>#DIV/0!</v>
      </c>
      <c r="T728" s="245" t="e">
        <f>T723/T$720*1000</f>
        <v>#DIV/0!</v>
      </c>
      <c r="U728" s="246"/>
      <c r="V728" s="246"/>
      <c r="W728" s="215"/>
    </row>
    <row r="729" spans="1:23" hidden="1">
      <c r="A729" s="253"/>
      <c r="B729" s="243"/>
      <c r="C729" s="337" t="s">
        <v>488</v>
      </c>
      <c r="D729" s="243" t="s">
        <v>347</v>
      </c>
      <c r="E729" s="243"/>
      <c r="F729" s="243"/>
      <c r="G729" s="253"/>
      <c r="H729" s="245" t="e">
        <f t="shared" si="339"/>
        <v>#DIV/0!</v>
      </c>
      <c r="I729" s="245" t="e">
        <f>I724/I$720*1000</f>
        <v>#DIV/0!</v>
      </c>
      <c r="J729" s="245" t="e">
        <f t="shared" si="338"/>
        <v>#DIV/0!</v>
      </c>
      <c r="K729" s="245" t="e">
        <f t="shared" si="338"/>
        <v>#DIV/0!</v>
      </c>
      <c r="L729" s="245" t="e">
        <f t="shared" si="338"/>
        <v>#DIV/0!</v>
      </c>
      <c r="M729" s="245" t="e">
        <f t="shared" si="338"/>
        <v>#DIV/0!</v>
      </c>
      <c r="N729" s="245" t="e">
        <f t="shared" si="338"/>
        <v>#DIV/0!</v>
      </c>
      <c r="O729" s="245" t="e">
        <f t="shared" si="338"/>
        <v>#DIV/0!</v>
      </c>
      <c r="P729" s="245" t="e">
        <f t="shared" si="338"/>
        <v>#DIV/0!</v>
      </c>
      <c r="Q729" s="245" t="e">
        <f t="shared" si="338"/>
        <v>#DIV/0!</v>
      </c>
      <c r="R729" s="245" t="e">
        <f t="shared" si="338"/>
        <v>#DIV/0!</v>
      </c>
      <c r="S729" s="245" t="e">
        <f t="shared" si="338"/>
        <v>#DIV/0!</v>
      </c>
      <c r="T729" s="245" t="e">
        <f>T724/T$720*1000</f>
        <v>#DIV/0!</v>
      </c>
      <c r="U729" s="246"/>
      <c r="V729" s="246"/>
      <c r="W729" s="215"/>
    </row>
    <row r="730" spans="1:23" ht="23.25" hidden="1">
      <c r="A730" s="253"/>
      <c r="B730" s="243"/>
      <c r="C730" s="249" t="s">
        <v>584</v>
      </c>
      <c r="D730" s="243" t="s">
        <v>347</v>
      </c>
      <c r="E730" s="243"/>
      <c r="F730" s="243"/>
      <c r="G730" s="253"/>
      <c r="H730" s="245" t="e">
        <f>H725/H$720*1000</f>
        <v>#DIV/0!</v>
      </c>
      <c r="I730" s="245" t="e">
        <f>I725/I$720*1000</f>
        <v>#DIV/0!</v>
      </c>
      <c r="J730" s="245" t="e">
        <f t="shared" si="338"/>
        <v>#DIV/0!</v>
      </c>
      <c r="K730" s="245" t="e">
        <f t="shared" si="338"/>
        <v>#DIV/0!</v>
      </c>
      <c r="L730" s="245" t="e">
        <f t="shared" si="338"/>
        <v>#DIV/0!</v>
      </c>
      <c r="M730" s="245" t="e">
        <f t="shared" si="338"/>
        <v>#DIV/0!</v>
      </c>
      <c r="N730" s="245" t="e">
        <f t="shared" si="338"/>
        <v>#DIV/0!</v>
      </c>
      <c r="O730" s="245" t="e">
        <f t="shared" si="338"/>
        <v>#DIV/0!</v>
      </c>
      <c r="P730" s="245" t="e">
        <f t="shared" si="338"/>
        <v>#DIV/0!</v>
      </c>
      <c r="Q730" s="245" t="e">
        <f t="shared" si="338"/>
        <v>#DIV/0!</v>
      </c>
      <c r="R730" s="245" t="e">
        <f t="shared" si="338"/>
        <v>#DIV/0!</v>
      </c>
      <c r="S730" s="245" t="e">
        <f t="shared" si="338"/>
        <v>#DIV/0!</v>
      </c>
      <c r="T730" s="250" t="e">
        <f>T725/T720*1000</f>
        <v>#DIV/0!</v>
      </c>
      <c r="U730" s="246"/>
      <c r="V730" s="246"/>
      <c r="W730" s="215"/>
    </row>
    <row r="731" spans="1:23" hidden="1">
      <c r="A731" s="62"/>
      <c r="B731" s="62"/>
      <c r="C731" s="237"/>
      <c r="D731" s="62"/>
      <c r="E731" s="62"/>
      <c r="F731" s="62"/>
      <c r="G731" s="62"/>
      <c r="H731" s="262"/>
      <c r="I731" s="262"/>
      <c r="J731" s="262"/>
      <c r="K731" s="262"/>
      <c r="L731" s="262"/>
      <c r="M731" s="262"/>
      <c r="N731" s="262"/>
      <c r="O731" s="262"/>
      <c r="P731" s="262"/>
      <c r="Q731" s="262"/>
      <c r="R731" s="262"/>
      <c r="S731" s="262"/>
      <c r="T731" s="257"/>
      <c r="U731" s="225"/>
      <c r="V731" s="225"/>
      <c r="W731" s="215"/>
    </row>
    <row r="732" spans="1:23" hidden="1">
      <c r="A732" s="62"/>
      <c r="B732" s="62" t="s">
        <v>585</v>
      </c>
      <c r="C732" s="237"/>
      <c r="D732" s="62"/>
      <c r="E732" s="62"/>
      <c r="F732" s="62"/>
      <c r="G732" s="62"/>
      <c r="H732" s="262"/>
      <c r="I732" s="262"/>
      <c r="J732" s="262"/>
      <c r="K732" s="262"/>
      <c r="L732" s="262"/>
      <c r="M732" s="262"/>
      <c r="N732" s="262"/>
      <c r="O732" s="262"/>
      <c r="P732" s="262"/>
      <c r="Q732" s="262"/>
      <c r="R732" s="262"/>
      <c r="S732" s="262"/>
      <c r="T732" s="257"/>
      <c r="U732" s="225"/>
      <c r="V732" s="225"/>
      <c r="W732" s="215"/>
    </row>
    <row r="733" spans="1:23" hidden="1">
      <c r="A733" s="62"/>
      <c r="B733" s="62" t="s">
        <v>586</v>
      </c>
      <c r="C733" s="282" t="s">
        <v>398</v>
      </c>
      <c r="D733" s="282" t="s">
        <v>173</v>
      </c>
      <c r="E733" s="62"/>
      <c r="F733" s="62"/>
      <c r="G733" s="62"/>
      <c r="H733" s="409"/>
      <c r="I733" s="409"/>
      <c r="J733" s="409"/>
      <c r="K733" s="409"/>
      <c r="L733" s="409"/>
      <c r="M733" s="409"/>
      <c r="N733" s="409"/>
      <c r="O733" s="409"/>
      <c r="P733" s="409"/>
      <c r="Q733" s="409"/>
      <c r="R733" s="409"/>
      <c r="S733" s="409"/>
      <c r="T733" s="339">
        <f>SUM(H733:S733)</f>
        <v>0</v>
      </c>
      <c r="U733" s="225"/>
      <c r="V733" s="225"/>
      <c r="W733" s="215"/>
    </row>
    <row r="734" spans="1:23" hidden="1">
      <c r="A734" s="62"/>
      <c r="B734" s="62"/>
      <c r="C734" s="282" t="s">
        <v>492</v>
      </c>
      <c r="D734" s="282" t="s">
        <v>173</v>
      </c>
      <c r="E734" s="62"/>
      <c r="F734" s="62"/>
      <c r="G734" s="62"/>
      <c r="H734" s="409"/>
      <c r="I734" s="409"/>
      <c r="J734" s="409"/>
      <c r="K734" s="409"/>
      <c r="L734" s="409"/>
      <c r="M734" s="409"/>
      <c r="N734" s="409"/>
      <c r="O734" s="409"/>
      <c r="P734" s="409"/>
      <c r="Q734" s="409"/>
      <c r="R734" s="409"/>
      <c r="S734" s="409"/>
      <c r="T734" s="339">
        <f>SUM(H734:S734)</f>
        <v>0</v>
      </c>
      <c r="U734" s="225"/>
      <c r="V734" s="225"/>
      <c r="W734" s="215"/>
    </row>
    <row r="735" spans="1:23" hidden="1">
      <c r="A735" s="62"/>
      <c r="B735" s="62"/>
      <c r="C735" s="282" t="s">
        <v>497</v>
      </c>
      <c r="D735" s="282" t="s">
        <v>401</v>
      </c>
      <c r="E735" s="62"/>
      <c r="F735" s="62"/>
      <c r="G735" s="62"/>
      <c r="H735" s="409"/>
      <c r="I735" s="409"/>
      <c r="J735" s="409"/>
      <c r="K735" s="409"/>
      <c r="L735" s="409"/>
      <c r="M735" s="409"/>
      <c r="N735" s="409"/>
      <c r="O735" s="409"/>
      <c r="P735" s="409"/>
      <c r="Q735" s="409"/>
      <c r="R735" s="409"/>
      <c r="S735" s="409"/>
      <c r="T735" s="409" t="e">
        <f>T733/T734*100</f>
        <v>#DIV/0!</v>
      </c>
      <c r="U735" s="225"/>
      <c r="V735" s="225"/>
      <c r="W735" s="215"/>
    </row>
    <row r="736" spans="1:23" hidden="1">
      <c r="A736" s="62"/>
      <c r="B736" s="62" t="s">
        <v>587</v>
      </c>
      <c r="C736" s="282" t="s">
        <v>398</v>
      </c>
      <c r="D736" s="282" t="s">
        <v>173</v>
      </c>
      <c r="E736" s="62"/>
      <c r="F736" s="62"/>
      <c r="G736" s="62"/>
      <c r="H736" s="409"/>
      <c r="I736" s="409"/>
      <c r="J736" s="409"/>
      <c r="K736" s="409"/>
      <c r="L736" s="409"/>
      <c r="M736" s="409"/>
      <c r="N736" s="409"/>
      <c r="O736" s="409"/>
      <c r="P736" s="409"/>
      <c r="Q736" s="409"/>
      <c r="R736" s="262"/>
      <c r="S736" s="262"/>
      <c r="T736" s="339">
        <f>SUM(H736:S736)</f>
        <v>0</v>
      </c>
      <c r="U736" s="225"/>
      <c r="V736" s="225"/>
      <c r="W736" s="215"/>
    </row>
    <row r="737" spans="1:29" hidden="1">
      <c r="A737" s="62"/>
      <c r="B737" s="62"/>
      <c r="C737" s="282" t="s">
        <v>492</v>
      </c>
      <c r="D737" s="282" t="s">
        <v>173</v>
      </c>
      <c r="E737" s="62"/>
      <c r="F737" s="62"/>
      <c r="G737" s="62"/>
      <c r="H737" s="409"/>
      <c r="I737" s="409"/>
      <c r="J737" s="409"/>
      <c r="K737" s="409"/>
      <c r="L737" s="409"/>
      <c r="M737" s="409"/>
      <c r="N737" s="409"/>
      <c r="O737" s="409"/>
      <c r="P737" s="409"/>
      <c r="Q737" s="409"/>
      <c r="R737" s="262"/>
      <c r="S737" s="262"/>
      <c r="T737" s="339">
        <f>SUM(H737:S737)</f>
        <v>0</v>
      </c>
      <c r="U737" s="225"/>
      <c r="V737" s="225"/>
      <c r="W737" s="215"/>
    </row>
    <row r="738" spans="1:29" hidden="1">
      <c r="A738" s="62"/>
      <c r="B738" s="62"/>
      <c r="C738" s="282" t="s">
        <v>497</v>
      </c>
      <c r="D738" s="282" t="s">
        <v>401</v>
      </c>
      <c r="E738" s="62"/>
      <c r="F738" s="62"/>
      <c r="G738" s="62"/>
      <c r="H738" s="409"/>
      <c r="I738" s="409"/>
      <c r="J738" s="409"/>
      <c r="K738" s="409"/>
      <c r="L738" s="409"/>
      <c r="M738" s="409"/>
      <c r="N738" s="409"/>
      <c r="O738" s="409"/>
      <c r="P738" s="409"/>
      <c r="Q738" s="409"/>
      <c r="R738" s="409"/>
      <c r="S738" s="409"/>
      <c r="T738" s="409" t="e">
        <f t="shared" ref="T738" si="340">T736/T737*100</f>
        <v>#DIV/0!</v>
      </c>
      <c r="U738" s="225"/>
      <c r="V738" s="225"/>
      <c r="W738" s="215"/>
    </row>
    <row r="739" spans="1:29" hidden="1">
      <c r="A739" s="62"/>
      <c r="B739" s="62" t="s">
        <v>588</v>
      </c>
      <c r="C739" s="282" t="s">
        <v>398</v>
      </c>
      <c r="D739" s="282" t="s">
        <v>173</v>
      </c>
      <c r="E739" s="62"/>
      <c r="F739" s="62"/>
      <c r="G739" s="62"/>
      <c r="H739" s="409"/>
      <c r="I739" s="409"/>
      <c r="J739" s="409"/>
      <c r="K739" s="409"/>
      <c r="L739" s="409"/>
      <c r="M739" s="409"/>
      <c r="N739" s="409"/>
      <c r="O739" s="409"/>
      <c r="P739" s="409"/>
      <c r="Q739" s="409"/>
      <c r="R739" s="262"/>
      <c r="S739" s="262"/>
      <c r="T739" s="339">
        <f>SUM(H739:S739)</f>
        <v>0</v>
      </c>
      <c r="U739" s="225"/>
      <c r="V739" s="225"/>
      <c r="W739" s="215"/>
    </row>
    <row r="740" spans="1:29" hidden="1">
      <c r="A740" s="62"/>
      <c r="B740" s="62"/>
      <c r="C740" s="282" t="s">
        <v>492</v>
      </c>
      <c r="D740" s="282" t="s">
        <v>173</v>
      </c>
      <c r="E740" s="62"/>
      <c r="F740" s="62"/>
      <c r="G740" s="62"/>
      <c r="H740" s="409"/>
      <c r="I740" s="409"/>
      <c r="J740" s="409"/>
      <c r="K740" s="409"/>
      <c r="L740" s="409"/>
      <c r="M740" s="409"/>
      <c r="N740" s="409"/>
      <c r="O740" s="409"/>
      <c r="P740" s="409"/>
      <c r="Q740" s="409"/>
      <c r="R740" s="262"/>
      <c r="S740" s="262"/>
      <c r="T740" s="339">
        <f>SUM(H740:S740)</f>
        <v>0</v>
      </c>
      <c r="U740" s="225"/>
      <c r="V740" s="225"/>
      <c r="W740" s="215"/>
    </row>
    <row r="741" spans="1:29" hidden="1">
      <c r="A741" s="62"/>
      <c r="B741" s="62"/>
      <c r="C741" s="282" t="s">
        <v>497</v>
      </c>
      <c r="D741" s="282" t="s">
        <v>401</v>
      </c>
      <c r="E741" s="62"/>
      <c r="F741" s="62"/>
      <c r="G741" s="62"/>
      <c r="H741" s="409"/>
      <c r="I741" s="409"/>
      <c r="J741" s="409"/>
      <c r="K741" s="409"/>
      <c r="L741" s="409"/>
      <c r="M741" s="409"/>
      <c r="N741" s="409"/>
      <c r="O741" s="409"/>
      <c r="P741" s="409"/>
      <c r="Q741" s="409"/>
      <c r="R741" s="409"/>
      <c r="S741" s="409"/>
      <c r="T741" s="409" t="e">
        <f t="shared" ref="T741" si="341">T739/T740*100</f>
        <v>#DIV/0!</v>
      </c>
      <c r="U741" s="225"/>
      <c r="V741" s="225"/>
      <c r="W741" s="215"/>
    </row>
    <row r="742" spans="1:29" hidden="1">
      <c r="A742" s="62">
        <v>24</v>
      </c>
      <c r="B742" s="62" t="s">
        <v>585</v>
      </c>
      <c r="C742" s="282" t="s">
        <v>398</v>
      </c>
      <c r="D742" s="282" t="s">
        <v>173</v>
      </c>
      <c r="E742" s="62"/>
      <c r="F742" s="62"/>
      <c r="G742" s="62"/>
      <c r="H742" s="409">
        <v>15917.344080000001</v>
      </c>
      <c r="I742" s="409">
        <v>15367.924419999999</v>
      </c>
      <c r="J742" s="409">
        <v>17086.55154</v>
      </c>
      <c r="K742" s="409">
        <v>15939.11469</v>
      </c>
      <c r="L742" s="409">
        <v>16833.667820000002</v>
      </c>
      <c r="M742" s="409">
        <v>15736.053625767092</v>
      </c>
      <c r="N742" s="409">
        <v>16170.396490000001</v>
      </c>
      <c r="O742" s="409">
        <v>14455.22</v>
      </c>
      <c r="P742" s="409">
        <v>13450.790850000001</v>
      </c>
      <c r="Q742" s="409">
        <v>16332.47818</v>
      </c>
      <c r="R742" s="409">
        <v>17133.366169999998</v>
      </c>
      <c r="S742" s="409">
        <v>16270.294760000001</v>
      </c>
      <c r="T742" s="339">
        <f>SUM(H742:S742)</f>
        <v>190693.2026257671</v>
      </c>
      <c r="U742" s="225"/>
      <c r="V742" s="225"/>
      <c r="W742" s="215"/>
    </row>
    <row r="743" spans="1:29" hidden="1">
      <c r="A743" s="62"/>
      <c r="B743" s="62"/>
      <c r="C743" s="282" t="s">
        <v>492</v>
      </c>
      <c r="D743" s="282" t="s">
        <v>173</v>
      </c>
      <c r="E743" s="62"/>
      <c r="F743" s="62"/>
      <c r="G743" s="62"/>
      <c r="H743" s="409">
        <v>15662.295593656036</v>
      </c>
      <c r="I743" s="409">
        <v>15048.069885717727</v>
      </c>
      <c r="J743" s="409">
        <v>16380.969181915661</v>
      </c>
      <c r="K743" s="409">
        <v>16138.507914624895</v>
      </c>
      <c r="L743" s="409">
        <v>15858.148635768939</v>
      </c>
      <c r="M743" s="409">
        <v>15865.400467339732</v>
      </c>
      <c r="N743" s="409">
        <v>16360.811788050312</v>
      </c>
      <c r="O743" s="409">
        <v>15190.74</v>
      </c>
      <c r="P743" s="409">
        <v>14722.308733265019</v>
      </c>
      <c r="Q743" s="409">
        <v>16110.4095643207</v>
      </c>
      <c r="R743" s="409">
        <v>16595.457688485141</v>
      </c>
      <c r="S743" s="409">
        <v>16308.287473051172</v>
      </c>
      <c r="T743" s="339">
        <f>SUM(H743:S743)</f>
        <v>190241.40692619531</v>
      </c>
      <c r="U743" s="225"/>
      <c r="V743" s="225"/>
    </row>
    <row r="744" spans="1:29" hidden="1">
      <c r="A744" s="62"/>
      <c r="B744" s="62"/>
      <c r="C744" s="282" t="s">
        <v>497</v>
      </c>
      <c r="D744" s="282" t="s">
        <v>401</v>
      </c>
      <c r="E744" s="62"/>
      <c r="F744" s="62"/>
      <c r="G744" s="62"/>
      <c r="H744" s="409">
        <f>H742/H743*100</f>
        <v>101.62842339948732</v>
      </c>
      <c r="I744" s="409">
        <f t="shared" ref="I744:T744" si="342">I742/I743*100</f>
        <v>102.12555189277697</v>
      </c>
      <c r="J744" s="409">
        <f t="shared" si="342"/>
        <v>104.30732974495362</v>
      </c>
      <c r="K744" s="409">
        <f t="shared" si="342"/>
        <v>98.764487859226421</v>
      </c>
      <c r="L744" s="409">
        <f t="shared" si="342"/>
        <v>106.15153260722204</v>
      </c>
      <c r="M744" s="409">
        <f t="shared" si="342"/>
        <v>99.184723752552529</v>
      </c>
      <c r="N744" s="409">
        <f t="shared" si="342"/>
        <v>98.836150060784959</v>
      </c>
      <c r="O744" s="409">
        <f t="shared" si="342"/>
        <v>95.158102896896395</v>
      </c>
      <c r="P744" s="409">
        <f t="shared" si="342"/>
        <v>91.363325506195736</v>
      </c>
      <c r="Q744" s="409">
        <f t="shared" si="342"/>
        <v>101.37841694708439</v>
      </c>
      <c r="R744" s="409">
        <f t="shared" si="342"/>
        <v>103.24129946646838</v>
      </c>
      <c r="S744" s="409">
        <f t="shared" si="342"/>
        <v>99.767034318508593</v>
      </c>
      <c r="T744" s="409">
        <f t="shared" si="342"/>
        <v>100.23748547010433</v>
      </c>
      <c r="U744" s="225"/>
      <c r="V744" s="225"/>
    </row>
    <row r="745" spans="1:29" hidden="1">
      <c r="A745" s="62"/>
      <c r="B745" s="62"/>
      <c r="C745" s="237"/>
      <c r="D745" s="62"/>
      <c r="E745" s="62"/>
      <c r="F745" s="62"/>
      <c r="G745" s="62"/>
      <c r="H745" s="254"/>
      <c r="I745" s="254"/>
      <c r="J745" s="254"/>
      <c r="K745" s="254"/>
      <c r="L745" s="254"/>
      <c r="M745" s="254"/>
      <c r="N745" s="225"/>
      <c r="O745" s="225"/>
      <c r="P745" s="225"/>
      <c r="Q745" s="225"/>
      <c r="R745" s="225"/>
      <c r="S745" s="225"/>
      <c r="T745" s="225"/>
      <c r="U745" s="225"/>
      <c r="V745" s="225"/>
    </row>
    <row r="746" spans="1:29" hidden="1">
      <c r="A746" s="62"/>
      <c r="B746" s="62" t="s">
        <v>585</v>
      </c>
      <c r="C746" s="278" t="s">
        <v>138</v>
      </c>
      <c r="D746" s="62" t="s">
        <v>90</v>
      </c>
      <c r="E746" s="238">
        <f>'[2]Price&amp;Heating-Value'!$R$6</f>
        <v>3.6</v>
      </c>
      <c r="F746" s="62"/>
      <c r="G746" s="256">
        <f>'[2]Price&amp;Heating-Value'!$P$6</f>
        <v>2.7124999999999999</v>
      </c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>
        <f>SUM(H746:S746)</f>
        <v>0</v>
      </c>
      <c r="U746" s="225">
        <f>T746*E746</f>
        <v>0</v>
      </c>
      <c r="V746" s="225">
        <f>G746*T746</f>
        <v>0</v>
      </c>
      <c r="W746" s="227">
        <f>'[2]Price&amp;Heating-Value'!D$6</f>
        <v>2.4500000000000002</v>
      </c>
      <c r="X746" s="227">
        <f>'[2]Price&amp;Heating-Value'!E$6</f>
        <v>2.54</v>
      </c>
      <c r="Y746" s="227">
        <f>'[2]Price&amp;Heating-Value'!F$6</f>
        <v>2.58</v>
      </c>
      <c r="Z746" s="227">
        <f>'[2]Price&amp;Heating-Value'!G$6</f>
        <v>2.67</v>
      </c>
      <c r="AA746" s="227">
        <f>'[2]Price&amp;Heating-Value'!H$6</f>
        <v>2.67</v>
      </c>
      <c r="AB746" s="227">
        <f>'[2]Price&amp;Heating-Value'!I$6</f>
        <v>2.67</v>
      </c>
      <c r="AC746" s="227">
        <f>'[2]Price&amp;Heating-Value'!J$6</f>
        <v>2.62</v>
      </c>
    </row>
    <row r="747" spans="1:29" hidden="1">
      <c r="A747" s="253"/>
      <c r="B747" s="253"/>
      <c r="C747" s="278" t="s">
        <v>152</v>
      </c>
      <c r="D747" s="62" t="s">
        <v>147</v>
      </c>
      <c r="E747" s="62">
        <f>'[2]Price&amp;Heating-Value'!$R$9</f>
        <v>2803</v>
      </c>
      <c r="F747" s="62"/>
      <c r="G747" s="230">
        <f>'[2]Price&amp;Heating-Value'!$P$9</f>
        <v>1301.5833333333333</v>
      </c>
      <c r="H747" s="277"/>
      <c r="I747" s="277"/>
      <c r="J747" s="277"/>
      <c r="K747" s="277"/>
      <c r="L747" s="277"/>
      <c r="M747" s="277"/>
      <c r="N747" s="277"/>
      <c r="O747" s="826"/>
      <c r="P747" s="277"/>
      <c r="Q747" s="277"/>
      <c r="R747" s="277"/>
      <c r="S747" s="277"/>
      <c r="T747" s="225">
        <f>SUM(H747:S747)</f>
        <v>0</v>
      </c>
      <c r="U747" s="225">
        <f>T747*E747</f>
        <v>0</v>
      </c>
      <c r="V747" s="225">
        <f>G747*T747</f>
        <v>0</v>
      </c>
      <c r="W747" s="232">
        <f>'[2]Price&amp;Heating-Value'!D$9</f>
        <v>1210</v>
      </c>
      <c r="X747" s="232">
        <f>'[2]Price&amp;Heating-Value'!E$9</f>
        <v>1218</v>
      </c>
      <c r="Y747" s="232">
        <f>'[2]Price&amp;Heating-Value'!F$9</f>
        <v>1207</v>
      </c>
      <c r="Z747" s="232">
        <f>'[2]Price&amp;Heating-Value'!G$9</f>
        <v>1232</v>
      </c>
      <c r="AA747" s="232">
        <f>'[2]Price&amp;Heating-Value'!H$9</f>
        <v>1352</v>
      </c>
      <c r="AB747" s="232">
        <f>'[2]Price&amp;Heating-Value'!I$9</f>
        <v>1491</v>
      </c>
      <c r="AC747" s="232">
        <f>'[2]Price&amp;Heating-Value'!J$9</f>
        <v>1588</v>
      </c>
    </row>
    <row r="748" spans="1:29" hidden="1">
      <c r="A748" s="253"/>
      <c r="B748" s="233"/>
      <c r="C748" s="234" t="s">
        <v>107</v>
      </c>
      <c r="D748" s="233" t="s">
        <v>147</v>
      </c>
      <c r="E748" s="233"/>
      <c r="F748" s="233"/>
      <c r="G748" s="253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36">
        <f>SUM(H748:S748)</f>
        <v>0</v>
      </c>
      <c r="U748" s="259"/>
      <c r="V748" s="785" t="e">
        <f>#REF!/T748</f>
        <v>#REF!</v>
      </c>
    </row>
    <row r="749" spans="1:29" hidden="1">
      <c r="A749" s="253"/>
      <c r="B749" s="253"/>
      <c r="C749" s="276"/>
      <c r="D749" s="253"/>
      <c r="E749" s="253"/>
      <c r="F749" s="253"/>
      <c r="G749" s="253"/>
      <c r="H749" s="277"/>
      <c r="I749" s="277"/>
      <c r="J749" s="277"/>
      <c r="K749" s="277"/>
      <c r="L749" s="277"/>
      <c r="M749" s="277"/>
      <c r="N749" s="277"/>
      <c r="O749" s="277"/>
      <c r="P749" s="277"/>
      <c r="Q749" s="277"/>
      <c r="R749" s="277"/>
      <c r="S749" s="277"/>
      <c r="T749" s="277"/>
      <c r="U749" s="277"/>
      <c r="V749" s="771" t="s">
        <v>137</v>
      </c>
    </row>
    <row r="750" spans="1:29" hidden="1">
      <c r="A750" s="253"/>
      <c r="B750" s="253"/>
      <c r="C750" s="278" t="s">
        <v>138</v>
      </c>
      <c r="D750" s="253" t="s">
        <v>173</v>
      </c>
      <c r="E750" s="62"/>
      <c r="F750" s="62"/>
      <c r="G750" s="253"/>
      <c r="H750" s="277">
        <f>H746*$E$746/1000</f>
        <v>0</v>
      </c>
      <c r="I750" s="277">
        <f t="shared" ref="I750:S750" si="343">I746*$E$746/1000</f>
        <v>0</v>
      </c>
      <c r="J750" s="277">
        <f t="shared" si="343"/>
        <v>0</v>
      </c>
      <c r="K750" s="277">
        <f t="shared" si="343"/>
        <v>0</v>
      </c>
      <c r="L750" s="277">
        <f t="shared" si="343"/>
        <v>0</v>
      </c>
      <c r="M750" s="277">
        <f t="shared" si="343"/>
        <v>0</v>
      </c>
      <c r="N750" s="277">
        <f t="shared" si="343"/>
        <v>0</v>
      </c>
      <c r="O750" s="277">
        <f t="shared" si="343"/>
        <v>0</v>
      </c>
      <c r="P750" s="277">
        <f t="shared" si="343"/>
        <v>0</v>
      </c>
      <c r="Q750" s="277">
        <f t="shared" si="343"/>
        <v>0</v>
      </c>
      <c r="R750" s="277">
        <f t="shared" si="343"/>
        <v>0</v>
      </c>
      <c r="S750" s="277">
        <f t="shared" si="343"/>
        <v>0</v>
      </c>
      <c r="T750" s="277">
        <f>SUM(H750:S750)</f>
        <v>0</v>
      </c>
      <c r="U750" s="277"/>
      <c r="V750" s="277"/>
    </row>
    <row r="751" spans="1:29" hidden="1">
      <c r="A751" s="253"/>
      <c r="B751" s="253"/>
      <c r="C751" s="278" t="s">
        <v>152</v>
      </c>
      <c r="D751" s="253" t="s">
        <v>173</v>
      </c>
      <c r="E751" s="62"/>
      <c r="F751" s="62"/>
      <c r="G751" s="253"/>
      <c r="H751" s="277">
        <f>H747*$E$747/1000</f>
        <v>0</v>
      </c>
      <c r="I751" s="277">
        <f t="shared" ref="I751:S751" si="344">I747*$E$747/1000</f>
        <v>0</v>
      </c>
      <c r="J751" s="277">
        <f t="shared" si="344"/>
        <v>0</v>
      </c>
      <c r="K751" s="277">
        <f t="shared" si="344"/>
        <v>0</v>
      </c>
      <c r="L751" s="277">
        <f t="shared" si="344"/>
        <v>0</v>
      </c>
      <c r="M751" s="277">
        <f t="shared" si="344"/>
        <v>0</v>
      </c>
      <c r="N751" s="277">
        <f t="shared" si="344"/>
        <v>0</v>
      </c>
      <c r="O751" s="277">
        <f t="shared" si="344"/>
        <v>0</v>
      </c>
      <c r="P751" s="277">
        <f t="shared" si="344"/>
        <v>0</v>
      </c>
      <c r="Q751" s="277">
        <f t="shared" si="344"/>
        <v>0</v>
      </c>
      <c r="R751" s="277">
        <f t="shared" si="344"/>
        <v>0</v>
      </c>
      <c r="S751" s="277">
        <f t="shared" si="344"/>
        <v>0</v>
      </c>
      <c r="T751" s="277">
        <f>SUM(H751:S751)</f>
        <v>0</v>
      </c>
      <c r="U751" s="277"/>
      <c r="V751" s="277"/>
    </row>
    <row r="752" spans="1:29" hidden="1">
      <c r="A752" s="253"/>
      <c r="B752" s="62"/>
      <c r="C752" s="237" t="s">
        <v>591</v>
      </c>
      <c r="D752" s="62" t="s">
        <v>173</v>
      </c>
      <c r="E752" s="253"/>
      <c r="F752" s="253"/>
      <c r="G752" s="253"/>
      <c r="H752" s="277">
        <v>15917.344080000001</v>
      </c>
      <c r="I752" s="277">
        <v>15367.924419999999</v>
      </c>
      <c r="J752" s="277">
        <v>17086.55154</v>
      </c>
      <c r="K752" s="277">
        <v>15939.11469</v>
      </c>
      <c r="L752" s="277">
        <v>16832.406470000002</v>
      </c>
      <c r="M752" s="277">
        <f t="shared" ref="M752:T753" si="345">M742</f>
        <v>15736.053625767092</v>
      </c>
      <c r="N752" s="277">
        <f t="shared" si="345"/>
        <v>16170.396490000001</v>
      </c>
      <c r="O752" s="277">
        <f t="shared" si="345"/>
        <v>14455.22</v>
      </c>
      <c r="P752" s="277">
        <f t="shared" si="345"/>
        <v>13450.790850000001</v>
      </c>
      <c r="Q752" s="277">
        <f t="shared" si="345"/>
        <v>16332.47818</v>
      </c>
      <c r="R752" s="277">
        <f t="shared" si="345"/>
        <v>17133.366169999998</v>
      </c>
      <c r="S752" s="277">
        <f t="shared" si="345"/>
        <v>16270.294760000001</v>
      </c>
      <c r="T752" s="277">
        <f t="shared" si="345"/>
        <v>190693.2026257671</v>
      </c>
      <c r="U752" s="277"/>
      <c r="V752" s="786" t="e">
        <f>#REF!/T752</f>
        <v>#REF!</v>
      </c>
    </row>
    <row r="753" spans="1:29" hidden="1">
      <c r="A753" s="253"/>
      <c r="B753" s="62"/>
      <c r="C753" s="237" t="s">
        <v>345</v>
      </c>
      <c r="D753" s="62" t="s">
        <v>173</v>
      </c>
      <c r="E753" s="62"/>
      <c r="F753" s="62"/>
      <c r="G753" s="253"/>
      <c r="H753" s="225">
        <v>15662.295593656032</v>
      </c>
      <c r="I753" s="225">
        <v>15048.069885717727</v>
      </c>
      <c r="J753" s="225">
        <v>16380.969181915661</v>
      </c>
      <c r="K753" s="225">
        <v>16138.507914624894</v>
      </c>
      <c r="L753" s="225">
        <v>15763.377833932198</v>
      </c>
      <c r="M753" s="225">
        <f t="shared" si="345"/>
        <v>15865.400467339732</v>
      </c>
      <c r="N753" s="225">
        <f t="shared" si="345"/>
        <v>16360.811788050312</v>
      </c>
      <c r="O753" s="225">
        <f t="shared" si="345"/>
        <v>15190.74</v>
      </c>
      <c r="P753" s="225">
        <f t="shared" si="345"/>
        <v>14722.308733265019</v>
      </c>
      <c r="Q753" s="225">
        <f t="shared" si="345"/>
        <v>16110.4095643207</v>
      </c>
      <c r="R753" s="225">
        <f t="shared" si="345"/>
        <v>16595.457688485141</v>
      </c>
      <c r="S753" s="225">
        <f t="shared" si="345"/>
        <v>16308.287473051172</v>
      </c>
      <c r="T753" s="225">
        <f t="shared" si="345"/>
        <v>190241.40692619531</v>
      </c>
      <c r="U753" s="225"/>
      <c r="V753" s="271" t="s">
        <v>158</v>
      </c>
    </row>
    <row r="754" spans="1:29" hidden="1">
      <c r="A754" s="253"/>
      <c r="B754" s="243" t="s">
        <v>174</v>
      </c>
      <c r="C754" s="244" t="s">
        <v>138</v>
      </c>
      <c r="D754" s="243" t="s">
        <v>394</v>
      </c>
      <c r="E754" s="243"/>
      <c r="F754" s="243"/>
      <c r="G754" s="253"/>
      <c r="H754" s="245" t="e">
        <f>H750/H$748*1000</f>
        <v>#DIV/0!</v>
      </c>
      <c r="I754" s="245" t="e">
        <f t="shared" ref="I754:S754" si="346">I750/I$748*1000</f>
        <v>#DIV/0!</v>
      </c>
      <c r="J754" s="245" t="e">
        <f t="shared" si="346"/>
        <v>#DIV/0!</v>
      </c>
      <c r="K754" s="245" t="e">
        <f t="shared" si="346"/>
        <v>#DIV/0!</v>
      </c>
      <c r="L754" s="245" t="e">
        <f t="shared" si="346"/>
        <v>#DIV/0!</v>
      </c>
      <c r="M754" s="245" t="e">
        <f t="shared" si="346"/>
        <v>#DIV/0!</v>
      </c>
      <c r="N754" s="245" t="e">
        <f t="shared" si="346"/>
        <v>#DIV/0!</v>
      </c>
      <c r="O754" s="245" t="e">
        <f t="shared" si="346"/>
        <v>#DIV/0!</v>
      </c>
      <c r="P754" s="245" t="e">
        <f t="shared" si="346"/>
        <v>#DIV/0!</v>
      </c>
      <c r="Q754" s="245" t="e">
        <f t="shared" si="346"/>
        <v>#DIV/0!</v>
      </c>
      <c r="R754" s="245" t="e">
        <f t="shared" si="346"/>
        <v>#DIV/0!</v>
      </c>
      <c r="S754" s="245" t="e">
        <f t="shared" si="346"/>
        <v>#DIV/0!</v>
      </c>
      <c r="T754" s="245" t="e">
        <f>T750/T$748*1000</f>
        <v>#DIV/0!</v>
      </c>
      <c r="U754" s="246"/>
      <c r="V754" s="246"/>
    </row>
    <row r="755" spans="1:29" hidden="1">
      <c r="A755" s="253"/>
      <c r="B755" s="243"/>
      <c r="C755" s="244" t="s">
        <v>152</v>
      </c>
      <c r="D755" s="243" t="s">
        <v>394</v>
      </c>
      <c r="E755" s="243"/>
      <c r="F755" s="243"/>
      <c r="G755" s="253"/>
      <c r="H755" s="245" t="e">
        <f t="shared" ref="H755:S756" si="347">H751/H$748*1000</f>
        <v>#DIV/0!</v>
      </c>
      <c r="I755" s="245" t="e">
        <f t="shared" si="347"/>
        <v>#DIV/0!</v>
      </c>
      <c r="J755" s="245" t="e">
        <f t="shared" si="347"/>
        <v>#DIV/0!</v>
      </c>
      <c r="K755" s="245" t="e">
        <f t="shared" si="347"/>
        <v>#DIV/0!</v>
      </c>
      <c r="L755" s="245" t="e">
        <f t="shared" si="347"/>
        <v>#DIV/0!</v>
      </c>
      <c r="M755" s="245" t="e">
        <f t="shared" si="347"/>
        <v>#DIV/0!</v>
      </c>
      <c r="N755" s="245" t="e">
        <f t="shared" si="347"/>
        <v>#DIV/0!</v>
      </c>
      <c r="O755" s="245" t="e">
        <f t="shared" si="347"/>
        <v>#DIV/0!</v>
      </c>
      <c r="P755" s="245" t="e">
        <f t="shared" si="347"/>
        <v>#DIV/0!</v>
      </c>
      <c r="Q755" s="245" t="e">
        <f t="shared" si="347"/>
        <v>#DIV/0!</v>
      </c>
      <c r="R755" s="245" t="e">
        <f t="shared" si="347"/>
        <v>#DIV/0!</v>
      </c>
      <c r="S755" s="245" t="e">
        <f t="shared" si="347"/>
        <v>#DIV/0!</v>
      </c>
      <c r="T755" s="245" t="e">
        <f>T751/T$748*1000</f>
        <v>#DIV/0!</v>
      </c>
      <c r="U755" s="246"/>
      <c r="V755" s="246"/>
    </row>
    <row r="756" spans="1:29" ht="23.25" hidden="1">
      <c r="A756" s="253"/>
      <c r="B756" s="243"/>
      <c r="C756" s="249" t="s">
        <v>592</v>
      </c>
      <c r="D756" s="243" t="s">
        <v>394</v>
      </c>
      <c r="E756" s="243"/>
      <c r="F756" s="243"/>
      <c r="G756" s="253"/>
      <c r="H756" s="245" t="e">
        <f>H752/H$748*1000</f>
        <v>#DIV/0!</v>
      </c>
      <c r="I756" s="245" t="e">
        <f t="shared" si="347"/>
        <v>#DIV/0!</v>
      </c>
      <c r="J756" s="245" t="e">
        <f t="shared" si="347"/>
        <v>#DIV/0!</v>
      </c>
      <c r="K756" s="245" t="e">
        <f t="shared" si="347"/>
        <v>#DIV/0!</v>
      </c>
      <c r="L756" s="245" t="e">
        <f t="shared" si="347"/>
        <v>#DIV/0!</v>
      </c>
      <c r="M756" s="245" t="e">
        <f t="shared" si="347"/>
        <v>#DIV/0!</v>
      </c>
      <c r="N756" s="245" t="e">
        <f t="shared" si="347"/>
        <v>#DIV/0!</v>
      </c>
      <c r="O756" s="245" t="e">
        <f t="shared" si="347"/>
        <v>#DIV/0!</v>
      </c>
      <c r="P756" s="245" t="e">
        <f t="shared" si="347"/>
        <v>#DIV/0!</v>
      </c>
      <c r="Q756" s="245" t="e">
        <f t="shared" si="347"/>
        <v>#DIV/0!</v>
      </c>
      <c r="R756" s="245" t="e">
        <f t="shared" si="347"/>
        <v>#DIV/0!</v>
      </c>
      <c r="S756" s="245" t="e">
        <f t="shared" si="347"/>
        <v>#DIV/0!</v>
      </c>
      <c r="T756" s="250" t="e">
        <f>T752/T748*1000</f>
        <v>#DIV/0!</v>
      </c>
      <c r="U756" s="246"/>
      <c r="V756" s="246"/>
    </row>
    <row r="757" spans="1:29" hidden="1">
      <c r="A757" s="253"/>
      <c r="B757" s="243"/>
      <c r="C757" s="249" t="s">
        <v>593</v>
      </c>
      <c r="D757" s="243"/>
      <c r="E757" s="243"/>
      <c r="F757" s="243"/>
      <c r="G757" s="253"/>
      <c r="H757" s="565">
        <f>H752/H753*100</f>
        <v>101.62842339948735</v>
      </c>
      <c r="I757" s="565">
        <f t="shared" ref="I757:T757" si="348">I752/I753*100</f>
        <v>102.12555189277697</v>
      </c>
      <c r="J757" s="565">
        <f t="shared" si="348"/>
        <v>104.30732974495362</v>
      </c>
      <c r="K757" s="251">
        <f t="shared" si="348"/>
        <v>98.764487859226435</v>
      </c>
      <c r="L757" s="251">
        <f t="shared" si="348"/>
        <v>106.78172310103878</v>
      </c>
      <c r="M757" s="251">
        <f t="shared" si="348"/>
        <v>99.184723752552529</v>
      </c>
      <c r="N757" s="251">
        <f t="shared" si="348"/>
        <v>98.836150060784959</v>
      </c>
      <c r="O757" s="251">
        <f t="shared" si="348"/>
        <v>95.158102896896395</v>
      </c>
      <c r="P757" s="251">
        <f t="shared" si="348"/>
        <v>91.363325506195736</v>
      </c>
      <c r="Q757" s="251">
        <f t="shared" si="348"/>
        <v>101.37841694708439</v>
      </c>
      <c r="R757" s="251">
        <f t="shared" si="348"/>
        <v>103.24129946646838</v>
      </c>
      <c r="S757" s="251">
        <f t="shared" si="348"/>
        <v>99.767034318508593</v>
      </c>
      <c r="T757" s="251">
        <f t="shared" si="348"/>
        <v>100.23748547010433</v>
      </c>
      <c r="U757" s="246"/>
      <c r="V757" s="246"/>
    </row>
    <row r="758" spans="1:29" hidden="1">
      <c r="A758" s="62">
        <v>25</v>
      </c>
      <c r="B758" s="361" t="s">
        <v>589</v>
      </c>
      <c r="C758" s="282" t="s">
        <v>398</v>
      </c>
      <c r="D758" s="282" t="s">
        <v>173</v>
      </c>
      <c r="E758" s="62"/>
      <c r="F758" s="62"/>
      <c r="G758" s="62"/>
      <c r="H758" s="332">
        <v>13616.423863013699</v>
      </c>
      <c r="I758" s="332">
        <v>12298.705424657535</v>
      </c>
      <c r="J758" s="332">
        <v>13616.423863013699</v>
      </c>
      <c r="K758" s="332">
        <v>13177.184383561644</v>
      </c>
      <c r="L758" s="332">
        <v>13616.423863013699</v>
      </c>
      <c r="M758" s="827">
        <v>13177.184383561644</v>
      </c>
      <c r="N758" s="827">
        <v>13495.823863013698</v>
      </c>
      <c r="O758" s="827">
        <v>13439.6238630137</v>
      </c>
      <c r="P758" s="827">
        <f>P767</f>
        <v>13038.384383561644</v>
      </c>
      <c r="Q758" s="827">
        <f>Q767</f>
        <v>13485.923863013699</v>
      </c>
      <c r="R758" s="827">
        <v>13050.884383561644</v>
      </c>
      <c r="S758" s="827"/>
      <c r="T758" s="339">
        <f>SUM(H758:S758)</f>
        <v>146012.98613698632</v>
      </c>
      <c r="U758" s="225"/>
      <c r="V758" s="225"/>
    </row>
    <row r="759" spans="1:29" hidden="1">
      <c r="A759" s="62"/>
      <c r="B759" s="62"/>
      <c r="C759" s="282" t="s">
        <v>492</v>
      </c>
      <c r="D759" s="282" t="s">
        <v>173</v>
      </c>
      <c r="E759" s="62"/>
      <c r="F759" s="62"/>
      <c r="G759" s="62"/>
      <c r="H759" s="225">
        <v>13616.423863013699</v>
      </c>
      <c r="I759" s="225">
        <v>12298.705424657535</v>
      </c>
      <c r="J759" s="225">
        <v>13616.423863013699</v>
      </c>
      <c r="K759" s="225">
        <v>13177.184383561644</v>
      </c>
      <c r="L759" s="225">
        <v>13616.423863013699</v>
      </c>
      <c r="M759" s="827">
        <v>13177.184383561644</v>
      </c>
      <c r="N759" s="827">
        <v>13616.423863013699</v>
      </c>
      <c r="O759" s="827">
        <v>13616.423863013699</v>
      </c>
      <c r="P759" s="827">
        <f>P768</f>
        <v>13177.184383561644</v>
      </c>
      <c r="Q759" s="827">
        <f>Q768</f>
        <v>13616.423863013699</v>
      </c>
      <c r="R759" s="827">
        <v>13177.184383561644</v>
      </c>
      <c r="S759" s="827"/>
      <c r="T759" s="339">
        <f>SUM(H759:S759)</f>
        <v>146705.98613698629</v>
      </c>
      <c r="U759" s="225"/>
      <c r="V759" s="225"/>
    </row>
    <row r="760" spans="1:29" hidden="1">
      <c r="A760" s="62"/>
      <c r="B760" s="62"/>
      <c r="C760" s="282" t="s">
        <v>497</v>
      </c>
      <c r="D760" s="282" t="s">
        <v>401</v>
      </c>
      <c r="E760" s="62"/>
      <c r="F760" s="62"/>
      <c r="G760" s="62"/>
      <c r="H760" s="828">
        <f>H758/H759*100</f>
        <v>100</v>
      </c>
      <c r="I760" s="828">
        <f t="shared" ref="I760:R760" si="349">I758/I759*100</f>
        <v>100</v>
      </c>
      <c r="J760" s="828">
        <f t="shared" si="349"/>
        <v>100</v>
      </c>
      <c r="K760" s="828">
        <f t="shared" si="349"/>
        <v>100</v>
      </c>
      <c r="L760" s="828">
        <f t="shared" si="349"/>
        <v>100</v>
      </c>
      <c r="M760" s="828">
        <f t="shared" si="349"/>
        <v>100</v>
      </c>
      <c r="N760" s="828">
        <f t="shared" si="349"/>
        <v>99.114304892288303</v>
      </c>
      <c r="O760" s="828">
        <f t="shared" si="349"/>
        <v>98.70156803446578</v>
      </c>
      <c r="P760" s="828">
        <f t="shared" si="349"/>
        <v>98.946664204128837</v>
      </c>
      <c r="Q760" s="828">
        <f t="shared" si="349"/>
        <v>99.041598577476151</v>
      </c>
      <c r="R760" s="828">
        <f t="shared" si="349"/>
        <v>99.041525136754132</v>
      </c>
      <c r="S760" s="828"/>
      <c r="T760" s="409">
        <f t="shared" ref="T760" si="350">T758/T759*100</f>
        <v>99.527626637298312</v>
      </c>
      <c r="U760" s="225"/>
      <c r="V760" s="225"/>
    </row>
    <row r="761" spans="1:29" hidden="1">
      <c r="A761" s="62"/>
      <c r="B761" s="62" t="s">
        <v>589</v>
      </c>
      <c r="C761" s="278" t="s">
        <v>138</v>
      </c>
      <c r="D761" s="62" t="s">
        <v>90</v>
      </c>
      <c r="E761" s="238">
        <f>'[2]Price&amp;Heating-Value'!$R$6</f>
        <v>3.6</v>
      </c>
      <c r="F761" s="62"/>
      <c r="G761" s="256">
        <f>'[2]Price&amp;Heating-Value'!$P$6</f>
        <v>2.7124999999999999</v>
      </c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>
        <f>SUM(H761:S761)</f>
        <v>0</v>
      </c>
      <c r="U761" s="225">
        <f>T761*E761</f>
        <v>0</v>
      </c>
      <c r="V761" s="225">
        <f>G761*T761</f>
        <v>0</v>
      </c>
      <c r="W761" s="227">
        <f>'[2]Price&amp;Heating-Value'!D$6</f>
        <v>2.4500000000000002</v>
      </c>
      <c r="X761" s="227">
        <f>'[2]Price&amp;Heating-Value'!E$6</f>
        <v>2.54</v>
      </c>
      <c r="Y761" s="227">
        <f>'[2]Price&amp;Heating-Value'!F$6</f>
        <v>2.58</v>
      </c>
      <c r="Z761" s="227">
        <f>'[2]Price&amp;Heating-Value'!G$6</f>
        <v>2.67</v>
      </c>
      <c r="AA761" s="227">
        <f>'[2]Price&amp;Heating-Value'!H$6</f>
        <v>2.67</v>
      </c>
      <c r="AB761" s="227">
        <f>'[2]Price&amp;Heating-Value'!I$6</f>
        <v>2.67</v>
      </c>
      <c r="AC761" s="227">
        <f>'[2]Price&amp;Heating-Value'!J$6</f>
        <v>2.62</v>
      </c>
    </row>
    <row r="762" spans="1:29" hidden="1">
      <c r="A762" s="253"/>
      <c r="B762" s="253"/>
      <c r="C762" s="278" t="s">
        <v>152</v>
      </c>
      <c r="D762" s="62" t="s">
        <v>147</v>
      </c>
      <c r="E762" s="62">
        <f>'[2]Price&amp;Heating-Value'!$R$9</f>
        <v>2803</v>
      </c>
      <c r="F762" s="62"/>
      <c r="G762" s="230">
        <f>'[2]Price&amp;Heating-Value'!$P$9</f>
        <v>1301.5833333333333</v>
      </c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277"/>
      <c r="T762" s="225">
        <f>SUM(H762:S762)</f>
        <v>0</v>
      </c>
      <c r="U762" s="225">
        <f>T762*E762</f>
        <v>0</v>
      </c>
      <c r="V762" s="225">
        <f>G762*T762</f>
        <v>0</v>
      </c>
      <c r="W762" s="232">
        <f>'[2]Price&amp;Heating-Value'!D$9</f>
        <v>1210</v>
      </c>
      <c r="X762" s="232">
        <f>'[2]Price&amp;Heating-Value'!E$9</f>
        <v>1218</v>
      </c>
      <c r="Y762" s="232">
        <f>'[2]Price&amp;Heating-Value'!F$9</f>
        <v>1207</v>
      </c>
      <c r="Z762" s="232">
        <f>'[2]Price&amp;Heating-Value'!G$9</f>
        <v>1232</v>
      </c>
      <c r="AA762" s="232">
        <f>'[2]Price&amp;Heating-Value'!H$9</f>
        <v>1352</v>
      </c>
      <c r="AB762" s="232">
        <f>'[2]Price&amp;Heating-Value'!I$9</f>
        <v>1491</v>
      </c>
      <c r="AC762" s="232">
        <f>'[2]Price&amp;Heating-Value'!J$9</f>
        <v>1588</v>
      </c>
    </row>
    <row r="763" spans="1:29" hidden="1">
      <c r="A763" s="253"/>
      <c r="B763" s="233"/>
      <c r="C763" s="234" t="s">
        <v>107</v>
      </c>
      <c r="D763" s="233" t="s">
        <v>147</v>
      </c>
      <c r="E763" s="233"/>
      <c r="F763" s="233"/>
      <c r="G763" s="253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36">
        <f>SUM(H763:S763)</f>
        <v>0</v>
      </c>
      <c r="U763" s="259"/>
      <c r="V763" s="785" t="e">
        <f>#REF!/T763</f>
        <v>#REF!</v>
      </c>
    </row>
    <row r="764" spans="1:29" hidden="1">
      <c r="A764" s="253"/>
      <c r="B764" s="253"/>
      <c r="C764" s="276"/>
      <c r="D764" s="253"/>
      <c r="E764" s="253"/>
      <c r="F764" s="253"/>
      <c r="G764" s="253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277"/>
      <c r="T764" s="277"/>
      <c r="U764" s="277"/>
      <c r="V764" s="771" t="s">
        <v>137</v>
      </c>
    </row>
    <row r="765" spans="1:29" hidden="1">
      <c r="A765" s="253"/>
      <c r="B765" s="253"/>
      <c r="C765" s="278" t="s">
        <v>138</v>
      </c>
      <c r="D765" s="253" t="s">
        <v>173</v>
      </c>
      <c r="E765" s="62"/>
      <c r="F765" s="62"/>
      <c r="G765" s="253"/>
      <c r="H765" s="277">
        <f t="shared" ref="H765:S765" si="351">H761*$E$746/1000</f>
        <v>0</v>
      </c>
      <c r="I765" s="277">
        <f t="shared" si="351"/>
        <v>0</v>
      </c>
      <c r="J765" s="277">
        <f t="shared" si="351"/>
        <v>0</v>
      </c>
      <c r="K765" s="277">
        <f t="shared" si="351"/>
        <v>0</v>
      </c>
      <c r="L765" s="277">
        <f t="shared" si="351"/>
        <v>0</v>
      </c>
      <c r="M765" s="277">
        <f t="shared" si="351"/>
        <v>0</v>
      </c>
      <c r="N765" s="277">
        <f t="shared" si="351"/>
        <v>0</v>
      </c>
      <c r="O765" s="277">
        <f t="shared" si="351"/>
        <v>0</v>
      </c>
      <c r="P765" s="277">
        <f t="shared" si="351"/>
        <v>0</v>
      </c>
      <c r="Q765" s="277">
        <f t="shared" si="351"/>
        <v>0</v>
      </c>
      <c r="R765" s="277">
        <f t="shared" si="351"/>
        <v>0</v>
      </c>
      <c r="S765" s="277">
        <f t="shared" si="351"/>
        <v>0</v>
      </c>
      <c r="T765" s="277">
        <f>SUM(H765:S765)</f>
        <v>0</v>
      </c>
      <c r="U765" s="277"/>
      <c r="V765" s="277"/>
    </row>
    <row r="766" spans="1:29" hidden="1">
      <c r="A766" s="253"/>
      <c r="B766" s="253"/>
      <c r="C766" s="278" t="s">
        <v>152</v>
      </c>
      <c r="D766" s="253" t="s">
        <v>173</v>
      </c>
      <c r="E766" s="62"/>
      <c r="F766" s="62"/>
      <c r="G766" s="253"/>
      <c r="H766" s="277">
        <f t="shared" ref="H766:S766" si="352">H762*$E$747/1000</f>
        <v>0</v>
      </c>
      <c r="I766" s="277">
        <f t="shared" si="352"/>
        <v>0</v>
      </c>
      <c r="J766" s="277">
        <f t="shared" si="352"/>
        <v>0</v>
      </c>
      <c r="K766" s="277">
        <f t="shared" si="352"/>
        <v>0</v>
      </c>
      <c r="L766" s="277">
        <f t="shared" si="352"/>
        <v>0</v>
      </c>
      <c r="M766" s="277">
        <f t="shared" si="352"/>
        <v>0</v>
      </c>
      <c r="N766" s="277">
        <f t="shared" si="352"/>
        <v>0</v>
      </c>
      <c r="O766" s="277">
        <f t="shared" si="352"/>
        <v>0</v>
      </c>
      <c r="P766" s="277">
        <f t="shared" si="352"/>
        <v>0</v>
      </c>
      <c r="Q766" s="277">
        <f t="shared" si="352"/>
        <v>0</v>
      </c>
      <c r="R766" s="277">
        <f t="shared" si="352"/>
        <v>0</v>
      </c>
      <c r="S766" s="277">
        <f t="shared" si="352"/>
        <v>0</v>
      </c>
      <c r="T766" s="277">
        <f>SUM(H766:S766)</f>
        <v>0</v>
      </c>
      <c r="U766" s="277"/>
      <c r="V766" s="277"/>
    </row>
    <row r="767" spans="1:29" hidden="1">
      <c r="A767" s="253"/>
      <c r="B767" s="62"/>
      <c r="C767" s="237" t="s">
        <v>594</v>
      </c>
      <c r="D767" s="62" t="s">
        <v>173</v>
      </c>
      <c r="E767" s="253"/>
      <c r="F767" s="253"/>
      <c r="G767" s="253"/>
      <c r="H767" s="332">
        <v>13616.423863013699</v>
      </c>
      <c r="I767" s="332">
        <v>12298.705424657535</v>
      </c>
      <c r="J767" s="332">
        <v>13616.423863013699</v>
      </c>
      <c r="K767" s="332">
        <v>13177.184383561644</v>
      </c>
      <c r="L767" s="332">
        <v>13616.423863013699</v>
      </c>
      <c r="M767" s="332">
        <v>13177.184383561644</v>
      </c>
      <c r="N767" s="827">
        <v>13495.823863013698</v>
      </c>
      <c r="O767" s="827">
        <v>13439.6238630137</v>
      </c>
      <c r="P767" s="827">
        <v>13038.384383561644</v>
      </c>
      <c r="Q767" s="332">
        <v>13485.923863013699</v>
      </c>
      <c r="R767" s="827">
        <v>13050.884383561644</v>
      </c>
      <c r="S767" s="829">
        <v>13495.823863013698</v>
      </c>
      <c r="T767" s="277">
        <f>SUM(H767:S767)</f>
        <v>159508.81000000003</v>
      </c>
      <c r="U767" s="277"/>
      <c r="V767" s="786" t="e">
        <f>#REF!/T767</f>
        <v>#REF!</v>
      </c>
    </row>
    <row r="768" spans="1:29" hidden="1">
      <c r="A768" s="253"/>
      <c r="B768" s="62"/>
      <c r="C768" s="237" t="s">
        <v>345</v>
      </c>
      <c r="D768" s="62" t="s">
        <v>173</v>
      </c>
      <c r="E768" s="1771" t="s">
        <v>595</v>
      </c>
      <c r="F768" s="1773"/>
      <c r="G768" s="253"/>
      <c r="H768" s="225">
        <v>13616.423863013699</v>
      </c>
      <c r="I768" s="225">
        <v>12298.705424657535</v>
      </c>
      <c r="J768" s="225">
        <v>13616.423863013699</v>
      </c>
      <c r="K768" s="225">
        <v>13177.184383561644</v>
      </c>
      <c r="L768" s="225">
        <v>13616.423863013699</v>
      </c>
      <c r="M768" s="225">
        <v>13177.184383561644</v>
      </c>
      <c r="N768" s="827">
        <v>13616.423863013699</v>
      </c>
      <c r="O768" s="827">
        <v>13616.423863013699</v>
      </c>
      <c r="P768" s="827">
        <v>13177.184383561644</v>
      </c>
      <c r="Q768" s="225">
        <v>13616.423863013699</v>
      </c>
      <c r="R768" s="827">
        <v>13177.184383561644</v>
      </c>
      <c r="S768" s="829">
        <v>13616.423863013699</v>
      </c>
      <c r="T768" s="277">
        <f>SUM(H768:S768)</f>
        <v>160322.41</v>
      </c>
      <c r="U768" s="225"/>
      <c r="V768" s="271" t="s">
        <v>158</v>
      </c>
    </row>
    <row r="769" spans="1:29" hidden="1">
      <c r="A769" s="253"/>
      <c r="B769" s="243" t="s">
        <v>174</v>
      </c>
      <c r="C769" s="244" t="s">
        <v>138</v>
      </c>
      <c r="D769" s="243" t="s">
        <v>394</v>
      </c>
      <c r="E769" s="243"/>
      <c r="F769" s="243"/>
      <c r="G769" s="253"/>
      <c r="H769" s="245" t="e">
        <f t="shared" ref="H769:S770" si="353">H765/H$763*1000</f>
        <v>#DIV/0!</v>
      </c>
      <c r="I769" s="245" t="e">
        <f t="shared" si="353"/>
        <v>#DIV/0!</v>
      </c>
      <c r="J769" s="245" t="e">
        <f t="shared" si="353"/>
        <v>#DIV/0!</v>
      </c>
      <c r="K769" s="245" t="e">
        <f t="shared" si="353"/>
        <v>#DIV/0!</v>
      </c>
      <c r="L769" s="245" t="e">
        <f t="shared" si="353"/>
        <v>#DIV/0!</v>
      </c>
      <c r="M769" s="245" t="e">
        <f t="shared" si="353"/>
        <v>#DIV/0!</v>
      </c>
      <c r="N769" s="245" t="e">
        <f t="shared" si="353"/>
        <v>#DIV/0!</v>
      </c>
      <c r="O769" s="245" t="e">
        <f t="shared" si="353"/>
        <v>#DIV/0!</v>
      </c>
      <c r="P769" s="245" t="e">
        <f t="shared" si="353"/>
        <v>#DIV/0!</v>
      </c>
      <c r="Q769" s="245" t="e">
        <f t="shared" si="353"/>
        <v>#DIV/0!</v>
      </c>
      <c r="R769" s="245" t="e">
        <f t="shared" si="353"/>
        <v>#DIV/0!</v>
      </c>
      <c r="S769" s="245" t="e">
        <f t="shared" si="353"/>
        <v>#DIV/0!</v>
      </c>
      <c r="T769" s="245" t="e">
        <f>T765/T$748*1000</f>
        <v>#DIV/0!</v>
      </c>
      <c r="U769" s="246"/>
      <c r="V769" s="246"/>
    </row>
    <row r="770" spans="1:29" hidden="1">
      <c r="A770" s="253"/>
      <c r="B770" s="243"/>
      <c r="C770" s="244" t="s">
        <v>152</v>
      </c>
      <c r="D770" s="243" t="s">
        <v>394</v>
      </c>
      <c r="E770" s="243"/>
      <c r="F770" s="243"/>
      <c r="G770" s="253"/>
      <c r="H770" s="245" t="e">
        <f t="shared" si="353"/>
        <v>#DIV/0!</v>
      </c>
      <c r="I770" s="245" t="e">
        <f t="shared" si="353"/>
        <v>#DIV/0!</v>
      </c>
      <c r="J770" s="245" t="e">
        <f t="shared" si="353"/>
        <v>#DIV/0!</v>
      </c>
      <c r="K770" s="245" t="e">
        <f t="shared" si="353"/>
        <v>#DIV/0!</v>
      </c>
      <c r="L770" s="245" t="e">
        <f t="shared" si="353"/>
        <v>#DIV/0!</v>
      </c>
      <c r="M770" s="245" t="e">
        <f t="shared" si="353"/>
        <v>#DIV/0!</v>
      </c>
      <c r="N770" s="245" t="e">
        <f t="shared" si="353"/>
        <v>#DIV/0!</v>
      </c>
      <c r="O770" s="245" t="e">
        <f t="shared" si="353"/>
        <v>#DIV/0!</v>
      </c>
      <c r="P770" s="245" t="e">
        <f t="shared" si="353"/>
        <v>#DIV/0!</v>
      </c>
      <c r="Q770" s="245" t="e">
        <f t="shared" si="353"/>
        <v>#DIV/0!</v>
      </c>
      <c r="R770" s="245" t="e">
        <f t="shared" si="353"/>
        <v>#DIV/0!</v>
      </c>
      <c r="S770" s="245" t="e">
        <f t="shared" si="353"/>
        <v>#DIV/0!</v>
      </c>
      <c r="T770" s="245" t="e">
        <f>T766/T$748*1000</f>
        <v>#DIV/0!</v>
      </c>
      <c r="U770" s="246"/>
      <c r="V770" s="246"/>
    </row>
    <row r="771" spans="1:29" ht="23.25" hidden="1">
      <c r="A771" s="253"/>
      <c r="B771" s="243"/>
      <c r="C771" s="249" t="s">
        <v>596</v>
      </c>
      <c r="D771" s="243" t="s">
        <v>394</v>
      </c>
      <c r="E771" s="243"/>
      <c r="F771" s="243"/>
      <c r="G771" s="253"/>
      <c r="H771" s="245" t="e">
        <f t="shared" ref="H771:S771" si="354">H769+H770</f>
        <v>#DIV/0!</v>
      </c>
      <c r="I771" s="245" t="e">
        <f t="shared" si="354"/>
        <v>#DIV/0!</v>
      </c>
      <c r="J771" s="245" t="e">
        <f t="shared" si="354"/>
        <v>#DIV/0!</v>
      </c>
      <c r="K771" s="245" t="e">
        <f t="shared" si="354"/>
        <v>#DIV/0!</v>
      </c>
      <c r="L771" s="245" t="e">
        <f t="shared" si="354"/>
        <v>#DIV/0!</v>
      </c>
      <c r="M771" s="245" t="e">
        <f t="shared" si="354"/>
        <v>#DIV/0!</v>
      </c>
      <c r="N771" s="245" t="e">
        <f t="shared" si="354"/>
        <v>#DIV/0!</v>
      </c>
      <c r="O771" s="245" t="e">
        <f t="shared" si="354"/>
        <v>#DIV/0!</v>
      </c>
      <c r="P771" s="245" t="e">
        <f t="shared" si="354"/>
        <v>#DIV/0!</v>
      </c>
      <c r="Q771" s="245" t="e">
        <f t="shared" si="354"/>
        <v>#DIV/0!</v>
      </c>
      <c r="R771" s="245" t="e">
        <f t="shared" si="354"/>
        <v>#DIV/0!</v>
      </c>
      <c r="S771" s="245" t="e">
        <f t="shared" si="354"/>
        <v>#DIV/0!</v>
      </c>
      <c r="T771" s="250" t="e">
        <f>T767/T763*1000</f>
        <v>#DIV/0!</v>
      </c>
      <c r="U771" s="246"/>
      <c r="V771" s="246"/>
    </row>
    <row r="772" spans="1:29" hidden="1">
      <c r="A772" s="253"/>
      <c r="B772" s="243"/>
      <c r="C772" s="249" t="s">
        <v>597</v>
      </c>
      <c r="D772" s="243"/>
      <c r="E772" s="243"/>
      <c r="F772" s="243"/>
      <c r="G772" s="253"/>
      <c r="H772" s="251">
        <f t="shared" ref="H772:S772" si="355">H767/H768*100</f>
        <v>100</v>
      </c>
      <c r="I772" s="251">
        <f t="shared" si="355"/>
        <v>100</v>
      </c>
      <c r="J772" s="251">
        <f t="shared" si="355"/>
        <v>100</v>
      </c>
      <c r="K772" s="251">
        <f t="shared" si="355"/>
        <v>100</v>
      </c>
      <c r="L772" s="251">
        <f t="shared" si="355"/>
        <v>100</v>
      </c>
      <c r="M772" s="251">
        <f t="shared" si="355"/>
        <v>100</v>
      </c>
      <c r="N772" s="251">
        <f t="shared" si="355"/>
        <v>99.114304892288303</v>
      </c>
      <c r="O772" s="251">
        <f t="shared" si="355"/>
        <v>98.70156803446578</v>
      </c>
      <c r="P772" s="251">
        <f t="shared" si="355"/>
        <v>98.946664204128837</v>
      </c>
      <c r="Q772" s="251">
        <f t="shared" si="355"/>
        <v>99.041598577476151</v>
      </c>
      <c r="R772" s="251">
        <f t="shared" si="355"/>
        <v>99.041525136754132</v>
      </c>
      <c r="S772" s="251">
        <f t="shared" si="355"/>
        <v>99.114304892288303</v>
      </c>
      <c r="T772" s="251">
        <f>T767/T768*100</f>
        <v>99.492522598681006</v>
      </c>
      <c r="U772" s="246"/>
      <c r="V772" s="246"/>
    </row>
    <row r="773" spans="1:29" hidden="1">
      <c r="A773" s="62">
        <v>26</v>
      </c>
      <c r="B773" s="361" t="s">
        <v>590</v>
      </c>
      <c r="C773" s="282" t="s">
        <v>398</v>
      </c>
      <c r="D773" s="282" t="s">
        <v>173</v>
      </c>
      <c r="E773" s="62"/>
      <c r="F773" s="62"/>
      <c r="G773" s="62"/>
      <c r="H773" s="410"/>
      <c r="I773" s="410"/>
      <c r="J773" s="410"/>
      <c r="K773" s="409"/>
      <c r="L773" s="409"/>
      <c r="M773" s="277"/>
      <c r="N773" s="409"/>
      <c r="O773" s="409"/>
      <c r="P773" s="409"/>
      <c r="Q773" s="409"/>
      <c r="R773" s="409"/>
      <c r="S773" s="409"/>
      <c r="T773" s="339">
        <f>SUM(H773:S773)</f>
        <v>0</v>
      </c>
      <c r="U773" s="225"/>
      <c r="V773" s="225"/>
    </row>
    <row r="774" spans="1:29" hidden="1">
      <c r="A774" s="62"/>
      <c r="B774" s="62"/>
      <c r="C774" s="282" t="s">
        <v>492</v>
      </c>
      <c r="D774" s="282" t="s">
        <v>173</v>
      </c>
      <c r="E774" s="62"/>
      <c r="F774" s="62"/>
      <c r="G774" s="62"/>
      <c r="H774" s="410"/>
      <c r="I774" s="410"/>
      <c r="J774" s="410"/>
      <c r="K774" s="409"/>
      <c r="L774" s="409"/>
      <c r="M774" s="409"/>
      <c r="N774" s="409"/>
      <c r="O774" s="409"/>
      <c r="P774" s="409"/>
      <c r="Q774" s="409"/>
      <c r="R774" s="409"/>
      <c r="S774" s="409"/>
      <c r="T774" s="339">
        <f>SUM(H774:S774)</f>
        <v>0</v>
      </c>
      <c r="U774" s="225"/>
      <c r="V774" s="225"/>
    </row>
    <row r="775" spans="1:29" hidden="1">
      <c r="A775" s="62"/>
      <c r="B775" s="62"/>
      <c r="C775" s="282" t="s">
        <v>497</v>
      </c>
      <c r="D775" s="282" t="s">
        <v>401</v>
      </c>
      <c r="E775" s="62"/>
      <c r="F775" s="62"/>
      <c r="G775" s="62"/>
      <c r="H775" s="410" t="e">
        <f>H773/H774*100</f>
        <v>#DIV/0!</v>
      </c>
      <c r="I775" s="410" t="e">
        <f t="shared" ref="I775:T775" si="356">I773/I774*100</f>
        <v>#DIV/0!</v>
      </c>
      <c r="J775" s="410" t="e">
        <f t="shared" si="356"/>
        <v>#DIV/0!</v>
      </c>
      <c r="K775" s="410" t="e">
        <f t="shared" si="356"/>
        <v>#DIV/0!</v>
      </c>
      <c r="L775" s="410" t="e">
        <f t="shared" si="356"/>
        <v>#DIV/0!</v>
      </c>
      <c r="M775" s="410" t="e">
        <f t="shared" si="356"/>
        <v>#DIV/0!</v>
      </c>
      <c r="N775" s="410" t="e">
        <f t="shared" si="356"/>
        <v>#DIV/0!</v>
      </c>
      <c r="O775" s="410" t="e">
        <f t="shared" si="356"/>
        <v>#DIV/0!</v>
      </c>
      <c r="P775" s="410" t="e">
        <f t="shared" si="356"/>
        <v>#DIV/0!</v>
      </c>
      <c r="Q775" s="410" t="e">
        <f t="shared" si="356"/>
        <v>#DIV/0!</v>
      </c>
      <c r="R775" s="410" t="e">
        <f t="shared" si="356"/>
        <v>#DIV/0!</v>
      </c>
      <c r="S775" s="410" t="e">
        <f t="shared" si="356"/>
        <v>#DIV/0!</v>
      </c>
      <c r="T775" s="409" t="e">
        <f t="shared" si="356"/>
        <v>#DIV/0!</v>
      </c>
      <c r="U775" s="225"/>
      <c r="V775" s="225"/>
    </row>
    <row r="776" spans="1:29" hidden="1">
      <c r="A776" s="62"/>
      <c r="B776" s="62" t="s">
        <v>590</v>
      </c>
      <c r="C776" s="278" t="s">
        <v>138</v>
      </c>
      <c r="D776" s="62" t="s">
        <v>90</v>
      </c>
      <c r="E776" s="238">
        <f>'[2]Price&amp;Heating-Value'!$R$6</f>
        <v>3.6</v>
      </c>
      <c r="F776" s="62"/>
      <c r="G776" s="256">
        <f>'[2]Price&amp;Heating-Value'!$P$6</f>
        <v>2.7124999999999999</v>
      </c>
      <c r="H776" s="351">
        <v>695587</v>
      </c>
      <c r="I776" s="351">
        <v>655876</v>
      </c>
      <c r="J776" s="225">
        <v>727550.36363636318</v>
      </c>
      <c r="K776" s="225">
        <v>668565</v>
      </c>
      <c r="L776" s="225"/>
      <c r="M776" s="225"/>
      <c r="N776" s="225"/>
      <c r="O776" s="225"/>
      <c r="P776" s="225"/>
      <c r="Q776" s="225"/>
      <c r="R776" s="225"/>
      <c r="S776" s="225"/>
      <c r="T776" s="225">
        <f>SUM(H776:S776)</f>
        <v>2747578.3636363633</v>
      </c>
      <c r="U776" s="225">
        <f>T776*E776</f>
        <v>9891282.1090909075</v>
      </c>
      <c r="V776" s="225">
        <f>G776*T776</f>
        <v>7452806.3113636356</v>
      </c>
      <c r="W776" s="227">
        <f>'[2]Price&amp;Heating-Value'!D$6</f>
        <v>2.4500000000000002</v>
      </c>
      <c r="X776" s="227">
        <f>'[2]Price&amp;Heating-Value'!E$6</f>
        <v>2.54</v>
      </c>
      <c r="Y776" s="227">
        <f>'[2]Price&amp;Heating-Value'!F$6</f>
        <v>2.58</v>
      </c>
      <c r="Z776" s="227">
        <f>'[2]Price&amp;Heating-Value'!G$6</f>
        <v>2.67</v>
      </c>
      <c r="AA776" s="227">
        <f>'[2]Price&amp;Heating-Value'!H$6</f>
        <v>2.67</v>
      </c>
      <c r="AB776" s="227">
        <f>'[2]Price&amp;Heating-Value'!I$6</f>
        <v>2.67</v>
      </c>
      <c r="AC776" s="227">
        <f>'[2]Price&amp;Heating-Value'!J$6</f>
        <v>2.62</v>
      </c>
    </row>
    <row r="777" spans="1:29" hidden="1">
      <c r="A777" s="253"/>
      <c r="B777" s="253"/>
      <c r="C777" s="278" t="s">
        <v>152</v>
      </c>
      <c r="D777" s="62" t="s">
        <v>147</v>
      </c>
      <c r="E777" s="62">
        <f>'[2]Price&amp;Heating-Value'!$R$9</f>
        <v>2803</v>
      </c>
      <c r="F777" s="62"/>
      <c r="G777" s="230">
        <f>'[2]Price&amp;Heating-Value'!$P$9</f>
        <v>1301.5833333333333</v>
      </c>
      <c r="H777" s="830">
        <v>4132.92</v>
      </c>
      <c r="I777" s="830">
        <v>3732.96</v>
      </c>
      <c r="J777" s="447">
        <v>4132.92</v>
      </c>
      <c r="K777" s="447">
        <v>3999.6</v>
      </c>
      <c r="L777" s="447"/>
      <c r="M777" s="447"/>
      <c r="N777" s="447"/>
      <c r="O777" s="277"/>
      <c r="P777" s="277"/>
      <c r="Q777" s="277"/>
      <c r="R777" s="277"/>
      <c r="S777" s="277"/>
      <c r="T777" s="225">
        <f>SUM(H777:S777)</f>
        <v>15998.4</v>
      </c>
      <c r="U777" s="225">
        <f>T777*E777</f>
        <v>44843515.199999996</v>
      </c>
      <c r="V777" s="225">
        <f>G777*T777</f>
        <v>20823250.799999997</v>
      </c>
      <c r="W777" s="232">
        <f>'[2]Price&amp;Heating-Value'!D$9</f>
        <v>1210</v>
      </c>
      <c r="X777" s="232">
        <f>'[2]Price&amp;Heating-Value'!E$9</f>
        <v>1218</v>
      </c>
      <c r="Y777" s="232">
        <f>'[2]Price&amp;Heating-Value'!F$9</f>
        <v>1207</v>
      </c>
      <c r="Z777" s="232">
        <f>'[2]Price&amp;Heating-Value'!G$9</f>
        <v>1232</v>
      </c>
      <c r="AA777" s="232">
        <f>'[2]Price&amp;Heating-Value'!H$9</f>
        <v>1352</v>
      </c>
      <c r="AB777" s="232">
        <f>'[2]Price&amp;Heating-Value'!I$9</f>
        <v>1491</v>
      </c>
      <c r="AC777" s="232">
        <f>'[2]Price&amp;Heating-Value'!J$9</f>
        <v>1588</v>
      </c>
    </row>
    <row r="778" spans="1:29" hidden="1">
      <c r="A778" s="253"/>
      <c r="B778" s="233"/>
      <c r="C778" s="234" t="s">
        <v>598</v>
      </c>
      <c r="D778" s="233" t="s">
        <v>147</v>
      </c>
      <c r="E778" s="233"/>
      <c r="F778" s="233"/>
      <c r="G778" s="253"/>
      <c r="H778" s="787">
        <v>528386</v>
      </c>
      <c r="I778" s="787">
        <v>517553</v>
      </c>
      <c r="J778" s="787">
        <v>584455</v>
      </c>
      <c r="K778" s="264">
        <v>476034</v>
      </c>
      <c r="L778" s="264"/>
      <c r="M778" s="264"/>
      <c r="N778" s="264"/>
      <c r="O778" s="264"/>
      <c r="P778" s="264"/>
      <c r="Q778" s="264"/>
      <c r="R778" s="264"/>
      <c r="S778" s="264"/>
      <c r="T778" s="236">
        <f>SUM(H778:S778)</f>
        <v>2106428</v>
      </c>
      <c r="U778" s="259"/>
      <c r="V778" s="785" t="e">
        <f>#REF!/T778</f>
        <v>#REF!</v>
      </c>
    </row>
    <row r="779" spans="1:29" hidden="1">
      <c r="A779" s="253"/>
      <c r="B779" s="253"/>
      <c r="C779" s="276"/>
      <c r="D779" s="253"/>
      <c r="E779" s="253"/>
      <c r="F779" s="253"/>
      <c r="G779" s="253"/>
      <c r="H779" s="277"/>
      <c r="I779" s="277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  <c r="T779" s="277"/>
      <c r="U779" s="277"/>
      <c r="V779" s="771" t="s">
        <v>137</v>
      </c>
    </row>
    <row r="780" spans="1:29" hidden="1">
      <c r="A780" s="253"/>
      <c r="B780" s="253"/>
      <c r="C780" s="278" t="s">
        <v>138</v>
      </c>
      <c r="D780" s="253" t="s">
        <v>173</v>
      </c>
      <c r="E780" s="62"/>
      <c r="F780" s="62"/>
      <c r="G780" s="253"/>
      <c r="H780" s="277">
        <f>H776*$E776/1000</f>
        <v>2504.1132000000002</v>
      </c>
      <c r="I780" s="277">
        <f t="shared" ref="I780:K781" si="357">I776*$E776/1000</f>
        <v>2361.1536000000001</v>
      </c>
      <c r="J780" s="277">
        <f t="shared" si="357"/>
        <v>2619.1813090909077</v>
      </c>
      <c r="K780" s="277">
        <f t="shared" si="357"/>
        <v>2406.8339999999998</v>
      </c>
      <c r="L780" s="277"/>
      <c r="M780" s="277"/>
      <c r="N780" s="277"/>
      <c r="O780" s="277"/>
      <c r="P780" s="277"/>
      <c r="Q780" s="277"/>
      <c r="R780" s="277"/>
      <c r="S780" s="277"/>
      <c r="T780" s="277">
        <f>SUM(H780:S780)</f>
        <v>9891.2821090909092</v>
      </c>
      <c r="U780" s="277"/>
      <c r="V780" s="277"/>
    </row>
    <row r="781" spans="1:29" hidden="1">
      <c r="A781" s="253"/>
      <c r="B781" s="253"/>
      <c r="C781" s="278" t="s">
        <v>152</v>
      </c>
      <c r="D781" s="253" t="s">
        <v>173</v>
      </c>
      <c r="E781" s="62"/>
      <c r="F781" s="62"/>
      <c r="G781" s="253"/>
      <c r="H781" s="277">
        <f>H777*$E777/1000</f>
        <v>11584.57476</v>
      </c>
      <c r="I781" s="277">
        <f t="shared" si="357"/>
        <v>10463.48688</v>
      </c>
      <c r="J781" s="277">
        <f t="shared" si="357"/>
        <v>11584.57476</v>
      </c>
      <c r="K781" s="277">
        <f t="shared" si="357"/>
        <v>11210.878799999999</v>
      </c>
      <c r="L781" s="277"/>
      <c r="M781" s="277"/>
      <c r="N781" s="277"/>
      <c r="O781" s="277"/>
      <c r="P781" s="277"/>
      <c r="Q781" s="277"/>
      <c r="R781" s="277"/>
      <c r="S781" s="277"/>
      <c r="T781" s="277">
        <f>SUM(H781:S781)</f>
        <v>44843.515200000002</v>
      </c>
      <c r="U781" s="277"/>
      <c r="V781" s="277"/>
    </row>
    <row r="782" spans="1:29" hidden="1">
      <c r="A782" s="253"/>
      <c r="B782" s="62"/>
      <c r="C782" s="237" t="s">
        <v>599</v>
      </c>
      <c r="D782" s="62" t="s">
        <v>173</v>
      </c>
      <c r="E782" s="253" t="s">
        <v>344</v>
      </c>
      <c r="F782" s="253"/>
      <c r="G782" s="253"/>
      <c r="H782" s="277">
        <v>14088.687959999999</v>
      </c>
      <c r="I782" s="277">
        <v>12824.64048</v>
      </c>
      <c r="J782" s="277">
        <v>14203.756069090907</v>
      </c>
      <c r="K782" s="277">
        <v>13617.712799999998</v>
      </c>
      <c r="L782" s="277">
        <v>13617.712799999998</v>
      </c>
      <c r="M782" s="277">
        <v>13701.394799999998</v>
      </c>
      <c r="N782" s="277">
        <v>14267.86716</v>
      </c>
      <c r="O782" s="277">
        <v>14205.187559999998</v>
      </c>
      <c r="P782" s="277">
        <v>13701.394799999998</v>
      </c>
      <c r="Q782" s="277">
        <v>14289.62916</v>
      </c>
      <c r="R782" s="277">
        <v>13684.914000000001</v>
      </c>
      <c r="S782" s="277">
        <v>14236.38876</v>
      </c>
      <c r="T782" s="277">
        <f>SUM(H782:S782)</f>
        <v>166439.28634909086</v>
      </c>
      <c r="U782" s="277"/>
      <c r="V782" s="786" t="e">
        <f>#REF!/T782</f>
        <v>#REF!</v>
      </c>
    </row>
    <row r="783" spans="1:29" hidden="1">
      <c r="A783" s="253"/>
      <c r="B783" s="62"/>
      <c r="C783" s="237" t="s">
        <v>345</v>
      </c>
      <c r="D783" s="62" t="s">
        <v>173</v>
      </c>
      <c r="E783" s="62">
        <v>4.7908066889462879E-3</v>
      </c>
      <c r="F783" s="62" t="s">
        <v>347</v>
      </c>
      <c r="G783" s="383"/>
      <c r="H783" s="831">
        <v>14115.969940000001</v>
      </c>
      <c r="I783" s="831">
        <v>12942.983249999999</v>
      </c>
      <c r="J783" s="831">
        <v>14384.58568</v>
      </c>
      <c r="K783" s="831">
        <v>13491.46567</v>
      </c>
      <c r="L783" s="831">
        <v>13491.46567</v>
      </c>
      <c r="M783" s="831">
        <v>14178.309253940019</v>
      </c>
      <c r="N783" s="831">
        <v>14275.475061047351</v>
      </c>
      <c r="O783" s="831">
        <v>14179.807442275782</v>
      </c>
      <c r="P783" s="831">
        <v>14178.309253940019</v>
      </c>
      <c r="Q783" s="831">
        <v>14193.264818264999</v>
      </c>
      <c r="R783" s="831">
        <v>13882.750016878899</v>
      </c>
      <c r="S783" s="831">
        <v>14451.240176851412</v>
      </c>
      <c r="T783" s="277">
        <f>SUM(H783:S783)</f>
        <v>167765.62623319851</v>
      </c>
      <c r="U783" s="225"/>
      <c r="V783" s="271" t="s">
        <v>158</v>
      </c>
    </row>
    <row r="784" spans="1:29" hidden="1">
      <c r="A784" s="253"/>
      <c r="B784" s="243" t="s">
        <v>174</v>
      </c>
      <c r="C784" s="244" t="s">
        <v>138</v>
      </c>
      <c r="D784" s="243" t="s">
        <v>394</v>
      </c>
      <c r="E784" s="243"/>
      <c r="F784" s="243"/>
      <c r="G784" s="253"/>
      <c r="H784" s="345">
        <f t="shared" ref="H784:S785" si="358">H780/H$778*1000</f>
        <v>4.7391740129375117</v>
      </c>
      <c r="I784" s="245">
        <f t="shared" si="358"/>
        <v>4.56214841764998</v>
      </c>
      <c r="J784" s="245">
        <f t="shared" si="358"/>
        <v>4.481407993927518</v>
      </c>
      <c r="K784" s="245">
        <f t="shared" si="358"/>
        <v>5.0560128058079883</v>
      </c>
      <c r="L784" s="245" t="e">
        <f t="shared" si="358"/>
        <v>#DIV/0!</v>
      </c>
      <c r="M784" s="245" t="e">
        <f t="shared" si="358"/>
        <v>#DIV/0!</v>
      </c>
      <c r="N784" s="245" t="e">
        <f t="shared" si="358"/>
        <v>#DIV/0!</v>
      </c>
      <c r="O784" s="245" t="e">
        <f t="shared" si="358"/>
        <v>#DIV/0!</v>
      </c>
      <c r="P784" s="245" t="e">
        <f t="shared" si="358"/>
        <v>#DIV/0!</v>
      </c>
      <c r="Q784" s="245" t="e">
        <f t="shared" si="358"/>
        <v>#DIV/0!</v>
      </c>
      <c r="R784" s="245" t="e">
        <f t="shared" si="358"/>
        <v>#DIV/0!</v>
      </c>
      <c r="S784" s="245" t="e">
        <f t="shared" si="358"/>
        <v>#DIV/0!</v>
      </c>
      <c r="T784" s="245" t="e">
        <f>T780/T$748*1000</f>
        <v>#DIV/0!</v>
      </c>
      <c r="U784" s="246"/>
      <c r="V784" s="246"/>
    </row>
    <row r="785" spans="1:23" hidden="1">
      <c r="A785" s="253"/>
      <c r="B785" s="243"/>
      <c r="C785" s="244" t="s">
        <v>152</v>
      </c>
      <c r="D785" s="243" t="s">
        <v>394</v>
      </c>
      <c r="E785" s="243"/>
      <c r="F785" s="243"/>
      <c r="G785" s="253"/>
      <c r="H785" s="245">
        <f t="shared" si="358"/>
        <v>21.924454395082382</v>
      </c>
      <c r="I785" s="245">
        <f t="shared" si="358"/>
        <v>20.21722776218088</v>
      </c>
      <c r="J785" s="245">
        <f t="shared" si="358"/>
        <v>19.821157762359803</v>
      </c>
      <c r="K785" s="245">
        <f t="shared" si="358"/>
        <v>23.550584201968764</v>
      </c>
      <c r="L785" s="245" t="e">
        <f t="shared" si="358"/>
        <v>#DIV/0!</v>
      </c>
      <c r="M785" s="245" t="e">
        <f t="shared" si="358"/>
        <v>#DIV/0!</v>
      </c>
      <c r="N785" s="245" t="e">
        <f t="shared" si="358"/>
        <v>#DIV/0!</v>
      </c>
      <c r="O785" s="245" t="e">
        <f t="shared" si="358"/>
        <v>#DIV/0!</v>
      </c>
      <c r="P785" s="245" t="e">
        <f t="shared" si="358"/>
        <v>#DIV/0!</v>
      </c>
      <c r="Q785" s="245" t="e">
        <f t="shared" si="358"/>
        <v>#DIV/0!</v>
      </c>
      <c r="R785" s="245" t="e">
        <f t="shared" si="358"/>
        <v>#DIV/0!</v>
      </c>
      <c r="S785" s="245" t="e">
        <f t="shared" si="358"/>
        <v>#DIV/0!</v>
      </c>
      <c r="T785" s="245" t="e">
        <f>T781/T$748*1000</f>
        <v>#DIV/0!</v>
      </c>
      <c r="U785" s="246"/>
      <c r="V785" s="246"/>
    </row>
    <row r="786" spans="1:23" ht="23.25" hidden="1">
      <c r="A786" s="253"/>
      <c r="B786" s="243"/>
      <c r="C786" s="249" t="s">
        <v>600</v>
      </c>
      <c r="D786" s="243" t="s">
        <v>394</v>
      </c>
      <c r="E786" s="243"/>
      <c r="F786" s="243"/>
      <c r="G786" s="253"/>
      <c r="H786" s="245">
        <f t="shared" ref="H786:M786" si="359">SUM(H784:H785)</f>
        <v>26.663628408019893</v>
      </c>
      <c r="I786" s="245">
        <f t="shared" si="359"/>
        <v>24.779376179830859</v>
      </c>
      <c r="J786" s="245">
        <f t="shared" si="359"/>
        <v>24.302565756287322</v>
      </c>
      <c r="K786" s="245">
        <f t="shared" si="359"/>
        <v>28.606597007776752</v>
      </c>
      <c r="L786" s="245" t="e">
        <f t="shared" si="359"/>
        <v>#DIV/0!</v>
      </c>
      <c r="M786" s="245" t="e">
        <f t="shared" si="359"/>
        <v>#DIV/0!</v>
      </c>
      <c r="N786" s="245" t="e">
        <f t="shared" ref="N786:S786" si="360">SUM(N784:N785)</f>
        <v>#DIV/0!</v>
      </c>
      <c r="O786" s="245" t="e">
        <f t="shared" si="360"/>
        <v>#DIV/0!</v>
      </c>
      <c r="P786" s="245" t="e">
        <f t="shared" si="360"/>
        <v>#DIV/0!</v>
      </c>
      <c r="Q786" s="245" t="e">
        <f t="shared" si="360"/>
        <v>#DIV/0!</v>
      </c>
      <c r="R786" s="245" t="e">
        <f t="shared" si="360"/>
        <v>#DIV/0!</v>
      </c>
      <c r="S786" s="245" t="e">
        <f t="shared" si="360"/>
        <v>#DIV/0!</v>
      </c>
      <c r="T786" s="250">
        <f>T782/T778*1000</f>
        <v>79.014942048382792</v>
      </c>
      <c r="U786" s="246"/>
      <c r="V786" s="246"/>
    </row>
    <row r="787" spans="1:23" hidden="1">
      <c r="A787" s="253"/>
      <c r="B787" s="243"/>
      <c r="C787" s="249" t="s">
        <v>601</v>
      </c>
      <c r="D787" s="243"/>
      <c r="E787" s="243"/>
      <c r="F787" s="243"/>
      <c r="G787" s="253"/>
      <c r="H787" s="251">
        <f t="shared" ref="H787:L787" si="361">H782/H783*100</f>
        <v>99.806729681942059</v>
      </c>
      <c r="I787" s="251">
        <f t="shared" si="361"/>
        <v>99.085660796169236</v>
      </c>
      <c r="J787" s="251">
        <f t="shared" si="361"/>
        <v>98.742893157079152</v>
      </c>
      <c r="K787" s="251">
        <f t="shared" si="361"/>
        <v>100.93575548489684</v>
      </c>
      <c r="L787" s="251">
        <f t="shared" si="361"/>
        <v>100.93575548489684</v>
      </c>
      <c r="M787" s="251">
        <f>M782/M783*100</f>
        <v>96.636309411804575</v>
      </c>
      <c r="N787" s="251">
        <f t="shared" ref="N787:S787" si="362">N782/N783*100</f>
        <v>99.946706494776421</v>
      </c>
      <c r="O787" s="251">
        <f t="shared" si="362"/>
        <v>100.17898774597282</v>
      </c>
      <c r="P787" s="251">
        <f t="shared" si="362"/>
        <v>96.636309411804575</v>
      </c>
      <c r="Q787" s="251">
        <f t="shared" si="362"/>
        <v>100.67894415392709</v>
      </c>
      <c r="R787" s="251">
        <f t="shared" si="362"/>
        <v>98.574950808461097</v>
      </c>
      <c r="S787" s="251">
        <f t="shared" si="362"/>
        <v>98.513266583199069</v>
      </c>
      <c r="T787" s="251">
        <f>T782/T783*100</f>
        <v>99.209409034563507</v>
      </c>
      <c r="U787" s="246"/>
      <c r="V787" s="246"/>
    </row>
    <row r="788" spans="1:23" hidden="1">
      <c r="A788" s="62"/>
      <c r="B788" s="62" t="s">
        <v>602</v>
      </c>
      <c r="C788" s="282" t="s">
        <v>398</v>
      </c>
      <c r="D788" s="282" t="s">
        <v>173</v>
      </c>
      <c r="E788" s="62"/>
      <c r="F788" s="62"/>
      <c r="G788" s="62"/>
      <c r="H788" s="409">
        <f>H782+H758+H742</f>
        <v>43622.455903013702</v>
      </c>
      <c r="I788" s="409">
        <f t="shared" ref="I788:S789" si="363">I782+I758+I742</f>
        <v>40491.27032465754</v>
      </c>
      <c r="J788" s="409">
        <f t="shared" si="363"/>
        <v>44906.731472104606</v>
      </c>
      <c r="K788" s="409">
        <f t="shared" si="363"/>
        <v>42734.011873561642</v>
      </c>
      <c r="L788" s="409">
        <f t="shared" si="363"/>
        <v>44067.804483013701</v>
      </c>
      <c r="M788" s="409">
        <f t="shared" si="363"/>
        <v>42614.63280932873</v>
      </c>
      <c r="N788" s="409">
        <f t="shared" si="363"/>
        <v>43934.087513013699</v>
      </c>
      <c r="O788" s="409">
        <f t="shared" si="363"/>
        <v>42100.031423013701</v>
      </c>
      <c r="P788" s="409">
        <f t="shared" si="363"/>
        <v>40190.570033561642</v>
      </c>
      <c r="Q788" s="409">
        <f t="shared" si="363"/>
        <v>44108.031203013699</v>
      </c>
      <c r="R788" s="409">
        <f t="shared" si="363"/>
        <v>43869.164553561641</v>
      </c>
      <c r="S788" s="409">
        <f t="shared" si="363"/>
        <v>30506.683519999999</v>
      </c>
      <c r="T788" s="339">
        <f>SUM(H788:S788)</f>
        <v>503145.47511184437</v>
      </c>
      <c r="U788" s="225"/>
      <c r="V788" s="225"/>
    </row>
    <row r="789" spans="1:23" hidden="1">
      <c r="A789" s="62"/>
      <c r="B789" s="62"/>
      <c r="C789" s="282" t="s">
        <v>492</v>
      </c>
      <c r="D789" s="282" t="s">
        <v>173</v>
      </c>
      <c r="E789" s="62"/>
      <c r="F789" s="62"/>
      <c r="G789" s="62"/>
      <c r="H789" s="409">
        <f>H783+H759+H743</f>
        <v>43394.689396669739</v>
      </c>
      <c r="I789" s="409">
        <f t="shared" si="363"/>
        <v>40289.75856037526</v>
      </c>
      <c r="J789" s="409">
        <f t="shared" si="363"/>
        <v>44381.978724929359</v>
      </c>
      <c r="K789" s="409">
        <f t="shared" si="363"/>
        <v>42807.157968186541</v>
      </c>
      <c r="L789" s="409">
        <f t="shared" si="363"/>
        <v>42966.038168782638</v>
      </c>
      <c r="M789" s="409">
        <f t="shared" si="363"/>
        <v>43220.894104841398</v>
      </c>
      <c r="N789" s="409">
        <f t="shared" si="363"/>
        <v>44252.710712111366</v>
      </c>
      <c r="O789" s="409">
        <f t="shared" si="363"/>
        <v>42986.97130528948</v>
      </c>
      <c r="P789" s="409">
        <f t="shared" si="363"/>
        <v>42077.80237076668</v>
      </c>
      <c r="Q789" s="409">
        <f t="shared" si="363"/>
        <v>43920.098245599394</v>
      </c>
      <c r="R789" s="409">
        <f t="shared" si="363"/>
        <v>43655.392088925684</v>
      </c>
      <c r="S789" s="409">
        <f t="shared" si="363"/>
        <v>30759.527649902586</v>
      </c>
      <c r="T789" s="339">
        <f>SUM(H789:S789)</f>
        <v>504713.01929638017</v>
      </c>
      <c r="U789" s="225"/>
      <c r="V789" s="225"/>
    </row>
    <row r="790" spans="1:23" hidden="1">
      <c r="A790" s="62"/>
      <c r="B790" s="62"/>
      <c r="C790" s="282" t="s">
        <v>497</v>
      </c>
      <c r="D790" s="282" t="s">
        <v>401</v>
      </c>
      <c r="E790" s="62"/>
      <c r="F790" s="62"/>
      <c r="G790" s="62"/>
      <c r="H790" s="409">
        <f t="shared" ref="H790:S790" si="364">H788/H789*100</f>
        <v>100.52487184379166</v>
      </c>
      <c r="I790" s="409">
        <f t="shared" si="364"/>
        <v>100.50015629649482</v>
      </c>
      <c r="J790" s="409">
        <f t="shared" si="364"/>
        <v>101.1823554565414</v>
      </c>
      <c r="K790" s="409">
        <f t="shared" si="364"/>
        <v>99.829126487025235</v>
      </c>
      <c r="L790" s="409">
        <f t="shared" si="364"/>
        <v>102.56427253055777</v>
      </c>
      <c r="M790" s="409">
        <f t="shared" si="364"/>
        <v>98.597295803177857</v>
      </c>
      <c r="N790" s="409">
        <f t="shared" si="364"/>
        <v>99.279991679672492</v>
      </c>
      <c r="O790" s="409">
        <f t="shared" si="364"/>
        <v>97.936723952993077</v>
      </c>
      <c r="P790" s="409">
        <f t="shared" si="364"/>
        <v>95.51489804392402</v>
      </c>
      <c r="Q790" s="409">
        <f t="shared" si="364"/>
        <v>100.4278973975955</v>
      </c>
      <c r="R790" s="409">
        <f t="shared" si="364"/>
        <v>100.48968169659433</v>
      </c>
      <c r="S790" s="409">
        <f t="shared" si="364"/>
        <v>99.177997358150634</v>
      </c>
      <c r="T790" s="409">
        <f>T788/T789*100</f>
        <v>99.689418714278247</v>
      </c>
      <c r="U790" s="225"/>
      <c r="V790" s="225"/>
    </row>
    <row r="791" spans="1:23" s="413" customFormat="1" hidden="1">
      <c r="A791" s="311"/>
      <c r="B791" s="312"/>
      <c r="C791" s="313"/>
      <c r="D791" s="312"/>
      <c r="E791" s="312"/>
      <c r="F791" s="312"/>
      <c r="G791" s="312"/>
      <c r="H791" s="411"/>
      <c r="I791" s="411"/>
      <c r="J791" s="411"/>
      <c r="K791" s="411"/>
      <c r="L791" s="411"/>
      <c r="M791" s="411"/>
      <c r="N791" s="411"/>
      <c r="O791" s="411"/>
      <c r="P791" s="411"/>
      <c r="Q791" s="411"/>
      <c r="R791" s="411"/>
      <c r="S791" s="411"/>
      <c r="T791" s="411"/>
      <c r="U791" s="210"/>
      <c r="V791" s="210"/>
      <c r="W791" s="412"/>
    </row>
    <row r="792" spans="1:23" s="413" customFormat="1" hidden="1">
      <c r="A792" s="414"/>
      <c r="B792" s="316"/>
      <c r="C792" s="313"/>
      <c r="D792" s="316"/>
      <c r="E792" s="316"/>
      <c r="F792" s="316"/>
      <c r="G792" s="316"/>
      <c r="H792" s="415"/>
      <c r="I792" s="415"/>
      <c r="J792" s="415"/>
      <c r="K792" s="415"/>
      <c r="L792" s="415"/>
      <c r="M792" s="415"/>
      <c r="N792" s="213"/>
      <c r="O792" s="213"/>
      <c r="P792" s="213"/>
      <c r="Q792" s="213"/>
      <c r="R792" s="213"/>
      <c r="S792" s="213"/>
      <c r="T792" s="416"/>
      <c r="U792" s="416"/>
      <c r="V792" s="271"/>
      <c r="W792" s="412"/>
    </row>
    <row r="793" spans="1:23" s="413" customFormat="1" hidden="1">
      <c r="A793" s="414"/>
      <c r="B793" s="316"/>
      <c r="C793" s="313"/>
      <c r="D793" s="316"/>
      <c r="E793" s="316"/>
      <c r="F793" s="316"/>
      <c r="G793" s="316"/>
      <c r="H793" s="415"/>
      <c r="I793" s="415"/>
      <c r="J793" s="415"/>
      <c r="K793" s="415"/>
      <c r="L793" s="415"/>
      <c r="M793" s="415"/>
      <c r="N793" s="415"/>
      <c r="O793" s="415"/>
      <c r="P793" s="415"/>
      <c r="Q793" s="415"/>
      <c r="R793" s="415"/>
      <c r="S793" s="415"/>
      <c r="T793" s="415"/>
      <c r="U793" s="416"/>
      <c r="V793" s="416"/>
      <c r="W793" s="412"/>
    </row>
    <row r="794" spans="1:23" s="413" customFormat="1" hidden="1">
      <c r="A794" s="414"/>
      <c r="B794" s="316"/>
      <c r="C794" s="417"/>
      <c r="D794" s="316"/>
      <c r="E794" s="316"/>
      <c r="F794" s="316"/>
      <c r="G794" s="316"/>
      <c r="H794" s="415"/>
      <c r="I794" s="415"/>
      <c r="J794" s="415"/>
      <c r="K794" s="415"/>
      <c r="L794" s="415"/>
      <c r="M794" s="415"/>
      <c r="N794" s="415"/>
      <c r="O794" s="415"/>
      <c r="P794" s="415"/>
      <c r="Q794" s="415"/>
      <c r="R794" s="415"/>
      <c r="S794" s="415"/>
      <c r="T794" s="415"/>
      <c r="U794" s="416"/>
      <c r="V794" s="416"/>
      <c r="W794" s="412"/>
    </row>
    <row r="795" spans="1:23" s="413" customFormat="1" hidden="1">
      <c r="A795" s="62">
        <v>25</v>
      </c>
      <c r="B795" s="240" t="s">
        <v>603</v>
      </c>
      <c r="C795" s="418"/>
      <c r="D795" s="62"/>
      <c r="E795" s="62"/>
      <c r="F795" s="62"/>
      <c r="G795" s="62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412"/>
    </row>
    <row r="796" spans="1:23" s="413" customFormat="1" hidden="1">
      <c r="A796" s="229"/>
      <c r="B796" s="400">
        <v>25.1</v>
      </c>
      <c r="C796" s="407" t="s">
        <v>604</v>
      </c>
      <c r="D796" s="229"/>
      <c r="E796" s="229"/>
      <c r="F796" s="229"/>
      <c r="G796" s="229"/>
      <c r="H796" s="275"/>
      <c r="I796" s="275"/>
      <c r="J796" s="275"/>
      <c r="K796" s="275"/>
      <c r="L796" s="275"/>
      <c r="M796" s="275"/>
      <c r="N796" s="275"/>
      <c r="O796" s="275"/>
      <c r="P796" s="275"/>
      <c r="Q796" s="275"/>
      <c r="R796" s="275"/>
      <c r="S796" s="275"/>
      <c r="T796" s="275"/>
      <c r="U796" s="275"/>
      <c r="V796" s="275"/>
      <c r="W796" s="412"/>
    </row>
    <row r="797" spans="1:23" s="413" customFormat="1" hidden="1">
      <c r="A797" s="229"/>
      <c r="B797" s="229"/>
      <c r="C797" s="320" t="s">
        <v>138</v>
      </c>
      <c r="D797" s="229" t="s">
        <v>90</v>
      </c>
      <c r="E797" s="832">
        <v>3.6</v>
      </c>
      <c r="F797" s="229"/>
      <c r="G797" s="229">
        <v>2.59</v>
      </c>
      <c r="H797" s="477">
        <v>3709527</v>
      </c>
      <c r="I797" s="275">
        <v>3441257</v>
      </c>
      <c r="J797" s="275">
        <v>3871832</v>
      </c>
      <c r="K797" s="275">
        <v>3624371</v>
      </c>
      <c r="L797" s="275">
        <v>4231790</v>
      </c>
      <c r="M797" s="275">
        <v>3544670</v>
      </c>
      <c r="N797" s="275">
        <v>3214787</v>
      </c>
      <c r="O797" s="275">
        <v>3877177</v>
      </c>
      <c r="P797" s="275">
        <v>3991167</v>
      </c>
      <c r="Q797" s="275">
        <v>4216202</v>
      </c>
      <c r="R797" s="275">
        <v>4830639</v>
      </c>
      <c r="S797" s="275">
        <v>3990389</v>
      </c>
      <c r="T797" s="275">
        <f t="shared" ref="T797:T804" si="365">SUM(H797:S797)</f>
        <v>46543808</v>
      </c>
      <c r="U797" s="275"/>
      <c r="V797" s="275"/>
      <c r="W797" s="412"/>
    </row>
    <row r="798" spans="1:23" s="413" customFormat="1" hidden="1">
      <c r="A798" s="229"/>
      <c r="B798" s="229"/>
      <c r="C798" s="320" t="s">
        <v>605</v>
      </c>
      <c r="D798" s="229" t="s">
        <v>121</v>
      </c>
      <c r="E798" s="832">
        <f>'[5]ETP-2011'!$D$1</f>
        <v>54070</v>
      </c>
      <c r="F798" s="832">
        <v>52000</v>
      </c>
      <c r="G798" s="229"/>
      <c r="H798" s="477">
        <v>15009.444224121093</v>
      </c>
      <c r="I798" s="275">
        <v>13819.92493000393</v>
      </c>
      <c r="J798" s="275">
        <v>15537.508913436577</v>
      </c>
      <c r="K798" s="275">
        <v>12035.859727887371</v>
      </c>
      <c r="L798" s="275">
        <v>14598.885637222591</v>
      </c>
      <c r="M798" s="275">
        <v>14544.887492736187</v>
      </c>
      <c r="N798" s="275">
        <v>14544.887492736187</v>
      </c>
      <c r="O798" s="275">
        <v>15596.90835698304</v>
      </c>
      <c r="P798" s="275">
        <v>15194.019422743297</v>
      </c>
      <c r="Q798" s="275">
        <v>15140.879791934834</v>
      </c>
      <c r="R798" s="275">
        <v>14629.206248835868</v>
      </c>
      <c r="S798" s="275">
        <v>14841.447077853934</v>
      </c>
      <c r="T798" s="275">
        <f t="shared" si="365"/>
        <v>175493.8593164949</v>
      </c>
      <c r="U798" s="275"/>
      <c r="V798" s="275"/>
      <c r="W798" s="412"/>
    </row>
    <row r="799" spans="1:23" s="413" customFormat="1" hidden="1">
      <c r="A799" s="229"/>
      <c r="B799" s="229"/>
      <c r="C799" s="320" t="s">
        <v>606</v>
      </c>
      <c r="D799" s="229" t="s">
        <v>121</v>
      </c>
      <c r="E799" s="832">
        <f>'[5]ETP-2011'!$L$1</f>
        <v>487</v>
      </c>
      <c r="F799" s="229"/>
      <c r="G799" s="229"/>
      <c r="H799" s="477">
        <v>147531.20000000001</v>
      </c>
      <c r="I799" s="275">
        <v>137656.06000000003</v>
      </c>
      <c r="J799" s="275">
        <v>142414.29</v>
      </c>
      <c r="K799" s="275">
        <v>104260</v>
      </c>
      <c r="L799" s="275">
        <v>127622.75</v>
      </c>
      <c r="M799" s="275">
        <v>129318.75</v>
      </c>
      <c r="N799" s="275">
        <v>132487.5</v>
      </c>
      <c r="O799" s="275">
        <v>137014.5</v>
      </c>
      <c r="P799" s="275">
        <v>135944</v>
      </c>
      <c r="Q799" s="275">
        <v>140011.25</v>
      </c>
      <c r="R799" s="275">
        <v>137463.25</v>
      </c>
      <c r="S799" s="275">
        <v>149250</v>
      </c>
      <c r="T799" s="275">
        <f t="shared" si="365"/>
        <v>1620973.55</v>
      </c>
      <c r="U799" s="275"/>
      <c r="V799" s="275"/>
      <c r="W799" s="412"/>
    </row>
    <row r="800" spans="1:23" s="413" customFormat="1" hidden="1">
      <c r="A800" s="229"/>
      <c r="B800" s="229"/>
      <c r="C800" s="320" t="s">
        <v>607</v>
      </c>
      <c r="D800" s="229" t="s">
        <v>121</v>
      </c>
      <c r="E800" s="832">
        <f>'[5]ETP-2011'!$H$1</f>
        <v>3406</v>
      </c>
      <c r="F800" s="229"/>
      <c r="G800" s="229"/>
      <c r="H800" s="477">
        <v>236859.00000000006</v>
      </c>
      <c r="I800" s="275">
        <v>214372.00000000003</v>
      </c>
      <c r="J800" s="275">
        <v>223138</v>
      </c>
      <c r="K800" s="275">
        <v>168039</v>
      </c>
      <c r="L800" s="275">
        <v>207675.18999999997</v>
      </c>
      <c r="M800" s="275">
        <v>209843</v>
      </c>
      <c r="N800" s="275">
        <v>206528</v>
      </c>
      <c r="O800" s="275">
        <v>213916.99999999997</v>
      </c>
      <c r="P800" s="275">
        <v>206315</v>
      </c>
      <c r="Q800" s="275">
        <v>209363</v>
      </c>
      <c r="R800" s="275">
        <v>182828</v>
      </c>
      <c r="S800" s="275">
        <v>219739.99999999994</v>
      </c>
      <c r="T800" s="275">
        <f t="shared" si="365"/>
        <v>2498617.1900000004</v>
      </c>
      <c r="U800" s="275"/>
      <c r="V800" s="275"/>
      <c r="W800" s="412"/>
    </row>
    <row r="801" spans="1:23" s="413" customFormat="1" hidden="1">
      <c r="A801" s="229"/>
      <c r="B801" s="229"/>
      <c r="C801" s="320" t="s">
        <v>608</v>
      </c>
      <c r="D801" s="229" t="s">
        <v>121</v>
      </c>
      <c r="E801" s="832">
        <f>'[5]ETP-2011'!$H$2</f>
        <v>3156</v>
      </c>
      <c r="F801" s="229"/>
      <c r="G801" s="229"/>
      <c r="H801" s="477">
        <v>175883.245</v>
      </c>
      <c r="I801" s="275">
        <v>166215.32200000001</v>
      </c>
      <c r="J801" s="275">
        <v>134446.05100000001</v>
      </c>
      <c r="K801" s="275">
        <v>109080.421</v>
      </c>
      <c r="L801" s="275">
        <v>141742.47700000001</v>
      </c>
      <c r="M801" s="275">
        <v>163401.12899999999</v>
      </c>
      <c r="N801" s="275">
        <v>143356.09199999998</v>
      </c>
      <c r="O801" s="275">
        <v>154952.011</v>
      </c>
      <c r="P801" s="275">
        <v>159108.72699999998</v>
      </c>
      <c r="Q801" s="275">
        <v>155478.30000000002</v>
      </c>
      <c r="R801" s="275">
        <v>146998.77499999999</v>
      </c>
      <c r="S801" s="275">
        <v>163719.579</v>
      </c>
      <c r="T801" s="275">
        <f t="shared" si="365"/>
        <v>1814382.1289999997</v>
      </c>
      <c r="U801" s="275"/>
      <c r="V801" s="275"/>
      <c r="W801" s="412"/>
    </row>
    <row r="802" spans="1:23" s="413" customFormat="1" hidden="1">
      <c r="A802" s="229"/>
      <c r="B802" s="229"/>
      <c r="C802" s="320" t="s">
        <v>609</v>
      </c>
      <c r="D802" s="229" t="s">
        <v>121</v>
      </c>
      <c r="E802" s="832">
        <f>'[5]ETP-2011'!$H$3</f>
        <v>2996</v>
      </c>
      <c r="F802" s="229"/>
      <c r="G802" s="229"/>
      <c r="H802" s="477">
        <v>46053.279999999999</v>
      </c>
      <c r="I802" s="275">
        <v>45374.709999999985</v>
      </c>
      <c r="J802" s="275">
        <v>39960.659999999996</v>
      </c>
      <c r="K802" s="275">
        <v>32126.359999999997</v>
      </c>
      <c r="L802" s="275">
        <v>33075.839999999997</v>
      </c>
      <c r="M802" s="275">
        <v>36884.76</v>
      </c>
      <c r="N802" s="275">
        <v>36563.75</v>
      </c>
      <c r="O802" s="275">
        <v>33330.770000000004</v>
      </c>
      <c r="P802" s="275">
        <v>33617.759999999995</v>
      </c>
      <c r="Q802" s="275">
        <v>31786.369999999995</v>
      </c>
      <c r="R802" s="275">
        <v>31180.039999999994</v>
      </c>
      <c r="S802" s="275">
        <v>37824.519999999997</v>
      </c>
      <c r="T802" s="275">
        <f t="shared" si="365"/>
        <v>437778.82</v>
      </c>
      <c r="U802" s="275"/>
      <c r="V802" s="275"/>
      <c r="W802" s="412"/>
    </row>
    <row r="803" spans="1:23" s="413" customFormat="1" hidden="1">
      <c r="A803" s="229"/>
      <c r="B803" s="229"/>
      <c r="C803" s="320" t="s">
        <v>610</v>
      </c>
      <c r="D803" s="229" t="s">
        <v>121</v>
      </c>
      <c r="E803" s="832">
        <f>'[5]ETP-2011'!$H$4</f>
        <v>2815</v>
      </c>
      <c r="F803" s="229"/>
      <c r="G803" s="229"/>
      <c r="H803" s="477">
        <v>27038.379000000004</v>
      </c>
      <c r="I803" s="275">
        <v>23974.807000000001</v>
      </c>
      <c r="J803" s="275">
        <v>27431.285000000003</v>
      </c>
      <c r="K803" s="275">
        <v>23381.980999999996</v>
      </c>
      <c r="L803" s="275">
        <v>25395.089999999997</v>
      </c>
      <c r="M803" s="275">
        <v>26051.816000000003</v>
      </c>
      <c r="N803" s="275">
        <v>28819.097999999998</v>
      </c>
      <c r="O803" s="275">
        <v>28150.702000000001</v>
      </c>
      <c r="P803" s="275">
        <v>27175.949000000001</v>
      </c>
      <c r="Q803" s="275">
        <v>28935.724000000009</v>
      </c>
      <c r="R803" s="275">
        <v>24403.673999999995</v>
      </c>
      <c r="S803" s="275">
        <v>28781.437999999995</v>
      </c>
      <c r="T803" s="275">
        <f t="shared" si="365"/>
        <v>319539.94299999997</v>
      </c>
      <c r="U803" s="275"/>
      <c r="V803" s="275"/>
      <c r="W803" s="412"/>
    </row>
    <row r="804" spans="1:23" s="413" customFormat="1" hidden="1">
      <c r="A804" s="229"/>
      <c r="B804" s="229"/>
      <c r="C804" s="320" t="s">
        <v>611</v>
      </c>
      <c r="D804" s="229" t="s">
        <v>121</v>
      </c>
      <c r="E804" s="832">
        <f>'[5]ETP-2011'!$L$2</f>
        <v>206</v>
      </c>
      <c r="F804" s="229"/>
      <c r="G804" s="229"/>
      <c r="H804" s="477">
        <v>1585</v>
      </c>
      <c r="I804" s="275">
        <v>1409</v>
      </c>
      <c r="J804" s="275">
        <v>1442</v>
      </c>
      <c r="K804" s="275">
        <v>959</v>
      </c>
      <c r="L804" s="275">
        <v>969</v>
      </c>
      <c r="M804" s="275">
        <v>1050</v>
      </c>
      <c r="N804" s="275">
        <v>1148</v>
      </c>
      <c r="O804" s="275">
        <v>1117</v>
      </c>
      <c r="P804" s="275">
        <v>1154</v>
      </c>
      <c r="Q804" s="275">
        <v>1199</v>
      </c>
      <c r="R804" s="275">
        <v>1027</v>
      </c>
      <c r="S804" s="275">
        <v>1295</v>
      </c>
      <c r="T804" s="275">
        <f t="shared" si="365"/>
        <v>14354</v>
      </c>
      <c r="U804" s="275"/>
      <c r="V804" s="275"/>
      <c r="W804" s="412"/>
    </row>
    <row r="805" spans="1:23" s="413" customFormat="1" hidden="1">
      <c r="A805" s="229"/>
      <c r="B805" s="229"/>
      <c r="C805" s="407"/>
      <c r="D805" s="229"/>
      <c r="E805" s="229"/>
      <c r="F805" s="229"/>
      <c r="G805" s="229"/>
      <c r="H805" s="275"/>
      <c r="I805" s="275"/>
      <c r="J805" s="275"/>
      <c r="K805" s="275"/>
      <c r="L805" s="275"/>
      <c r="M805" s="275"/>
      <c r="N805" s="275"/>
      <c r="O805" s="275"/>
      <c r="P805" s="275"/>
      <c r="Q805" s="275"/>
      <c r="R805" s="275"/>
      <c r="S805" s="275"/>
      <c r="T805" s="275"/>
      <c r="U805" s="275"/>
      <c r="V805" s="275"/>
      <c r="W805" s="412"/>
    </row>
    <row r="806" spans="1:23" hidden="1">
      <c r="A806" s="253"/>
      <c r="B806" s="233">
        <v>1</v>
      </c>
      <c r="C806" s="233" t="s">
        <v>614</v>
      </c>
      <c r="D806" s="233" t="s">
        <v>121</v>
      </c>
      <c r="E806" s="233"/>
      <c r="F806" s="233"/>
      <c r="G806" s="253"/>
      <c r="H806" s="807">
        <v>30984.219000000001</v>
      </c>
      <c r="I806" s="264">
        <v>27629.803999999996</v>
      </c>
      <c r="J806" s="264">
        <v>30857.420999999998</v>
      </c>
      <c r="K806" s="264">
        <v>21960.650999999998</v>
      </c>
      <c r="L806" s="264">
        <v>28712.041000000001</v>
      </c>
      <c r="M806" s="264">
        <v>29088.991000000002</v>
      </c>
      <c r="N806" s="264">
        <v>29315.500000000004</v>
      </c>
      <c r="O806" s="264">
        <v>31378.335999999999</v>
      </c>
      <c r="P806" s="264">
        <v>30826.519</v>
      </c>
      <c r="Q806" s="264">
        <v>31086.324000000001</v>
      </c>
      <c r="R806" s="264">
        <v>29885.87</v>
      </c>
      <c r="S806" s="264">
        <v>31407.734</v>
      </c>
      <c r="T806" s="259">
        <f>SUM(H806:S806)</f>
        <v>353133.41000000003</v>
      </c>
      <c r="U806" s="259"/>
      <c r="V806" s="785">
        <f>V805/T806</f>
        <v>0</v>
      </c>
    </row>
    <row r="807" spans="1:23" hidden="1">
      <c r="A807" s="342"/>
      <c r="B807" s="420">
        <v>2</v>
      </c>
      <c r="C807" s="420" t="s">
        <v>616</v>
      </c>
      <c r="D807" s="233" t="s">
        <v>121</v>
      </c>
      <c r="E807" s="420"/>
      <c r="F807" s="420"/>
      <c r="G807" s="342"/>
      <c r="H807" s="807">
        <v>16423.179999999997</v>
      </c>
      <c r="I807" s="421">
        <v>14747.242999999999</v>
      </c>
      <c r="J807" s="421">
        <v>16492.923999999999</v>
      </c>
      <c r="K807" s="421">
        <v>12212.446</v>
      </c>
      <c r="L807" s="421">
        <v>16059.093000000003</v>
      </c>
      <c r="M807" s="421">
        <v>15145.949999999997</v>
      </c>
      <c r="N807" s="421">
        <v>15385.459000000003</v>
      </c>
      <c r="O807" s="421">
        <v>14836.644</v>
      </c>
      <c r="P807" s="421">
        <v>13947.751</v>
      </c>
      <c r="Q807" s="421">
        <v>14350.92</v>
      </c>
      <c r="R807" s="421">
        <v>15775.511</v>
      </c>
      <c r="S807" s="421">
        <v>16108.642000000002</v>
      </c>
      <c r="T807" s="259">
        <f>SUM(H807:S807)</f>
        <v>181485.76300000001</v>
      </c>
      <c r="U807" s="422"/>
      <c r="V807" s="833"/>
    </row>
    <row r="808" spans="1:23" hidden="1">
      <c r="A808" s="342"/>
      <c r="B808" s="420"/>
      <c r="C808" s="423" t="s">
        <v>411</v>
      </c>
      <c r="D808" s="233" t="s">
        <v>121</v>
      </c>
      <c r="E808" s="420"/>
      <c r="F808" s="420"/>
      <c r="G808" s="342"/>
      <c r="H808" s="421">
        <v>47407.398999999998</v>
      </c>
      <c r="I808" s="421">
        <v>42377.046999999991</v>
      </c>
      <c r="J808" s="421">
        <v>47350.345000000001</v>
      </c>
      <c r="K808" s="421">
        <v>34173.096999999994</v>
      </c>
      <c r="L808" s="421">
        <v>44771.134000000005</v>
      </c>
      <c r="M808" s="421">
        <v>44234.940999999999</v>
      </c>
      <c r="N808" s="421">
        <v>44700.959000000003</v>
      </c>
      <c r="O808" s="421">
        <v>46214.979999999996</v>
      </c>
      <c r="P808" s="421">
        <v>44774.270000000004</v>
      </c>
      <c r="Q808" s="421">
        <v>45437.243999999999</v>
      </c>
      <c r="R808" s="421">
        <v>45661.381000000001</v>
      </c>
      <c r="S808" s="421">
        <v>47516.376000000004</v>
      </c>
      <c r="T808" s="236">
        <f>SUM(H808:S808)</f>
        <v>534619.17300000007</v>
      </c>
      <c r="U808" s="422"/>
      <c r="V808" s="833"/>
    </row>
    <row r="809" spans="1:23" s="413" customFormat="1" hidden="1">
      <c r="A809" s="229"/>
      <c r="B809" s="229"/>
      <c r="C809" s="407"/>
      <c r="D809" s="229"/>
      <c r="E809" s="229"/>
      <c r="F809" s="229"/>
      <c r="G809" s="229"/>
      <c r="H809" s="275"/>
      <c r="I809" s="275"/>
      <c r="J809" s="275"/>
      <c r="K809" s="275"/>
      <c r="L809" s="275"/>
      <c r="M809" s="275"/>
      <c r="N809" s="275"/>
      <c r="O809" s="275"/>
      <c r="P809" s="275"/>
      <c r="Q809" s="275"/>
      <c r="R809" s="275"/>
      <c r="S809" s="275"/>
      <c r="T809" s="275"/>
      <c r="U809" s="275"/>
      <c r="V809" s="275"/>
      <c r="W809" s="412"/>
    </row>
    <row r="810" spans="1:23" hidden="1">
      <c r="A810" s="253"/>
      <c r="B810" s="392"/>
      <c r="C810" s="393" t="s">
        <v>534</v>
      </c>
      <c r="D810" s="392"/>
      <c r="E810" s="392"/>
      <c r="F810" s="392"/>
      <c r="G810" s="392"/>
      <c r="H810" s="394"/>
      <c r="I810" s="394"/>
      <c r="J810" s="394"/>
      <c r="K810" s="394"/>
      <c r="L810" s="394"/>
      <c r="M810" s="394"/>
      <c r="N810" s="394"/>
      <c r="O810" s="394"/>
      <c r="P810" s="394"/>
      <c r="Q810" s="394"/>
      <c r="R810" s="394"/>
      <c r="S810" s="394"/>
      <c r="T810" s="395"/>
      <c r="U810" s="395"/>
      <c r="V810" s="823"/>
    </row>
    <row r="811" spans="1:23" hidden="1">
      <c r="A811" s="253"/>
      <c r="B811" s="392"/>
      <c r="C811" s="396" t="s">
        <v>618</v>
      </c>
      <c r="D811" s="392" t="s">
        <v>121</v>
      </c>
      <c r="E811" s="834">
        <f>'[5]ETP-2011'!$H$1</f>
        <v>3406</v>
      </c>
      <c r="F811" s="392"/>
      <c r="G811" s="392"/>
      <c r="H811" s="360">
        <v>144579</v>
      </c>
      <c r="I811" s="424">
        <v>134904</v>
      </c>
      <c r="J811" s="424">
        <v>139566</v>
      </c>
      <c r="K811" s="424">
        <v>102175</v>
      </c>
      <c r="L811" s="424">
        <v>125072</v>
      </c>
      <c r="M811" s="424">
        <v>126733</v>
      </c>
      <c r="N811" s="424">
        <v>129840</v>
      </c>
      <c r="O811" s="424">
        <v>134276</v>
      </c>
      <c r="P811" s="424">
        <v>133228</v>
      </c>
      <c r="Q811" s="424">
        <v>137213</v>
      </c>
      <c r="R811" s="424">
        <v>134714</v>
      </c>
      <c r="S811" s="424">
        <v>146265</v>
      </c>
      <c r="T811" s="424">
        <f t="shared" ref="T811:T816" si="366">SUM(H811:S811)</f>
        <v>1588565</v>
      </c>
      <c r="U811" s="824">
        <f>T811*E811</f>
        <v>5410652390</v>
      </c>
      <c r="V811" s="392">
        <f>T811*G811</f>
        <v>0</v>
      </c>
    </row>
    <row r="812" spans="1:23" hidden="1">
      <c r="A812" s="253"/>
      <c r="B812" s="392"/>
      <c r="C812" s="396" t="s">
        <v>619</v>
      </c>
      <c r="D812" s="392" t="s">
        <v>121</v>
      </c>
      <c r="E812" s="834">
        <f>'[5]ETP-2011'!$H$2</f>
        <v>3156</v>
      </c>
      <c r="F812" s="392"/>
      <c r="G812" s="392"/>
      <c r="H812" s="477">
        <v>191425.74000000002</v>
      </c>
      <c r="I812" s="425">
        <v>173427.71000000002</v>
      </c>
      <c r="J812" s="425">
        <v>184998.21999999997</v>
      </c>
      <c r="K812" s="425">
        <v>143701.15000000002</v>
      </c>
      <c r="L812" s="425">
        <v>176431.03000000003</v>
      </c>
      <c r="M812" s="425">
        <v>175848.77000000002</v>
      </c>
      <c r="N812" s="425">
        <v>167970.2</v>
      </c>
      <c r="O812" s="425">
        <v>178730.75999999998</v>
      </c>
      <c r="P812" s="425">
        <v>168766.94999999998</v>
      </c>
      <c r="Q812" s="425">
        <v>165664.77000000002</v>
      </c>
      <c r="R812" s="425">
        <v>140761.39000000001</v>
      </c>
      <c r="S812" s="425">
        <v>176386.81000000003</v>
      </c>
      <c r="T812" s="425">
        <f t="shared" si="366"/>
        <v>2044113.5</v>
      </c>
      <c r="U812" s="824"/>
      <c r="V812" s="392"/>
    </row>
    <row r="813" spans="1:23" hidden="1">
      <c r="A813" s="253"/>
      <c r="B813" s="392"/>
      <c r="C813" s="396" t="s">
        <v>620</v>
      </c>
      <c r="D813" s="392" t="s">
        <v>121</v>
      </c>
      <c r="E813" s="834">
        <f>'[5]ETP-2011'!$H$3</f>
        <v>2996</v>
      </c>
      <c r="F813" s="392"/>
      <c r="G813" s="392"/>
      <c r="H813" s="477">
        <v>88126.140000000014</v>
      </c>
      <c r="I813" s="425">
        <v>85837.6</v>
      </c>
      <c r="J813" s="425">
        <v>43626.630000000005</v>
      </c>
      <c r="K813" s="425">
        <v>42523.08</v>
      </c>
      <c r="L813" s="425">
        <v>53423.45</v>
      </c>
      <c r="M813" s="425">
        <v>72164.759999999995</v>
      </c>
      <c r="N813" s="425">
        <v>49912.299999999996</v>
      </c>
      <c r="O813" s="425">
        <v>60249.570000000007</v>
      </c>
      <c r="P813" s="425">
        <v>68356.38</v>
      </c>
      <c r="Q813" s="425">
        <v>65593.919999999998</v>
      </c>
      <c r="R813" s="425">
        <v>62041.95</v>
      </c>
      <c r="S813" s="425">
        <v>73910.69</v>
      </c>
      <c r="T813" s="425">
        <f t="shared" si="366"/>
        <v>765766.47</v>
      </c>
      <c r="U813" s="824"/>
      <c r="V813" s="392"/>
    </row>
    <row r="814" spans="1:23" hidden="1">
      <c r="A814" s="253"/>
      <c r="B814" s="392"/>
      <c r="C814" s="396" t="s">
        <v>621</v>
      </c>
      <c r="D814" s="392" t="s">
        <v>121</v>
      </c>
      <c r="E814" s="834">
        <f>'[5]ETP-2011'!$H$4</f>
        <v>2815</v>
      </c>
      <c r="F814" s="392"/>
      <c r="G814" s="392"/>
      <c r="H814" s="477">
        <v>63174.669999999984</v>
      </c>
      <c r="I814" s="425">
        <v>57055.17</v>
      </c>
      <c r="J814" s="425">
        <v>64467.749999999985</v>
      </c>
      <c r="K814" s="425">
        <v>48210.740000000013</v>
      </c>
      <c r="L814" s="425">
        <v>59871.880000000005</v>
      </c>
      <c r="M814" s="425">
        <v>61464.710000000014</v>
      </c>
      <c r="N814" s="425">
        <v>67099.520000000019</v>
      </c>
      <c r="O814" s="425">
        <v>66726.649999999994</v>
      </c>
      <c r="P814" s="425">
        <v>63488.19</v>
      </c>
      <c r="Q814" s="425">
        <v>65240.029999999984</v>
      </c>
      <c r="R814" s="425">
        <v>64871.040000000008</v>
      </c>
      <c r="S814" s="425">
        <v>67320.05</v>
      </c>
      <c r="T814" s="425">
        <f t="shared" si="366"/>
        <v>748990.40000000014</v>
      </c>
      <c r="U814" s="824"/>
      <c r="V814" s="392"/>
    </row>
    <row r="815" spans="1:23" hidden="1">
      <c r="A815" s="253"/>
      <c r="B815" s="392"/>
      <c r="C815" s="396" t="s">
        <v>622</v>
      </c>
      <c r="D815" s="392" t="s">
        <v>121</v>
      </c>
      <c r="E815" s="834">
        <f>'[5]ETP-2011'!$L$2</f>
        <v>206</v>
      </c>
      <c r="F815" s="392"/>
      <c r="G815" s="392"/>
      <c r="H815" s="477">
        <v>58170.354800000001</v>
      </c>
      <c r="I815" s="425">
        <v>51758.363999999994</v>
      </c>
      <c r="J815" s="425">
        <v>51803.417600000001</v>
      </c>
      <c r="K815" s="425">
        <v>35259.158000000003</v>
      </c>
      <c r="L815" s="425">
        <v>35542.598800000007</v>
      </c>
      <c r="M815" s="425">
        <v>38597.616800000003</v>
      </c>
      <c r="N815" s="425">
        <v>40141.101200000005</v>
      </c>
      <c r="O815" s="425">
        <v>41074.729999999996</v>
      </c>
      <c r="P815" s="425">
        <v>42408.815199999997</v>
      </c>
      <c r="Q815" s="425">
        <v>44063.502799999987</v>
      </c>
      <c r="R815" s="425">
        <v>37616.045599999998</v>
      </c>
      <c r="S815" s="425">
        <v>47555.656799999997</v>
      </c>
      <c r="T815" s="425">
        <f t="shared" si="366"/>
        <v>523991.3616</v>
      </c>
      <c r="U815" s="824"/>
      <c r="V815" s="392"/>
    </row>
    <row r="816" spans="1:23" hidden="1">
      <c r="A816" s="253"/>
      <c r="B816" s="392"/>
      <c r="C816" s="396" t="s">
        <v>623</v>
      </c>
      <c r="D816" s="392" t="s">
        <v>121</v>
      </c>
      <c r="E816" s="824">
        <f>'[5]ETP-2011'!$L$3</f>
        <v>210</v>
      </c>
      <c r="F816" s="392"/>
      <c r="G816" s="392"/>
      <c r="H816" s="477">
        <v>54725.580000000024</v>
      </c>
      <c r="I816" s="425">
        <v>51034.9</v>
      </c>
      <c r="J816" s="425">
        <v>54514.41</v>
      </c>
      <c r="K816" s="425">
        <v>38924.04</v>
      </c>
      <c r="L816" s="425">
        <v>54027.340000000011</v>
      </c>
      <c r="M816" s="425">
        <v>50343.44000000001</v>
      </c>
      <c r="N816" s="425">
        <v>51440.53</v>
      </c>
      <c r="O816" s="425">
        <v>52234.6</v>
      </c>
      <c r="P816" s="425">
        <v>50224.899999999994</v>
      </c>
      <c r="Q816" s="425">
        <v>49501.259999999995</v>
      </c>
      <c r="R816" s="425">
        <v>47900.649999999994</v>
      </c>
      <c r="S816" s="425">
        <v>51233.420000000013</v>
      </c>
      <c r="T816" s="425">
        <f t="shared" si="366"/>
        <v>606105.07000000007</v>
      </c>
      <c r="U816" s="824"/>
      <c r="V816" s="392"/>
    </row>
    <row r="817" spans="1:23" hidden="1">
      <c r="A817" s="253"/>
      <c r="B817" s="392"/>
      <c r="C817" s="396"/>
      <c r="D817" s="392"/>
      <c r="E817" s="392"/>
      <c r="F817" s="392"/>
      <c r="G817" s="392"/>
      <c r="H817" s="392"/>
      <c r="I817" s="392"/>
      <c r="J817" s="392"/>
      <c r="K817" s="392"/>
      <c r="L817" s="392"/>
      <c r="M817" s="392"/>
      <c r="N817" s="392"/>
      <c r="O817" s="392"/>
      <c r="P817" s="392"/>
      <c r="Q817" s="392"/>
      <c r="R817" s="392"/>
      <c r="S817" s="392"/>
      <c r="T817" s="395"/>
      <c r="U817" s="824"/>
      <c r="V817" s="392"/>
    </row>
    <row r="818" spans="1:23" hidden="1">
      <c r="A818" s="253"/>
      <c r="B818" s="392"/>
      <c r="C818" s="393" t="s">
        <v>536</v>
      </c>
      <c r="D818" s="392"/>
      <c r="E818" s="392"/>
      <c r="F818" s="392"/>
      <c r="G818" s="392"/>
      <c r="H818" s="394"/>
      <c r="I818" s="394"/>
      <c r="J818" s="394"/>
      <c r="K818" s="394"/>
      <c r="L818" s="394"/>
      <c r="M818" s="394"/>
      <c r="N818" s="394"/>
      <c r="O818" s="394"/>
      <c r="P818" s="394"/>
      <c r="Q818" s="394"/>
      <c r="R818" s="394"/>
      <c r="S818" s="394"/>
      <c r="T818" s="395"/>
      <c r="U818" s="395"/>
      <c r="V818" s="823"/>
    </row>
    <row r="819" spans="1:23" hidden="1">
      <c r="A819" s="253"/>
      <c r="B819" s="392"/>
      <c r="C819" s="396" t="s">
        <v>618</v>
      </c>
      <c r="D819" s="392" t="s">
        <v>173</v>
      </c>
      <c r="E819" s="392"/>
      <c r="F819" s="392"/>
      <c r="G819" s="392"/>
      <c r="H819" s="394">
        <v>492436.07400000002</v>
      </c>
      <c r="I819" s="394">
        <v>459483.02399999998</v>
      </c>
      <c r="J819" s="394">
        <v>475361.79599999997</v>
      </c>
      <c r="K819" s="394">
        <v>348008.05</v>
      </c>
      <c r="L819" s="394">
        <v>425995.23200000002</v>
      </c>
      <c r="M819" s="394">
        <v>431652.598</v>
      </c>
      <c r="N819" s="394">
        <v>442235.04</v>
      </c>
      <c r="O819" s="394">
        <v>457344.05599999998</v>
      </c>
      <c r="P819" s="394">
        <v>453774.56800000003</v>
      </c>
      <c r="Q819" s="394">
        <v>467347.478</v>
      </c>
      <c r="R819" s="394">
        <v>458835.88400000002</v>
      </c>
      <c r="S819" s="394">
        <v>498178.59</v>
      </c>
      <c r="T819" s="395">
        <f t="shared" ref="T819:T825" si="367">SUM(H819:S819)</f>
        <v>5410652.3899999997</v>
      </c>
      <c r="U819" s="395"/>
      <c r="V819" s="823"/>
    </row>
    <row r="820" spans="1:23" hidden="1">
      <c r="A820" s="253"/>
      <c r="B820" s="392"/>
      <c r="C820" s="396" t="s">
        <v>619</v>
      </c>
      <c r="D820" s="392" t="s">
        <v>173</v>
      </c>
      <c r="E820" s="392"/>
      <c r="F820" s="392"/>
      <c r="G820" s="392"/>
      <c r="H820" s="394">
        <v>604139.6354400001</v>
      </c>
      <c r="I820" s="394">
        <v>547337.85276000015</v>
      </c>
      <c r="J820" s="394">
        <v>583854.38231999998</v>
      </c>
      <c r="K820" s="394">
        <v>453520.8294000001</v>
      </c>
      <c r="L820" s="394">
        <v>556816.33068000001</v>
      </c>
      <c r="M820" s="394">
        <v>554978.71811999998</v>
      </c>
      <c r="N820" s="394">
        <v>530113.95120000001</v>
      </c>
      <c r="O820" s="394">
        <v>564074.27855999989</v>
      </c>
      <c r="P820" s="394">
        <v>532628.49419999996</v>
      </c>
      <c r="Q820" s="394">
        <v>522838.01412000007</v>
      </c>
      <c r="R820" s="394">
        <v>444242.94684000005</v>
      </c>
      <c r="S820" s="394">
        <v>556676.77236000018</v>
      </c>
      <c r="T820" s="395">
        <f t="shared" si="367"/>
        <v>6451222.2060000002</v>
      </c>
      <c r="U820" s="395"/>
      <c r="V820" s="823"/>
    </row>
    <row r="821" spans="1:23" hidden="1">
      <c r="A821" s="253"/>
      <c r="B821" s="392"/>
      <c r="C821" s="396" t="s">
        <v>620</v>
      </c>
      <c r="D821" s="392" t="s">
        <v>173</v>
      </c>
      <c r="E821" s="392"/>
      <c r="F821" s="392"/>
      <c r="G821" s="392"/>
      <c r="H821" s="394">
        <v>264025.91544000001</v>
      </c>
      <c r="I821" s="394">
        <v>257169.44960000002</v>
      </c>
      <c r="J821" s="394">
        <v>130705.38348000002</v>
      </c>
      <c r="K821" s="394">
        <v>127399.14768000001</v>
      </c>
      <c r="L821" s="394">
        <v>160056.6562</v>
      </c>
      <c r="M821" s="394">
        <v>216205.62095999997</v>
      </c>
      <c r="N821" s="394">
        <v>149537.25079999998</v>
      </c>
      <c r="O821" s="394">
        <v>180507.71172000002</v>
      </c>
      <c r="P821" s="394">
        <v>204795.71448000002</v>
      </c>
      <c r="Q821" s="394">
        <v>196519.38431999998</v>
      </c>
      <c r="R821" s="394">
        <v>185877.68219999998</v>
      </c>
      <c r="S821" s="394">
        <v>221436.42724000002</v>
      </c>
      <c r="T821" s="395">
        <f t="shared" si="367"/>
        <v>2294236.34412</v>
      </c>
      <c r="U821" s="395"/>
      <c r="V821" s="823"/>
    </row>
    <row r="822" spans="1:23" hidden="1">
      <c r="A822" s="253"/>
      <c r="B822" s="392"/>
      <c r="C822" s="396" t="s">
        <v>621</v>
      </c>
      <c r="D822" s="392" t="s">
        <v>173</v>
      </c>
      <c r="E822" s="392"/>
      <c r="F822" s="392"/>
      <c r="G822" s="392"/>
      <c r="H822" s="394">
        <v>177836.69604999994</v>
      </c>
      <c r="I822" s="394">
        <v>160610.30354999998</v>
      </c>
      <c r="J822" s="394">
        <v>181476.71624999997</v>
      </c>
      <c r="K822" s="394">
        <v>135713.23310000001</v>
      </c>
      <c r="L822" s="394">
        <v>168539.34220000001</v>
      </c>
      <c r="M822" s="394">
        <v>173023.15865000003</v>
      </c>
      <c r="N822" s="394">
        <v>188885.14880000005</v>
      </c>
      <c r="O822" s="394">
        <v>187835.51974999998</v>
      </c>
      <c r="P822" s="394">
        <v>178719.25485</v>
      </c>
      <c r="Q822" s="394">
        <v>183650.68444999997</v>
      </c>
      <c r="R822" s="394">
        <v>182611.97760000001</v>
      </c>
      <c r="S822" s="394">
        <v>189505.94075000001</v>
      </c>
      <c r="T822" s="395">
        <f t="shared" si="367"/>
        <v>2108407.9759999998</v>
      </c>
      <c r="U822" s="395"/>
      <c r="V822" s="823"/>
    </row>
    <row r="823" spans="1:23" hidden="1">
      <c r="A823" s="253"/>
      <c r="B823" s="392"/>
      <c r="C823" s="396" t="s">
        <v>622</v>
      </c>
      <c r="D823" s="392" t="s">
        <v>173</v>
      </c>
      <c r="E823" s="392"/>
      <c r="F823" s="392"/>
      <c r="G823" s="392"/>
      <c r="H823" s="394">
        <v>11983.0930888</v>
      </c>
      <c r="I823" s="394">
        <v>10662.222984</v>
      </c>
      <c r="J823" s="394">
        <v>10671.504025599999</v>
      </c>
      <c r="K823" s="394">
        <v>7263.3865480000004</v>
      </c>
      <c r="L823" s="394">
        <v>7321.7753528000012</v>
      </c>
      <c r="M823" s="394">
        <v>7951.1090608000013</v>
      </c>
      <c r="N823" s="394">
        <v>8269.0668471999998</v>
      </c>
      <c r="O823" s="394">
        <v>8461.3943799999997</v>
      </c>
      <c r="P823" s="394">
        <v>8736.2159312000003</v>
      </c>
      <c r="Q823" s="394">
        <v>9077.0815767999975</v>
      </c>
      <c r="R823" s="394">
        <v>7748.9053935999991</v>
      </c>
      <c r="S823" s="394">
        <v>9796.4653007999987</v>
      </c>
      <c r="T823" s="395">
        <f t="shared" si="367"/>
        <v>107942.2204896</v>
      </c>
      <c r="U823" s="395"/>
      <c r="V823" s="823"/>
    </row>
    <row r="824" spans="1:23" hidden="1">
      <c r="A824" s="253"/>
      <c r="B824" s="392"/>
      <c r="C824" s="396" t="s">
        <v>623</v>
      </c>
      <c r="D824" s="392" t="s">
        <v>173</v>
      </c>
      <c r="E824" s="392"/>
      <c r="F824" s="392"/>
      <c r="G824" s="392"/>
      <c r="H824" s="394">
        <v>11492.371800000004</v>
      </c>
      <c r="I824" s="394">
        <v>10717.329</v>
      </c>
      <c r="J824" s="394">
        <v>11448.026100000001</v>
      </c>
      <c r="K824" s="394">
        <v>8174.0484000000006</v>
      </c>
      <c r="L824" s="394">
        <v>11345.741400000003</v>
      </c>
      <c r="M824" s="394">
        <v>10572.122400000002</v>
      </c>
      <c r="N824" s="394">
        <v>10802.511299999998</v>
      </c>
      <c r="O824" s="394">
        <v>10969.266</v>
      </c>
      <c r="P824" s="394">
        <v>10547.228999999998</v>
      </c>
      <c r="Q824" s="394">
        <v>10395.2646</v>
      </c>
      <c r="R824" s="394">
        <v>10059.136499999999</v>
      </c>
      <c r="S824" s="394">
        <v>10759.018200000002</v>
      </c>
      <c r="T824" s="395">
        <f t="shared" si="367"/>
        <v>127282.0647</v>
      </c>
      <c r="U824" s="395"/>
      <c r="V824" s="823"/>
    </row>
    <row r="825" spans="1:23" hidden="1">
      <c r="A825" s="253"/>
      <c r="B825" s="392"/>
      <c r="C825" s="392" t="s">
        <v>537</v>
      </c>
      <c r="D825" s="392" t="s">
        <v>173</v>
      </c>
      <c r="E825" s="392"/>
      <c r="F825" s="392"/>
      <c r="G825" s="392"/>
      <c r="H825" s="394">
        <v>1561913.7858188001</v>
      </c>
      <c r="I825" s="394">
        <v>1445980.1818940002</v>
      </c>
      <c r="J825" s="394">
        <v>1393517.8081755999</v>
      </c>
      <c r="K825" s="394">
        <v>1080078.6951280001</v>
      </c>
      <c r="L825" s="394">
        <v>1330075.0778328001</v>
      </c>
      <c r="M825" s="394">
        <v>1394383.3271908001</v>
      </c>
      <c r="N825" s="394">
        <v>1329842.9689472001</v>
      </c>
      <c r="O825" s="394">
        <v>1409192.2264099999</v>
      </c>
      <c r="P825" s="394">
        <v>1389201.4764612</v>
      </c>
      <c r="Q825" s="394">
        <v>1389827.9070668002</v>
      </c>
      <c r="R825" s="394">
        <v>1289376.5325336002</v>
      </c>
      <c r="S825" s="394">
        <v>1486353.2138508004</v>
      </c>
      <c r="T825" s="395">
        <f t="shared" si="367"/>
        <v>16499743.201309601</v>
      </c>
      <c r="U825" s="395"/>
      <c r="V825" s="823"/>
    </row>
    <row r="826" spans="1:23" s="413" customFormat="1" hidden="1">
      <c r="A826" s="229"/>
      <c r="B826" s="229"/>
      <c r="C826" s="407"/>
      <c r="D826" s="229"/>
      <c r="E826" s="229"/>
      <c r="F826" s="229"/>
      <c r="G826" s="229"/>
      <c r="H826" s="275"/>
      <c r="I826" s="275"/>
      <c r="J826" s="275"/>
      <c r="K826" s="275"/>
      <c r="L826" s="275"/>
      <c r="M826" s="275"/>
      <c r="N826" s="275"/>
      <c r="O826" s="275"/>
      <c r="P826" s="275"/>
      <c r="Q826" s="275"/>
      <c r="R826" s="275"/>
      <c r="S826" s="275"/>
      <c r="T826" s="275"/>
      <c r="U826" s="275"/>
      <c r="V826" s="275"/>
      <c r="W826" s="412"/>
    </row>
    <row r="827" spans="1:23" s="413" customFormat="1" hidden="1">
      <c r="A827" s="229"/>
      <c r="B827" s="229"/>
      <c r="C827" s="407" t="s">
        <v>624</v>
      </c>
      <c r="D827" s="229"/>
      <c r="E827" s="229"/>
      <c r="F827" s="229"/>
      <c r="G827" s="229"/>
      <c r="H827" s="275"/>
      <c r="I827" s="275"/>
      <c r="J827" s="275"/>
      <c r="K827" s="275"/>
      <c r="L827" s="275"/>
      <c r="M827" s="275"/>
      <c r="N827" s="275"/>
      <c r="O827" s="275"/>
      <c r="P827" s="275"/>
      <c r="Q827" s="275"/>
      <c r="R827" s="275"/>
      <c r="S827" s="275"/>
      <c r="T827" s="275"/>
      <c r="U827" s="275"/>
      <c r="V827" s="275"/>
      <c r="W827" s="412"/>
    </row>
    <row r="828" spans="1:23" s="413" customFormat="1" hidden="1">
      <c r="A828" s="229"/>
      <c r="B828" s="229"/>
      <c r="C828" s="320" t="s">
        <v>138</v>
      </c>
      <c r="D828" s="229" t="s">
        <v>173</v>
      </c>
      <c r="E828" s="229"/>
      <c r="F828" s="229"/>
      <c r="G828" s="229"/>
      <c r="H828" s="275">
        <v>13354.297200000001</v>
      </c>
      <c r="I828" s="275">
        <v>12388.525200000002</v>
      </c>
      <c r="J828" s="275">
        <v>13938.595200000002</v>
      </c>
      <c r="K828" s="275">
        <v>13047.7356</v>
      </c>
      <c r="L828" s="275">
        <v>15234.444</v>
      </c>
      <c r="M828" s="275">
        <v>12760.812</v>
      </c>
      <c r="N828" s="275">
        <v>11573.233200000001</v>
      </c>
      <c r="O828" s="275">
        <v>13957.837200000002</v>
      </c>
      <c r="P828" s="275">
        <v>14368.201200000001</v>
      </c>
      <c r="Q828" s="275">
        <v>15178.327200000002</v>
      </c>
      <c r="R828" s="275">
        <v>17390.300400000004</v>
      </c>
      <c r="S828" s="275">
        <v>14365.4004</v>
      </c>
      <c r="T828" s="275">
        <f t="shared" ref="T828:T838" si="368">SUM(H828:S828)</f>
        <v>167557.70880000005</v>
      </c>
      <c r="U828" s="275"/>
      <c r="V828" s="275"/>
      <c r="W828" s="412"/>
    </row>
    <row r="829" spans="1:23" s="413" customFormat="1" hidden="1">
      <c r="A829" s="229"/>
      <c r="B829" s="229"/>
      <c r="C829" s="320" t="s">
        <v>605</v>
      </c>
      <c r="D829" s="229" t="s">
        <v>173</v>
      </c>
      <c r="E829" s="229"/>
      <c r="F829" s="229"/>
      <c r="G829" s="229"/>
      <c r="H829" s="275">
        <v>768483.54427499999</v>
      </c>
      <c r="I829" s="275">
        <v>707580.15641620127</v>
      </c>
      <c r="J829" s="275">
        <v>795520.45636795275</v>
      </c>
      <c r="K829" s="275">
        <v>616236.01806783339</v>
      </c>
      <c r="L829" s="275">
        <v>747462.94462579663</v>
      </c>
      <c r="M829" s="275">
        <v>744698.23962809274</v>
      </c>
      <c r="N829" s="275">
        <v>744698.23962809274</v>
      </c>
      <c r="O829" s="275">
        <v>798561.70787753165</v>
      </c>
      <c r="P829" s="275">
        <v>777933.79444445681</v>
      </c>
      <c r="Q829" s="275">
        <v>775213.04534706357</v>
      </c>
      <c r="R829" s="275">
        <v>749015.35994039639</v>
      </c>
      <c r="S829" s="275">
        <v>759882.09038612142</v>
      </c>
      <c r="T829" s="275">
        <f t="shared" si="368"/>
        <v>8985285.5970045384</v>
      </c>
      <c r="U829" s="275"/>
      <c r="V829" s="275"/>
      <c r="W829" s="412"/>
    </row>
    <row r="830" spans="1:23" s="413" customFormat="1" hidden="1">
      <c r="A830" s="229"/>
      <c r="B830" s="229"/>
      <c r="C830" s="320" t="s">
        <v>606</v>
      </c>
      <c r="D830" s="229" t="s">
        <v>173</v>
      </c>
      <c r="E830" s="229"/>
      <c r="F830" s="229"/>
      <c r="G830" s="229"/>
      <c r="H830" s="275">
        <v>71847.694400000008</v>
      </c>
      <c r="I830" s="275">
        <v>67038.50122000002</v>
      </c>
      <c r="J830" s="275">
        <v>69355.759230000011</v>
      </c>
      <c r="K830" s="275">
        <v>50774.62</v>
      </c>
      <c r="L830" s="275">
        <v>62152.27925</v>
      </c>
      <c r="M830" s="275">
        <v>62978.231249999997</v>
      </c>
      <c r="N830" s="275">
        <v>64521.412499999999</v>
      </c>
      <c r="O830" s="275">
        <v>66726.061499999996</v>
      </c>
      <c r="P830" s="275">
        <v>66204.728000000003</v>
      </c>
      <c r="Q830" s="275">
        <v>68185.478749999995</v>
      </c>
      <c r="R830" s="275">
        <v>66944.602750000005</v>
      </c>
      <c r="S830" s="275">
        <v>72684.75</v>
      </c>
      <c r="T830" s="275">
        <f t="shared" si="368"/>
        <v>789414.11885000009</v>
      </c>
      <c r="U830" s="275"/>
      <c r="V830" s="275"/>
      <c r="W830" s="412"/>
    </row>
    <row r="831" spans="1:23" s="413" customFormat="1" hidden="1">
      <c r="A831" s="229"/>
      <c r="B831" s="229"/>
      <c r="C831" s="320" t="s">
        <v>607</v>
      </c>
      <c r="D831" s="229" t="s">
        <v>173</v>
      </c>
      <c r="E831" s="229"/>
      <c r="F831" s="229"/>
      <c r="G831" s="229"/>
      <c r="H831" s="275">
        <v>806741.75400000019</v>
      </c>
      <c r="I831" s="275">
        <v>730151.03200000012</v>
      </c>
      <c r="J831" s="275">
        <v>760008.02800000005</v>
      </c>
      <c r="K831" s="275">
        <v>572340.83400000003</v>
      </c>
      <c r="L831" s="275">
        <v>707341.69713999983</v>
      </c>
      <c r="M831" s="275">
        <v>714725.25800000003</v>
      </c>
      <c r="N831" s="275">
        <v>703434.36800000002</v>
      </c>
      <c r="O831" s="275">
        <v>728601.30199999991</v>
      </c>
      <c r="P831" s="275">
        <v>702708.89</v>
      </c>
      <c r="Q831" s="275">
        <v>713090.37800000003</v>
      </c>
      <c r="R831" s="275">
        <v>622712.16799999995</v>
      </c>
      <c r="S831" s="275">
        <v>748434.43999999971</v>
      </c>
      <c r="T831" s="275">
        <f t="shared" si="368"/>
        <v>8510290.1491399985</v>
      </c>
      <c r="U831" s="275"/>
      <c r="V831" s="275"/>
      <c r="W831" s="412"/>
    </row>
    <row r="832" spans="1:23" s="413" customFormat="1" hidden="1">
      <c r="A832" s="229"/>
      <c r="B832" s="229"/>
      <c r="C832" s="320" t="s">
        <v>608</v>
      </c>
      <c r="D832" s="229" t="s">
        <v>173</v>
      </c>
      <c r="E832" s="229"/>
      <c r="F832" s="229"/>
      <c r="G832" s="229"/>
      <c r="H832" s="275">
        <v>555087.52122</v>
      </c>
      <c r="I832" s="275">
        <v>524575.556232</v>
      </c>
      <c r="J832" s="275">
        <v>424311.73695600004</v>
      </c>
      <c r="K832" s="275">
        <v>344257.80867599999</v>
      </c>
      <c r="L832" s="275">
        <v>447339.25741200004</v>
      </c>
      <c r="M832" s="275">
        <v>515693.96312399994</v>
      </c>
      <c r="N832" s="275">
        <v>452431.82635199995</v>
      </c>
      <c r="O832" s="275">
        <v>489028.54671600001</v>
      </c>
      <c r="P832" s="275">
        <v>502147.14241199993</v>
      </c>
      <c r="Q832" s="275">
        <v>490689.51480000006</v>
      </c>
      <c r="R832" s="275">
        <v>463928.13389999996</v>
      </c>
      <c r="S832" s="275">
        <v>516698.991324</v>
      </c>
      <c r="T832" s="275">
        <f t="shared" si="368"/>
        <v>5726189.9991239998</v>
      </c>
      <c r="U832" s="275"/>
      <c r="V832" s="275"/>
      <c r="W832" s="412"/>
    </row>
    <row r="833" spans="1:23" s="413" customFormat="1" hidden="1">
      <c r="A833" s="229"/>
      <c r="B833" s="229"/>
      <c r="C833" s="320" t="s">
        <v>609</v>
      </c>
      <c r="D833" s="229" t="s">
        <v>173</v>
      </c>
      <c r="E833" s="229"/>
      <c r="F833" s="229"/>
      <c r="G833" s="229"/>
      <c r="H833" s="275">
        <v>137975.62688</v>
      </c>
      <c r="I833" s="275">
        <v>135942.63115999996</v>
      </c>
      <c r="J833" s="275">
        <v>119722.13735999998</v>
      </c>
      <c r="K833" s="275">
        <v>96250.574559999994</v>
      </c>
      <c r="L833" s="275">
        <v>99095.216639999984</v>
      </c>
      <c r="M833" s="275">
        <v>110506.74096000001</v>
      </c>
      <c r="N833" s="275">
        <v>109544.995</v>
      </c>
      <c r="O833" s="275">
        <v>99858.98692000001</v>
      </c>
      <c r="P833" s="275">
        <v>100718.80895999998</v>
      </c>
      <c r="Q833" s="275">
        <v>95231.96451999998</v>
      </c>
      <c r="R833" s="275">
        <v>93415.399839999969</v>
      </c>
      <c r="S833" s="275">
        <v>113322.26191999999</v>
      </c>
      <c r="T833" s="275">
        <f t="shared" si="368"/>
        <v>1311585.3447199999</v>
      </c>
      <c r="U833" s="275"/>
      <c r="V833" s="275"/>
      <c r="W833" s="412"/>
    </row>
    <row r="834" spans="1:23" s="413" customFormat="1" hidden="1">
      <c r="A834" s="229"/>
      <c r="B834" s="229"/>
      <c r="C834" s="320" t="s">
        <v>610</v>
      </c>
      <c r="D834" s="229" t="s">
        <v>173</v>
      </c>
      <c r="E834" s="229"/>
      <c r="F834" s="229"/>
      <c r="G834" s="229"/>
      <c r="H834" s="275">
        <v>76113.036885000009</v>
      </c>
      <c r="I834" s="275">
        <v>67489.081705000004</v>
      </c>
      <c r="J834" s="275">
        <v>77219.067275000009</v>
      </c>
      <c r="K834" s="275">
        <v>65820.27651499999</v>
      </c>
      <c r="L834" s="275">
        <v>71487.178349999987</v>
      </c>
      <c r="M834" s="275">
        <v>73335.862040000007</v>
      </c>
      <c r="N834" s="275">
        <v>81125.760869999984</v>
      </c>
      <c r="O834" s="275">
        <v>79244.22613000001</v>
      </c>
      <c r="P834" s="275">
        <v>76500.296434999997</v>
      </c>
      <c r="Q834" s="275">
        <v>81454.06306000003</v>
      </c>
      <c r="R834" s="275">
        <v>68696.342309999993</v>
      </c>
      <c r="S834" s="275">
        <v>81019.747969999982</v>
      </c>
      <c r="T834" s="275">
        <f t="shared" si="368"/>
        <v>899504.93954500009</v>
      </c>
      <c r="U834" s="275"/>
      <c r="V834" s="275"/>
      <c r="W834" s="412"/>
    </row>
    <row r="835" spans="1:23" s="413" customFormat="1" hidden="1">
      <c r="A835" s="229"/>
      <c r="B835" s="229"/>
      <c r="C835" s="320" t="s">
        <v>611</v>
      </c>
      <c r="D835" s="229" t="s">
        <v>173</v>
      </c>
      <c r="E835" s="229"/>
      <c r="F835" s="229"/>
      <c r="G835" s="229"/>
      <c r="H835" s="275">
        <v>326.51</v>
      </c>
      <c r="I835" s="275">
        <v>290.25400000000002</v>
      </c>
      <c r="J835" s="275">
        <v>297.05200000000002</v>
      </c>
      <c r="K835" s="275">
        <v>197.554</v>
      </c>
      <c r="L835" s="275">
        <v>199.614</v>
      </c>
      <c r="M835" s="275">
        <v>216.3</v>
      </c>
      <c r="N835" s="275">
        <v>236.488</v>
      </c>
      <c r="O835" s="275">
        <v>230.102</v>
      </c>
      <c r="P835" s="275">
        <v>237.72399999999999</v>
      </c>
      <c r="Q835" s="275">
        <v>246.994</v>
      </c>
      <c r="R835" s="275">
        <v>211.56200000000001</v>
      </c>
      <c r="S835" s="275">
        <v>266.77</v>
      </c>
      <c r="T835" s="275">
        <f t="shared" si="368"/>
        <v>2956.9240000000004</v>
      </c>
      <c r="U835" s="275"/>
      <c r="V835" s="275"/>
      <c r="W835" s="412"/>
    </row>
    <row r="836" spans="1:23" s="413" customFormat="1" hidden="1">
      <c r="A836" s="229"/>
      <c r="B836" s="229"/>
      <c r="C836" s="426" t="s">
        <v>625</v>
      </c>
      <c r="D836" s="229" t="s">
        <v>173</v>
      </c>
      <c r="E836" s="229"/>
      <c r="F836" s="229"/>
      <c r="G836" s="229"/>
      <c r="H836" s="275">
        <v>2429929.9848599997</v>
      </c>
      <c r="I836" s="275">
        <v>2245455.7379332012</v>
      </c>
      <c r="J836" s="275">
        <v>2260372.8323889528</v>
      </c>
      <c r="K836" s="275">
        <v>1758925.4214188335</v>
      </c>
      <c r="L836" s="275">
        <v>2150312.6314177965</v>
      </c>
      <c r="M836" s="275">
        <v>2234915.4070020928</v>
      </c>
      <c r="N836" s="275">
        <v>2167566.3235500925</v>
      </c>
      <c r="O836" s="275">
        <v>2276208.7703435314</v>
      </c>
      <c r="P836" s="275">
        <v>2240819.5854514567</v>
      </c>
      <c r="Q836" s="275">
        <v>2239289.7656770637</v>
      </c>
      <c r="R836" s="275">
        <v>2082313.8691403961</v>
      </c>
      <c r="S836" s="275">
        <v>2306674.4520001211</v>
      </c>
      <c r="T836" s="275">
        <f t="shared" si="368"/>
        <v>26392784.781183541</v>
      </c>
      <c r="U836" s="275"/>
      <c r="V836" s="275"/>
      <c r="W836" s="412"/>
    </row>
    <row r="837" spans="1:23" s="413" customFormat="1" hidden="1">
      <c r="A837" s="229"/>
      <c r="B837" s="229"/>
      <c r="C837" s="427" t="s">
        <v>626</v>
      </c>
      <c r="D837" s="229" t="s">
        <v>173</v>
      </c>
      <c r="E837" s="229"/>
      <c r="F837" s="229"/>
      <c r="G837" s="229"/>
      <c r="H837" s="275">
        <v>868016.19904119964</v>
      </c>
      <c r="I837" s="275">
        <v>799475.5560392011</v>
      </c>
      <c r="J837" s="275">
        <v>866855.02421335294</v>
      </c>
      <c r="K837" s="275">
        <v>678846.72629083344</v>
      </c>
      <c r="L837" s="275">
        <v>820237.55358499638</v>
      </c>
      <c r="M837" s="275">
        <v>840532.0798112927</v>
      </c>
      <c r="N837" s="275">
        <v>837723.35460289242</v>
      </c>
      <c r="O837" s="275">
        <v>867016.5439335315</v>
      </c>
      <c r="P837" s="275">
        <v>851618.10899025667</v>
      </c>
      <c r="Q837" s="275">
        <v>849461.85861026356</v>
      </c>
      <c r="R837" s="275">
        <v>792937.3366067959</v>
      </c>
      <c r="S837" s="275">
        <v>820321.23814932071</v>
      </c>
      <c r="T837" s="428">
        <f t="shared" si="368"/>
        <v>9893041.5798739363</v>
      </c>
      <c r="U837" s="275"/>
      <c r="V837" s="275"/>
      <c r="W837" s="412"/>
    </row>
    <row r="838" spans="1:23" s="413" customFormat="1" hidden="1">
      <c r="A838" s="229"/>
      <c r="B838" s="229"/>
      <c r="C838" s="237" t="s">
        <v>345</v>
      </c>
      <c r="D838" s="62" t="s">
        <v>173</v>
      </c>
      <c r="E838" s="229"/>
      <c r="F838" s="229"/>
      <c r="G838" s="229"/>
      <c r="H838" s="480">
        <v>815510.20955104486</v>
      </c>
      <c r="I838" s="275">
        <v>734538.25157178286</v>
      </c>
      <c r="J838" s="275">
        <v>817728.27179560333</v>
      </c>
      <c r="K838" s="275">
        <v>605618.34959963884</v>
      </c>
      <c r="L838" s="275">
        <v>776211.54200976528</v>
      </c>
      <c r="M838" s="275">
        <v>767580.61577144742</v>
      </c>
      <c r="N838" s="275">
        <v>775081.95760867465</v>
      </c>
      <c r="O838" s="275">
        <v>799452.66661506623</v>
      </c>
      <c r="P838" s="275">
        <v>776262.02119297604</v>
      </c>
      <c r="Q838" s="275">
        <v>786933.70040535391</v>
      </c>
      <c r="R838" s="275">
        <v>790541.56159391452</v>
      </c>
      <c r="S838" s="275">
        <v>820400.81939371477</v>
      </c>
      <c r="T838" s="428">
        <f t="shared" si="368"/>
        <v>9265859.9671089835</v>
      </c>
      <c r="U838" s="275"/>
      <c r="V838" s="275"/>
      <c r="W838" s="412"/>
    </row>
    <row r="839" spans="1:23" s="413" customFormat="1" hidden="1">
      <c r="A839" s="229"/>
      <c r="B839" s="336"/>
      <c r="C839" s="429" t="s">
        <v>627</v>
      </c>
      <c r="D839" s="336"/>
      <c r="E839" s="336"/>
      <c r="F839" s="336"/>
      <c r="G839" s="336"/>
      <c r="H839" s="366"/>
      <c r="I839" s="366"/>
      <c r="J839" s="366"/>
      <c r="K839" s="366"/>
      <c r="L839" s="366"/>
      <c r="M839" s="366"/>
      <c r="N839" s="366"/>
      <c r="O839" s="366"/>
      <c r="P839" s="366"/>
      <c r="Q839" s="366"/>
      <c r="R839" s="366"/>
      <c r="S839" s="366"/>
      <c r="T839" s="366"/>
      <c r="U839" s="366"/>
      <c r="V839" s="366"/>
      <c r="W839" s="412"/>
    </row>
    <row r="840" spans="1:23" s="413" customFormat="1" hidden="1">
      <c r="A840" s="229"/>
      <c r="B840" s="336"/>
      <c r="C840" s="430" t="s">
        <v>138</v>
      </c>
      <c r="D840" s="336" t="s">
        <v>347</v>
      </c>
      <c r="E840" s="336"/>
      <c r="F840" s="336"/>
      <c r="G840" s="336"/>
      <c r="H840" s="345">
        <v>0.28169225651886115</v>
      </c>
      <c r="I840" s="345">
        <v>0.292340454963745</v>
      </c>
      <c r="J840" s="345">
        <v>0.29437156582491641</v>
      </c>
      <c r="K840" s="345">
        <v>0.38181308530508667</v>
      </c>
      <c r="L840" s="345">
        <v>0.34027380231199855</v>
      </c>
      <c r="M840" s="345">
        <v>0.28847810602934909</v>
      </c>
      <c r="N840" s="345">
        <v>0.25890346558336702</v>
      </c>
      <c r="O840" s="345">
        <v>0.3020197606923124</v>
      </c>
      <c r="P840" s="345">
        <v>0.32090308116692912</v>
      </c>
      <c r="Q840" s="345">
        <v>0.33405034865230826</v>
      </c>
      <c r="R840" s="345">
        <v>0.38085357952708448</v>
      </c>
      <c r="S840" s="345">
        <v>0.30232525308748293</v>
      </c>
      <c r="T840" s="345">
        <f>T828/T$808</f>
        <v>0.31341507611811753</v>
      </c>
      <c r="U840" s="366"/>
      <c r="V840" s="366"/>
      <c r="W840" s="412"/>
    </row>
    <row r="841" spans="1:23" s="413" customFormat="1" hidden="1">
      <c r="A841" s="229"/>
      <c r="B841" s="336"/>
      <c r="C841" s="430" t="s">
        <v>605</v>
      </c>
      <c r="D841" s="336" t="s">
        <v>347</v>
      </c>
      <c r="E841" s="336"/>
      <c r="F841" s="336"/>
      <c r="G841" s="336"/>
      <c r="H841" s="345">
        <v>16.210202636828907</v>
      </c>
      <c r="I841" s="345">
        <v>16.697250198113178</v>
      </c>
      <c r="J841" s="345">
        <v>16.800731998213585</v>
      </c>
      <c r="K841" s="345">
        <v>18.032782280980665</v>
      </c>
      <c r="L841" s="345">
        <v>16.695197951112799</v>
      </c>
      <c r="M841" s="345">
        <v>16.835067998126025</v>
      </c>
      <c r="N841" s="345">
        <v>16.659558458870933</v>
      </c>
      <c r="O841" s="345">
        <v>17.279282775358375</v>
      </c>
      <c r="P841" s="345">
        <v>17.374572370347003</v>
      </c>
      <c r="Q841" s="345">
        <v>17.061181029092864</v>
      </c>
      <c r="R841" s="345">
        <v>16.403694840950966</v>
      </c>
      <c r="S841" s="345">
        <v>15.992004322596516</v>
      </c>
      <c r="T841" s="345">
        <f>T829/T$808</f>
        <v>16.806889933602395</v>
      </c>
      <c r="U841" s="366"/>
      <c r="V841" s="366"/>
      <c r="W841" s="412"/>
    </row>
    <row r="842" spans="1:23" s="413" customFormat="1" hidden="1">
      <c r="A842" s="229"/>
      <c r="B842" s="336"/>
      <c r="C842" s="430" t="s">
        <v>606</v>
      </c>
      <c r="D842" s="336" t="s">
        <v>347</v>
      </c>
      <c r="E842" s="336"/>
      <c r="F842" s="336"/>
      <c r="G842" s="336"/>
      <c r="H842" s="345">
        <v>1.5155375725211166</v>
      </c>
      <c r="I842" s="345">
        <v>1.5819531082474916</v>
      </c>
      <c r="J842" s="345">
        <v>1.4647360907296454</v>
      </c>
      <c r="K842" s="345">
        <v>1.4858068029362399</v>
      </c>
      <c r="L842" s="345">
        <v>1.388222135494714</v>
      </c>
      <c r="M842" s="345">
        <v>1.4237213801189426</v>
      </c>
      <c r="N842" s="345">
        <v>1.4434010800528909</v>
      </c>
      <c r="O842" s="345">
        <v>1.4438188981148536</v>
      </c>
      <c r="P842" s="345">
        <v>1.478633331152021</v>
      </c>
      <c r="Q842" s="345">
        <v>1.5006517285687484</v>
      </c>
      <c r="R842" s="345">
        <v>1.4661099003992017</v>
      </c>
      <c r="S842" s="345">
        <v>1.5296778946273175</v>
      </c>
      <c r="T842" s="345">
        <f t="shared" ref="T842:T849" si="369">T830/T$808</f>
        <v>1.4765914855245941</v>
      </c>
      <c r="U842" s="366"/>
      <c r="V842" s="366"/>
      <c r="W842" s="412"/>
    </row>
    <row r="843" spans="1:23" s="413" customFormat="1" hidden="1">
      <c r="A843" s="229"/>
      <c r="B843" s="336"/>
      <c r="C843" s="430" t="s">
        <v>607</v>
      </c>
      <c r="D843" s="336" t="s">
        <v>347</v>
      </c>
      <c r="E843" s="336"/>
      <c r="F843" s="336"/>
      <c r="G843" s="336"/>
      <c r="H843" s="345">
        <v>17.017211891333677</v>
      </c>
      <c r="I843" s="345">
        <v>17.229870500415007</v>
      </c>
      <c r="J843" s="345">
        <v>16.050738975608308</v>
      </c>
      <c r="K843" s="345">
        <v>16.74828693460239</v>
      </c>
      <c r="L843" s="345">
        <v>15.799056980330223</v>
      </c>
      <c r="M843" s="345">
        <v>16.157481887451823</v>
      </c>
      <c r="N843" s="345">
        <v>15.736449144189502</v>
      </c>
      <c r="O843" s="345">
        <v>15.765479115213292</v>
      </c>
      <c r="P843" s="345">
        <v>15.694480111010185</v>
      </c>
      <c r="Q843" s="345">
        <v>15.693961940121193</v>
      </c>
      <c r="R843" s="345">
        <v>13.637611354768266</v>
      </c>
      <c r="S843" s="345">
        <v>15.751084215681761</v>
      </c>
      <c r="T843" s="345">
        <f t="shared" si="369"/>
        <v>15.918415535650828</v>
      </c>
      <c r="U843" s="366"/>
      <c r="V843" s="366"/>
      <c r="W843" s="412"/>
    </row>
    <row r="844" spans="1:23" s="413" customFormat="1" hidden="1">
      <c r="A844" s="229"/>
      <c r="B844" s="336"/>
      <c r="C844" s="430" t="s">
        <v>608</v>
      </c>
      <c r="D844" s="336" t="s">
        <v>347</v>
      </c>
      <c r="E844" s="336"/>
      <c r="F844" s="336"/>
      <c r="G844" s="336"/>
      <c r="H844" s="345">
        <v>11.708879477230971</v>
      </c>
      <c r="I844" s="345">
        <v>12.378766180475013</v>
      </c>
      <c r="J844" s="345">
        <v>8.9611118346867382</v>
      </c>
      <c r="K844" s="345">
        <v>10.073942337623073</v>
      </c>
      <c r="L844" s="345">
        <v>9.9916892302080171</v>
      </c>
      <c r="M844" s="345">
        <v>11.658068293207398</v>
      </c>
      <c r="N844" s="345">
        <v>10.121300224274828</v>
      </c>
      <c r="O844" s="345">
        <v>10.581602474262676</v>
      </c>
      <c r="P844" s="345">
        <v>11.215082734168528</v>
      </c>
      <c r="Q844" s="345">
        <v>10.799279877098181</v>
      </c>
      <c r="R844" s="345">
        <v>10.160186217320058</v>
      </c>
      <c r="S844" s="345">
        <v>10.874124561267045</v>
      </c>
      <c r="T844" s="345">
        <f t="shared" si="369"/>
        <v>10.710783092554744</v>
      </c>
      <c r="U844" s="366"/>
      <c r="V844" s="366"/>
      <c r="W844" s="412"/>
    </row>
    <row r="845" spans="1:23" s="413" customFormat="1" hidden="1">
      <c r="A845" s="229"/>
      <c r="B845" s="336"/>
      <c r="C845" s="430" t="s">
        <v>609</v>
      </c>
      <c r="D845" s="336" t="s">
        <v>347</v>
      </c>
      <c r="E845" s="336"/>
      <c r="F845" s="336"/>
      <c r="G845" s="336"/>
      <c r="H845" s="345">
        <v>2.9104238956454878</v>
      </c>
      <c r="I845" s="345">
        <v>3.2079307262726444</v>
      </c>
      <c r="J845" s="345">
        <v>2.5284322080441015</v>
      </c>
      <c r="K845" s="345">
        <v>2.8165598968100554</v>
      </c>
      <c r="L845" s="345">
        <v>2.2133729433790972</v>
      </c>
      <c r="M845" s="345">
        <v>2.4981776501069599</v>
      </c>
      <c r="N845" s="345">
        <v>2.4506184531745725</v>
      </c>
      <c r="O845" s="345">
        <v>2.1607493267334537</v>
      </c>
      <c r="P845" s="345">
        <v>2.2494796444475806</v>
      </c>
      <c r="Q845" s="345">
        <v>2.0959009864242644</v>
      </c>
      <c r="R845" s="345">
        <v>2.0458294907900392</v>
      </c>
      <c r="S845" s="345">
        <v>2.3849096134772565</v>
      </c>
      <c r="T845" s="345">
        <f t="shared" si="369"/>
        <v>2.4533077206342537</v>
      </c>
      <c r="U845" s="366"/>
      <c r="V845" s="366"/>
      <c r="W845" s="412"/>
    </row>
    <row r="846" spans="1:23" s="413" customFormat="1" hidden="1">
      <c r="A846" s="229"/>
      <c r="B846" s="336"/>
      <c r="C846" s="430" t="s">
        <v>610</v>
      </c>
      <c r="D846" s="336" t="s">
        <v>347</v>
      </c>
      <c r="E846" s="336"/>
      <c r="F846" s="336"/>
      <c r="G846" s="336"/>
      <c r="H846" s="345">
        <v>1.6055096565200722</v>
      </c>
      <c r="I846" s="345">
        <v>1.5925857624057669</v>
      </c>
      <c r="J846" s="345">
        <v>1.6308026324834592</v>
      </c>
      <c r="K846" s="345">
        <v>1.9260846189913663</v>
      </c>
      <c r="L846" s="345">
        <v>1.5967247635496564</v>
      </c>
      <c r="M846" s="345">
        <v>1.6578718176655873</v>
      </c>
      <c r="N846" s="345">
        <v>1.8148550430428121</v>
      </c>
      <c r="O846" s="345">
        <v>1.7146870155521006</v>
      </c>
      <c r="P846" s="345">
        <v>1.7085771903148836</v>
      </c>
      <c r="Q846" s="345">
        <v>1.7926717355480459</v>
      </c>
      <c r="R846" s="345">
        <v>1.504473601225508</v>
      </c>
      <c r="S846" s="345">
        <v>1.7050910610270442</v>
      </c>
      <c r="T846" s="345">
        <f t="shared" si="369"/>
        <v>1.6825153024300532</v>
      </c>
      <c r="U846" s="366"/>
      <c r="V846" s="366"/>
      <c r="W846" s="412"/>
    </row>
    <row r="847" spans="1:23" s="413" customFormat="1" hidden="1">
      <c r="A847" s="229"/>
      <c r="B847" s="336"/>
      <c r="C847" s="430" t="s">
        <v>611</v>
      </c>
      <c r="D847" s="336" t="s">
        <v>347</v>
      </c>
      <c r="E847" s="336"/>
      <c r="F847" s="336"/>
      <c r="G847" s="336"/>
      <c r="H847" s="345">
        <v>6.8873215339234281E-3</v>
      </c>
      <c r="I847" s="345">
        <v>6.849321048727158E-3</v>
      </c>
      <c r="J847" s="345">
        <v>6.2734917770926489E-3</v>
      </c>
      <c r="K847" s="345">
        <v>5.7809802839935767E-3</v>
      </c>
      <c r="L847" s="345">
        <v>4.4585424170850794E-3</v>
      </c>
      <c r="M847" s="345">
        <v>4.8897996721641388E-3</v>
      </c>
      <c r="N847" s="345">
        <v>5.2904457821587227E-3</v>
      </c>
      <c r="O847" s="345">
        <v>4.9789483842684777E-3</v>
      </c>
      <c r="P847" s="345">
        <v>5.309388628781663E-3</v>
      </c>
      <c r="Q847" s="345">
        <v>5.4359370916070527E-3</v>
      </c>
      <c r="R847" s="345">
        <v>4.6332808024356518E-3</v>
      </c>
      <c r="S847" s="345">
        <v>5.6142749606998641E-3</v>
      </c>
      <c r="T847" s="345">
        <f t="shared" si="369"/>
        <v>5.5308977854410021E-3</v>
      </c>
      <c r="U847" s="366"/>
      <c r="V847" s="366"/>
      <c r="W847" s="412"/>
    </row>
    <row r="848" spans="1:23" s="413" customFormat="1" hidden="1">
      <c r="A848" s="229"/>
      <c r="B848" s="336"/>
      <c r="C848" s="431" t="s">
        <v>628</v>
      </c>
      <c r="D848" s="336" t="s">
        <v>347</v>
      </c>
      <c r="E848" s="336"/>
      <c r="F848" s="336"/>
      <c r="G848" s="336"/>
      <c r="H848" s="345">
        <v>51.256344708133007</v>
      </c>
      <c r="I848" s="345">
        <v>52.987546251941566</v>
      </c>
      <c r="J848" s="345">
        <v>47.737198797367853</v>
      </c>
      <c r="K848" s="345">
        <v>51.471056937532872</v>
      </c>
      <c r="L848" s="345">
        <v>48.028996348803588</v>
      </c>
      <c r="M848" s="345">
        <v>50.523756932378248</v>
      </c>
      <c r="N848" s="345">
        <v>48.490376314971058</v>
      </c>
      <c r="O848" s="345">
        <v>49.252618314311327</v>
      </c>
      <c r="P848" s="345">
        <v>50.047037851235913</v>
      </c>
      <c r="Q848" s="345">
        <v>49.283133582597216</v>
      </c>
      <c r="R848" s="345">
        <v>45.603392265783555</v>
      </c>
      <c r="S848" s="345">
        <v>48.54483119672512</v>
      </c>
      <c r="T848" s="345">
        <f t="shared" si="369"/>
        <v>49.367449044300429</v>
      </c>
      <c r="U848" s="366"/>
      <c r="V848" s="366"/>
      <c r="W848" s="412"/>
    </row>
    <row r="849" spans="1:23" s="413" customFormat="1" ht="23.25" hidden="1">
      <c r="A849" s="229"/>
      <c r="B849" s="336"/>
      <c r="C849" s="432" t="s">
        <v>629</v>
      </c>
      <c r="D849" s="336" t="s">
        <v>347</v>
      </c>
      <c r="E849" s="336"/>
      <c r="F849" s="336"/>
      <c r="G849" s="336"/>
      <c r="H849" s="345">
        <v>18.309719945639703</v>
      </c>
      <c r="I849" s="345">
        <v>18.865768443922043</v>
      </c>
      <c r="J849" s="345">
        <v>18.307258885090551</v>
      </c>
      <c r="K849" s="345">
        <v>19.864945992188929</v>
      </c>
      <c r="L849" s="345">
        <v>18.320678533293265</v>
      </c>
      <c r="M849" s="345">
        <v>19.001541785967177</v>
      </c>
      <c r="N849" s="345">
        <v>18.740612580658333</v>
      </c>
      <c r="O849" s="345">
        <v>18.760508907145077</v>
      </c>
      <c r="P849" s="345">
        <v>19.020256700784994</v>
      </c>
      <c r="Q849" s="345">
        <v>18.695276910066632</v>
      </c>
      <c r="R849" s="345">
        <v>17.365601285839251</v>
      </c>
      <c r="S849" s="345">
        <v>17.263968913566149</v>
      </c>
      <c r="T849" s="433">
        <f t="shared" si="369"/>
        <v>18.5048387328861</v>
      </c>
      <c r="U849" s="366"/>
      <c r="V849" s="366"/>
      <c r="W849" s="412"/>
    </row>
    <row r="850" spans="1:23" s="413" customFormat="1" hidden="1">
      <c r="A850" s="229"/>
      <c r="B850" s="336"/>
      <c r="C850" s="432" t="s">
        <v>630</v>
      </c>
      <c r="D850" s="336" t="s">
        <v>347</v>
      </c>
      <c r="E850" s="336"/>
      <c r="F850" s="336"/>
      <c r="G850" s="336"/>
      <c r="H850" s="345">
        <v>106.43842209149783</v>
      </c>
      <c r="I850" s="345">
        <v>108.84056130888537</v>
      </c>
      <c r="J850" s="345">
        <v>106.00771113243705</v>
      </c>
      <c r="K850" s="345">
        <v>112.09150560573408</v>
      </c>
      <c r="L850" s="345">
        <v>105.67190890530165</v>
      </c>
      <c r="M850" s="345">
        <v>109.5040784695333</v>
      </c>
      <c r="N850" s="345">
        <v>108.08190622672763</v>
      </c>
      <c r="O850" s="345">
        <v>108.45126674034813</v>
      </c>
      <c r="P850" s="345">
        <v>109.70755823935218</v>
      </c>
      <c r="Q850" s="345">
        <v>107.94579748874665</v>
      </c>
      <c r="R850" s="345">
        <v>100.30305490935238</v>
      </c>
      <c r="S850" s="345">
        <v>99.990299711736895</v>
      </c>
      <c r="T850" s="345">
        <f>T837/T838*100</f>
        <v>106.76873614528235</v>
      </c>
      <c r="U850" s="275"/>
      <c r="V850" s="275"/>
      <c r="W850" s="412"/>
    </row>
    <row r="851" spans="1:23" s="413" customFormat="1" hidden="1">
      <c r="A851" s="229"/>
      <c r="B851" s="434">
        <v>25.2</v>
      </c>
      <c r="C851" s="407" t="s">
        <v>115</v>
      </c>
      <c r="D851" s="229"/>
      <c r="E851" s="229"/>
      <c r="F851" s="229"/>
      <c r="G851" s="229"/>
      <c r="H851" s="275"/>
      <c r="I851" s="275"/>
      <c r="J851" s="275"/>
      <c r="K851" s="275"/>
      <c r="L851" s="275"/>
      <c r="M851" s="275"/>
      <c r="N851" s="275"/>
      <c r="O851" s="275"/>
      <c r="P851" s="275"/>
      <c r="Q851" s="275"/>
      <c r="R851" s="275"/>
      <c r="S851" s="275"/>
      <c r="T851" s="275"/>
      <c r="U851" s="275"/>
      <c r="V851" s="275"/>
      <c r="W851" s="412"/>
    </row>
    <row r="852" spans="1:23" s="413" customFormat="1" hidden="1">
      <c r="A852" s="229"/>
      <c r="B852" s="229"/>
      <c r="C852" s="320" t="s">
        <v>138</v>
      </c>
      <c r="D852" s="229" t="s">
        <v>90</v>
      </c>
      <c r="E852" s="832">
        <v>3.6</v>
      </c>
      <c r="F852" s="229"/>
      <c r="G852" s="229">
        <v>2.59</v>
      </c>
      <c r="H852" s="477">
        <v>236812</v>
      </c>
      <c r="I852" s="275">
        <v>188664</v>
      </c>
      <c r="J852" s="275">
        <v>209421</v>
      </c>
      <c r="K852" s="275">
        <v>215320</v>
      </c>
      <c r="L852" s="275">
        <v>267462</v>
      </c>
      <c r="M852" s="275">
        <v>253955</v>
      </c>
      <c r="N852" s="275">
        <v>254194</v>
      </c>
      <c r="O852" s="275">
        <v>288318</v>
      </c>
      <c r="P852" s="275">
        <v>256718</v>
      </c>
      <c r="Q852" s="275">
        <v>264069</v>
      </c>
      <c r="R852" s="275">
        <v>269518</v>
      </c>
      <c r="S852" s="275">
        <v>279589</v>
      </c>
      <c r="T852" s="275">
        <f>SUM(H852:S852)</f>
        <v>2984040</v>
      </c>
      <c r="U852" s="275"/>
      <c r="V852" s="275"/>
      <c r="W852" s="412"/>
    </row>
    <row r="853" spans="1:23" s="413" customFormat="1" hidden="1">
      <c r="A853" s="229"/>
      <c r="B853" s="229"/>
      <c r="C853" s="320" t="s">
        <v>631</v>
      </c>
      <c r="D853" s="229" t="s">
        <v>121</v>
      </c>
      <c r="E853" s="832">
        <f>'[5]ETP-2011'!$H$1</f>
        <v>3406</v>
      </c>
      <c r="F853" s="229"/>
      <c r="G853" s="229"/>
      <c r="H853" s="477">
        <v>1488</v>
      </c>
      <c r="I853" s="275">
        <v>1344</v>
      </c>
      <c r="J853" s="275">
        <v>1488</v>
      </c>
      <c r="K853" s="275">
        <v>1248</v>
      </c>
      <c r="L853" s="275">
        <v>150.81</v>
      </c>
      <c r="M853" s="275">
        <v>0</v>
      </c>
      <c r="N853" s="275">
        <v>0</v>
      </c>
      <c r="O853" s="275">
        <v>0</v>
      </c>
      <c r="P853" s="275">
        <v>0</v>
      </c>
      <c r="Q853" s="275">
        <v>0</v>
      </c>
      <c r="R853" s="275">
        <v>0</v>
      </c>
      <c r="S853" s="275">
        <v>0</v>
      </c>
      <c r="T853" s="275">
        <f>SUM(H853:S853)</f>
        <v>5718.81</v>
      </c>
      <c r="U853" s="275"/>
      <c r="V853" s="275"/>
      <c r="W853" s="412"/>
    </row>
    <row r="854" spans="1:23" s="413" customFormat="1" hidden="1">
      <c r="A854" s="229"/>
      <c r="B854" s="229"/>
      <c r="C854" s="320" t="s">
        <v>632</v>
      </c>
      <c r="D854" s="229" t="s">
        <v>121</v>
      </c>
      <c r="E854" s="832">
        <f>'[5]ETP-2011'!$H$2</f>
        <v>3156</v>
      </c>
      <c r="F854" s="229"/>
      <c r="G854" s="229"/>
      <c r="H854" s="477">
        <v>6120.4700000000021</v>
      </c>
      <c r="I854" s="275">
        <v>5192.4699999999993</v>
      </c>
      <c r="J854" s="275">
        <v>6448.6500000000005</v>
      </c>
      <c r="K854" s="275">
        <v>4874.9800000000005</v>
      </c>
      <c r="L854" s="275">
        <v>6159.6500000000005</v>
      </c>
      <c r="M854" s="275">
        <v>5477.9100000000008</v>
      </c>
      <c r="N854" s="275">
        <v>5643.4299999999994</v>
      </c>
      <c r="O854" s="275">
        <v>5766.6000000000013</v>
      </c>
      <c r="P854" s="275">
        <v>6380.9800000000005</v>
      </c>
      <c r="Q854" s="275">
        <v>5997.8600000000006</v>
      </c>
      <c r="R854" s="275">
        <v>5643.28</v>
      </c>
      <c r="S854" s="275">
        <v>5957.44</v>
      </c>
      <c r="T854" s="275">
        <f>SUM(H854:S854)</f>
        <v>69663.72</v>
      </c>
      <c r="U854" s="275"/>
      <c r="V854" s="275"/>
      <c r="W854" s="412"/>
    </row>
    <row r="855" spans="1:23" s="413" customFormat="1" hidden="1">
      <c r="A855" s="229"/>
      <c r="B855" s="229"/>
      <c r="C855" s="320" t="s">
        <v>633</v>
      </c>
      <c r="D855" s="229" t="s">
        <v>121</v>
      </c>
      <c r="E855" s="832">
        <f>'[5]ETP-2011'!$H$3</f>
        <v>2996</v>
      </c>
      <c r="F855" s="229"/>
      <c r="G855" s="229"/>
      <c r="H855" s="477">
        <v>4058.9799999999996</v>
      </c>
      <c r="I855" s="275">
        <v>3467.8900000000008</v>
      </c>
      <c r="J855" s="275">
        <v>3913.559999999999</v>
      </c>
      <c r="K855" s="275">
        <v>2818.6200000000003</v>
      </c>
      <c r="L855" s="275">
        <v>4106.7999999999993</v>
      </c>
      <c r="M855" s="275">
        <v>3268.2999999999988</v>
      </c>
      <c r="N855" s="275">
        <v>3311.1899999999996</v>
      </c>
      <c r="O855" s="275">
        <v>3473.8000000000011</v>
      </c>
      <c r="P855" s="275">
        <v>3852.630000000001</v>
      </c>
      <c r="Q855" s="275">
        <v>3792.2300000000009</v>
      </c>
      <c r="R855" s="275">
        <v>4184.3999999999996</v>
      </c>
      <c r="S855" s="275">
        <v>3862.85</v>
      </c>
      <c r="T855" s="275">
        <f>SUM(H855:S855)</f>
        <v>44111.25</v>
      </c>
      <c r="U855" s="275"/>
      <c r="V855" s="275"/>
      <c r="W855" s="412"/>
    </row>
    <row r="856" spans="1:23" s="413" customFormat="1" hidden="1">
      <c r="A856" s="229"/>
      <c r="B856" s="229"/>
      <c r="C856" s="320" t="s">
        <v>634</v>
      </c>
      <c r="D856" s="229" t="s">
        <v>121</v>
      </c>
      <c r="E856" s="832">
        <f>'[5]ETP-2011'!$H$4</f>
        <v>2815</v>
      </c>
      <c r="F856" s="229"/>
      <c r="G856" s="229"/>
      <c r="H856" s="477">
        <v>3162</v>
      </c>
      <c r="I856" s="275">
        <v>2856</v>
      </c>
      <c r="J856" s="275">
        <v>3162</v>
      </c>
      <c r="K856" s="275">
        <v>2652</v>
      </c>
      <c r="L856" s="275">
        <v>3060</v>
      </c>
      <c r="M856" s="275">
        <v>3060</v>
      </c>
      <c r="N856" s="275">
        <v>3162</v>
      </c>
      <c r="O856" s="275">
        <v>3162</v>
      </c>
      <c r="P856" s="275">
        <v>3060</v>
      </c>
      <c r="Q856" s="275">
        <v>3162</v>
      </c>
      <c r="R856" s="275">
        <v>3060</v>
      </c>
      <c r="S856" s="275">
        <v>3162</v>
      </c>
      <c r="T856" s="275">
        <f>SUM(H856:S856)</f>
        <v>36720</v>
      </c>
      <c r="U856" s="275"/>
      <c r="V856" s="275"/>
      <c r="W856" s="412"/>
    </row>
    <row r="857" spans="1:23" s="413" customFormat="1" hidden="1">
      <c r="A857" s="229"/>
      <c r="B857" s="229"/>
      <c r="C857" s="407"/>
      <c r="D857" s="229"/>
      <c r="E857" s="229"/>
      <c r="F857" s="229"/>
      <c r="G857" s="229"/>
      <c r="H857" s="275"/>
      <c r="I857" s="275"/>
      <c r="J857" s="275"/>
      <c r="K857" s="275"/>
      <c r="L857" s="275"/>
      <c r="M857" s="275"/>
      <c r="N857" s="275"/>
      <c r="O857" s="275"/>
      <c r="P857" s="275"/>
      <c r="Q857" s="275"/>
      <c r="R857" s="275"/>
      <c r="S857" s="275"/>
      <c r="T857" s="275"/>
      <c r="U857" s="275"/>
      <c r="V857" s="275"/>
      <c r="W857" s="412"/>
    </row>
    <row r="858" spans="1:23" hidden="1">
      <c r="A858" s="342"/>
      <c r="B858" s="420"/>
      <c r="C858" s="423" t="s">
        <v>635</v>
      </c>
      <c r="D858" s="233" t="s">
        <v>121</v>
      </c>
      <c r="E858" s="420"/>
      <c r="F858" s="420"/>
      <c r="G858" s="342"/>
      <c r="H858" s="835">
        <v>12441.674170999997</v>
      </c>
      <c r="I858" s="421">
        <v>10520.323495000001</v>
      </c>
      <c r="J858" s="421">
        <v>11378.007095999999</v>
      </c>
      <c r="K858" s="421">
        <v>8596.0059539999984</v>
      </c>
      <c r="L858" s="421">
        <v>11648.548344000003</v>
      </c>
      <c r="M858" s="421">
        <v>10028.637706</v>
      </c>
      <c r="N858" s="421">
        <v>10052.232641999999</v>
      </c>
      <c r="O858" s="421">
        <v>11654.102109000001</v>
      </c>
      <c r="P858" s="421">
        <v>12965.597369000001</v>
      </c>
      <c r="Q858" s="421">
        <v>13627.367233000001</v>
      </c>
      <c r="R858" s="421">
        <v>13164.209653</v>
      </c>
      <c r="S858" s="421">
        <v>14556.478437000002</v>
      </c>
      <c r="T858" s="236">
        <f>SUM(H858:S858)</f>
        <v>140633.184209</v>
      </c>
      <c r="U858" s="422"/>
      <c r="V858" s="833"/>
    </row>
    <row r="859" spans="1:23" s="413" customFormat="1" hidden="1">
      <c r="A859" s="229"/>
      <c r="B859" s="229"/>
      <c r="C859" s="407"/>
      <c r="D859" s="229"/>
      <c r="E859" s="229"/>
      <c r="F859" s="229"/>
      <c r="G859" s="229"/>
      <c r="H859" s="275"/>
      <c r="I859" s="275"/>
      <c r="J859" s="275"/>
      <c r="K859" s="275"/>
      <c r="L859" s="275"/>
      <c r="M859" s="275"/>
      <c r="N859" s="275"/>
      <c r="O859" s="275"/>
      <c r="P859" s="275"/>
      <c r="Q859" s="275"/>
      <c r="R859" s="275"/>
      <c r="S859" s="275"/>
      <c r="T859" s="275"/>
      <c r="U859" s="275"/>
      <c r="V859" s="275"/>
      <c r="W859" s="412"/>
    </row>
    <row r="860" spans="1:23" hidden="1">
      <c r="A860" s="253"/>
      <c r="B860" s="392"/>
      <c r="C860" s="393" t="s">
        <v>534</v>
      </c>
      <c r="D860" s="392"/>
      <c r="E860" s="392"/>
      <c r="F860" s="392"/>
      <c r="G860" s="392"/>
      <c r="H860" s="394"/>
      <c r="I860" s="394"/>
      <c r="J860" s="394"/>
      <c r="K860" s="394"/>
      <c r="L860" s="394"/>
      <c r="M860" s="394"/>
      <c r="N860" s="394"/>
      <c r="O860" s="394"/>
      <c r="P860" s="394"/>
      <c r="Q860" s="394"/>
      <c r="R860" s="394"/>
      <c r="S860" s="394"/>
      <c r="T860" s="395"/>
      <c r="U860" s="395"/>
      <c r="V860" s="823"/>
    </row>
    <row r="861" spans="1:23" hidden="1">
      <c r="A861" s="253"/>
      <c r="B861" s="392"/>
      <c r="C861" s="396" t="s">
        <v>636</v>
      </c>
      <c r="D861" s="392" t="s">
        <v>121</v>
      </c>
      <c r="E861" s="824">
        <f>'[5]ETP-2011'!$L$3</f>
        <v>210</v>
      </c>
      <c r="F861" s="392"/>
      <c r="G861" s="392"/>
      <c r="H861" s="360">
        <v>11444</v>
      </c>
      <c r="I861" s="424">
        <v>10676</v>
      </c>
      <c r="J861" s="424">
        <v>11399</v>
      </c>
      <c r="K861" s="424">
        <v>8142</v>
      </c>
      <c r="L861" s="424">
        <v>11298</v>
      </c>
      <c r="M861" s="424">
        <v>10526</v>
      </c>
      <c r="N861" s="424">
        <v>10757</v>
      </c>
      <c r="O861" s="424">
        <v>10921</v>
      </c>
      <c r="P861" s="424">
        <v>10505</v>
      </c>
      <c r="Q861" s="424">
        <v>10351</v>
      </c>
      <c r="R861" s="424">
        <v>10020</v>
      </c>
      <c r="S861" s="424">
        <v>10716</v>
      </c>
      <c r="T861" s="424">
        <f>SUM(H861:S861)</f>
        <v>126755</v>
      </c>
      <c r="U861" s="824"/>
      <c r="V861" s="392"/>
    </row>
    <row r="862" spans="1:23" hidden="1">
      <c r="A862" s="253"/>
      <c r="B862" s="392"/>
      <c r="C862" s="396"/>
      <c r="D862" s="392"/>
      <c r="E862" s="392"/>
      <c r="F862" s="392"/>
      <c r="G862" s="392"/>
      <c r="H862" s="392"/>
      <c r="I862" s="392"/>
      <c r="J862" s="392"/>
      <c r="K862" s="392"/>
      <c r="L862" s="392"/>
      <c r="M862" s="392"/>
      <c r="N862" s="392"/>
      <c r="O862" s="392"/>
      <c r="P862" s="392"/>
      <c r="Q862" s="392"/>
      <c r="R862" s="392"/>
      <c r="S862" s="392"/>
      <c r="T862" s="395"/>
      <c r="U862" s="824"/>
      <c r="V862" s="392"/>
    </row>
    <row r="863" spans="1:23" hidden="1">
      <c r="A863" s="253"/>
      <c r="B863" s="392"/>
      <c r="C863" s="393" t="s">
        <v>536</v>
      </c>
      <c r="D863" s="392"/>
      <c r="E863" s="392"/>
      <c r="F863" s="392"/>
      <c r="G863" s="392"/>
      <c r="H863" s="394"/>
      <c r="I863" s="394"/>
      <c r="J863" s="394"/>
      <c r="K863" s="394"/>
      <c r="L863" s="394"/>
      <c r="M863" s="394"/>
      <c r="N863" s="394"/>
      <c r="O863" s="394"/>
      <c r="P863" s="394"/>
      <c r="Q863" s="394"/>
      <c r="R863" s="394"/>
      <c r="S863" s="394"/>
      <c r="T863" s="395"/>
      <c r="U863" s="395"/>
      <c r="V863" s="823"/>
    </row>
    <row r="864" spans="1:23" hidden="1">
      <c r="A864" s="253"/>
      <c r="B864" s="392"/>
      <c r="C864" s="396" t="s">
        <v>636</v>
      </c>
      <c r="D864" s="392" t="s">
        <v>173</v>
      </c>
      <c r="E864" s="392"/>
      <c r="F864" s="392"/>
      <c r="G864" s="392"/>
      <c r="H864" s="394">
        <v>2403.2399999999998</v>
      </c>
      <c r="I864" s="394">
        <v>2241.96</v>
      </c>
      <c r="J864" s="394">
        <v>2393.79</v>
      </c>
      <c r="K864" s="394">
        <v>1709.82</v>
      </c>
      <c r="L864" s="394">
        <v>2372.58</v>
      </c>
      <c r="M864" s="394">
        <v>2210.46</v>
      </c>
      <c r="N864" s="394">
        <v>2258.9699999999998</v>
      </c>
      <c r="O864" s="394">
        <v>2293.41</v>
      </c>
      <c r="P864" s="394">
        <v>2206.0500000000002</v>
      </c>
      <c r="Q864" s="394">
        <v>2173.71</v>
      </c>
      <c r="R864" s="394">
        <v>2104.1999999999998</v>
      </c>
      <c r="S864" s="394">
        <v>2250.36</v>
      </c>
      <c r="T864" s="395">
        <f>SUM(H864:S864)</f>
        <v>26618.549999999996</v>
      </c>
      <c r="U864" s="395"/>
      <c r="V864" s="823"/>
    </row>
    <row r="865" spans="1:23" hidden="1">
      <c r="A865" s="253"/>
      <c r="B865" s="392"/>
      <c r="C865" s="392" t="s">
        <v>537</v>
      </c>
      <c r="D865" s="392" t="s">
        <v>173</v>
      </c>
      <c r="E865" s="392"/>
      <c r="F865" s="392"/>
      <c r="G865" s="392"/>
      <c r="H865" s="394">
        <v>2403.2399999999998</v>
      </c>
      <c r="I865" s="394">
        <v>2241.96</v>
      </c>
      <c r="J865" s="394">
        <v>2393.79</v>
      </c>
      <c r="K865" s="394">
        <v>1709.82</v>
      </c>
      <c r="L865" s="394">
        <v>2372.58</v>
      </c>
      <c r="M865" s="394">
        <v>2210.46</v>
      </c>
      <c r="N865" s="394">
        <v>2258.9699999999998</v>
      </c>
      <c r="O865" s="394">
        <v>2293.41</v>
      </c>
      <c r="P865" s="394">
        <v>2206.0500000000002</v>
      </c>
      <c r="Q865" s="394">
        <v>2173.71</v>
      </c>
      <c r="R865" s="394">
        <v>2104.1999999999998</v>
      </c>
      <c r="S865" s="394">
        <v>2250.36</v>
      </c>
      <c r="T865" s="395">
        <f>SUM(H865:S865)</f>
        <v>26618.549999999996</v>
      </c>
      <c r="U865" s="395"/>
      <c r="V865" s="823"/>
    </row>
    <row r="866" spans="1:23" s="413" customFormat="1" hidden="1">
      <c r="A866" s="229"/>
      <c r="B866" s="229"/>
      <c r="C866" s="407"/>
      <c r="D866" s="229"/>
      <c r="E866" s="229"/>
      <c r="F866" s="229"/>
      <c r="G866" s="229"/>
      <c r="H866" s="275"/>
      <c r="I866" s="275"/>
      <c r="J866" s="275"/>
      <c r="K866" s="275"/>
      <c r="L866" s="275"/>
      <c r="M866" s="275"/>
      <c r="N866" s="275"/>
      <c r="O866" s="275"/>
      <c r="P866" s="275"/>
      <c r="Q866" s="275"/>
      <c r="R866" s="275"/>
      <c r="S866" s="275"/>
      <c r="T866" s="275"/>
      <c r="U866" s="275"/>
      <c r="V866" s="275"/>
      <c r="W866" s="412"/>
    </row>
    <row r="867" spans="1:23" s="413" customFormat="1" hidden="1">
      <c r="A867" s="229"/>
      <c r="B867" s="229"/>
      <c r="C867" s="407" t="s">
        <v>624</v>
      </c>
      <c r="D867" s="229"/>
      <c r="E867" s="229"/>
      <c r="F867" s="229"/>
      <c r="G867" s="229"/>
      <c r="H867" s="275"/>
      <c r="I867" s="275"/>
      <c r="J867" s="275"/>
      <c r="K867" s="275"/>
      <c r="L867" s="275"/>
      <c r="M867" s="275"/>
      <c r="N867" s="275"/>
      <c r="O867" s="275"/>
      <c r="P867" s="275"/>
      <c r="Q867" s="275"/>
      <c r="R867" s="275"/>
      <c r="S867" s="275"/>
      <c r="T867" s="275"/>
      <c r="U867" s="275"/>
      <c r="V867" s="275"/>
      <c r="W867" s="412"/>
    </row>
    <row r="868" spans="1:23" s="413" customFormat="1" hidden="1">
      <c r="A868" s="229"/>
      <c r="B868" s="229"/>
      <c r="C868" s="320" t="s">
        <v>138</v>
      </c>
      <c r="D868" s="229" t="s">
        <v>173</v>
      </c>
      <c r="E868" s="229"/>
      <c r="F868" s="229"/>
      <c r="G868" s="229"/>
      <c r="H868" s="275">
        <v>852.52320000000009</v>
      </c>
      <c r="I868" s="275">
        <v>679.19040000000007</v>
      </c>
      <c r="J868" s="275">
        <v>753.91559999999993</v>
      </c>
      <c r="K868" s="275">
        <v>775.15200000000004</v>
      </c>
      <c r="L868" s="275">
        <v>962.86320000000012</v>
      </c>
      <c r="M868" s="275">
        <v>914.23800000000006</v>
      </c>
      <c r="N868" s="275">
        <v>915.09839999999997</v>
      </c>
      <c r="O868" s="275">
        <v>1037.9448</v>
      </c>
      <c r="P868" s="275">
        <v>924.1848</v>
      </c>
      <c r="Q868" s="275">
        <v>950.64840000000004</v>
      </c>
      <c r="R868" s="275">
        <v>970.26480000000004</v>
      </c>
      <c r="S868" s="275">
        <v>1006.5204</v>
      </c>
      <c r="T868" s="275">
        <f t="shared" ref="T868:T875" si="370">SUM(H868:S868)</f>
        <v>10742.544</v>
      </c>
      <c r="U868" s="275"/>
      <c r="V868" s="275"/>
      <c r="W868" s="412"/>
    </row>
    <row r="869" spans="1:23" s="413" customFormat="1" hidden="1">
      <c r="A869" s="229"/>
      <c r="B869" s="229"/>
      <c r="C869" s="320" t="s">
        <v>631</v>
      </c>
      <c r="D869" s="229" t="s">
        <v>173</v>
      </c>
      <c r="E869" s="229"/>
      <c r="F869" s="229"/>
      <c r="G869" s="229"/>
      <c r="H869" s="275">
        <v>5068.1279999999997</v>
      </c>
      <c r="I869" s="275">
        <v>4577.6639999999998</v>
      </c>
      <c r="J869" s="275">
        <v>5068.1279999999997</v>
      </c>
      <c r="K869" s="275">
        <v>4250.6880000000001</v>
      </c>
      <c r="L869" s="275">
        <v>513.65886</v>
      </c>
      <c r="M869" s="275">
        <v>0</v>
      </c>
      <c r="N869" s="275">
        <v>0</v>
      </c>
      <c r="O869" s="275">
        <v>0</v>
      </c>
      <c r="P869" s="275">
        <v>0</v>
      </c>
      <c r="Q869" s="275">
        <v>0</v>
      </c>
      <c r="R869" s="275">
        <v>0</v>
      </c>
      <c r="S869" s="275">
        <v>0</v>
      </c>
      <c r="T869" s="275">
        <f t="shared" si="370"/>
        <v>19478.26686</v>
      </c>
      <c r="U869" s="275"/>
      <c r="V869" s="275"/>
      <c r="W869" s="412"/>
    </row>
    <row r="870" spans="1:23" s="413" customFormat="1" hidden="1">
      <c r="A870" s="229"/>
      <c r="B870" s="229"/>
      <c r="C870" s="320" t="s">
        <v>632</v>
      </c>
      <c r="D870" s="229" t="s">
        <v>173</v>
      </c>
      <c r="E870" s="229"/>
      <c r="F870" s="229"/>
      <c r="G870" s="229"/>
      <c r="H870" s="275">
        <v>19316.203320000008</v>
      </c>
      <c r="I870" s="275">
        <v>16387.435319999997</v>
      </c>
      <c r="J870" s="275">
        <v>20351.939400000003</v>
      </c>
      <c r="K870" s="275">
        <v>15385.436880000001</v>
      </c>
      <c r="L870" s="275">
        <v>19439.855400000004</v>
      </c>
      <c r="M870" s="275">
        <v>17288.283960000001</v>
      </c>
      <c r="N870" s="275">
        <v>17810.665079999999</v>
      </c>
      <c r="O870" s="275">
        <v>18199.389600000006</v>
      </c>
      <c r="P870" s="275">
        <v>20138.372880000003</v>
      </c>
      <c r="Q870" s="275">
        <v>18929.246159999999</v>
      </c>
      <c r="R870" s="275">
        <v>17810.19168</v>
      </c>
      <c r="S870" s="275">
        <v>18801.680640000002</v>
      </c>
      <c r="T870" s="275">
        <f t="shared" si="370"/>
        <v>219858.70032000003</v>
      </c>
      <c r="U870" s="275"/>
      <c r="V870" s="275"/>
      <c r="W870" s="412"/>
    </row>
    <row r="871" spans="1:23" s="413" customFormat="1" hidden="1">
      <c r="A871" s="229"/>
      <c r="B871" s="229"/>
      <c r="C871" s="320" t="s">
        <v>633</v>
      </c>
      <c r="D871" s="229" t="s">
        <v>173</v>
      </c>
      <c r="E871" s="229"/>
      <c r="F871" s="229"/>
      <c r="G871" s="229"/>
      <c r="H871" s="275">
        <v>12160.704079999998</v>
      </c>
      <c r="I871" s="275">
        <v>10389.798440000002</v>
      </c>
      <c r="J871" s="275">
        <v>11725.025759999999</v>
      </c>
      <c r="K871" s="275">
        <v>8444.5855200000005</v>
      </c>
      <c r="L871" s="275">
        <v>12303.972799999998</v>
      </c>
      <c r="M871" s="275">
        <v>9791.8267999999971</v>
      </c>
      <c r="N871" s="275">
        <v>9920.3252399999983</v>
      </c>
      <c r="O871" s="275">
        <v>10407.504800000002</v>
      </c>
      <c r="P871" s="275">
        <v>11542.479480000002</v>
      </c>
      <c r="Q871" s="275">
        <v>11361.521080000002</v>
      </c>
      <c r="R871" s="275">
        <v>12536.462399999999</v>
      </c>
      <c r="S871" s="275">
        <v>11573.098599999999</v>
      </c>
      <c r="T871" s="275">
        <f t="shared" si="370"/>
        <v>132157.30500000002</v>
      </c>
      <c r="U871" s="275"/>
      <c r="V871" s="275"/>
      <c r="W871" s="412"/>
    </row>
    <row r="872" spans="1:23" s="413" customFormat="1" hidden="1">
      <c r="A872" s="229"/>
      <c r="B872" s="229"/>
      <c r="C872" s="320" t="s">
        <v>634</v>
      </c>
      <c r="D872" s="229" t="s">
        <v>173</v>
      </c>
      <c r="E872" s="229"/>
      <c r="F872" s="229"/>
      <c r="G872" s="229"/>
      <c r="H872" s="275">
        <v>8901.0300000000007</v>
      </c>
      <c r="I872" s="275">
        <v>8039.64</v>
      </c>
      <c r="J872" s="275">
        <v>8901.0300000000007</v>
      </c>
      <c r="K872" s="275">
        <v>7465.38</v>
      </c>
      <c r="L872" s="275">
        <v>8613.9</v>
      </c>
      <c r="M872" s="275">
        <v>8613.9</v>
      </c>
      <c r="N872" s="275">
        <v>8901.0300000000007</v>
      </c>
      <c r="O872" s="275">
        <v>8901.0300000000007</v>
      </c>
      <c r="P872" s="275">
        <v>8613.9</v>
      </c>
      <c r="Q872" s="275">
        <v>8901.0300000000007</v>
      </c>
      <c r="R872" s="275">
        <v>8613.9</v>
      </c>
      <c r="S872" s="275">
        <v>8901.0300000000007</v>
      </c>
      <c r="T872" s="275">
        <f t="shared" si="370"/>
        <v>103366.79999999999</v>
      </c>
      <c r="U872" s="275"/>
      <c r="V872" s="275"/>
      <c r="W872" s="412"/>
    </row>
    <row r="873" spans="1:23" s="413" customFormat="1" hidden="1">
      <c r="A873" s="229"/>
      <c r="B873" s="229"/>
      <c r="C873" s="426" t="s">
        <v>625</v>
      </c>
      <c r="D873" s="229" t="s">
        <v>173</v>
      </c>
      <c r="E873" s="229"/>
      <c r="F873" s="229"/>
      <c r="G873" s="229"/>
      <c r="H873" s="275">
        <v>46298.588600000003</v>
      </c>
      <c r="I873" s="275">
        <v>40073.728159999999</v>
      </c>
      <c r="J873" s="275">
        <v>46800.038760000003</v>
      </c>
      <c r="K873" s="275">
        <v>36321.242400000003</v>
      </c>
      <c r="L873" s="275">
        <v>41834.250260000001</v>
      </c>
      <c r="M873" s="275">
        <v>36608.248760000002</v>
      </c>
      <c r="N873" s="275">
        <v>37547.118719999999</v>
      </c>
      <c r="O873" s="275">
        <v>38545.869200000008</v>
      </c>
      <c r="P873" s="275">
        <v>41218.937160000001</v>
      </c>
      <c r="Q873" s="275">
        <v>40142.445640000005</v>
      </c>
      <c r="R873" s="275">
        <v>39930.818879999999</v>
      </c>
      <c r="S873" s="275">
        <v>40282.329640000004</v>
      </c>
      <c r="T873" s="275">
        <f t="shared" si="370"/>
        <v>485603.61618000001</v>
      </c>
      <c r="U873" s="275"/>
      <c r="V873" s="275"/>
      <c r="W873" s="412"/>
    </row>
    <row r="874" spans="1:23" s="413" customFormat="1" hidden="1">
      <c r="A874" s="229"/>
      <c r="B874" s="229"/>
      <c r="C874" s="427" t="s">
        <v>626</v>
      </c>
      <c r="D874" s="229" t="s">
        <v>173</v>
      </c>
      <c r="E874" s="229"/>
      <c r="F874" s="229"/>
      <c r="G874" s="229"/>
      <c r="H874" s="275">
        <v>43895.348600000005</v>
      </c>
      <c r="I874" s="275">
        <v>37831.76816</v>
      </c>
      <c r="J874" s="275">
        <v>44406.248760000002</v>
      </c>
      <c r="K874" s="275">
        <v>34611.422400000003</v>
      </c>
      <c r="L874" s="275">
        <v>39461.670259999999</v>
      </c>
      <c r="M874" s="275">
        <v>34397.788760000003</v>
      </c>
      <c r="N874" s="275">
        <v>35288.148719999997</v>
      </c>
      <c r="O874" s="275">
        <v>36252.459200000012</v>
      </c>
      <c r="P874" s="275">
        <v>39012.887159999998</v>
      </c>
      <c r="Q874" s="275">
        <v>37968.735640000006</v>
      </c>
      <c r="R874" s="275">
        <v>37826.618880000002</v>
      </c>
      <c r="S874" s="275">
        <v>38031.969640000003</v>
      </c>
      <c r="T874" s="428">
        <f t="shared" si="370"/>
        <v>458985.06618000014</v>
      </c>
      <c r="U874" s="275"/>
      <c r="V874" s="275"/>
      <c r="W874" s="412"/>
    </row>
    <row r="875" spans="1:23" s="413" customFormat="1" hidden="1">
      <c r="A875" s="229"/>
      <c r="B875" s="229"/>
      <c r="C875" s="237" t="s">
        <v>345</v>
      </c>
      <c r="D875" s="62" t="s">
        <v>173</v>
      </c>
      <c r="E875" s="229"/>
      <c r="F875" s="229"/>
      <c r="G875" s="229"/>
      <c r="H875" s="480">
        <v>46454.181906864134</v>
      </c>
      <c r="I875" s="275">
        <v>41793.527043058923</v>
      </c>
      <c r="J875" s="275">
        <v>44179.836289532599</v>
      </c>
      <c r="K875" s="275">
        <v>37431.486123404989</v>
      </c>
      <c r="L875" s="275">
        <v>44836.093056764788</v>
      </c>
      <c r="M875" s="275">
        <v>40906.646710383953</v>
      </c>
      <c r="N875" s="275">
        <v>40963.881370669144</v>
      </c>
      <c r="O875" s="275">
        <v>44849.564924333259</v>
      </c>
      <c r="P875" s="275">
        <v>48030.882545696266</v>
      </c>
      <c r="Q875" s="275">
        <v>49636.149597618496</v>
      </c>
      <c r="R875" s="275">
        <v>48512.659932301794</v>
      </c>
      <c r="S875" s="275">
        <v>51889.911342431049</v>
      </c>
      <c r="T875" s="428">
        <f t="shared" si="370"/>
        <v>539484.82084305945</v>
      </c>
      <c r="U875" s="275"/>
      <c r="V875" s="275"/>
      <c r="W875" s="412"/>
    </row>
    <row r="876" spans="1:23" s="413" customFormat="1" hidden="1">
      <c r="A876" s="229"/>
      <c r="B876" s="336"/>
      <c r="C876" s="429" t="s">
        <v>637</v>
      </c>
      <c r="D876" s="336"/>
      <c r="E876" s="336"/>
      <c r="F876" s="336"/>
      <c r="G876" s="336"/>
      <c r="H876" s="366"/>
      <c r="I876" s="366"/>
      <c r="J876" s="366"/>
      <c r="K876" s="366"/>
      <c r="L876" s="366"/>
      <c r="M876" s="366"/>
      <c r="N876" s="366"/>
      <c r="O876" s="366"/>
      <c r="P876" s="366"/>
      <c r="Q876" s="366"/>
      <c r="R876" s="366"/>
      <c r="S876" s="366"/>
      <c r="T876" s="366"/>
      <c r="U876" s="366"/>
      <c r="V876" s="366"/>
      <c r="W876" s="412"/>
    </row>
    <row r="877" spans="1:23" s="413" customFormat="1" hidden="1">
      <c r="A877" s="229"/>
      <c r="B877" s="336"/>
      <c r="C877" s="430" t="s">
        <v>138</v>
      </c>
      <c r="D877" s="336" t="s">
        <v>347</v>
      </c>
      <c r="E877" s="336"/>
      <c r="F877" s="336"/>
      <c r="G877" s="336"/>
      <c r="H877" s="345">
        <v>6.8521582247116408E-2</v>
      </c>
      <c r="I877" s="345">
        <v>6.4559839849297335E-2</v>
      </c>
      <c r="J877" s="345">
        <v>6.6260777800450046E-2</v>
      </c>
      <c r="K877" s="345">
        <v>9.0175833305384909E-2</v>
      </c>
      <c r="L877" s="345">
        <v>8.2659501558918019E-2</v>
      </c>
      <c r="M877" s="345">
        <v>9.1162730851571561E-2</v>
      </c>
      <c r="N877" s="345">
        <v>9.1034343572248586E-2</v>
      </c>
      <c r="O877" s="345">
        <v>8.9062614201606854E-2</v>
      </c>
      <c r="P877" s="345">
        <v>7.1279770125337441E-2</v>
      </c>
      <c r="Q877" s="345">
        <v>6.9760239358480927E-2</v>
      </c>
      <c r="R877" s="345">
        <v>7.3704751411254363E-2</v>
      </c>
      <c r="S877" s="345">
        <v>6.9145872358908081E-2</v>
      </c>
      <c r="T877" s="345">
        <f t="shared" ref="T877:T883" si="371">T868/T$858</f>
        <v>7.6386978368029559E-2</v>
      </c>
      <c r="U877" s="366"/>
      <c r="V877" s="366"/>
      <c r="W877" s="412"/>
    </row>
    <row r="878" spans="1:23" s="413" customFormat="1" hidden="1">
      <c r="A878" s="229"/>
      <c r="B878" s="336"/>
      <c r="C878" s="430" t="s">
        <v>631</v>
      </c>
      <c r="D878" s="336" t="s">
        <v>347</v>
      </c>
      <c r="E878" s="336"/>
      <c r="F878" s="336"/>
      <c r="G878" s="336"/>
      <c r="H878" s="345">
        <v>0.40735096662579212</v>
      </c>
      <c r="I878" s="345">
        <v>0.4351257831734574</v>
      </c>
      <c r="J878" s="345">
        <v>0.44543195985364853</v>
      </c>
      <c r="K878" s="345">
        <v>0.49449570216060845</v>
      </c>
      <c r="L878" s="345">
        <v>4.4096383929640312E-2</v>
      </c>
      <c r="M878" s="345">
        <v>0</v>
      </c>
      <c r="N878" s="345">
        <v>0</v>
      </c>
      <c r="O878" s="345">
        <v>0</v>
      </c>
      <c r="P878" s="345">
        <v>0</v>
      </c>
      <c r="Q878" s="345">
        <v>0</v>
      </c>
      <c r="R878" s="345">
        <v>0</v>
      </c>
      <c r="S878" s="345">
        <v>0</v>
      </c>
      <c r="T878" s="345">
        <f t="shared" si="371"/>
        <v>0.13850405912058886</v>
      </c>
      <c r="U878" s="366"/>
      <c r="V878" s="366"/>
      <c r="W878" s="412"/>
    </row>
    <row r="879" spans="1:23" s="413" customFormat="1" hidden="1">
      <c r="A879" s="229"/>
      <c r="B879" s="336"/>
      <c r="C879" s="430" t="s">
        <v>632</v>
      </c>
      <c r="D879" s="336" t="s">
        <v>347</v>
      </c>
      <c r="E879" s="336"/>
      <c r="F879" s="336"/>
      <c r="G879" s="336"/>
      <c r="H879" s="345">
        <v>1.5525405226431415</v>
      </c>
      <c r="I879" s="345">
        <v>1.5576931001968202</v>
      </c>
      <c r="J879" s="345">
        <v>1.7887086225455808</v>
      </c>
      <c r="K879" s="345">
        <v>1.7898355308654319</v>
      </c>
      <c r="L879" s="345">
        <v>1.6688650659215567</v>
      </c>
      <c r="M879" s="345">
        <v>1.7238915660156566</v>
      </c>
      <c r="N879" s="345">
        <v>1.771811866508531</v>
      </c>
      <c r="O879" s="345">
        <v>1.5616294957588657</v>
      </c>
      <c r="P879" s="345">
        <v>1.553215968910904</v>
      </c>
      <c r="Q879" s="345">
        <v>1.3890611323778654</v>
      </c>
      <c r="R879" s="345">
        <v>1.3529252533547447</v>
      </c>
      <c r="S879" s="345">
        <v>1.2916366222347739</v>
      </c>
      <c r="T879" s="345">
        <f t="shared" si="371"/>
        <v>1.5633486616733372</v>
      </c>
      <c r="U879" s="366"/>
      <c r="V879" s="366"/>
      <c r="W879" s="412"/>
    </row>
    <row r="880" spans="1:23" s="413" customFormat="1" hidden="1">
      <c r="A880" s="229"/>
      <c r="B880" s="336"/>
      <c r="C880" s="430" t="s">
        <v>633</v>
      </c>
      <c r="D880" s="336" t="s">
        <v>347</v>
      </c>
      <c r="E880" s="336"/>
      <c r="F880" s="336"/>
      <c r="G880" s="336"/>
      <c r="H880" s="345">
        <v>0.97741701903310518</v>
      </c>
      <c r="I880" s="345">
        <v>0.98759305689962551</v>
      </c>
      <c r="J880" s="345">
        <v>1.0304990725592003</v>
      </c>
      <c r="K880" s="345">
        <v>0.98238479186609484</v>
      </c>
      <c r="L880" s="345">
        <v>1.0562666210968334</v>
      </c>
      <c r="M880" s="345">
        <v>0.97638653295269395</v>
      </c>
      <c r="N880" s="345">
        <v>0.98687780051479623</v>
      </c>
      <c r="O880" s="345">
        <v>0.8930336033320575</v>
      </c>
      <c r="P880" s="345">
        <v>0.89023892625243839</v>
      </c>
      <c r="Q880" s="345">
        <v>0.83372825328189359</v>
      </c>
      <c r="R880" s="345">
        <v>0.95231409484146712</v>
      </c>
      <c r="S880" s="345">
        <v>0.79504796782326304</v>
      </c>
      <c r="T880" s="345">
        <f t="shared" si="371"/>
        <v>0.93973058878903237</v>
      </c>
      <c r="U880" s="366"/>
      <c r="V880" s="366"/>
      <c r="W880" s="412"/>
    </row>
    <row r="881" spans="1:23" s="413" customFormat="1" hidden="1">
      <c r="A881" s="229"/>
      <c r="B881" s="336"/>
      <c r="C881" s="430" t="s">
        <v>634</v>
      </c>
      <c r="D881" s="336" t="s">
        <v>347</v>
      </c>
      <c r="E881" s="336"/>
      <c r="F881" s="336"/>
      <c r="G881" s="336"/>
      <c r="H881" s="345">
        <v>0.71542059996613638</v>
      </c>
      <c r="I881" s="345">
        <v>0.76420083506186898</v>
      </c>
      <c r="J881" s="345">
        <v>0.78230132262170993</v>
      </c>
      <c r="K881" s="345">
        <v>0.86847078049383142</v>
      </c>
      <c r="L881" s="345">
        <v>0.73948270167388663</v>
      </c>
      <c r="M881" s="345">
        <v>0.85893022088597526</v>
      </c>
      <c r="N881" s="345">
        <v>0.88547791490717487</v>
      </c>
      <c r="O881" s="345">
        <v>0.7637679777257218</v>
      </c>
      <c r="P881" s="345">
        <v>0.66436584099050766</v>
      </c>
      <c r="Q881" s="345">
        <v>0.65317312198392119</v>
      </c>
      <c r="R881" s="345">
        <v>0.65434235909764416</v>
      </c>
      <c r="S881" s="345">
        <v>0.61148237456768062</v>
      </c>
      <c r="T881" s="345">
        <f t="shared" si="371"/>
        <v>0.73501002328428322</v>
      </c>
      <c r="U881" s="366"/>
      <c r="V881" s="366"/>
      <c r="W881" s="412"/>
    </row>
    <row r="882" spans="1:23" s="413" customFormat="1" hidden="1">
      <c r="A882" s="229"/>
      <c r="B882" s="336"/>
      <c r="C882" s="431" t="s">
        <v>628</v>
      </c>
      <c r="D882" s="336" t="s">
        <v>347</v>
      </c>
      <c r="E882" s="336"/>
      <c r="F882" s="336"/>
      <c r="G882" s="336"/>
      <c r="H882" s="345">
        <v>3.7212506905152911</v>
      </c>
      <c r="I882" s="345">
        <v>3.8091726151810694</v>
      </c>
      <c r="J882" s="345">
        <v>4.1132017553805893</v>
      </c>
      <c r="K882" s="345">
        <v>4.2253626386913519</v>
      </c>
      <c r="L882" s="345">
        <v>3.5913702741808349</v>
      </c>
      <c r="M882" s="345">
        <v>3.650371050705898</v>
      </c>
      <c r="N882" s="345">
        <v>3.7352019255027504</v>
      </c>
      <c r="O882" s="345">
        <v>3.307493691018252</v>
      </c>
      <c r="P882" s="345">
        <v>3.1791005062791871</v>
      </c>
      <c r="Q882" s="345">
        <v>2.9457227470021614</v>
      </c>
      <c r="R882" s="345">
        <v>3.0332864587051103</v>
      </c>
      <c r="S882" s="345">
        <v>2.7673128369846256</v>
      </c>
      <c r="T882" s="345">
        <f t="shared" si="371"/>
        <v>3.452980311235271</v>
      </c>
      <c r="U882" s="366"/>
      <c r="V882" s="366"/>
      <c r="W882" s="412"/>
    </row>
    <row r="883" spans="1:23" s="413" customFormat="1" ht="23.25" hidden="1">
      <c r="A883" s="229"/>
      <c r="B883" s="336"/>
      <c r="C883" s="432" t="s">
        <v>629</v>
      </c>
      <c r="D883" s="336" t="s">
        <v>347</v>
      </c>
      <c r="E883" s="336"/>
      <c r="F883" s="336"/>
      <c r="G883" s="336"/>
      <c r="H883" s="345">
        <v>3.5280901908132773</v>
      </c>
      <c r="I883" s="345">
        <v>3.5960650998973867</v>
      </c>
      <c r="J883" s="345">
        <v>3.9028142965046366</v>
      </c>
      <c r="K883" s="345">
        <v>4.0264539816767106</v>
      </c>
      <c r="L883" s="345">
        <v>3.3876899588373286</v>
      </c>
      <c r="M883" s="345">
        <v>3.4299562680801867</v>
      </c>
      <c r="N883" s="345">
        <v>3.5104787142072196</v>
      </c>
      <c r="O883" s="345">
        <v>3.1107037557190851</v>
      </c>
      <c r="P883" s="345">
        <v>3.0089540843893219</v>
      </c>
      <c r="Q883" s="345">
        <v>2.7862121120545575</v>
      </c>
      <c r="R883" s="345">
        <v>2.8734439724894285</v>
      </c>
      <c r="S883" s="345">
        <v>2.61271775344574</v>
      </c>
      <c r="T883" s="433">
        <f t="shared" si="371"/>
        <v>3.2637038602346231</v>
      </c>
      <c r="U883" s="366"/>
      <c r="V883" s="366"/>
      <c r="W883" s="412"/>
    </row>
    <row r="884" spans="1:23" s="413" customFormat="1" hidden="1">
      <c r="A884" s="229"/>
      <c r="B884" s="336"/>
      <c r="C884" s="432" t="s">
        <v>630</v>
      </c>
      <c r="D884" s="336" t="s">
        <v>347</v>
      </c>
      <c r="E884" s="336"/>
      <c r="F884" s="336"/>
      <c r="G884" s="336"/>
      <c r="H884" s="345">
        <v>94.491705155858028</v>
      </c>
      <c r="I884" s="345">
        <v>90.520640004905033</v>
      </c>
      <c r="J884" s="345">
        <v>100.5124791974864</v>
      </c>
      <c r="K884" s="345">
        <v>92.466065295650466</v>
      </c>
      <c r="L884" s="345">
        <v>88.013177709394768</v>
      </c>
      <c r="M884" s="345">
        <v>84.088507678309142</v>
      </c>
      <c r="N884" s="345">
        <v>86.144543776720653</v>
      </c>
      <c r="O884" s="345">
        <v>80.831239413720908</v>
      </c>
      <c r="P884" s="345">
        <v>81.224589456342784</v>
      </c>
      <c r="Q884" s="345">
        <v>76.494119603954374</v>
      </c>
      <c r="R884" s="345">
        <v>77.972675447576165</v>
      </c>
      <c r="S884" s="345">
        <v>73.293572211022024</v>
      </c>
      <c r="T884" s="345">
        <f>T874/T875*100</f>
        <v>85.078402291789899</v>
      </c>
      <c r="U884" s="275"/>
      <c r="V884" s="275"/>
      <c r="W884" s="412"/>
    </row>
    <row r="885" spans="1:23" s="413" customFormat="1" hidden="1">
      <c r="A885" s="229"/>
      <c r="B885" s="434">
        <v>25.3</v>
      </c>
      <c r="C885" s="442" t="s">
        <v>119</v>
      </c>
      <c r="D885" s="229"/>
      <c r="E885" s="229"/>
      <c r="F885" s="229"/>
      <c r="G885" s="229"/>
      <c r="H885" s="275"/>
      <c r="I885" s="275"/>
      <c r="J885" s="275"/>
      <c r="K885" s="275"/>
      <c r="L885" s="275"/>
      <c r="M885" s="275"/>
      <c r="N885" s="275"/>
      <c r="O885" s="275"/>
      <c r="P885" s="275"/>
      <c r="Q885" s="275"/>
      <c r="R885" s="275"/>
      <c r="S885" s="275"/>
      <c r="T885" s="275"/>
      <c r="U885" s="275"/>
      <c r="V885" s="275"/>
      <c r="W885" s="412"/>
    </row>
    <row r="886" spans="1:23" s="413" customFormat="1" hidden="1">
      <c r="A886" s="229"/>
      <c r="B886" s="229"/>
      <c r="C886" s="320" t="s">
        <v>138</v>
      </c>
      <c r="D886" s="229" t="s">
        <v>90</v>
      </c>
      <c r="E886" s="832">
        <v>3.6</v>
      </c>
      <c r="F886" s="229"/>
      <c r="G886" s="229">
        <v>2.59</v>
      </c>
      <c r="H886" s="477">
        <v>819188</v>
      </c>
      <c r="I886" s="275">
        <v>751758</v>
      </c>
      <c r="J886" s="275">
        <v>830392</v>
      </c>
      <c r="K886" s="275">
        <v>830392</v>
      </c>
      <c r="L886" s="275">
        <v>830392</v>
      </c>
      <c r="M886" s="275">
        <v>830392</v>
      </c>
      <c r="N886" s="275">
        <v>830392</v>
      </c>
      <c r="O886" s="275">
        <v>830392</v>
      </c>
      <c r="P886" s="275">
        <v>830392</v>
      </c>
      <c r="Q886" s="275">
        <v>830392</v>
      </c>
      <c r="R886" s="275">
        <v>830392</v>
      </c>
      <c r="S886" s="275">
        <v>830392</v>
      </c>
      <c r="T886" s="275">
        <f>SUM(H886:S886)</f>
        <v>9874866</v>
      </c>
      <c r="U886" s="275"/>
      <c r="V886" s="275"/>
      <c r="W886" s="412"/>
    </row>
    <row r="887" spans="1:23" s="413" customFormat="1" hidden="1">
      <c r="A887" s="229"/>
      <c r="B887" s="229"/>
      <c r="C887" s="320" t="s">
        <v>638</v>
      </c>
      <c r="D887" s="229" t="s">
        <v>121</v>
      </c>
      <c r="E887" s="832">
        <f>'[5]ETP-2011'!$H$3</f>
        <v>2996</v>
      </c>
      <c r="F887" s="229"/>
      <c r="G887" s="229"/>
      <c r="H887" s="477">
        <v>10636.88</v>
      </c>
      <c r="I887" s="275">
        <v>10003</v>
      </c>
      <c r="J887" s="275">
        <v>11171.24</v>
      </c>
      <c r="K887" s="275">
        <v>11171.24</v>
      </c>
      <c r="L887" s="275">
        <v>11171.24</v>
      </c>
      <c r="M887" s="275">
        <v>11171.24</v>
      </c>
      <c r="N887" s="275">
        <v>11171.24</v>
      </c>
      <c r="O887" s="275">
        <v>11171.24</v>
      </c>
      <c r="P887" s="275">
        <v>11171.24</v>
      </c>
      <c r="Q887" s="275">
        <v>11171.24</v>
      </c>
      <c r="R887" s="275">
        <v>11171.24</v>
      </c>
      <c r="S887" s="275">
        <v>11171.24</v>
      </c>
      <c r="T887" s="275">
        <f>SUM(H887:S887)</f>
        <v>132352.28</v>
      </c>
      <c r="U887" s="275"/>
      <c r="V887" s="275"/>
      <c r="W887" s="412"/>
    </row>
    <row r="888" spans="1:23" s="413" customFormat="1" hidden="1">
      <c r="A888" s="229"/>
      <c r="B888" s="229"/>
      <c r="C888" s="407"/>
      <c r="D888" s="229"/>
      <c r="E888" s="229"/>
      <c r="F888" s="229"/>
      <c r="G888" s="229"/>
      <c r="H888" s="275"/>
      <c r="I888" s="275"/>
      <c r="J888" s="275"/>
      <c r="K888" s="275"/>
      <c r="L888" s="275"/>
      <c r="M888" s="275"/>
      <c r="N888" s="275"/>
      <c r="O888" s="275"/>
      <c r="P888" s="275"/>
      <c r="Q888" s="275"/>
      <c r="R888" s="275"/>
      <c r="S888" s="275"/>
      <c r="T888" s="275"/>
      <c r="U888" s="275"/>
      <c r="V888" s="275"/>
      <c r="W888" s="412"/>
    </row>
    <row r="889" spans="1:23" hidden="1">
      <c r="A889" s="342"/>
      <c r="B889" s="420"/>
      <c r="C889" s="423" t="s">
        <v>639</v>
      </c>
      <c r="D889" s="233" t="s">
        <v>121</v>
      </c>
      <c r="E889" s="420"/>
      <c r="F889" s="420"/>
      <c r="G889" s="342"/>
      <c r="H889" s="835">
        <v>4201.3600000000006</v>
      </c>
      <c r="I889" s="421">
        <v>4005.3420000000006</v>
      </c>
      <c r="J889" s="421">
        <v>4318.0609999999997</v>
      </c>
      <c r="K889" s="421">
        <v>2455.3200000000002</v>
      </c>
      <c r="L889" s="421">
        <v>4368.8149999999996</v>
      </c>
      <c r="M889" s="421">
        <v>4039.31</v>
      </c>
      <c r="N889" s="421">
        <v>4211.07</v>
      </c>
      <c r="O889" s="421">
        <v>4205.1080000000002</v>
      </c>
      <c r="P889" s="421">
        <v>4350.1319999999996</v>
      </c>
      <c r="Q889" s="421">
        <v>4365.74</v>
      </c>
      <c r="R889" s="421">
        <v>4020.58</v>
      </c>
      <c r="S889" s="421">
        <v>4223.3639999999996</v>
      </c>
      <c r="T889" s="236">
        <f>SUM(H889:S889)</f>
        <v>48764.202000000005</v>
      </c>
      <c r="U889" s="422"/>
      <c r="V889" s="833"/>
    </row>
    <row r="890" spans="1:23" s="413" customFormat="1" hidden="1">
      <c r="A890" s="229"/>
      <c r="B890" s="229"/>
      <c r="C890" s="407"/>
      <c r="D890" s="229"/>
      <c r="E890" s="229"/>
      <c r="F890" s="229"/>
      <c r="G890" s="229"/>
      <c r="H890" s="275"/>
      <c r="I890" s="275"/>
      <c r="J890" s="275"/>
      <c r="K890" s="275"/>
      <c r="L890" s="275"/>
      <c r="M890" s="275"/>
      <c r="N890" s="275"/>
      <c r="O890" s="275"/>
      <c r="P890" s="275"/>
      <c r="Q890" s="275"/>
      <c r="R890" s="275"/>
      <c r="S890" s="275"/>
      <c r="T890" s="275"/>
      <c r="U890" s="275"/>
      <c r="V890" s="275"/>
      <c r="W890" s="412"/>
    </row>
    <row r="891" spans="1:23" hidden="1">
      <c r="A891" s="253"/>
      <c r="B891" s="392"/>
      <c r="C891" s="393" t="s">
        <v>534</v>
      </c>
      <c r="D891" s="392"/>
      <c r="E891" s="392"/>
      <c r="F891" s="392"/>
      <c r="G891" s="392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5"/>
      <c r="U891" s="395"/>
      <c r="V891" s="823"/>
    </row>
    <row r="892" spans="1:23" hidden="1">
      <c r="A892" s="253"/>
      <c r="B892" s="392"/>
      <c r="C892" s="396" t="s">
        <v>636</v>
      </c>
      <c r="D892" s="392" t="s">
        <v>121</v>
      </c>
      <c r="E892" s="824">
        <f>'[5]ETP-2011'!$L$3</f>
        <v>210</v>
      </c>
      <c r="F892" s="392"/>
      <c r="G892" s="392"/>
      <c r="H892" s="360">
        <v>14839</v>
      </c>
      <c r="I892" s="424">
        <v>13844</v>
      </c>
      <c r="J892" s="424">
        <v>14784</v>
      </c>
      <c r="K892" s="424">
        <v>14784</v>
      </c>
      <c r="L892" s="424">
        <v>14784</v>
      </c>
      <c r="M892" s="424">
        <v>14784</v>
      </c>
      <c r="N892" s="424">
        <v>14784</v>
      </c>
      <c r="O892" s="424">
        <v>14784</v>
      </c>
      <c r="P892" s="424">
        <v>14784</v>
      </c>
      <c r="Q892" s="424">
        <v>14784</v>
      </c>
      <c r="R892" s="424">
        <v>14784</v>
      </c>
      <c r="S892" s="424">
        <v>14784</v>
      </c>
      <c r="T892" s="424">
        <f>SUM(H892:S892)</f>
        <v>176523</v>
      </c>
      <c r="U892" s="824"/>
      <c r="V892" s="392"/>
    </row>
    <row r="893" spans="1:23" hidden="1">
      <c r="A893" s="253"/>
      <c r="B893" s="392"/>
      <c r="C893" s="396"/>
      <c r="D893" s="392"/>
      <c r="E893" s="392"/>
      <c r="F893" s="392"/>
      <c r="G893" s="392"/>
      <c r="H893" s="392"/>
      <c r="I893" s="392"/>
      <c r="J893" s="392"/>
      <c r="K893" s="392"/>
      <c r="L893" s="392"/>
      <c r="M893" s="392"/>
      <c r="N893" s="392"/>
      <c r="O893" s="392"/>
      <c r="P893" s="392"/>
      <c r="Q893" s="392"/>
      <c r="R893" s="392"/>
      <c r="S893" s="392"/>
      <c r="T893" s="395"/>
      <c r="U893" s="824"/>
      <c r="V893" s="392"/>
    </row>
    <row r="894" spans="1:23" hidden="1">
      <c r="A894" s="253"/>
      <c r="B894" s="392"/>
      <c r="C894" s="393" t="s">
        <v>536</v>
      </c>
      <c r="D894" s="392"/>
      <c r="E894" s="392"/>
      <c r="F894" s="392"/>
      <c r="G894" s="392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5"/>
      <c r="U894" s="395"/>
      <c r="V894" s="823"/>
    </row>
    <row r="895" spans="1:23" hidden="1">
      <c r="A895" s="253"/>
      <c r="B895" s="392"/>
      <c r="C895" s="396" t="s">
        <v>636</v>
      </c>
      <c r="D895" s="392" t="s">
        <v>173</v>
      </c>
      <c r="E895" s="392"/>
      <c r="F895" s="392"/>
      <c r="G895" s="392"/>
      <c r="H895" s="394">
        <v>3116.19</v>
      </c>
      <c r="I895" s="394">
        <v>2907.24</v>
      </c>
      <c r="J895" s="394">
        <v>3104.64</v>
      </c>
      <c r="K895" s="394">
        <v>3104.64</v>
      </c>
      <c r="L895" s="394">
        <v>3104.64</v>
      </c>
      <c r="M895" s="394">
        <v>3104.64</v>
      </c>
      <c r="N895" s="394">
        <v>3104.64</v>
      </c>
      <c r="O895" s="394">
        <v>3104.64</v>
      </c>
      <c r="P895" s="394">
        <v>3104.64</v>
      </c>
      <c r="Q895" s="394">
        <v>3104.64</v>
      </c>
      <c r="R895" s="394">
        <v>3104.64</v>
      </c>
      <c r="S895" s="394">
        <v>3104.64</v>
      </c>
      <c r="T895" s="395">
        <f>SUM(H895:S895)</f>
        <v>37069.829999999994</v>
      </c>
      <c r="U895" s="395"/>
      <c r="V895" s="823"/>
    </row>
    <row r="896" spans="1:23" hidden="1">
      <c r="A896" s="253"/>
      <c r="B896" s="392"/>
      <c r="C896" s="392" t="s">
        <v>537</v>
      </c>
      <c r="D896" s="392" t="s">
        <v>173</v>
      </c>
      <c r="E896" s="392"/>
      <c r="F896" s="392"/>
      <c r="G896" s="392"/>
      <c r="H896" s="394">
        <v>3116.19</v>
      </c>
      <c r="I896" s="394">
        <v>2907.24</v>
      </c>
      <c r="J896" s="394">
        <v>3104.64</v>
      </c>
      <c r="K896" s="394">
        <v>3104.64</v>
      </c>
      <c r="L896" s="394">
        <v>3104.64</v>
      </c>
      <c r="M896" s="394">
        <v>3104.64</v>
      </c>
      <c r="N896" s="394">
        <v>3104.64</v>
      </c>
      <c r="O896" s="394">
        <v>3104.64</v>
      </c>
      <c r="P896" s="394">
        <v>3104.64</v>
      </c>
      <c r="Q896" s="394">
        <v>3104.64</v>
      </c>
      <c r="R896" s="394">
        <v>3104.64</v>
      </c>
      <c r="S896" s="394">
        <v>3104.64</v>
      </c>
      <c r="T896" s="395">
        <f>SUM(H896:S896)</f>
        <v>37069.829999999994</v>
      </c>
      <c r="U896" s="395"/>
      <c r="V896" s="823"/>
    </row>
    <row r="897" spans="1:23" s="413" customFormat="1" hidden="1">
      <c r="A897" s="229"/>
      <c r="B897" s="229"/>
      <c r="C897" s="407"/>
      <c r="D897" s="229"/>
      <c r="E897" s="229"/>
      <c r="F897" s="229"/>
      <c r="G897" s="229"/>
      <c r="H897" s="275"/>
      <c r="I897" s="275"/>
      <c r="J897" s="275"/>
      <c r="K897" s="275"/>
      <c r="L897" s="275"/>
      <c r="M897" s="275"/>
      <c r="N897" s="275"/>
      <c r="O897" s="275"/>
      <c r="P897" s="275"/>
      <c r="Q897" s="275"/>
      <c r="R897" s="275"/>
      <c r="S897" s="275"/>
      <c r="T897" s="275"/>
      <c r="U897" s="275"/>
      <c r="V897" s="275"/>
      <c r="W897" s="412"/>
    </row>
    <row r="898" spans="1:23" s="413" customFormat="1" hidden="1">
      <c r="A898" s="229"/>
      <c r="B898" s="229"/>
      <c r="C898" s="407" t="s">
        <v>624</v>
      </c>
      <c r="D898" s="229"/>
      <c r="E898" s="229"/>
      <c r="F898" s="229"/>
      <c r="G898" s="229"/>
      <c r="H898" s="275"/>
      <c r="I898" s="275"/>
      <c r="J898" s="275"/>
      <c r="K898" s="275"/>
      <c r="L898" s="275"/>
      <c r="M898" s="275"/>
      <c r="N898" s="275"/>
      <c r="O898" s="275"/>
      <c r="P898" s="275"/>
      <c r="Q898" s="275"/>
      <c r="R898" s="275"/>
      <c r="S898" s="275"/>
      <c r="T898" s="275"/>
      <c r="U898" s="275"/>
      <c r="V898" s="275"/>
      <c r="W898" s="412"/>
    </row>
    <row r="899" spans="1:23" s="413" customFormat="1" hidden="1">
      <c r="A899" s="229"/>
      <c r="B899" s="229"/>
      <c r="C899" s="320" t="s">
        <v>138</v>
      </c>
      <c r="D899" s="229" t="s">
        <v>173</v>
      </c>
      <c r="E899" s="229"/>
      <c r="F899" s="229"/>
      <c r="G899" s="229"/>
      <c r="H899" s="275">
        <v>2949.0768000000003</v>
      </c>
      <c r="I899" s="275">
        <v>2706.3288000000002</v>
      </c>
      <c r="J899" s="275">
        <v>2989.4112</v>
      </c>
      <c r="K899" s="275">
        <v>2989.4112</v>
      </c>
      <c r="L899" s="275">
        <v>2989.4112</v>
      </c>
      <c r="M899" s="275">
        <v>2989.4112</v>
      </c>
      <c r="N899" s="275">
        <v>2989.4112</v>
      </c>
      <c r="O899" s="275">
        <v>2989.4112</v>
      </c>
      <c r="P899" s="275">
        <v>2989.4112</v>
      </c>
      <c r="Q899" s="275">
        <v>2989.4112</v>
      </c>
      <c r="R899" s="275">
        <v>2989.4112</v>
      </c>
      <c r="S899" s="275">
        <v>2989.4112</v>
      </c>
      <c r="T899" s="275">
        <f>SUM(H899:S899)</f>
        <v>35549.517599999992</v>
      </c>
      <c r="U899" s="275"/>
      <c r="V899" s="275"/>
      <c r="W899" s="412"/>
    </row>
    <row r="900" spans="1:23" s="413" customFormat="1" hidden="1">
      <c r="A900" s="229"/>
      <c r="B900" s="229"/>
      <c r="C900" s="320" t="s">
        <v>638</v>
      </c>
      <c r="D900" s="229" t="s">
        <v>173</v>
      </c>
      <c r="E900" s="229"/>
      <c r="F900" s="229"/>
      <c r="G900" s="229"/>
      <c r="H900" s="275">
        <v>31868.092479999996</v>
      </c>
      <c r="I900" s="275">
        <v>29968.988000000001</v>
      </c>
      <c r="J900" s="275">
        <v>33469.035040000002</v>
      </c>
      <c r="K900" s="275">
        <v>33469.035040000002</v>
      </c>
      <c r="L900" s="275">
        <v>33469.035040000002</v>
      </c>
      <c r="M900" s="275">
        <v>33469.035040000002</v>
      </c>
      <c r="N900" s="275">
        <v>33469.035040000002</v>
      </c>
      <c r="O900" s="275">
        <v>33469.035040000002</v>
      </c>
      <c r="P900" s="275">
        <v>33469.035040000002</v>
      </c>
      <c r="Q900" s="275">
        <v>33469.035040000002</v>
      </c>
      <c r="R900" s="275">
        <v>33469.035040000002</v>
      </c>
      <c r="S900" s="275">
        <v>33469.035040000002</v>
      </c>
      <c r="T900" s="275">
        <f>SUM(H900:S900)</f>
        <v>396527.43087999994</v>
      </c>
      <c r="U900" s="275"/>
      <c r="V900" s="275"/>
      <c r="W900" s="412"/>
    </row>
    <row r="901" spans="1:23" s="413" customFormat="1" hidden="1">
      <c r="A901" s="229"/>
      <c r="B901" s="229"/>
      <c r="C901" s="426" t="s">
        <v>625</v>
      </c>
      <c r="D901" s="229" t="s">
        <v>173</v>
      </c>
      <c r="E901" s="229"/>
      <c r="F901" s="229"/>
      <c r="G901" s="229"/>
      <c r="H901" s="275">
        <v>34817.169279999995</v>
      </c>
      <c r="I901" s="275">
        <v>32675.316800000001</v>
      </c>
      <c r="J901" s="275">
        <v>36458.446240000005</v>
      </c>
      <c r="K901" s="275">
        <v>36458.446240000005</v>
      </c>
      <c r="L901" s="275">
        <v>36458.446240000005</v>
      </c>
      <c r="M901" s="275">
        <v>36458.446240000005</v>
      </c>
      <c r="N901" s="275">
        <v>36458.446240000005</v>
      </c>
      <c r="O901" s="275">
        <v>36458.446240000005</v>
      </c>
      <c r="P901" s="275">
        <v>36458.446240000005</v>
      </c>
      <c r="Q901" s="275">
        <v>36458.446240000005</v>
      </c>
      <c r="R901" s="275">
        <v>36458.446240000005</v>
      </c>
      <c r="S901" s="275">
        <v>36458.446240000005</v>
      </c>
      <c r="T901" s="275">
        <f>SUM(H901:S901)</f>
        <v>432076.94848000014</v>
      </c>
      <c r="U901" s="275"/>
      <c r="V901" s="275"/>
      <c r="W901" s="412"/>
    </row>
    <row r="902" spans="1:23" s="413" customFormat="1" hidden="1">
      <c r="A902" s="229"/>
      <c r="B902" s="229"/>
      <c r="C902" s="427" t="s">
        <v>626</v>
      </c>
      <c r="D902" s="229" t="s">
        <v>173</v>
      </c>
      <c r="E902" s="229"/>
      <c r="F902" s="229"/>
      <c r="G902" s="229"/>
      <c r="H902" s="275">
        <v>31700.979279999996</v>
      </c>
      <c r="I902" s="275">
        <v>29768.076800000003</v>
      </c>
      <c r="J902" s="275">
        <v>33353.806240000005</v>
      </c>
      <c r="K902" s="275">
        <v>33353.806240000005</v>
      </c>
      <c r="L902" s="275">
        <v>33353.806240000005</v>
      </c>
      <c r="M902" s="275">
        <v>33353.806240000005</v>
      </c>
      <c r="N902" s="275">
        <v>33353.806240000005</v>
      </c>
      <c r="O902" s="275">
        <v>33353.806240000005</v>
      </c>
      <c r="P902" s="275">
        <v>33353.806240000005</v>
      </c>
      <c r="Q902" s="275">
        <v>33353.806240000005</v>
      </c>
      <c r="R902" s="275">
        <v>33353.806240000005</v>
      </c>
      <c r="S902" s="275">
        <v>33353.806240000005</v>
      </c>
      <c r="T902" s="428">
        <f>SUM(H902:S902)</f>
        <v>395007.11848000006</v>
      </c>
      <c r="U902" s="275"/>
      <c r="V902" s="275"/>
      <c r="W902" s="412"/>
    </row>
    <row r="903" spans="1:23" s="413" customFormat="1" hidden="1">
      <c r="A903" s="229"/>
      <c r="B903" s="229"/>
      <c r="C903" s="237" t="s">
        <v>345</v>
      </c>
      <c r="D903" s="62" t="s">
        <v>173</v>
      </c>
      <c r="E903" s="229"/>
      <c r="F903" s="229"/>
      <c r="G903" s="229"/>
      <c r="H903" s="275">
        <v>34199.42348398258</v>
      </c>
      <c r="I903" s="275">
        <v>32684.989081841617</v>
      </c>
      <c r="J903" s="275">
        <v>35326.324617857674</v>
      </c>
      <c r="K903" s="275">
        <v>20934.793979454746</v>
      </c>
      <c r="L903" s="275">
        <v>35718.449849449993</v>
      </c>
      <c r="M903" s="275">
        <v>33172.695338754762</v>
      </c>
      <c r="N903" s="275">
        <v>34499.712515298408</v>
      </c>
      <c r="O903" s="275">
        <v>34453.650123550891</v>
      </c>
      <c r="P903" s="275">
        <v>35574.105054914799</v>
      </c>
      <c r="Q903" s="275">
        <v>35694.692409895557</v>
      </c>
      <c r="R903" s="275">
        <v>33027.987422379221</v>
      </c>
      <c r="S903" s="275">
        <v>34594.695917536577</v>
      </c>
      <c r="T903" s="428">
        <f>SUM(H903:S903)</f>
        <v>399881.51979491673</v>
      </c>
      <c r="U903" s="275"/>
      <c r="V903" s="275"/>
      <c r="W903" s="412"/>
    </row>
    <row r="904" spans="1:23" s="413" customFormat="1" hidden="1">
      <c r="A904" s="229"/>
      <c r="B904" s="336"/>
      <c r="C904" s="429" t="s">
        <v>640</v>
      </c>
      <c r="D904" s="336"/>
      <c r="E904" s="336"/>
      <c r="F904" s="336"/>
      <c r="G904" s="336"/>
      <c r="H904" s="366"/>
      <c r="I904" s="366"/>
      <c r="J904" s="366"/>
      <c r="K904" s="366"/>
      <c r="L904" s="366"/>
      <c r="M904" s="366"/>
      <c r="N904" s="366"/>
      <c r="O904" s="366"/>
      <c r="P904" s="366"/>
      <c r="Q904" s="366"/>
      <c r="R904" s="366"/>
      <c r="S904" s="366"/>
      <c r="T904" s="366"/>
      <c r="U904" s="366"/>
      <c r="V904" s="366"/>
      <c r="W904" s="412"/>
    </row>
    <row r="905" spans="1:23" s="413" customFormat="1" hidden="1">
      <c r="A905" s="229"/>
      <c r="B905" s="336"/>
      <c r="C905" s="430" t="s">
        <v>138</v>
      </c>
      <c r="D905" s="336" t="s">
        <v>347</v>
      </c>
      <c r="E905" s="336"/>
      <c r="F905" s="336"/>
      <c r="G905" s="336"/>
      <c r="H905" s="345">
        <v>0.70193384999143127</v>
      </c>
      <c r="I905" s="345">
        <v>0.67567982958758577</v>
      </c>
      <c r="J905" s="345">
        <v>0.69230406888647478</v>
      </c>
      <c r="K905" s="345">
        <v>1.217524070182298</v>
      </c>
      <c r="L905" s="345">
        <v>0.68426133860097083</v>
      </c>
      <c r="M905" s="345">
        <v>0.74007966707185135</v>
      </c>
      <c r="N905" s="345">
        <v>0.70989349500245791</v>
      </c>
      <c r="O905" s="345">
        <v>0.71089998164137513</v>
      </c>
      <c r="P905" s="345">
        <v>0.68720011254830893</v>
      </c>
      <c r="Q905" s="345">
        <v>0.68474329666906419</v>
      </c>
      <c r="R905" s="345">
        <v>0.74352735177511708</v>
      </c>
      <c r="S905" s="345">
        <v>0.70782703077452014</v>
      </c>
      <c r="T905" s="345">
        <f>T899/T$889</f>
        <v>0.72900849684774882</v>
      </c>
      <c r="U905" s="366"/>
      <c r="V905" s="366"/>
      <c r="W905" s="412"/>
    </row>
    <row r="906" spans="1:23" s="413" customFormat="1" hidden="1">
      <c r="A906" s="229"/>
      <c r="B906" s="336"/>
      <c r="C906" s="430" t="s">
        <v>638</v>
      </c>
      <c r="D906" s="336" t="s">
        <v>347</v>
      </c>
      <c r="E906" s="336"/>
      <c r="F906" s="336"/>
      <c r="G906" s="336"/>
      <c r="H906" s="345">
        <v>7.5851849115524477</v>
      </c>
      <c r="I906" s="345">
        <v>7.4822544491831149</v>
      </c>
      <c r="J906" s="345">
        <v>7.7509407671637813</v>
      </c>
      <c r="K906" s="345">
        <v>13.631231383282016</v>
      </c>
      <c r="L906" s="345">
        <v>7.660895469366408</v>
      </c>
      <c r="M906" s="345">
        <v>8.285829767955418</v>
      </c>
      <c r="N906" s="345">
        <v>7.9478695533439252</v>
      </c>
      <c r="O906" s="345">
        <v>7.9591380387852109</v>
      </c>
      <c r="P906" s="345">
        <v>7.6937975767172135</v>
      </c>
      <c r="Q906" s="345">
        <v>7.6662914053516706</v>
      </c>
      <c r="R906" s="345">
        <v>8.3244295698630548</v>
      </c>
      <c r="S906" s="345">
        <v>7.9247337051696247</v>
      </c>
      <c r="T906" s="345">
        <f>T900/T$889</f>
        <v>8.1315271165516023</v>
      </c>
      <c r="U906" s="366"/>
      <c r="V906" s="366"/>
      <c r="W906" s="412"/>
    </row>
    <row r="907" spans="1:23" s="413" customFormat="1" hidden="1">
      <c r="A907" s="229"/>
      <c r="B907" s="336"/>
      <c r="C907" s="431" t="s">
        <v>628</v>
      </c>
      <c r="D907" s="336" t="s">
        <v>347</v>
      </c>
      <c r="E907" s="336"/>
      <c r="F907" s="336"/>
      <c r="G907" s="336"/>
      <c r="H907" s="345">
        <v>8.2871187615438782</v>
      </c>
      <c r="I907" s="345">
        <v>8.1579342787706999</v>
      </c>
      <c r="J907" s="345">
        <v>8.4432448360502566</v>
      </c>
      <c r="K907" s="345">
        <v>14.848755453464316</v>
      </c>
      <c r="L907" s="345">
        <v>8.3451568079673795</v>
      </c>
      <c r="M907" s="345">
        <v>9.0259094350272715</v>
      </c>
      <c r="N907" s="345">
        <v>8.6577630483463839</v>
      </c>
      <c r="O907" s="345">
        <v>8.6700380204265866</v>
      </c>
      <c r="P907" s="345">
        <v>8.3809976892655236</v>
      </c>
      <c r="Q907" s="345">
        <v>8.3510347020207352</v>
      </c>
      <c r="R907" s="345">
        <v>9.0679569216381726</v>
      </c>
      <c r="S907" s="345">
        <v>8.6325607359441445</v>
      </c>
      <c r="T907" s="345">
        <f>T901/T$889</f>
        <v>8.8605356133993567</v>
      </c>
      <c r="U907" s="366"/>
      <c r="V907" s="366"/>
      <c r="W907" s="412"/>
    </row>
    <row r="908" spans="1:23" s="413" customFormat="1" ht="23.25" hidden="1">
      <c r="A908" s="229"/>
      <c r="B908" s="336"/>
      <c r="C908" s="432" t="s">
        <v>629</v>
      </c>
      <c r="D908" s="336" t="s">
        <v>347</v>
      </c>
      <c r="E908" s="336"/>
      <c r="F908" s="336"/>
      <c r="G908" s="336"/>
      <c r="H908" s="345">
        <v>7.5454089342498598</v>
      </c>
      <c r="I908" s="345">
        <v>7.4320936389451884</v>
      </c>
      <c r="J908" s="345">
        <v>7.7242554563263486</v>
      </c>
      <c r="K908" s="345">
        <v>13.584301125718849</v>
      </c>
      <c r="L908" s="345">
        <v>7.6345201708014665</v>
      </c>
      <c r="M908" s="345">
        <v>8.2573029155969717</v>
      </c>
      <c r="N908" s="345">
        <v>7.9205062466309055</v>
      </c>
      <c r="O908" s="345">
        <v>7.9317359363897442</v>
      </c>
      <c r="P908" s="345">
        <v>7.6673090011981264</v>
      </c>
      <c r="Q908" s="345">
        <v>7.6398975293993701</v>
      </c>
      <c r="R908" s="345">
        <v>8.2957698242542133</v>
      </c>
      <c r="S908" s="345">
        <v>7.8974500516649782</v>
      </c>
      <c r="T908" s="433">
        <f>T902/T$889</f>
        <v>8.100350303692041</v>
      </c>
      <c r="U908" s="366"/>
      <c r="V908" s="366"/>
      <c r="W908" s="412"/>
    </row>
    <row r="909" spans="1:23" s="413" customFormat="1" hidden="1">
      <c r="A909" s="229"/>
      <c r="B909" s="336"/>
      <c r="C909" s="432" t="s">
        <v>630</v>
      </c>
      <c r="D909" s="336" t="s">
        <v>347</v>
      </c>
      <c r="E909" s="336"/>
      <c r="F909" s="336"/>
      <c r="G909" s="336"/>
      <c r="H909" s="345">
        <v>92.694484440204846</v>
      </c>
      <c r="I909" s="345">
        <v>91.075682251146517</v>
      </c>
      <c r="J909" s="345">
        <v>94.416293234024835</v>
      </c>
      <c r="K909" s="345">
        <v>159.32235240878504</v>
      </c>
      <c r="L909" s="345">
        <v>93.379769784476238</v>
      </c>
      <c r="M909" s="345">
        <v>100.54596377953544</v>
      </c>
      <c r="N909" s="345">
        <v>96.678504857713619</v>
      </c>
      <c r="O909" s="345">
        <v>96.807758018071112</v>
      </c>
      <c r="P909" s="345">
        <v>93.758665716291731</v>
      </c>
      <c r="Q909" s="345">
        <v>93.441920879960875</v>
      </c>
      <c r="R909" s="345">
        <v>100.98649310190791</v>
      </c>
      <c r="S909" s="345">
        <v>96.413063781527427</v>
      </c>
      <c r="T909" s="345">
        <f>T902/T903*100</f>
        <v>98.781038614283418</v>
      </c>
      <c r="U909" s="275"/>
      <c r="V909" s="275"/>
      <c r="W909" s="412"/>
    </row>
    <row r="910" spans="1:23" s="413" customFormat="1" hidden="1">
      <c r="A910" s="229"/>
      <c r="B910" s="434">
        <v>25.4</v>
      </c>
      <c r="C910" s="407" t="s">
        <v>150</v>
      </c>
      <c r="D910" s="229"/>
      <c r="E910" s="229"/>
      <c r="F910" s="229"/>
      <c r="G910" s="229"/>
      <c r="H910" s="275"/>
      <c r="I910" s="275"/>
      <c r="J910" s="275"/>
      <c r="K910" s="275"/>
      <c r="L910" s="275"/>
      <c r="M910" s="275"/>
      <c r="N910" s="275"/>
      <c r="O910" s="275"/>
      <c r="P910" s="275"/>
      <c r="Q910" s="275"/>
      <c r="R910" s="275"/>
      <c r="S910" s="275"/>
      <c r="T910" s="275"/>
      <c r="U910" s="275"/>
      <c r="V910" s="275"/>
      <c r="W910" s="412"/>
    </row>
    <row r="911" spans="1:23" s="413" customFormat="1" hidden="1">
      <c r="A911" s="229"/>
      <c r="B911" s="229"/>
      <c r="C911" s="320" t="s">
        <v>138</v>
      </c>
      <c r="D911" s="229" t="s">
        <v>90</v>
      </c>
      <c r="E911" s="832">
        <v>3.6</v>
      </c>
      <c r="F911" s="229"/>
      <c r="G911" s="229">
        <v>2.59</v>
      </c>
      <c r="H911" s="477">
        <v>69034</v>
      </c>
      <c r="I911" s="275">
        <v>60091</v>
      </c>
      <c r="J911" s="275">
        <v>75317</v>
      </c>
      <c r="K911" s="275">
        <v>56645</v>
      </c>
      <c r="L911" s="275">
        <v>67496</v>
      </c>
      <c r="M911" s="275">
        <v>58417</v>
      </c>
      <c r="N911" s="275">
        <v>63847</v>
      </c>
      <c r="O911" s="275">
        <v>48155</v>
      </c>
      <c r="P911" s="275">
        <v>46624</v>
      </c>
      <c r="Q911" s="275">
        <v>38696</v>
      </c>
      <c r="R911" s="275">
        <v>46609</v>
      </c>
      <c r="S911" s="275">
        <v>43015</v>
      </c>
      <c r="T911" s="275">
        <f>SUM(H911:S911)</f>
        <v>673946</v>
      </c>
      <c r="U911" s="275"/>
      <c r="V911" s="275"/>
      <c r="W911" s="412"/>
    </row>
    <row r="912" spans="1:23" s="413" customFormat="1" hidden="1">
      <c r="A912" s="229"/>
      <c r="B912" s="229"/>
      <c r="C912" s="407"/>
      <c r="D912" s="229"/>
      <c r="E912" s="229"/>
      <c r="F912" s="229"/>
      <c r="G912" s="229"/>
      <c r="H912" s="275"/>
      <c r="I912" s="275"/>
      <c r="J912" s="275"/>
      <c r="K912" s="275"/>
      <c r="L912" s="275"/>
      <c r="M912" s="275"/>
      <c r="N912" s="275"/>
      <c r="O912" s="275"/>
      <c r="P912" s="275"/>
      <c r="Q912" s="275"/>
      <c r="R912" s="275"/>
      <c r="S912" s="275"/>
      <c r="T912" s="275"/>
      <c r="U912" s="275"/>
      <c r="V912" s="275"/>
      <c r="W912" s="412"/>
    </row>
    <row r="913" spans="1:23" hidden="1">
      <c r="A913" s="342"/>
      <c r="B913" s="420"/>
      <c r="C913" s="423" t="s">
        <v>641</v>
      </c>
      <c r="D913" s="233" t="s">
        <v>121</v>
      </c>
      <c r="E913" s="420"/>
      <c r="F913" s="420"/>
      <c r="G913" s="342"/>
      <c r="H913" s="835">
        <v>279.08999999999997</v>
      </c>
      <c r="I913" s="421">
        <v>255.32</v>
      </c>
      <c r="J913" s="421">
        <v>253.23599999999999</v>
      </c>
      <c r="K913" s="421">
        <v>184.262</v>
      </c>
      <c r="L913" s="421">
        <v>269.54000000000002</v>
      </c>
      <c r="M913" s="421">
        <v>239.22</v>
      </c>
      <c r="N913" s="421">
        <v>336.10399999999998</v>
      </c>
      <c r="O913" s="421">
        <v>199.91631999999996</v>
      </c>
      <c r="P913" s="421">
        <v>239.9914</v>
      </c>
      <c r="Q913" s="421">
        <v>268.20139999999992</v>
      </c>
      <c r="R913" s="421">
        <v>313.23140000000001</v>
      </c>
      <c r="S913" s="421">
        <v>307.34340000000003</v>
      </c>
      <c r="T913" s="236">
        <f>SUM(H913:S913)</f>
        <v>3145.4559200000003</v>
      </c>
      <c r="U913" s="422"/>
      <c r="V913" s="833"/>
    </row>
    <row r="914" spans="1:23" s="413" customFormat="1" hidden="1">
      <c r="A914" s="229"/>
      <c r="B914" s="229"/>
      <c r="C914" s="407"/>
      <c r="D914" s="229"/>
      <c r="E914" s="229"/>
      <c r="F914" s="229"/>
      <c r="G914" s="229"/>
      <c r="H914" s="275"/>
      <c r="I914" s="275"/>
      <c r="J914" s="275"/>
      <c r="K914" s="275"/>
      <c r="L914" s="275"/>
      <c r="M914" s="275"/>
      <c r="N914" s="275"/>
      <c r="O914" s="275"/>
      <c r="P914" s="275"/>
      <c r="Q914" s="275"/>
      <c r="R914" s="275"/>
      <c r="S914" s="275"/>
      <c r="T914" s="275"/>
      <c r="U914" s="275"/>
      <c r="V914" s="275"/>
      <c r="W914" s="412"/>
    </row>
    <row r="915" spans="1:23" s="413" customFormat="1" hidden="1">
      <c r="A915" s="229"/>
      <c r="B915" s="229"/>
      <c r="C915" s="407"/>
      <c r="D915" s="229"/>
      <c r="E915" s="229"/>
      <c r="F915" s="229"/>
      <c r="G915" s="229"/>
      <c r="H915" s="275"/>
      <c r="I915" s="275"/>
      <c r="J915" s="275"/>
      <c r="K915" s="275"/>
      <c r="L915" s="275"/>
      <c r="M915" s="275"/>
      <c r="N915" s="275"/>
      <c r="O915" s="275"/>
      <c r="P915" s="275"/>
      <c r="Q915" s="275"/>
      <c r="R915" s="275"/>
      <c r="S915" s="275"/>
      <c r="T915" s="275"/>
      <c r="U915" s="275"/>
      <c r="V915" s="275"/>
      <c r="W915" s="412"/>
    </row>
    <row r="916" spans="1:23" s="413" customFormat="1" hidden="1">
      <c r="A916" s="229"/>
      <c r="B916" s="229"/>
      <c r="C916" s="407" t="s">
        <v>624</v>
      </c>
      <c r="D916" s="229"/>
      <c r="E916" s="229"/>
      <c r="F916" s="229"/>
      <c r="G916" s="229"/>
      <c r="H916" s="275"/>
      <c r="I916" s="275"/>
      <c r="J916" s="275"/>
      <c r="K916" s="275"/>
      <c r="L916" s="275"/>
      <c r="M916" s="275"/>
      <c r="N916" s="275"/>
      <c r="O916" s="275"/>
      <c r="P916" s="275"/>
      <c r="Q916" s="275"/>
      <c r="R916" s="275"/>
      <c r="S916" s="275"/>
      <c r="T916" s="275"/>
      <c r="U916" s="275"/>
      <c r="V916" s="275"/>
      <c r="W916" s="412"/>
    </row>
    <row r="917" spans="1:23" s="413" customFormat="1" hidden="1">
      <c r="A917" s="229"/>
      <c r="B917" s="229"/>
      <c r="C917" s="320" t="s">
        <v>138</v>
      </c>
      <c r="D917" s="229" t="s">
        <v>173</v>
      </c>
      <c r="E917" s="229"/>
      <c r="F917" s="229"/>
      <c r="G917" s="229"/>
      <c r="H917" s="275">
        <v>248.5224</v>
      </c>
      <c r="I917" s="275">
        <v>216.32760000000002</v>
      </c>
      <c r="J917" s="275">
        <v>271.14120000000003</v>
      </c>
      <c r="K917" s="275">
        <v>203.922</v>
      </c>
      <c r="L917" s="275">
        <v>242.98560000000001</v>
      </c>
      <c r="M917" s="275">
        <v>210.30120000000002</v>
      </c>
      <c r="N917" s="275">
        <v>229.84920000000002</v>
      </c>
      <c r="O917" s="275">
        <v>173.358</v>
      </c>
      <c r="P917" s="275">
        <v>167.84639999999999</v>
      </c>
      <c r="Q917" s="275">
        <v>139.3056</v>
      </c>
      <c r="R917" s="275">
        <v>167.79239999999999</v>
      </c>
      <c r="S917" s="275">
        <v>154.85400000000001</v>
      </c>
      <c r="T917" s="275">
        <f>SUM(H917:S917)</f>
        <v>2426.2055999999998</v>
      </c>
      <c r="U917" s="275"/>
      <c r="V917" s="275"/>
      <c r="W917" s="412"/>
    </row>
    <row r="918" spans="1:23" s="413" customFormat="1" hidden="1">
      <c r="A918" s="229"/>
      <c r="B918" s="229"/>
      <c r="C918" s="400" t="s">
        <v>625</v>
      </c>
      <c r="D918" s="229" t="s">
        <v>173</v>
      </c>
      <c r="E918" s="229"/>
      <c r="F918" s="229"/>
      <c r="G918" s="229"/>
      <c r="H918" s="275">
        <v>248.5224</v>
      </c>
      <c r="I918" s="275">
        <v>216.32760000000002</v>
      </c>
      <c r="J918" s="275">
        <v>271.14120000000003</v>
      </c>
      <c r="K918" s="275">
        <v>203.922</v>
      </c>
      <c r="L918" s="275">
        <v>242.98560000000001</v>
      </c>
      <c r="M918" s="275">
        <v>210.30120000000002</v>
      </c>
      <c r="N918" s="275">
        <v>229.84920000000002</v>
      </c>
      <c r="O918" s="275">
        <v>173.358</v>
      </c>
      <c r="P918" s="275">
        <v>167.84639999999999</v>
      </c>
      <c r="Q918" s="275">
        <v>139.3056</v>
      </c>
      <c r="R918" s="275">
        <v>167.79239999999999</v>
      </c>
      <c r="S918" s="275">
        <v>154.85400000000001</v>
      </c>
      <c r="T918" s="275">
        <f>SUM(H918:S918)</f>
        <v>2426.2055999999998</v>
      </c>
      <c r="U918" s="275"/>
      <c r="V918" s="275"/>
      <c r="W918" s="412"/>
    </row>
    <row r="919" spans="1:23" s="413" customFormat="1" hidden="1">
      <c r="A919" s="229"/>
      <c r="B919" s="229"/>
      <c r="C919" s="237" t="s">
        <v>345</v>
      </c>
      <c r="D919" s="62" t="s">
        <v>173</v>
      </c>
      <c r="E919" s="229"/>
      <c r="F919" s="229"/>
      <c r="G919" s="229"/>
      <c r="H919" s="275">
        <v>241.83555541177671</v>
      </c>
      <c r="I919" s="275">
        <v>228.94097712631219</v>
      </c>
      <c r="J919" s="275">
        <v>247.25364016398365</v>
      </c>
      <c r="K919" s="275">
        <v>209.83712175163072</v>
      </c>
      <c r="L919" s="275">
        <v>256.09811657821223</v>
      </c>
      <c r="M919" s="275">
        <v>239.65034149974002</v>
      </c>
      <c r="N919" s="275">
        <v>292.20727555985547</v>
      </c>
      <c r="O919" s="275">
        <v>218.32916444181632</v>
      </c>
      <c r="P919" s="275">
        <v>240.06880501212569</v>
      </c>
      <c r="Q919" s="275">
        <v>255.37196249773581</v>
      </c>
      <c r="R919" s="275">
        <v>279.7995123586727</v>
      </c>
      <c r="S919" s="275">
        <v>276.60543255451557</v>
      </c>
      <c r="T919" s="275">
        <f>SUM(H919:S919)</f>
        <v>2985.9979049563772</v>
      </c>
      <c r="U919" s="275"/>
      <c r="V919" s="275"/>
      <c r="W919" s="412"/>
    </row>
    <row r="920" spans="1:23" s="413" customFormat="1" hidden="1">
      <c r="A920" s="229"/>
      <c r="B920" s="336"/>
      <c r="C920" s="429" t="s">
        <v>640</v>
      </c>
      <c r="D920" s="336"/>
      <c r="E920" s="336"/>
      <c r="F920" s="336"/>
      <c r="G920" s="336"/>
      <c r="H920" s="366"/>
      <c r="I920" s="366"/>
      <c r="J920" s="366"/>
      <c r="K920" s="366"/>
      <c r="L920" s="366"/>
      <c r="M920" s="366"/>
      <c r="N920" s="366"/>
      <c r="O920" s="366"/>
      <c r="P920" s="366"/>
      <c r="Q920" s="366"/>
      <c r="R920" s="366"/>
      <c r="S920" s="366"/>
      <c r="T920" s="366"/>
      <c r="U920" s="366"/>
      <c r="V920" s="366"/>
      <c r="W920" s="412"/>
    </row>
    <row r="921" spans="1:23" s="413" customFormat="1" hidden="1">
      <c r="A921" s="229"/>
      <c r="B921" s="336"/>
      <c r="C921" s="430" t="s">
        <v>138</v>
      </c>
      <c r="D921" s="336" t="s">
        <v>347</v>
      </c>
      <c r="E921" s="336"/>
      <c r="F921" s="336"/>
      <c r="G921" s="336"/>
      <c r="H921" s="345">
        <v>0.89047404063205426</v>
      </c>
      <c r="I921" s="345">
        <v>0.84728027573241427</v>
      </c>
      <c r="J921" s="345">
        <v>1.0707055868833817</v>
      </c>
      <c r="K921" s="345">
        <v>1.1066959004026875</v>
      </c>
      <c r="L921" s="345">
        <v>0.90148252578467014</v>
      </c>
      <c r="M921" s="345">
        <v>0.87911211437170811</v>
      </c>
      <c r="N921" s="345">
        <v>0.68386332801751848</v>
      </c>
      <c r="O921" s="345">
        <v>0.86715281673852362</v>
      </c>
      <c r="P921" s="345">
        <v>0.6993850612980298</v>
      </c>
      <c r="Q921" s="345">
        <v>0.51940668467800699</v>
      </c>
      <c r="R921" s="345">
        <v>0.53568192716311325</v>
      </c>
      <c r="S921" s="345">
        <v>0.50384683712095335</v>
      </c>
      <c r="T921" s="345">
        <f>T917/T$913</f>
        <v>0.77133670339274685</v>
      </c>
      <c r="U921" s="366"/>
      <c r="V921" s="366"/>
      <c r="W921" s="412"/>
    </row>
    <row r="922" spans="1:23" s="413" customFormat="1" ht="23.25" hidden="1">
      <c r="A922" s="229"/>
      <c r="B922" s="336"/>
      <c r="C922" s="431" t="s">
        <v>628</v>
      </c>
      <c r="D922" s="336" t="s">
        <v>347</v>
      </c>
      <c r="E922" s="336"/>
      <c r="F922" s="336"/>
      <c r="G922" s="336"/>
      <c r="H922" s="345">
        <v>0.89047404063205426</v>
      </c>
      <c r="I922" s="345">
        <v>0.84728027573241427</v>
      </c>
      <c r="J922" s="345">
        <v>1.0707055868833817</v>
      </c>
      <c r="K922" s="345">
        <v>1.1066959004026875</v>
      </c>
      <c r="L922" s="345">
        <v>0.90148252578467014</v>
      </c>
      <c r="M922" s="345">
        <v>0.87911211437170811</v>
      </c>
      <c r="N922" s="345">
        <v>0.68386332801751848</v>
      </c>
      <c r="O922" s="345">
        <v>0.86715281673852362</v>
      </c>
      <c r="P922" s="345">
        <v>0.6993850612980298</v>
      </c>
      <c r="Q922" s="345">
        <v>0.51940668467800699</v>
      </c>
      <c r="R922" s="345">
        <v>0.53568192716311325</v>
      </c>
      <c r="S922" s="345">
        <v>0.50384683712095335</v>
      </c>
      <c r="T922" s="433">
        <f>T918/T$913</f>
        <v>0.77133670339274685</v>
      </c>
      <c r="U922" s="366"/>
      <c r="V922" s="366"/>
      <c r="W922" s="412"/>
    </row>
    <row r="923" spans="1:23" s="413" customFormat="1" hidden="1">
      <c r="A923" s="229"/>
      <c r="B923" s="336"/>
      <c r="C923" s="431" t="s">
        <v>642</v>
      </c>
      <c r="D923" s="336" t="s">
        <v>347</v>
      </c>
      <c r="E923" s="336"/>
      <c r="F923" s="336"/>
      <c r="G923" s="336"/>
      <c r="H923" s="345">
        <v>102.76503782780722</v>
      </c>
      <c r="I923" s="345">
        <v>94.490555039715289</v>
      </c>
      <c r="J923" s="345">
        <v>109.66115597738973</v>
      </c>
      <c r="K923" s="345">
        <v>97.181088978797547</v>
      </c>
      <c r="L923" s="345">
        <v>94.879885587050907</v>
      </c>
      <c r="M923" s="345">
        <v>87.753348768012557</v>
      </c>
      <c r="N923" s="345">
        <v>78.65964307686032</v>
      </c>
      <c r="O923" s="345">
        <v>79.402126803906256</v>
      </c>
      <c r="P923" s="345">
        <v>69.915955965841619</v>
      </c>
      <c r="Q923" s="345">
        <v>54.550076146763807</v>
      </c>
      <c r="R923" s="345">
        <v>59.968796437682236</v>
      </c>
      <c r="S923" s="345">
        <v>55.983716071621323</v>
      </c>
      <c r="T923" s="345">
        <f>T918/T919*100</f>
        <v>81.252756271958759</v>
      </c>
      <c r="U923" s="275"/>
      <c r="V923" s="275"/>
      <c r="W923" s="412"/>
    </row>
    <row r="924" spans="1:23" s="413" customFormat="1" hidden="1">
      <c r="A924" s="229"/>
      <c r="B924" s="400">
        <v>25.5</v>
      </c>
      <c r="C924" s="435" t="s">
        <v>643</v>
      </c>
      <c r="D924" s="229"/>
      <c r="E924" s="229"/>
      <c r="F924" s="229"/>
      <c r="G924" s="229"/>
      <c r="H924" s="275"/>
      <c r="I924" s="275"/>
      <c r="J924" s="275"/>
      <c r="K924" s="275"/>
      <c r="L924" s="275"/>
      <c r="M924" s="275"/>
      <c r="N924" s="275"/>
      <c r="O924" s="275"/>
      <c r="P924" s="275"/>
      <c r="Q924" s="275"/>
      <c r="R924" s="275"/>
      <c r="S924" s="275"/>
      <c r="T924" s="275"/>
      <c r="U924" s="275"/>
      <c r="V924" s="275"/>
      <c r="W924" s="412"/>
    </row>
    <row r="925" spans="1:23" s="413" customFormat="1" hidden="1">
      <c r="A925" s="229"/>
      <c r="B925" s="229"/>
      <c r="C925" s="320" t="s">
        <v>138</v>
      </c>
      <c r="D925" s="229" t="s">
        <v>90</v>
      </c>
      <c r="E925" s="832">
        <v>3.6</v>
      </c>
      <c r="F925" s="229"/>
      <c r="G925" s="229">
        <v>2.59</v>
      </c>
      <c r="H925" s="477">
        <v>1104900</v>
      </c>
      <c r="I925" s="275">
        <v>1002100</v>
      </c>
      <c r="J925" s="275">
        <v>1295200</v>
      </c>
      <c r="K925" s="275">
        <v>1233300</v>
      </c>
      <c r="L925" s="275">
        <v>1296800</v>
      </c>
      <c r="M925" s="275">
        <v>1660200</v>
      </c>
      <c r="N925" s="275">
        <v>1714000</v>
      </c>
      <c r="O925" s="275">
        <v>1484000</v>
      </c>
      <c r="P925" s="275">
        <v>1046000</v>
      </c>
      <c r="Q925" s="275">
        <v>1071400</v>
      </c>
      <c r="R925" s="275">
        <v>1244900</v>
      </c>
      <c r="S925" s="275">
        <v>1119500</v>
      </c>
      <c r="T925" s="275">
        <f t="shared" ref="T925:T932" si="372">SUM(H925:S925)</f>
        <v>15272300</v>
      </c>
      <c r="U925" s="275"/>
      <c r="V925" s="275"/>
      <c r="W925" s="412"/>
    </row>
    <row r="926" spans="1:23" s="413" customFormat="1" hidden="1">
      <c r="A926" s="229"/>
      <c r="B926" s="229"/>
      <c r="C926" s="320" t="s">
        <v>644</v>
      </c>
      <c r="D926" s="229" t="s">
        <v>121</v>
      </c>
      <c r="E926" s="832">
        <f>'[5]ETP-2011'!$D$3</f>
        <v>40070</v>
      </c>
      <c r="F926" s="229"/>
      <c r="G926" s="229"/>
      <c r="H926" s="477">
        <v>1977.441</v>
      </c>
      <c r="I926" s="275">
        <v>1728.6269999999997</v>
      </c>
      <c r="J926" s="275">
        <v>1462.1780000000001</v>
      </c>
      <c r="K926" s="275">
        <v>685.27300000000002</v>
      </c>
      <c r="L926" s="275">
        <v>967.16899999999998</v>
      </c>
      <c r="M926" s="275">
        <v>1201.6610000000001</v>
      </c>
      <c r="N926" s="275">
        <v>1775.8150000000001</v>
      </c>
      <c r="O926" s="275">
        <v>1105.8150000000001</v>
      </c>
      <c r="P926" s="275">
        <v>344.20600000000002</v>
      </c>
      <c r="Q926" s="275">
        <v>336.85</v>
      </c>
      <c r="R926" s="275">
        <v>525.28</v>
      </c>
      <c r="S926" s="275">
        <v>347.12900000000002</v>
      </c>
      <c r="T926" s="275">
        <f t="shared" si="372"/>
        <v>12457.444000000003</v>
      </c>
      <c r="U926" s="275"/>
      <c r="V926" s="275"/>
      <c r="W926" s="412"/>
    </row>
    <row r="927" spans="1:23" s="413" customFormat="1" hidden="1">
      <c r="A927" s="229"/>
      <c r="B927" s="229"/>
      <c r="C927" s="320" t="s">
        <v>874</v>
      </c>
      <c r="D927" s="229" t="s">
        <v>121</v>
      </c>
      <c r="E927" s="832">
        <f>'[5]ETP-2011'!$D$4</f>
        <v>44040</v>
      </c>
      <c r="F927" s="229"/>
      <c r="G927" s="229"/>
      <c r="H927" s="477">
        <v>913.8810000000002</v>
      </c>
      <c r="I927" s="275">
        <v>831.75800000000049</v>
      </c>
      <c r="J927" s="275">
        <v>811.13000000000056</v>
      </c>
      <c r="K927" s="275">
        <v>655.87999999999897</v>
      </c>
      <c r="L927" s="275">
        <v>698.10999999999979</v>
      </c>
      <c r="M927" s="275">
        <v>734.11600000000067</v>
      </c>
      <c r="N927" s="275">
        <v>748.0549999999995</v>
      </c>
      <c r="O927" s="275">
        <v>718.89900000000046</v>
      </c>
      <c r="P927" s="275">
        <v>793.68399999999997</v>
      </c>
      <c r="Q927" s="275">
        <v>803.2270000000002</v>
      </c>
      <c r="R927" s="275">
        <v>420.13700000000028</v>
      </c>
      <c r="S927" s="275">
        <v>851.8589999999997</v>
      </c>
      <c r="T927" s="275">
        <f t="shared" si="372"/>
        <v>8980.7360000000008</v>
      </c>
      <c r="U927" s="275"/>
      <c r="V927" s="275"/>
      <c r="W927" s="412"/>
    </row>
    <row r="928" spans="1:23" s="413" customFormat="1" hidden="1">
      <c r="A928" s="229"/>
      <c r="B928" s="229"/>
      <c r="C928" s="320" t="s">
        <v>645</v>
      </c>
      <c r="D928" s="229" t="s">
        <v>121</v>
      </c>
      <c r="E928" s="832">
        <f>'[5]ETP-2011'!$D$1</f>
        <v>54070</v>
      </c>
      <c r="F928" s="832">
        <v>52000</v>
      </c>
      <c r="G928" s="229"/>
      <c r="H928" s="477">
        <v>1963.1999999999987</v>
      </c>
      <c r="I928" s="275">
        <v>1795.7000000000005</v>
      </c>
      <c r="J928" s="275">
        <v>2201.7999999999993</v>
      </c>
      <c r="K928" s="275">
        <v>2009.4000000000015</v>
      </c>
      <c r="L928" s="275">
        <v>2414.2000000000007</v>
      </c>
      <c r="M928" s="275">
        <v>2261.4000000000015</v>
      </c>
      <c r="N928" s="275">
        <v>2071.7999999999997</v>
      </c>
      <c r="O928" s="275">
        <v>2201.7000000000007</v>
      </c>
      <c r="P928" s="275">
        <v>2478.3999999999978</v>
      </c>
      <c r="Q928" s="275">
        <v>2223.2000000000007</v>
      </c>
      <c r="R928" s="275">
        <v>987.3000000000028</v>
      </c>
      <c r="S928" s="275">
        <v>2229.8999999999978</v>
      </c>
      <c r="T928" s="275">
        <f t="shared" si="372"/>
        <v>24838.000000000004</v>
      </c>
      <c r="U928" s="275"/>
      <c r="V928" s="275"/>
      <c r="W928" s="412"/>
    </row>
    <row r="929" spans="1:23" s="413" customFormat="1" hidden="1">
      <c r="A929" s="229"/>
      <c r="B929" s="229"/>
      <c r="C929" s="320" t="s">
        <v>646</v>
      </c>
      <c r="D929" s="229" t="s">
        <v>121</v>
      </c>
      <c r="E929" s="832">
        <f>'[5]ETP-2011'!$D$2</f>
        <v>39960</v>
      </c>
      <c r="F929" s="229"/>
      <c r="G929" s="229"/>
      <c r="H929" s="477">
        <v>1215.5999999999992</v>
      </c>
      <c r="I929" s="275">
        <v>1016.8000000000002</v>
      </c>
      <c r="J929" s="275">
        <v>1058.3999999999996</v>
      </c>
      <c r="K929" s="275">
        <v>789.39999999999952</v>
      </c>
      <c r="L929" s="275">
        <v>978.90000000000066</v>
      </c>
      <c r="M929" s="275">
        <v>997.69999999999811</v>
      </c>
      <c r="N929" s="275">
        <v>979.30000000000121</v>
      </c>
      <c r="O929" s="275">
        <v>975.19999999999879</v>
      </c>
      <c r="P929" s="275">
        <v>1042.1000000000004</v>
      </c>
      <c r="Q929" s="275">
        <v>1044.5000000000018</v>
      </c>
      <c r="R929" s="275">
        <v>1081.3999999999999</v>
      </c>
      <c r="S929" s="275">
        <v>1270.7999999999993</v>
      </c>
      <c r="T929" s="275">
        <f t="shared" si="372"/>
        <v>12450.099999999999</v>
      </c>
      <c r="U929" s="275"/>
      <c r="V929" s="275"/>
      <c r="W929" s="412"/>
    </row>
    <row r="930" spans="1:23" s="413" customFormat="1" hidden="1">
      <c r="A930" s="229"/>
      <c r="B930" s="229"/>
      <c r="C930" s="320" t="s">
        <v>647</v>
      </c>
      <c r="D930" s="229" t="s">
        <v>121</v>
      </c>
      <c r="E930" s="832">
        <f>'[5]ETP-2011'!$L$1</f>
        <v>487</v>
      </c>
      <c r="F930" s="229"/>
      <c r="G930" s="229"/>
      <c r="H930" s="477">
        <v>94830</v>
      </c>
      <c r="I930" s="275">
        <v>82149</v>
      </c>
      <c r="J930" s="275">
        <v>88769</v>
      </c>
      <c r="K930" s="275">
        <v>67893</v>
      </c>
      <c r="L930" s="275">
        <v>83672</v>
      </c>
      <c r="M930" s="275">
        <v>83977</v>
      </c>
      <c r="N930" s="275">
        <v>87533</v>
      </c>
      <c r="O930" s="275">
        <v>80469</v>
      </c>
      <c r="P930" s="275">
        <v>76370</v>
      </c>
      <c r="Q930" s="275">
        <v>73103</v>
      </c>
      <c r="R930" s="275">
        <v>48828</v>
      </c>
      <c r="S930" s="275">
        <v>76767</v>
      </c>
      <c r="T930" s="275">
        <f t="shared" si="372"/>
        <v>944360</v>
      </c>
      <c r="U930" s="275"/>
      <c r="V930" s="275"/>
      <c r="W930" s="412"/>
    </row>
    <row r="931" spans="1:23" s="413" customFormat="1" hidden="1">
      <c r="A931" s="229"/>
      <c r="B931" s="229"/>
      <c r="C931" s="320" t="s">
        <v>648</v>
      </c>
      <c r="D931" s="229" t="s">
        <v>121</v>
      </c>
      <c r="E931" s="832">
        <f>'[5]ETP-2011'!$H$3</f>
        <v>2996</v>
      </c>
      <c r="F931" s="229"/>
      <c r="G931" s="229"/>
      <c r="H931" s="483">
        <v>27377</v>
      </c>
      <c r="I931" s="275">
        <v>26992</v>
      </c>
      <c r="J931" s="275">
        <v>23376</v>
      </c>
      <c r="K931" s="275">
        <v>18876</v>
      </c>
      <c r="L931" s="275">
        <v>18854</v>
      </c>
      <c r="M931" s="275">
        <v>21555</v>
      </c>
      <c r="N931" s="275">
        <v>19077</v>
      </c>
      <c r="O931" s="275">
        <v>18989</v>
      </c>
      <c r="P931" s="275">
        <v>19972</v>
      </c>
      <c r="Q931" s="275">
        <v>18777</v>
      </c>
      <c r="R931" s="275">
        <v>16725</v>
      </c>
      <c r="S931" s="275">
        <v>21957</v>
      </c>
      <c r="T931" s="275">
        <f t="shared" si="372"/>
        <v>252527</v>
      </c>
      <c r="U931" s="275"/>
      <c r="V931" s="275"/>
      <c r="W931" s="412"/>
    </row>
    <row r="932" spans="1:23" s="413" customFormat="1" hidden="1">
      <c r="A932" s="229"/>
      <c r="B932" s="229"/>
      <c r="C932" s="320" t="s">
        <v>649</v>
      </c>
      <c r="D932" s="229" t="s">
        <v>121</v>
      </c>
      <c r="E932" s="832">
        <f>'[5]ETP-2011'!$H$4</f>
        <v>2815</v>
      </c>
      <c r="F932" s="229"/>
      <c r="G932" s="229" t="s">
        <v>650</v>
      </c>
      <c r="H932" s="477">
        <v>249</v>
      </c>
      <c r="I932" s="275">
        <v>223</v>
      </c>
      <c r="J932" s="275">
        <v>253</v>
      </c>
      <c r="K932" s="275">
        <v>216</v>
      </c>
      <c r="L932" s="275">
        <v>237</v>
      </c>
      <c r="M932" s="275">
        <v>242</v>
      </c>
      <c r="N932" s="275">
        <v>270</v>
      </c>
      <c r="O932" s="275">
        <v>262</v>
      </c>
      <c r="P932" s="275">
        <v>253</v>
      </c>
      <c r="Q932" s="275">
        <v>267</v>
      </c>
      <c r="R932" s="275">
        <v>227</v>
      </c>
      <c r="S932" s="275">
        <v>269</v>
      </c>
      <c r="T932" s="275">
        <f t="shared" si="372"/>
        <v>2968</v>
      </c>
      <c r="U932" s="275"/>
      <c r="V932" s="275"/>
      <c r="W932" s="412"/>
    </row>
    <row r="933" spans="1:23" s="413" customFormat="1" hidden="1">
      <c r="A933" s="229"/>
      <c r="B933" s="229"/>
      <c r="C933" s="407"/>
      <c r="D933" s="229"/>
      <c r="E933" s="229"/>
      <c r="F933" s="229"/>
      <c r="G933" s="229"/>
      <c r="H933" s="275"/>
      <c r="I933" s="275"/>
      <c r="J933" s="275"/>
      <c r="K933" s="275"/>
      <c r="L933" s="275"/>
      <c r="M933" s="275"/>
      <c r="N933" s="275"/>
      <c r="O933" s="275"/>
      <c r="P933" s="275"/>
      <c r="Q933" s="275"/>
      <c r="R933" s="275"/>
      <c r="S933" s="275"/>
      <c r="T933" s="275"/>
      <c r="U933" s="275"/>
      <c r="V933" s="275"/>
      <c r="W933" s="412"/>
    </row>
    <row r="934" spans="1:23" hidden="1">
      <c r="A934" s="342"/>
      <c r="B934" s="420"/>
      <c r="C934" s="423" t="s">
        <v>651</v>
      </c>
      <c r="D934" s="233" t="s">
        <v>121</v>
      </c>
      <c r="E934" s="420"/>
      <c r="F934" s="420"/>
      <c r="G934" s="342"/>
      <c r="H934" s="835">
        <v>93768</v>
      </c>
      <c r="I934" s="421">
        <v>80812</v>
      </c>
      <c r="J934" s="421">
        <v>87460</v>
      </c>
      <c r="K934" s="421">
        <v>67112</v>
      </c>
      <c r="L934" s="421">
        <v>82754</v>
      </c>
      <c r="M934" s="421">
        <v>83110</v>
      </c>
      <c r="N934" s="421">
        <v>86626</v>
      </c>
      <c r="O934" s="421">
        <v>79641</v>
      </c>
      <c r="P934" s="421">
        <v>73087</v>
      </c>
      <c r="Q934" s="421">
        <v>72150</v>
      </c>
      <c r="R934" s="421">
        <v>48114</v>
      </c>
      <c r="S934" s="421">
        <v>73475</v>
      </c>
      <c r="T934" s="236">
        <f>SUM(H934:S934)</f>
        <v>928109</v>
      </c>
      <c r="U934" s="422"/>
      <c r="V934" s="833"/>
    </row>
    <row r="935" spans="1:23" s="413" customFormat="1" hidden="1">
      <c r="A935" s="229"/>
      <c r="B935" s="229"/>
      <c r="C935" s="407"/>
      <c r="D935" s="229"/>
      <c r="E935" s="229"/>
      <c r="F935" s="229"/>
      <c r="G935" s="229"/>
      <c r="H935" s="275"/>
      <c r="I935" s="275"/>
      <c r="J935" s="275"/>
      <c r="K935" s="275"/>
      <c r="L935" s="275"/>
      <c r="M935" s="275"/>
      <c r="N935" s="275"/>
      <c r="O935" s="275"/>
      <c r="P935" s="275"/>
      <c r="Q935" s="275"/>
      <c r="R935" s="275"/>
      <c r="S935" s="275"/>
      <c r="T935" s="275"/>
      <c r="U935" s="275"/>
      <c r="V935" s="275"/>
      <c r="W935" s="412"/>
    </row>
    <row r="936" spans="1:23" hidden="1">
      <c r="A936" s="253"/>
      <c r="B936" s="392"/>
      <c r="C936" s="393" t="s">
        <v>534</v>
      </c>
      <c r="D936" s="392"/>
      <c r="E936" s="392"/>
      <c r="F936" s="392"/>
      <c r="G936" s="392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5"/>
      <c r="U936" s="395"/>
      <c r="V936" s="823"/>
    </row>
    <row r="937" spans="1:23" hidden="1">
      <c r="A937" s="253"/>
      <c r="B937" s="392"/>
      <c r="C937" s="396" t="s">
        <v>618</v>
      </c>
      <c r="D937" s="392" t="s">
        <v>121</v>
      </c>
      <c r="E937" s="834">
        <f>'[5]ETP-2011'!$H$1</f>
        <v>3406</v>
      </c>
      <c r="F937" s="392"/>
      <c r="G937" s="392"/>
      <c r="H937" s="836">
        <v>93768</v>
      </c>
      <c r="I937" s="424">
        <v>80812</v>
      </c>
      <c r="J937" s="424">
        <v>87460</v>
      </c>
      <c r="K937" s="424">
        <v>67112</v>
      </c>
      <c r="L937" s="424">
        <v>82754</v>
      </c>
      <c r="M937" s="424">
        <v>83110</v>
      </c>
      <c r="N937" s="424">
        <v>86626</v>
      </c>
      <c r="O937" s="424">
        <v>79641</v>
      </c>
      <c r="P937" s="424">
        <v>73087</v>
      </c>
      <c r="Q937" s="424">
        <v>72150</v>
      </c>
      <c r="R937" s="424">
        <v>48114</v>
      </c>
      <c r="S937" s="424">
        <v>73475</v>
      </c>
      <c r="T937" s="424">
        <f>SUM(H937:S937)</f>
        <v>928109</v>
      </c>
      <c r="U937" s="824">
        <f>T937*E937</f>
        <v>3161139254</v>
      </c>
      <c r="V937" s="392">
        <f>T937*G937</f>
        <v>0</v>
      </c>
    </row>
    <row r="938" spans="1:23" hidden="1">
      <c r="A938" s="253"/>
      <c r="B938" s="392"/>
      <c r="C938" s="396" t="s">
        <v>652</v>
      </c>
      <c r="D938" s="392" t="s">
        <v>121</v>
      </c>
      <c r="E938" s="834">
        <f>'[5]ETP-2011'!$H$4</f>
        <v>2815</v>
      </c>
      <c r="F938" s="392"/>
      <c r="G938" s="392" t="s">
        <v>653</v>
      </c>
      <c r="H938" s="360">
        <v>15624</v>
      </c>
      <c r="I938" s="424">
        <v>14112</v>
      </c>
      <c r="J938" s="424">
        <v>15624</v>
      </c>
      <c r="K938" s="424">
        <v>13104</v>
      </c>
      <c r="L938" s="424">
        <v>14910</v>
      </c>
      <c r="M938" s="424">
        <v>15120</v>
      </c>
      <c r="N938" s="424">
        <v>15382.5</v>
      </c>
      <c r="O938" s="424">
        <v>15267</v>
      </c>
      <c r="P938" s="424">
        <v>15120</v>
      </c>
      <c r="Q938" s="424">
        <v>15120</v>
      </c>
      <c r="R938" s="424">
        <v>8899.7999999999993</v>
      </c>
      <c r="S938" s="424">
        <v>15624</v>
      </c>
      <c r="T938" s="425">
        <f>SUM(H938:S938)</f>
        <v>173907.3</v>
      </c>
      <c r="U938" s="824"/>
      <c r="V938" s="392"/>
    </row>
    <row r="939" spans="1:23" hidden="1">
      <c r="A939" s="253"/>
      <c r="B939" s="392"/>
      <c r="C939" s="396" t="s">
        <v>654</v>
      </c>
      <c r="D939" s="392" t="s">
        <v>121</v>
      </c>
      <c r="E939" s="834">
        <f>'[5]ETP-2011'!$L$2</f>
        <v>206</v>
      </c>
      <c r="F939" s="392"/>
      <c r="G939" s="436" t="s">
        <v>655</v>
      </c>
      <c r="H939" s="360">
        <v>18824</v>
      </c>
      <c r="I939" s="424">
        <v>16749</v>
      </c>
      <c r="J939" s="424">
        <v>16765</v>
      </c>
      <c r="K939" s="424">
        <v>11403</v>
      </c>
      <c r="L939" s="424">
        <v>11506</v>
      </c>
      <c r="M939" s="424">
        <v>12489</v>
      </c>
      <c r="N939" s="424">
        <v>12986</v>
      </c>
      <c r="O939" s="424">
        <v>13290</v>
      </c>
      <c r="P939" s="424">
        <v>13720</v>
      </c>
      <c r="Q939" s="424">
        <v>14258</v>
      </c>
      <c r="R939" s="424">
        <v>12172</v>
      </c>
      <c r="S939" s="424">
        <v>15384</v>
      </c>
      <c r="T939" s="425">
        <f>SUM(H939:S939)</f>
        <v>169546</v>
      </c>
      <c r="U939" s="824"/>
      <c r="V939" s="392"/>
    </row>
    <row r="940" spans="1:23" hidden="1">
      <c r="A940" s="253"/>
      <c r="B940" s="392"/>
      <c r="C940" s="396" t="s">
        <v>656</v>
      </c>
      <c r="D940" s="392" t="s">
        <v>121</v>
      </c>
      <c r="E940" s="824">
        <f>'[5]ETP-2011'!$L$3</f>
        <v>210</v>
      </c>
      <c r="F940" s="392"/>
      <c r="G940" s="437" t="s">
        <v>657</v>
      </c>
      <c r="H940" s="360">
        <v>4776</v>
      </c>
      <c r="I940" s="424">
        <v>4457</v>
      </c>
      <c r="J940" s="424">
        <v>4762</v>
      </c>
      <c r="K940" s="424">
        <v>3400</v>
      </c>
      <c r="L940" s="424">
        <v>4720</v>
      </c>
      <c r="M940" s="424">
        <v>4398</v>
      </c>
      <c r="N940" s="424">
        <v>4492</v>
      </c>
      <c r="O940" s="424">
        <v>4561</v>
      </c>
      <c r="P940" s="424">
        <v>4388</v>
      </c>
      <c r="Q940" s="424">
        <v>4324</v>
      </c>
      <c r="R940" s="424">
        <v>4183</v>
      </c>
      <c r="S940" s="424">
        <v>4475</v>
      </c>
      <c r="T940" s="425">
        <f>SUM(H940:S940)</f>
        <v>52936</v>
      </c>
      <c r="U940" s="824"/>
      <c r="V940" s="392"/>
    </row>
    <row r="941" spans="1:23" hidden="1">
      <c r="A941" s="253"/>
      <c r="B941" s="392"/>
      <c r="C941" s="396"/>
      <c r="D941" s="392"/>
      <c r="E941" s="392"/>
      <c r="F941" s="392"/>
      <c r="G941" s="392"/>
      <c r="H941" s="392"/>
      <c r="I941" s="392"/>
      <c r="J941" s="392"/>
      <c r="K941" s="392"/>
      <c r="L941" s="392"/>
      <c r="M941" s="392"/>
      <c r="N941" s="392"/>
      <c r="O941" s="392"/>
      <c r="P941" s="392"/>
      <c r="Q941" s="392"/>
      <c r="R941" s="392"/>
      <c r="S941" s="392"/>
      <c r="T941" s="395"/>
      <c r="U941" s="824"/>
      <c r="V941" s="392"/>
    </row>
    <row r="942" spans="1:23" hidden="1">
      <c r="A942" s="253"/>
      <c r="B942" s="392"/>
      <c r="C942" s="393" t="s">
        <v>536</v>
      </c>
      <c r="D942" s="392"/>
      <c r="E942" s="392"/>
      <c r="F942" s="392"/>
      <c r="G942" s="392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5"/>
      <c r="U942" s="395"/>
      <c r="V942" s="823"/>
    </row>
    <row r="943" spans="1:23" hidden="1">
      <c r="A943" s="253"/>
      <c r="B943" s="392"/>
      <c r="C943" s="396" t="s">
        <v>618</v>
      </c>
      <c r="D943" s="392" t="s">
        <v>173</v>
      </c>
      <c r="E943" s="392"/>
      <c r="F943" s="392"/>
      <c r="G943" s="392"/>
      <c r="H943" s="394">
        <v>319373.80800000002</v>
      </c>
      <c r="I943" s="394">
        <v>275245.67200000002</v>
      </c>
      <c r="J943" s="394">
        <v>297888.76</v>
      </c>
      <c r="K943" s="394">
        <v>228583.47200000001</v>
      </c>
      <c r="L943" s="394">
        <v>281860.12400000001</v>
      </c>
      <c r="M943" s="394">
        <v>283072.65999999997</v>
      </c>
      <c r="N943" s="394">
        <v>295048.15600000002</v>
      </c>
      <c r="O943" s="394">
        <v>271257.24599999998</v>
      </c>
      <c r="P943" s="394">
        <v>248934.32199999999</v>
      </c>
      <c r="Q943" s="394">
        <v>245742.9</v>
      </c>
      <c r="R943" s="394">
        <v>163876.28400000001</v>
      </c>
      <c r="S943" s="394">
        <v>250255.85</v>
      </c>
      <c r="T943" s="395">
        <f>SUM(H943:S943)</f>
        <v>3161139.2540000002</v>
      </c>
      <c r="U943" s="395"/>
      <c r="V943" s="823"/>
    </row>
    <row r="944" spans="1:23" hidden="1">
      <c r="A944" s="253"/>
      <c r="B944" s="392"/>
      <c r="C944" s="396" t="s">
        <v>658</v>
      </c>
      <c r="D944" s="392" t="s">
        <v>173</v>
      </c>
      <c r="E944" s="392"/>
      <c r="F944" s="392"/>
      <c r="G944" s="392"/>
      <c r="H944" s="394">
        <v>43981.56</v>
      </c>
      <c r="I944" s="394">
        <v>39725.279999999999</v>
      </c>
      <c r="J944" s="394">
        <v>43981.56</v>
      </c>
      <c r="K944" s="394">
        <v>36887.760000000002</v>
      </c>
      <c r="L944" s="394">
        <v>41971.65</v>
      </c>
      <c r="M944" s="394">
        <v>42562.8</v>
      </c>
      <c r="N944" s="394">
        <v>43301.737500000003</v>
      </c>
      <c r="O944" s="394">
        <v>42976.605000000003</v>
      </c>
      <c r="P944" s="394">
        <v>42562.8</v>
      </c>
      <c r="Q944" s="394">
        <v>42562.8</v>
      </c>
      <c r="R944" s="394">
        <v>25052.936999999998</v>
      </c>
      <c r="S944" s="394">
        <v>43981.56</v>
      </c>
      <c r="T944" s="395">
        <f>SUM(H944:S944)</f>
        <v>489549.04949999991</v>
      </c>
      <c r="U944" s="395"/>
      <c r="V944" s="823"/>
    </row>
    <row r="945" spans="1:23" hidden="1">
      <c r="A945" s="253"/>
      <c r="B945" s="392"/>
      <c r="C945" s="396" t="s">
        <v>654</v>
      </c>
      <c r="D945" s="392" t="s">
        <v>173</v>
      </c>
      <c r="E945" s="392"/>
      <c r="F945" s="392"/>
      <c r="G945" s="392"/>
      <c r="H945" s="394">
        <v>3877.7440000000001</v>
      </c>
      <c r="I945" s="394">
        <v>3450.2939999999999</v>
      </c>
      <c r="J945" s="394">
        <v>3453.59</v>
      </c>
      <c r="K945" s="394">
        <v>2349.018</v>
      </c>
      <c r="L945" s="394">
        <v>2370.2359999999999</v>
      </c>
      <c r="M945" s="394">
        <v>2572.7339999999999</v>
      </c>
      <c r="N945" s="394">
        <v>2675.116</v>
      </c>
      <c r="O945" s="394">
        <v>2737.74</v>
      </c>
      <c r="P945" s="394">
        <v>2826.32</v>
      </c>
      <c r="Q945" s="394">
        <v>2937.1480000000001</v>
      </c>
      <c r="R945" s="394">
        <v>2507.4319999999998</v>
      </c>
      <c r="S945" s="394">
        <v>3169.1039999999998</v>
      </c>
      <c r="T945" s="395">
        <f>SUM(H945:S945)</f>
        <v>34926.476000000002</v>
      </c>
      <c r="U945" s="395"/>
      <c r="V945" s="823"/>
    </row>
    <row r="946" spans="1:23" hidden="1">
      <c r="A946" s="253"/>
      <c r="B946" s="392"/>
      <c r="C946" s="396" t="s">
        <v>656</v>
      </c>
      <c r="D946" s="392" t="s">
        <v>173</v>
      </c>
      <c r="E946" s="392"/>
      <c r="F946" s="392"/>
      <c r="G946" s="392"/>
      <c r="H946" s="394">
        <v>1002.96</v>
      </c>
      <c r="I946" s="394">
        <v>935.97</v>
      </c>
      <c r="J946" s="394">
        <v>1000.02</v>
      </c>
      <c r="K946" s="394">
        <v>714</v>
      </c>
      <c r="L946" s="394">
        <v>991.2</v>
      </c>
      <c r="M946" s="394">
        <v>923.58</v>
      </c>
      <c r="N946" s="394">
        <v>943.32</v>
      </c>
      <c r="O946" s="394">
        <v>957.81</v>
      </c>
      <c r="P946" s="394">
        <v>921.48</v>
      </c>
      <c r="Q946" s="394">
        <v>908.04</v>
      </c>
      <c r="R946" s="394">
        <v>878.43</v>
      </c>
      <c r="S946" s="394">
        <v>939.75</v>
      </c>
      <c r="T946" s="395">
        <f>SUM(H946:S946)</f>
        <v>11116.559999999998</v>
      </c>
      <c r="U946" s="395"/>
      <c r="V946" s="823"/>
    </row>
    <row r="947" spans="1:23" hidden="1">
      <c r="A947" s="253"/>
      <c r="B947" s="392"/>
      <c r="C947" s="392" t="s">
        <v>537</v>
      </c>
      <c r="D947" s="392" t="s">
        <v>173</v>
      </c>
      <c r="E947" s="392"/>
      <c r="F947" s="392"/>
      <c r="G947" s="392"/>
      <c r="H947" s="394">
        <v>368236.07200000004</v>
      </c>
      <c r="I947" s="394">
        <v>319357.21600000001</v>
      </c>
      <c r="J947" s="394">
        <v>346323.93000000005</v>
      </c>
      <c r="K947" s="394">
        <v>268534.25</v>
      </c>
      <c r="L947" s="394">
        <v>327193.21000000002</v>
      </c>
      <c r="M947" s="394">
        <v>329131.77399999998</v>
      </c>
      <c r="N947" s="394">
        <v>341968.32949999999</v>
      </c>
      <c r="O947" s="394">
        <v>317929.40099999995</v>
      </c>
      <c r="P947" s="394">
        <v>295244.92199999996</v>
      </c>
      <c r="Q947" s="394">
        <v>292150.88799999998</v>
      </c>
      <c r="R947" s="394">
        <v>192315.08300000001</v>
      </c>
      <c r="S947" s="394">
        <v>298346.26400000002</v>
      </c>
      <c r="T947" s="395">
        <f>SUM(H947:S947)</f>
        <v>3696731.3394999998</v>
      </c>
      <c r="U947" s="395"/>
      <c r="V947" s="823"/>
    </row>
    <row r="948" spans="1:23" s="413" customFormat="1" hidden="1">
      <c r="A948" s="229"/>
      <c r="B948" s="229"/>
      <c r="C948" s="407"/>
      <c r="D948" s="229"/>
      <c r="E948" s="229"/>
      <c r="F948" s="229"/>
      <c r="G948" s="229"/>
      <c r="H948" s="275"/>
      <c r="I948" s="275"/>
      <c r="J948" s="275"/>
      <c r="K948" s="275"/>
      <c r="L948" s="275"/>
      <c r="M948" s="275"/>
      <c r="N948" s="275"/>
      <c r="O948" s="275"/>
      <c r="P948" s="275"/>
      <c r="Q948" s="275"/>
      <c r="R948" s="275"/>
      <c r="S948" s="275"/>
      <c r="T948" s="275"/>
      <c r="U948" s="275"/>
      <c r="V948" s="275"/>
      <c r="W948" s="412"/>
    </row>
    <row r="949" spans="1:23" s="413" customFormat="1" hidden="1">
      <c r="A949" s="229"/>
      <c r="B949" s="229"/>
      <c r="C949" s="407" t="s">
        <v>624</v>
      </c>
      <c r="D949" s="229"/>
      <c r="E949" s="229"/>
      <c r="F949" s="229"/>
      <c r="G949" s="229"/>
      <c r="H949" s="275"/>
      <c r="I949" s="275"/>
      <c r="J949" s="275"/>
      <c r="K949" s="275"/>
      <c r="L949" s="275"/>
      <c r="M949" s="275"/>
      <c r="N949" s="275"/>
      <c r="O949" s="275"/>
      <c r="P949" s="275"/>
      <c r="Q949" s="275"/>
      <c r="R949" s="275"/>
      <c r="S949" s="275"/>
      <c r="T949" s="275"/>
      <c r="U949" s="275"/>
      <c r="V949" s="275"/>
      <c r="W949" s="412"/>
    </row>
    <row r="950" spans="1:23" s="413" customFormat="1" hidden="1">
      <c r="A950" s="229"/>
      <c r="B950" s="229"/>
      <c r="C950" s="320" t="s">
        <v>138</v>
      </c>
      <c r="D950" s="229" t="s">
        <v>173</v>
      </c>
      <c r="E950" s="229"/>
      <c r="F950" s="229"/>
      <c r="G950" s="229"/>
      <c r="H950" s="275">
        <v>3977.64</v>
      </c>
      <c r="I950" s="275">
        <v>3607.56</v>
      </c>
      <c r="J950" s="275">
        <v>4662.72</v>
      </c>
      <c r="K950" s="275">
        <v>4439.88</v>
      </c>
      <c r="L950" s="275">
        <v>4668.4799999999996</v>
      </c>
      <c r="M950" s="275">
        <v>5976.72</v>
      </c>
      <c r="N950" s="275">
        <v>6170.4</v>
      </c>
      <c r="O950" s="275">
        <v>5342.4</v>
      </c>
      <c r="P950" s="275">
        <v>3765.6</v>
      </c>
      <c r="Q950" s="275">
        <v>3857.04</v>
      </c>
      <c r="R950" s="275">
        <v>4481.6400000000003</v>
      </c>
      <c r="S950" s="275">
        <v>4030.2</v>
      </c>
      <c r="T950" s="275">
        <f t="shared" ref="T950:T960" si="373">SUM(H950:S950)</f>
        <v>54980.28</v>
      </c>
      <c r="U950" s="275"/>
      <c r="V950" s="275"/>
      <c r="W950" s="412"/>
    </row>
    <row r="951" spans="1:23" s="413" customFormat="1" hidden="1">
      <c r="A951" s="229"/>
      <c r="B951" s="229"/>
      <c r="C951" s="320" t="s">
        <v>644</v>
      </c>
      <c r="D951" s="229" t="s">
        <v>173</v>
      </c>
      <c r="E951" s="229"/>
      <c r="F951" s="229"/>
      <c r="G951" s="229"/>
      <c r="H951" s="275">
        <v>79236.060870000001</v>
      </c>
      <c r="I951" s="275">
        <v>69266.08388999998</v>
      </c>
      <c r="J951" s="275">
        <v>58589.472460000005</v>
      </c>
      <c r="K951" s="275">
        <v>27458.88911</v>
      </c>
      <c r="L951" s="275">
        <v>38754.46183</v>
      </c>
      <c r="M951" s="275">
        <v>48150.556270000001</v>
      </c>
      <c r="N951" s="275">
        <v>71156.907049999994</v>
      </c>
      <c r="O951" s="275">
        <v>44310.007050000007</v>
      </c>
      <c r="P951" s="275">
        <v>13792.334419999999</v>
      </c>
      <c r="Q951" s="275">
        <v>13497.5795</v>
      </c>
      <c r="R951" s="275">
        <v>21047.969599999997</v>
      </c>
      <c r="S951" s="275">
        <v>13909.459030000002</v>
      </c>
      <c r="T951" s="275">
        <f t="shared" si="373"/>
        <v>499169.78108000004</v>
      </c>
      <c r="U951" s="275"/>
      <c r="V951" s="275"/>
      <c r="W951" s="412"/>
    </row>
    <row r="952" spans="1:23" s="413" customFormat="1" hidden="1">
      <c r="A952" s="229"/>
      <c r="B952" s="229"/>
      <c r="C952" s="320" t="s">
        <v>874</v>
      </c>
      <c r="D952" s="229" t="s">
        <v>173</v>
      </c>
      <c r="E952" s="229"/>
      <c r="F952" s="229"/>
      <c r="G952" s="229"/>
      <c r="H952" s="275">
        <v>40247.319240000012</v>
      </c>
      <c r="I952" s="275">
        <v>36630.622320000024</v>
      </c>
      <c r="J952" s="275">
        <v>35722.165200000025</v>
      </c>
      <c r="K952" s="275">
        <v>28884.955199999953</v>
      </c>
      <c r="L952" s="275">
        <v>30744.764399999993</v>
      </c>
      <c r="M952" s="275">
        <v>32330.468640000032</v>
      </c>
      <c r="N952" s="275">
        <v>32944.342199999977</v>
      </c>
      <c r="O952" s="275">
        <v>31660.311960000021</v>
      </c>
      <c r="P952" s="275">
        <v>34953.843359999999</v>
      </c>
      <c r="Q952" s="275">
        <v>35374.117080000004</v>
      </c>
      <c r="R952" s="275">
        <v>18502.833480000012</v>
      </c>
      <c r="S952" s="275">
        <v>37515.870359999986</v>
      </c>
      <c r="T952" s="275">
        <f t="shared" si="373"/>
        <v>395511.6134400001</v>
      </c>
      <c r="U952" s="275"/>
      <c r="V952" s="275"/>
      <c r="W952" s="412"/>
    </row>
    <row r="953" spans="1:23" s="413" customFormat="1" hidden="1">
      <c r="A953" s="229"/>
      <c r="B953" s="229"/>
      <c r="C953" s="320" t="s">
        <v>645</v>
      </c>
      <c r="D953" s="229" t="s">
        <v>173</v>
      </c>
      <c r="E953" s="229"/>
      <c r="F953" s="229"/>
      <c r="G953" s="229"/>
      <c r="H953" s="275">
        <v>100515.83999999992</v>
      </c>
      <c r="I953" s="275">
        <v>91939.840000000026</v>
      </c>
      <c r="J953" s="275">
        <v>112732.15999999997</v>
      </c>
      <c r="K953" s="275">
        <v>102881.28000000007</v>
      </c>
      <c r="L953" s="275">
        <v>123607.04000000002</v>
      </c>
      <c r="M953" s="275">
        <v>115783.68000000008</v>
      </c>
      <c r="N953" s="275">
        <v>106076.15999999999</v>
      </c>
      <c r="O953" s="275">
        <v>112727.04000000002</v>
      </c>
      <c r="P953" s="275">
        <v>126894.07999999989</v>
      </c>
      <c r="Q953" s="275">
        <v>113827.84000000003</v>
      </c>
      <c r="R953" s="275">
        <v>50549.76000000014</v>
      </c>
      <c r="S953" s="275">
        <v>114170.87999999987</v>
      </c>
      <c r="T953" s="275">
        <f t="shared" si="373"/>
        <v>1271705.6000000001</v>
      </c>
      <c r="U953" s="275"/>
      <c r="V953" s="275"/>
      <c r="W953" s="412"/>
    </row>
    <row r="954" spans="1:23" s="413" customFormat="1" hidden="1">
      <c r="A954" s="229"/>
      <c r="B954" s="229"/>
      <c r="C954" s="320" t="s">
        <v>646</v>
      </c>
      <c r="D954" s="229" t="s">
        <v>173</v>
      </c>
      <c r="E954" s="229"/>
      <c r="F954" s="229"/>
      <c r="G954" s="229"/>
      <c r="H954" s="275">
        <v>48575.375999999967</v>
      </c>
      <c r="I954" s="275">
        <v>40631.328000000009</v>
      </c>
      <c r="J954" s="275">
        <v>42293.663999999982</v>
      </c>
      <c r="K954" s="275">
        <v>31544.423999999981</v>
      </c>
      <c r="L954" s="275">
        <v>39116.844000000026</v>
      </c>
      <c r="M954" s="275">
        <v>39868.091999999924</v>
      </c>
      <c r="N954" s="275">
        <v>39132.828000000045</v>
      </c>
      <c r="O954" s="275">
        <v>38968.991999999955</v>
      </c>
      <c r="P954" s="275">
        <v>41642.316000000013</v>
      </c>
      <c r="Q954" s="275">
        <v>41738.220000000074</v>
      </c>
      <c r="R954" s="275">
        <v>43212.743999999992</v>
      </c>
      <c r="S954" s="275">
        <v>50781.167999999969</v>
      </c>
      <c r="T954" s="275">
        <f t="shared" si="373"/>
        <v>497505.99599999993</v>
      </c>
      <c r="U954" s="275"/>
      <c r="V954" s="275"/>
      <c r="W954" s="412"/>
    </row>
    <row r="955" spans="1:23" s="413" customFormat="1" hidden="1">
      <c r="A955" s="229"/>
      <c r="B955" s="229"/>
      <c r="C955" s="320" t="s">
        <v>647</v>
      </c>
      <c r="D955" s="229" t="s">
        <v>173</v>
      </c>
      <c r="E955" s="229"/>
      <c r="F955" s="229"/>
      <c r="G955" s="229"/>
      <c r="H955" s="275">
        <v>46182.21</v>
      </c>
      <c r="I955" s="275">
        <v>40006.563000000002</v>
      </c>
      <c r="J955" s="275">
        <v>43230.502999999997</v>
      </c>
      <c r="K955" s="275">
        <v>33063.891000000003</v>
      </c>
      <c r="L955" s="275">
        <v>40748.264000000003</v>
      </c>
      <c r="M955" s="275">
        <v>40896.798999999999</v>
      </c>
      <c r="N955" s="275">
        <v>42628.571000000004</v>
      </c>
      <c r="O955" s="275">
        <v>39188.402999999998</v>
      </c>
      <c r="P955" s="275">
        <v>37192.19</v>
      </c>
      <c r="Q955" s="275">
        <v>35601.161</v>
      </c>
      <c r="R955" s="275">
        <v>23779.236000000001</v>
      </c>
      <c r="S955" s="275">
        <v>37385.529000000002</v>
      </c>
      <c r="T955" s="275">
        <f t="shared" si="373"/>
        <v>459903.32</v>
      </c>
      <c r="U955" s="275"/>
      <c r="V955" s="275"/>
      <c r="W955" s="412"/>
    </row>
    <row r="956" spans="1:23" s="413" customFormat="1" hidden="1">
      <c r="A956" s="229"/>
      <c r="B956" s="229"/>
      <c r="C956" s="320" t="s">
        <v>659</v>
      </c>
      <c r="D956" s="229" t="s">
        <v>173</v>
      </c>
      <c r="E956" s="229"/>
      <c r="F956" s="229"/>
      <c r="G956" s="229"/>
      <c r="H956" s="275">
        <v>82021.491999999998</v>
      </c>
      <c r="I956" s="275">
        <v>80868.032000000007</v>
      </c>
      <c r="J956" s="275">
        <v>70034.495999999999</v>
      </c>
      <c r="K956" s="275">
        <v>56552.495999999999</v>
      </c>
      <c r="L956" s="275">
        <v>56486.584000000003</v>
      </c>
      <c r="M956" s="275">
        <v>64578.78</v>
      </c>
      <c r="N956" s="275">
        <v>57154.692000000003</v>
      </c>
      <c r="O956" s="275">
        <v>56891.044000000002</v>
      </c>
      <c r="P956" s="275">
        <v>59836.112000000001</v>
      </c>
      <c r="Q956" s="275">
        <v>56255.892</v>
      </c>
      <c r="R956" s="275">
        <v>50108.1</v>
      </c>
      <c r="S956" s="275">
        <v>65783.172000000006</v>
      </c>
      <c r="T956" s="275">
        <f t="shared" si="373"/>
        <v>756570.89199999999</v>
      </c>
      <c r="U956" s="275"/>
      <c r="V956" s="275"/>
      <c r="W956" s="412"/>
    </row>
    <row r="957" spans="1:23" s="413" customFormat="1" hidden="1">
      <c r="A957" s="229"/>
      <c r="B957" s="229"/>
      <c r="C957" s="320" t="s">
        <v>660</v>
      </c>
      <c r="D957" s="229" t="s">
        <v>173</v>
      </c>
      <c r="E957" s="229"/>
      <c r="F957" s="229"/>
      <c r="G957" s="229"/>
      <c r="H957" s="275">
        <v>700.93499999999995</v>
      </c>
      <c r="I957" s="275">
        <v>627.745</v>
      </c>
      <c r="J957" s="275">
        <v>712.19500000000005</v>
      </c>
      <c r="K957" s="275">
        <v>608.04</v>
      </c>
      <c r="L957" s="275">
        <v>667.15499999999997</v>
      </c>
      <c r="M957" s="275">
        <v>681.23</v>
      </c>
      <c r="N957" s="275">
        <v>760.05</v>
      </c>
      <c r="O957" s="275">
        <v>737.53</v>
      </c>
      <c r="P957" s="275">
        <v>712.19500000000005</v>
      </c>
      <c r="Q957" s="275">
        <v>751.60500000000002</v>
      </c>
      <c r="R957" s="275">
        <v>639.005</v>
      </c>
      <c r="S957" s="275">
        <v>757.23500000000001</v>
      </c>
      <c r="T957" s="275">
        <f t="shared" si="373"/>
        <v>8354.9199999999983</v>
      </c>
      <c r="U957" s="275"/>
      <c r="V957" s="275"/>
      <c r="W957" s="412"/>
    </row>
    <row r="958" spans="1:23" s="413" customFormat="1" hidden="1">
      <c r="A958" s="229"/>
      <c r="B958" s="229"/>
      <c r="C958" s="426" t="s">
        <v>625</v>
      </c>
      <c r="D958" s="229" t="s">
        <v>173</v>
      </c>
      <c r="E958" s="229"/>
      <c r="F958" s="229"/>
      <c r="G958" s="229"/>
      <c r="H958" s="275">
        <v>401456.87310999999</v>
      </c>
      <c r="I958" s="275">
        <v>363577.77421000006</v>
      </c>
      <c r="J958" s="275">
        <v>367977.37566000002</v>
      </c>
      <c r="K958" s="275">
        <v>285433.85530999996</v>
      </c>
      <c r="L958" s="275">
        <v>334793.59323000011</v>
      </c>
      <c r="M958" s="275">
        <v>348266.32591000001</v>
      </c>
      <c r="N958" s="275">
        <v>356023.95024999994</v>
      </c>
      <c r="O958" s="275">
        <v>329825.72801000002</v>
      </c>
      <c r="P958" s="275">
        <v>318788.67077999993</v>
      </c>
      <c r="Q958" s="275">
        <v>300903.45458000008</v>
      </c>
      <c r="R958" s="275">
        <v>212321.28808000014</v>
      </c>
      <c r="S958" s="275">
        <v>324333.51338999986</v>
      </c>
      <c r="T958" s="275">
        <f t="shared" si="373"/>
        <v>3943702.4025200005</v>
      </c>
      <c r="U958" s="275"/>
      <c r="V958" s="275"/>
      <c r="W958" s="412"/>
    </row>
    <row r="959" spans="1:23" s="413" customFormat="1" hidden="1">
      <c r="A959" s="229"/>
      <c r="B959" s="229"/>
      <c r="C959" s="427" t="s">
        <v>626</v>
      </c>
      <c r="D959" s="229" t="s">
        <v>173</v>
      </c>
      <c r="E959" s="229"/>
      <c r="F959" s="229"/>
      <c r="G959" s="229"/>
      <c r="H959" s="275">
        <v>401456.87310999999</v>
      </c>
      <c r="I959" s="275">
        <v>363577.77421000006</v>
      </c>
      <c r="J959" s="275">
        <v>367977.37566000002</v>
      </c>
      <c r="K959" s="275">
        <v>285433.85530999996</v>
      </c>
      <c r="L959" s="275">
        <v>334793.59323000011</v>
      </c>
      <c r="M959" s="275">
        <v>348266.32591000001</v>
      </c>
      <c r="N959" s="275">
        <v>356023.95024999994</v>
      </c>
      <c r="O959" s="275">
        <v>329825.72801000002</v>
      </c>
      <c r="P959" s="275">
        <v>318788.67077999993</v>
      </c>
      <c r="Q959" s="275">
        <v>300903.45458000008</v>
      </c>
      <c r="R959" s="275">
        <v>212321.28808000014</v>
      </c>
      <c r="S959" s="275">
        <v>324333.51338999986</v>
      </c>
      <c r="T959" s="428">
        <f t="shared" si="373"/>
        <v>3943702.4025200005</v>
      </c>
      <c r="U959" s="275"/>
      <c r="V959" s="275"/>
      <c r="W959" s="412"/>
    </row>
    <row r="960" spans="1:23" s="413" customFormat="1" hidden="1">
      <c r="A960" s="229"/>
      <c r="B960" s="229"/>
      <c r="C960" s="237" t="s">
        <v>345</v>
      </c>
      <c r="D960" s="62" t="s">
        <v>173</v>
      </c>
      <c r="E960" s="229"/>
      <c r="F960" s="229" t="s">
        <v>661</v>
      </c>
      <c r="G960" s="229">
        <v>4.1881477985150903</v>
      </c>
      <c r="H960" s="275">
        <v>394734.69166052516</v>
      </c>
      <c r="I960" s="275">
        <v>348407.17907545471</v>
      </c>
      <c r="J960" s="275">
        <v>372483.74025086954</v>
      </c>
      <c r="K960" s="275">
        <v>299724.22913007496</v>
      </c>
      <c r="L960" s="275">
        <v>355656.22603156255</v>
      </c>
      <c r="M960" s="275">
        <v>356929.19565801247</v>
      </c>
      <c r="N960" s="275">
        <v>369501.55859789421</v>
      </c>
      <c r="O960" s="275">
        <v>344524.89331488108</v>
      </c>
      <c r="P960" s="275">
        <v>321089.37946164305</v>
      </c>
      <c r="Q960" s="275">
        <v>317738.89479876787</v>
      </c>
      <c r="R960" s="275">
        <v>231791.99046913258</v>
      </c>
      <c r="S960" s="275">
        <v>322476.77332417836</v>
      </c>
      <c r="T960" s="275">
        <f t="shared" si="373"/>
        <v>4035058.751772997</v>
      </c>
      <c r="U960" s="275"/>
      <c r="V960" s="275"/>
      <c r="W960" s="412"/>
    </row>
    <row r="961" spans="1:23" s="413" customFormat="1" hidden="1">
      <c r="A961" s="229"/>
      <c r="B961" s="336"/>
      <c r="C961" s="429" t="s">
        <v>662</v>
      </c>
      <c r="D961" s="336"/>
      <c r="E961" s="336"/>
      <c r="F961" s="336"/>
      <c r="G961" s="336"/>
      <c r="H961" s="366"/>
      <c r="I961" s="366"/>
      <c r="J961" s="366"/>
      <c r="K961" s="366"/>
      <c r="L961" s="366"/>
      <c r="M961" s="366"/>
      <c r="N961" s="366"/>
      <c r="O961" s="366"/>
      <c r="P961" s="366"/>
      <c r="Q961" s="366"/>
      <c r="R961" s="366"/>
      <c r="S961" s="366"/>
      <c r="T961" s="366"/>
      <c r="U961" s="366"/>
      <c r="V961" s="366"/>
      <c r="W961" s="412"/>
    </row>
    <row r="962" spans="1:23" s="413" customFormat="1" hidden="1">
      <c r="A962" s="229"/>
      <c r="B962" s="336"/>
      <c r="C962" s="430" t="s">
        <v>138</v>
      </c>
      <c r="D962" s="336" t="s">
        <v>347</v>
      </c>
      <c r="E962" s="336"/>
      <c r="F962" s="336"/>
      <c r="G962" s="336"/>
      <c r="H962" s="345">
        <v>4.2420015357051442E-2</v>
      </c>
      <c r="I962" s="345">
        <v>4.4641389892590207E-2</v>
      </c>
      <c r="J962" s="345">
        <v>5.3312600045735195E-2</v>
      </c>
      <c r="K962" s="345">
        <v>6.6156276075813564E-2</v>
      </c>
      <c r="L962" s="345">
        <v>5.6413949778862646E-2</v>
      </c>
      <c r="M962" s="345">
        <v>7.1913367825773081E-2</v>
      </c>
      <c r="N962" s="345">
        <v>7.1230346547226001E-2</v>
      </c>
      <c r="O962" s="837">
        <v>6.7081026104644587E-2</v>
      </c>
      <c r="P962" s="345">
        <v>5.1522158523403611E-2</v>
      </c>
      <c r="Q962" s="345">
        <v>5.3458627858627858E-2</v>
      </c>
      <c r="R962" s="345">
        <v>9.314627759072204E-2</v>
      </c>
      <c r="S962" s="345">
        <v>5.4851309969377336E-2</v>
      </c>
      <c r="T962" s="345">
        <f>T950/T$934</f>
        <v>5.9239033346298764E-2</v>
      </c>
      <c r="U962" s="366"/>
      <c r="V962" s="366"/>
      <c r="W962" s="412"/>
    </row>
    <row r="963" spans="1:23" s="413" customFormat="1" hidden="1">
      <c r="A963" s="229"/>
      <c r="B963" s="336"/>
      <c r="C963" s="430" t="s">
        <v>644</v>
      </c>
      <c r="D963" s="336" t="s">
        <v>347</v>
      </c>
      <c r="E963" s="336"/>
      <c r="F963" s="336"/>
      <c r="G963" s="336"/>
      <c r="H963" s="345">
        <v>0.84502240497824421</v>
      </c>
      <c r="I963" s="345">
        <v>0.8571262175172002</v>
      </c>
      <c r="J963" s="345">
        <v>0.66990021106791686</v>
      </c>
      <c r="K963" s="345">
        <v>0.40915021322565265</v>
      </c>
      <c r="L963" s="345">
        <v>0.46830922771104722</v>
      </c>
      <c r="M963" s="345">
        <v>0.57935935832029839</v>
      </c>
      <c r="N963" s="345">
        <v>0.82142667386235069</v>
      </c>
      <c r="O963" s="345">
        <v>0.55637180660714969</v>
      </c>
      <c r="P963" s="345">
        <v>0.18871118557335778</v>
      </c>
      <c r="Q963" s="345">
        <v>0.18707663894663895</v>
      </c>
      <c r="R963" s="345">
        <v>0.437460398220892</v>
      </c>
      <c r="S963" s="345">
        <v>0.18930873126913919</v>
      </c>
      <c r="T963" s="345">
        <f t="shared" ref="T963:T970" si="374">T951/T$934</f>
        <v>0.53783529852635847</v>
      </c>
      <c r="U963" s="366"/>
      <c r="V963" s="366"/>
      <c r="W963" s="412"/>
    </row>
    <row r="964" spans="1:23" s="413" customFormat="1" hidden="1">
      <c r="A964" s="229"/>
      <c r="B964" s="336"/>
      <c r="C964" s="430" t="s">
        <v>874</v>
      </c>
      <c r="D964" s="336" t="s">
        <v>347</v>
      </c>
      <c r="E964" s="336"/>
      <c r="F964" s="336"/>
      <c r="G964" s="336"/>
      <c r="H964" s="345">
        <v>0.42922232787304848</v>
      </c>
      <c r="I964" s="345">
        <v>0.45328196703459911</v>
      </c>
      <c r="J964" s="345">
        <v>0.40844003201463552</v>
      </c>
      <c r="K964" s="345">
        <v>0.43039926093694053</v>
      </c>
      <c r="L964" s="345">
        <v>0.37151997969886641</v>
      </c>
      <c r="M964" s="345">
        <v>0.38900816556371115</v>
      </c>
      <c r="N964" s="345">
        <v>0.38030547641585644</v>
      </c>
      <c r="O964" s="837">
        <v>0.39753785060458835</v>
      </c>
      <c r="P964" s="345">
        <v>0.47824980311136039</v>
      </c>
      <c r="Q964" s="345">
        <v>0.49028575301455307</v>
      </c>
      <c r="R964" s="345">
        <v>0.3845623618905103</v>
      </c>
      <c r="S964" s="345">
        <v>0.51059367621639995</v>
      </c>
      <c r="T964" s="345">
        <f t="shared" si="374"/>
        <v>0.42614780531166069</v>
      </c>
      <c r="U964" s="366"/>
      <c r="V964" s="366"/>
      <c r="W964" s="412"/>
    </row>
    <row r="965" spans="1:23" s="413" customFormat="1" hidden="1">
      <c r="A965" s="229"/>
      <c r="B965" s="336"/>
      <c r="C965" s="430" t="s">
        <v>645</v>
      </c>
      <c r="D965" s="336" t="s">
        <v>347</v>
      </c>
      <c r="E965" s="336"/>
      <c r="F965" s="336"/>
      <c r="G965" s="336"/>
      <c r="H965" s="345">
        <v>1.0719631430765284</v>
      </c>
      <c r="I965" s="345">
        <v>1.1377003415334359</v>
      </c>
      <c r="J965" s="345">
        <v>1.2889567802423962</v>
      </c>
      <c r="K965" s="345">
        <v>1.5329789009417105</v>
      </c>
      <c r="L965" s="345">
        <v>1.4936684631558599</v>
      </c>
      <c r="M965" s="345">
        <v>1.3931377692215146</v>
      </c>
      <c r="N965" s="345">
        <v>1.2245302795927318</v>
      </c>
      <c r="O965" s="345">
        <v>1.4154397860398542</v>
      </c>
      <c r="P965" s="345">
        <v>1.7362058916086291</v>
      </c>
      <c r="Q965" s="345">
        <v>1.5776554400554403</v>
      </c>
      <c r="R965" s="345">
        <v>1.0506247661803247</v>
      </c>
      <c r="S965" s="345">
        <v>1.5538738346376302</v>
      </c>
      <c r="T965" s="345">
        <f t="shared" si="374"/>
        <v>1.3702114730058648</v>
      </c>
      <c r="U965" s="366"/>
      <c r="V965" s="366"/>
      <c r="W965" s="412"/>
    </row>
    <row r="966" spans="1:23" s="413" customFormat="1" hidden="1">
      <c r="A966" s="229"/>
      <c r="B966" s="336"/>
      <c r="C966" s="430" t="s">
        <v>646</v>
      </c>
      <c r="D966" s="336" t="s">
        <v>347</v>
      </c>
      <c r="E966" s="336"/>
      <c r="F966" s="336"/>
      <c r="G966" s="336"/>
      <c r="H966" s="345">
        <v>0.51803788072690005</v>
      </c>
      <c r="I966" s="345">
        <v>0.50278829876750986</v>
      </c>
      <c r="J966" s="345">
        <v>0.48357722387377067</v>
      </c>
      <c r="K966" s="345">
        <v>0.47002658242937151</v>
      </c>
      <c r="L966" s="345">
        <v>0.47268825676100279</v>
      </c>
      <c r="M966" s="345">
        <v>0.47970270725544367</v>
      </c>
      <c r="N966" s="345">
        <v>0.45174460323690396</v>
      </c>
      <c r="O966" s="837">
        <v>0.48930817041473557</v>
      </c>
      <c r="P966" s="345">
        <v>0.56976365153857744</v>
      </c>
      <c r="Q966" s="345">
        <v>0.57849230769230875</v>
      </c>
      <c r="R966" s="345">
        <v>0.8981324354657686</v>
      </c>
      <c r="S966" s="345">
        <v>0.69113532494045549</v>
      </c>
      <c r="T966" s="345">
        <f t="shared" si="374"/>
        <v>0.53604263723334211</v>
      </c>
      <c r="U966" s="366"/>
      <c r="V966" s="366"/>
      <c r="W966" s="412"/>
    </row>
    <row r="967" spans="1:23" s="413" customFormat="1" hidden="1">
      <c r="A967" s="229"/>
      <c r="B967" s="336"/>
      <c r="C967" s="430" t="s">
        <v>647</v>
      </c>
      <c r="D967" s="336" t="s">
        <v>347</v>
      </c>
      <c r="E967" s="336"/>
      <c r="F967" s="336"/>
      <c r="G967" s="336"/>
      <c r="H967" s="345">
        <v>0.49251567699001791</v>
      </c>
      <c r="I967" s="345">
        <v>0.49505720685046778</v>
      </c>
      <c r="J967" s="345">
        <v>0.49428885204664985</v>
      </c>
      <c r="K967" s="345">
        <v>0.49266734712123023</v>
      </c>
      <c r="L967" s="345">
        <v>0.49240234913115988</v>
      </c>
      <c r="M967" s="345">
        <v>0.49208036337384187</v>
      </c>
      <c r="N967" s="345">
        <v>0.4920990349317757</v>
      </c>
      <c r="O967" s="345">
        <v>0.4920631709797717</v>
      </c>
      <c r="P967" s="345">
        <v>0.50887558662963317</v>
      </c>
      <c r="Q967" s="345">
        <v>0.4934325848925849</v>
      </c>
      <c r="R967" s="345">
        <v>0.49422696096770175</v>
      </c>
      <c r="S967" s="345">
        <v>0.50881972099353523</v>
      </c>
      <c r="T967" s="345">
        <f t="shared" si="374"/>
        <v>0.49552727104251765</v>
      </c>
      <c r="U967" s="366"/>
      <c r="V967" s="366"/>
      <c r="W967" s="412"/>
    </row>
    <row r="968" spans="1:23" s="413" customFormat="1" hidden="1">
      <c r="A968" s="229"/>
      <c r="B968" s="336"/>
      <c r="C968" s="430" t="s">
        <v>659</v>
      </c>
      <c r="D968" s="336" t="s">
        <v>347</v>
      </c>
      <c r="E968" s="336"/>
      <c r="F968" s="336"/>
      <c r="G968" s="336"/>
      <c r="H968" s="345">
        <v>0.87472796689702237</v>
      </c>
      <c r="I968" s="345">
        <v>1.000693362371925</v>
      </c>
      <c r="J968" s="345">
        <v>0.80076030185227531</v>
      </c>
      <c r="K968" s="345">
        <v>0.84265848134461796</v>
      </c>
      <c r="L968" s="345">
        <v>0.68258433429199805</v>
      </c>
      <c r="M968" s="345">
        <v>0.77702779448923109</v>
      </c>
      <c r="N968" s="345">
        <v>0.65978680765590014</v>
      </c>
      <c r="O968" s="345">
        <v>0.71434366720658959</v>
      </c>
      <c r="P968" s="345">
        <v>0.81869705966861417</v>
      </c>
      <c r="Q968" s="345">
        <v>0.77970744282744286</v>
      </c>
      <c r="R968" s="345">
        <v>1.0414453173712432</v>
      </c>
      <c r="S968" s="345">
        <v>0.89531367131677453</v>
      </c>
      <c r="T968" s="345">
        <f t="shared" si="374"/>
        <v>0.81517460987879653</v>
      </c>
      <c r="U968" s="366"/>
      <c r="V968" s="366"/>
      <c r="W968" s="412"/>
    </row>
    <row r="969" spans="1:23" s="413" customFormat="1" hidden="1">
      <c r="A969" s="229"/>
      <c r="B969" s="336"/>
      <c r="C969" s="430" t="s">
        <v>660</v>
      </c>
      <c r="D969" s="336" t="s">
        <v>347</v>
      </c>
      <c r="E969" s="336"/>
      <c r="F969" s="336"/>
      <c r="G969" s="336"/>
      <c r="H969" s="345">
        <v>7.4752047606859474E-3</v>
      </c>
      <c r="I969" s="345">
        <v>7.7679676285700144E-3</v>
      </c>
      <c r="J969" s="345">
        <v>8.1430939858220912E-3</v>
      </c>
      <c r="K969" s="345">
        <v>9.0600786744546424E-3</v>
      </c>
      <c r="L969" s="345">
        <v>8.0619063731058316E-3</v>
      </c>
      <c r="M969" s="345">
        <v>8.1967272289736499E-3</v>
      </c>
      <c r="N969" s="345">
        <v>8.7739246877380928E-3</v>
      </c>
      <c r="O969" s="345">
        <v>9.2606823118745359E-3</v>
      </c>
      <c r="P969" s="345">
        <v>9.7444826029252814E-3</v>
      </c>
      <c r="Q969" s="345">
        <v>1.0417255717255717E-2</v>
      </c>
      <c r="R969" s="345">
        <v>1.3281061645259176E-2</v>
      </c>
      <c r="S969" s="345">
        <v>1.0306022456617898E-2</v>
      </c>
      <c r="T969" s="345">
        <f t="shared" si="374"/>
        <v>9.0020891942648954E-3</v>
      </c>
      <c r="U969" s="366"/>
      <c r="V969" s="366"/>
      <c r="W969" s="412"/>
    </row>
    <row r="970" spans="1:23" s="413" customFormat="1" hidden="1">
      <c r="A970" s="229"/>
      <c r="B970" s="336"/>
      <c r="C970" s="431" t="s">
        <v>628</v>
      </c>
      <c r="D970" s="336" t="s">
        <v>347</v>
      </c>
      <c r="E970" s="336"/>
      <c r="F970" s="336"/>
      <c r="G970" s="336"/>
      <c r="H970" s="345">
        <v>4.2813846206594999</v>
      </c>
      <c r="I970" s="345">
        <v>4.4990567515962985</v>
      </c>
      <c r="J970" s="345">
        <v>4.2073790951292018</v>
      </c>
      <c r="K970" s="345">
        <v>4.2530971407497908</v>
      </c>
      <c r="L970" s="345">
        <v>4.0456484669019037</v>
      </c>
      <c r="M970" s="345">
        <v>4.1904262532787877</v>
      </c>
      <c r="N970" s="345">
        <v>4.1098971469304821</v>
      </c>
      <c r="O970" s="345">
        <v>4.1414061602692085</v>
      </c>
      <c r="P970" s="345">
        <v>4.3617698192565015</v>
      </c>
      <c r="Q970" s="345">
        <v>4.1705260510048525</v>
      </c>
      <c r="R970" s="345">
        <v>4.4128795793324223</v>
      </c>
      <c r="S970" s="345">
        <v>4.4142022917999304</v>
      </c>
      <c r="T970" s="345">
        <f t="shared" si="374"/>
        <v>4.249180217539104</v>
      </c>
      <c r="U970" s="366"/>
      <c r="V970" s="366"/>
      <c r="W970" s="412"/>
    </row>
    <row r="971" spans="1:23" s="413" customFormat="1" ht="23.25" hidden="1">
      <c r="A971" s="229"/>
      <c r="B971" s="336"/>
      <c r="C971" s="432" t="s">
        <v>629</v>
      </c>
      <c r="D971" s="336" t="s">
        <v>347</v>
      </c>
      <c r="E971" s="336"/>
      <c r="F971" s="336"/>
      <c r="G971" s="336"/>
      <c r="H971" s="345">
        <v>4.2813846206594999</v>
      </c>
      <c r="I971" s="345">
        <v>4.4990567515962985</v>
      </c>
      <c r="J971" s="345">
        <v>4.2073790951292018</v>
      </c>
      <c r="K971" s="345">
        <v>4.2530971407497908</v>
      </c>
      <c r="L971" s="345">
        <v>4.0456484669019037</v>
      </c>
      <c r="M971" s="345">
        <v>4.1904262532787877</v>
      </c>
      <c r="N971" s="345">
        <v>4.1098971469304821</v>
      </c>
      <c r="O971" s="345">
        <v>4.1414061602692085</v>
      </c>
      <c r="P971" s="345">
        <v>4.3617698192565015</v>
      </c>
      <c r="Q971" s="345">
        <v>4.1705260510048525</v>
      </c>
      <c r="R971" s="345">
        <v>4.4128795793324223</v>
      </c>
      <c r="S971" s="345">
        <v>4.4142022917999304</v>
      </c>
      <c r="T971" s="433">
        <f>T959/T934</f>
        <v>4.249180217539104</v>
      </c>
      <c r="U971" s="366"/>
      <c r="V971" s="366"/>
      <c r="W971" s="412"/>
    </row>
    <row r="972" spans="1:23" s="413" customFormat="1" hidden="1">
      <c r="A972" s="229"/>
      <c r="B972" s="336"/>
      <c r="C972" s="432" t="s">
        <v>630</v>
      </c>
      <c r="D972" s="336" t="s">
        <v>347</v>
      </c>
      <c r="E972" s="336"/>
      <c r="F972" s="336"/>
      <c r="G972" s="336"/>
      <c r="H972" s="345">
        <v>101.70296191125149</v>
      </c>
      <c r="I972" s="345">
        <v>104.35427168142819</v>
      </c>
      <c r="J972" s="345">
        <v>98.790184884893378</v>
      </c>
      <c r="K972" s="345">
        <v>95.232159288038986</v>
      </c>
      <c r="L972" s="345">
        <v>94.134045385807198</v>
      </c>
      <c r="M972" s="345">
        <v>97.57294447935476</v>
      </c>
      <c r="N972" s="345">
        <v>96.352489445772235</v>
      </c>
      <c r="O972" s="345">
        <v>95.733496885101232</v>
      </c>
      <c r="P972" s="345">
        <v>99.283467835186372</v>
      </c>
      <c r="Q972" s="345">
        <v>94.701485875869835</v>
      </c>
      <c r="R972" s="345">
        <v>91.599924419422379</v>
      </c>
      <c r="S972" s="345">
        <v>100.5757748214489</v>
      </c>
      <c r="T972" s="345">
        <f>T959/T960*100</f>
        <v>97.735935091084997</v>
      </c>
      <c r="U972" s="275"/>
      <c r="V972" s="275"/>
      <c r="W972" s="412"/>
    </row>
    <row r="973" spans="1:23" s="413" customFormat="1" hidden="1">
      <c r="A973" s="229"/>
      <c r="B973" s="400">
        <v>25.6</v>
      </c>
      <c r="C973" s="435" t="s">
        <v>663</v>
      </c>
      <c r="D973" s="229"/>
      <c r="E973" s="229"/>
      <c r="F973" s="229"/>
      <c r="G973" s="229"/>
      <c r="H973" s="275"/>
      <c r="I973" s="275"/>
      <c r="J973" s="275"/>
      <c r="K973" s="275"/>
      <c r="L973" s="275"/>
      <c r="M973" s="275"/>
      <c r="N973" s="275"/>
      <c r="O973" s="275"/>
      <c r="P973" s="275"/>
      <c r="Q973" s="275"/>
      <c r="R973" s="275"/>
      <c r="S973" s="275"/>
      <c r="T973" s="275"/>
      <c r="U973" s="275"/>
      <c r="V973" s="275"/>
      <c r="W973" s="412"/>
    </row>
    <row r="974" spans="1:23" s="413" customFormat="1" hidden="1">
      <c r="A974" s="229"/>
      <c r="B974" s="229"/>
      <c r="C974" s="320" t="s">
        <v>664</v>
      </c>
      <c r="D974" s="229" t="s">
        <v>121</v>
      </c>
      <c r="E974" s="832">
        <f>'[5]ETP-2011'!$H$1</f>
        <v>3406</v>
      </c>
      <c r="F974" s="229"/>
      <c r="G974" s="229"/>
      <c r="H974" s="477">
        <v>0</v>
      </c>
      <c r="I974" s="275">
        <v>0</v>
      </c>
      <c r="J974" s="275">
        <v>0</v>
      </c>
      <c r="K974" s="275">
        <v>0</v>
      </c>
      <c r="L974" s="275">
        <v>0</v>
      </c>
      <c r="M974" s="275">
        <v>0</v>
      </c>
      <c r="N974" s="275">
        <v>0</v>
      </c>
      <c r="O974" s="275">
        <v>0</v>
      </c>
      <c r="P974" s="275">
        <v>0</v>
      </c>
      <c r="Q974" s="275">
        <v>0</v>
      </c>
      <c r="R974" s="275">
        <v>0</v>
      </c>
      <c r="S974" s="275">
        <v>0</v>
      </c>
      <c r="T974" s="275">
        <f>SUM(H974:S974)</f>
        <v>0</v>
      </c>
      <c r="U974" s="275"/>
      <c r="V974" s="275"/>
      <c r="W974" s="412"/>
    </row>
    <row r="975" spans="1:23" s="413" customFormat="1" hidden="1">
      <c r="A975" s="229"/>
      <c r="B975" s="229"/>
      <c r="C975" s="320" t="s">
        <v>665</v>
      </c>
      <c r="D975" s="229" t="s">
        <v>121</v>
      </c>
      <c r="E975" s="832">
        <f>'[5]ETP-2011'!$H$4</f>
        <v>2815</v>
      </c>
      <c r="F975" s="229"/>
      <c r="G975" s="229"/>
      <c r="H975" s="477">
        <v>0</v>
      </c>
      <c r="I975" s="275">
        <v>0</v>
      </c>
      <c r="J975" s="275">
        <v>0</v>
      </c>
      <c r="K975" s="275">
        <v>0</v>
      </c>
      <c r="L975" s="275">
        <v>0</v>
      </c>
      <c r="M975" s="275">
        <v>0</v>
      </c>
      <c r="N975" s="275">
        <v>0</v>
      </c>
      <c r="O975" s="275">
        <v>0</v>
      </c>
      <c r="P975" s="275">
        <v>0</v>
      </c>
      <c r="Q975" s="275">
        <v>0</v>
      </c>
      <c r="R975" s="275">
        <v>0</v>
      </c>
      <c r="S975" s="275">
        <v>0</v>
      </c>
      <c r="T975" s="275">
        <f>SUM(H975:S975)</f>
        <v>0</v>
      </c>
      <c r="U975" s="275"/>
      <c r="V975" s="275"/>
      <c r="W975" s="412"/>
    </row>
    <row r="976" spans="1:23" s="413" customFormat="1" hidden="1">
      <c r="A976" s="229"/>
      <c r="B976" s="229"/>
      <c r="C976" s="407"/>
      <c r="D976" s="229"/>
      <c r="E976" s="229"/>
      <c r="F976" s="229"/>
      <c r="G976" s="229"/>
      <c r="H976" s="275"/>
      <c r="I976" s="275"/>
      <c r="J976" s="275"/>
      <c r="K976" s="275"/>
      <c r="L976" s="275"/>
      <c r="M976" s="275"/>
      <c r="N976" s="275"/>
      <c r="O976" s="275"/>
      <c r="P976" s="275"/>
      <c r="Q976" s="275"/>
      <c r="R976" s="275"/>
      <c r="S976" s="275"/>
      <c r="T976" s="275"/>
      <c r="U976" s="275"/>
      <c r="V976" s="275"/>
      <c r="W976" s="412"/>
    </row>
    <row r="977" spans="1:23" hidden="1">
      <c r="A977" s="342"/>
      <c r="B977" s="420"/>
      <c r="C977" s="423" t="s">
        <v>666</v>
      </c>
      <c r="D977" s="233" t="s">
        <v>90</v>
      </c>
      <c r="E977" s="420"/>
      <c r="F977" s="420"/>
      <c r="G977" s="342"/>
      <c r="H977" s="835">
        <v>0</v>
      </c>
      <c r="I977" s="421">
        <v>0</v>
      </c>
      <c r="J977" s="421">
        <v>0</v>
      </c>
      <c r="K977" s="421">
        <v>0</v>
      </c>
      <c r="L977" s="421">
        <v>0</v>
      </c>
      <c r="M977" s="421">
        <v>0</v>
      </c>
      <c r="N977" s="421">
        <v>0</v>
      </c>
      <c r="O977" s="421">
        <v>0</v>
      </c>
      <c r="P977" s="421">
        <v>0</v>
      </c>
      <c r="Q977" s="421">
        <v>0</v>
      </c>
      <c r="R977" s="421">
        <v>0</v>
      </c>
      <c r="S977" s="421">
        <v>0</v>
      </c>
      <c r="T977" s="236">
        <f>SUM(H977:S977)</f>
        <v>0</v>
      </c>
      <c r="U977" s="422"/>
      <c r="V977" s="833"/>
    </row>
    <row r="978" spans="1:23" s="413" customFormat="1" hidden="1">
      <c r="A978" s="229"/>
      <c r="B978" s="229"/>
      <c r="C978" s="407"/>
      <c r="D978" s="229"/>
      <c r="E978" s="229"/>
      <c r="F978" s="229"/>
      <c r="G978" s="229"/>
      <c r="H978" s="275"/>
      <c r="I978" s="275"/>
      <c r="J978" s="275"/>
      <c r="K978" s="275"/>
      <c r="L978" s="275"/>
      <c r="M978" s="275"/>
      <c r="N978" s="275"/>
      <c r="O978" s="275"/>
      <c r="P978" s="275"/>
      <c r="Q978" s="275"/>
      <c r="R978" s="275"/>
      <c r="S978" s="275"/>
      <c r="T978" s="275"/>
      <c r="U978" s="275"/>
      <c r="V978" s="275"/>
      <c r="W978" s="412"/>
    </row>
    <row r="979" spans="1:23" hidden="1">
      <c r="A979" s="253"/>
      <c r="B979" s="392"/>
      <c r="C979" s="393" t="s">
        <v>534</v>
      </c>
      <c r="D979" s="392"/>
      <c r="E979" s="392"/>
      <c r="F979" s="392"/>
      <c r="G979" s="392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5"/>
      <c r="U979" s="395"/>
      <c r="V979" s="823"/>
    </row>
    <row r="980" spans="1:23" hidden="1">
      <c r="A980" s="253"/>
      <c r="B980" s="392"/>
      <c r="C980" s="438" t="s">
        <v>667</v>
      </c>
      <c r="D980" s="392" t="s">
        <v>90</v>
      </c>
      <c r="E980" s="392">
        <v>3.6</v>
      </c>
      <c r="F980" s="392"/>
      <c r="G980" s="392">
        <v>2.59</v>
      </c>
      <c r="H980" s="838">
        <v>0</v>
      </c>
      <c r="I980" s="394">
        <v>0</v>
      </c>
      <c r="J980" s="394">
        <v>0</v>
      </c>
      <c r="K980" s="394">
        <v>0</v>
      </c>
      <c r="L980" s="394">
        <v>0</v>
      </c>
      <c r="M980" s="394">
        <v>0</v>
      </c>
      <c r="N980" s="394">
        <v>0</v>
      </c>
      <c r="O980" s="394">
        <v>0</v>
      </c>
      <c r="P980" s="394">
        <v>0</v>
      </c>
      <c r="Q980" s="394">
        <v>0</v>
      </c>
      <c r="R980" s="394">
        <v>0</v>
      </c>
      <c r="S980" s="394">
        <v>0</v>
      </c>
      <c r="T980" s="395"/>
      <c r="U980" s="395"/>
      <c r="V980" s="823"/>
    </row>
    <row r="981" spans="1:23" hidden="1">
      <c r="A981" s="253"/>
      <c r="B981" s="392"/>
      <c r="C981" s="396" t="s">
        <v>619</v>
      </c>
      <c r="D981" s="392" t="s">
        <v>121</v>
      </c>
      <c r="E981" s="839">
        <f>'[5]ETP-2011'!$H$2</f>
        <v>3156</v>
      </c>
      <c r="F981" s="392"/>
      <c r="G981" s="392"/>
      <c r="H981" s="360">
        <v>0</v>
      </c>
      <c r="I981" s="424">
        <v>0</v>
      </c>
      <c r="J981" s="424">
        <v>0</v>
      </c>
      <c r="K981" s="424">
        <v>0</v>
      </c>
      <c r="L981" s="424">
        <v>0</v>
      </c>
      <c r="M981" s="424">
        <v>0</v>
      </c>
      <c r="N981" s="424">
        <v>0</v>
      </c>
      <c r="O981" s="424">
        <v>0</v>
      </c>
      <c r="P981" s="424">
        <v>0</v>
      </c>
      <c r="Q981" s="424">
        <v>0</v>
      </c>
      <c r="R981" s="424">
        <v>0</v>
      </c>
      <c r="S981" s="424">
        <v>0</v>
      </c>
      <c r="T981" s="424">
        <f>SUM(H981:S981)</f>
        <v>0</v>
      </c>
      <c r="U981" s="824">
        <f>T981*E981</f>
        <v>0</v>
      </c>
      <c r="V981" s="392">
        <f>T981*G981</f>
        <v>0</v>
      </c>
    </row>
    <row r="982" spans="1:23" hidden="1">
      <c r="A982" s="253"/>
      <c r="B982" s="392"/>
      <c r="C982" s="396" t="s">
        <v>620</v>
      </c>
      <c r="D982" s="392" t="s">
        <v>121</v>
      </c>
      <c r="E982" s="834">
        <f>'[5]ETP-2011'!$H$3</f>
        <v>2996</v>
      </c>
      <c r="F982" s="392"/>
      <c r="G982" s="392"/>
      <c r="H982" s="477">
        <v>0</v>
      </c>
      <c r="I982" s="425">
        <v>0</v>
      </c>
      <c r="J982" s="425">
        <v>0</v>
      </c>
      <c r="K982" s="425">
        <v>0</v>
      </c>
      <c r="L982" s="425">
        <v>0</v>
      </c>
      <c r="M982" s="425">
        <v>0</v>
      </c>
      <c r="N982" s="425">
        <v>0</v>
      </c>
      <c r="O982" s="425">
        <v>0</v>
      </c>
      <c r="P982" s="425">
        <v>0</v>
      </c>
      <c r="Q982" s="425">
        <v>0</v>
      </c>
      <c r="R982" s="425">
        <v>0</v>
      </c>
      <c r="S982" s="425">
        <v>0</v>
      </c>
      <c r="T982" s="425">
        <f>SUM(H982:S982)</f>
        <v>0</v>
      </c>
      <c r="U982" s="824"/>
      <c r="V982" s="392"/>
    </row>
    <row r="983" spans="1:23" hidden="1">
      <c r="A983" s="253"/>
      <c r="B983" s="392"/>
      <c r="C983" s="396" t="s">
        <v>668</v>
      </c>
      <c r="D983" s="392" t="s">
        <v>121</v>
      </c>
      <c r="E983" s="834">
        <f>'[5]ETP-2011'!$L$2</f>
        <v>206</v>
      </c>
      <c r="F983" s="392"/>
      <c r="G983" s="392"/>
      <c r="H983" s="477">
        <v>0</v>
      </c>
      <c r="I983" s="425">
        <v>0</v>
      </c>
      <c r="J983" s="425">
        <v>0</v>
      </c>
      <c r="K983" s="425">
        <v>0</v>
      </c>
      <c r="L983" s="425">
        <v>0</v>
      </c>
      <c r="M983" s="425">
        <v>0</v>
      </c>
      <c r="N983" s="425">
        <v>0</v>
      </c>
      <c r="O983" s="425">
        <v>0</v>
      </c>
      <c r="P983" s="425">
        <v>0</v>
      </c>
      <c r="Q983" s="425">
        <v>0</v>
      </c>
      <c r="R983" s="425">
        <v>0</v>
      </c>
      <c r="S983" s="425">
        <v>0</v>
      </c>
      <c r="T983" s="425">
        <f>SUM(H983:S983)</f>
        <v>0</v>
      </c>
      <c r="U983" s="824"/>
      <c r="V983" s="392"/>
    </row>
    <row r="984" spans="1:23" hidden="1">
      <c r="A984" s="253"/>
      <c r="B984" s="392"/>
      <c r="C984" s="396"/>
      <c r="D984" s="392"/>
      <c r="E984" s="392"/>
      <c r="F984" s="392"/>
      <c r="G984" s="392"/>
      <c r="H984" s="392"/>
      <c r="I984" s="392"/>
      <c r="J984" s="392"/>
      <c r="K984" s="392"/>
      <c r="L984" s="392"/>
      <c r="M984" s="392"/>
      <c r="N984" s="392"/>
      <c r="O984" s="392"/>
      <c r="P984" s="392"/>
      <c r="Q984" s="392"/>
      <c r="R984" s="392"/>
      <c r="S984" s="392"/>
      <c r="T984" s="395"/>
      <c r="U984" s="824"/>
      <c r="V984" s="392"/>
    </row>
    <row r="985" spans="1:23" hidden="1">
      <c r="A985" s="253"/>
      <c r="B985" s="392"/>
      <c r="C985" s="393" t="s">
        <v>536</v>
      </c>
      <c r="D985" s="392"/>
      <c r="E985" s="392"/>
      <c r="F985" s="392"/>
      <c r="G985" s="392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5"/>
      <c r="U985" s="395"/>
      <c r="V985" s="823"/>
    </row>
    <row r="986" spans="1:23" hidden="1">
      <c r="A986" s="253"/>
      <c r="B986" s="392"/>
      <c r="C986" s="438" t="s">
        <v>667</v>
      </c>
      <c r="D986" s="392" t="s">
        <v>173</v>
      </c>
      <c r="E986" s="392"/>
      <c r="F986" s="392"/>
      <c r="G986" s="392"/>
      <c r="H986" s="394">
        <v>0</v>
      </c>
      <c r="I986" s="394">
        <v>0</v>
      </c>
      <c r="J986" s="394">
        <v>0</v>
      </c>
      <c r="K986" s="394">
        <v>0</v>
      </c>
      <c r="L986" s="394">
        <v>0</v>
      </c>
      <c r="M986" s="394">
        <v>0</v>
      </c>
      <c r="N986" s="394">
        <v>0</v>
      </c>
      <c r="O986" s="394">
        <v>0</v>
      </c>
      <c r="P986" s="394">
        <v>0</v>
      </c>
      <c r="Q986" s="394">
        <v>0</v>
      </c>
      <c r="R986" s="394">
        <v>0</v>
      </c>
      <c r="S986" s="394">
        <v>0</v>
      </c>
      <c r="T986" s="395">
        <f>SUM(H986:S986)</f>
        <v>0</v>
      </c>
      <c r="U986" s="395"/>
      <c r="V986" s="823"/>
    </row>
    <row r="987" spans="1:23" hidden="1">
      <c r="A987" s="253"/>
      <c r="B987" s="392"/>
      <c r="C987" s="396" t="s">
        <v>619</v>
      </c>
      <c r="D987" s="392" t="s">
        <v>173</v>
      </c>
      <c r="E987" s="392"/>
      <c r="F987" s="392"/>
      <c r="G987" s="392"/>
      <c r="H987" s="394">
        <v>0</v>
      </c>
      <c r="I987" s="394">
        <v>0</v>
      </c>
      <c r="J987" s="394">
        <v>0</v>
      </c>
      <c r="K987" s="394">
        <v>0</v>
      </c>
      <c r="L987" s="394">
        <v>0</v>
      </c>
      <c r="M987" s="394">
        <v>0</v>
      </c>
      <c r="N987" s="394">
        <v>0</v>
      </c>
      <c r="O987" s="394">
        <v>0</v>
      </c>
      <c r="P987" s="394">
        <v>0</v>
      </c>
      <c r="Q987" s="394">
        <v>0</v>
      </c>
      <c r="R987" s="394">
        <v>0</v>
      </c>
      <c r="S987" s="394">
        <v>0</v>
      </c>
      <c r="T987" s="395">
        <f>SUM(H987:S987)</f>
        <v>0</v>
      </c>
      <c r="U987" s="395"/>
      <c r="V987" s="823"/>
    </row>
    <row r="988" spans="1:23" hidden="1">
      <c r="A988" s="253"/>
      <c r="B988" s="392"/>
      <c r="C988" s="396" t="s">
        <v>620</v>
      </c>
      <c r="D988" s="392" t="s">
        <v>173</v>
      </c>
      <c r="E988" s="392"/>
      <c r="F988" s="392"/>
      <c r="G988" s="392"/>
      <c r="H988" s="394">
        <v>0</v>
      </c>
      <c r="I988" s="394">
        <v>0</v>
      </c>
      <c r="J988" s="394">
        <v>0</v>
      </c>
      <c r="K988" s="394">
        <v>0</v>
      </c>
      <c r="L988" s="394">
        <v>0</v>
      </c>
      <c r="M988" s="394">
        <v>0</v>
      </c>
      <c r="N988" s="394">
        <v>0</v>
      </c>
      <c r="O988" s="394">
        <v>0</v>
      </c>
      <c r="P988" s="394">
        <v>0</v>
      </c>
      <c r="Q988" s="394">
        <v>0</v>
      </c>
      <c r="R988" s="394">
        <v>0</v>
      </c>
      <c r="S988" s="394">
        <v>0</v>
      </c>
      <c r="T988" s="395">
        <f>SUM(H988:S988)</f>
        <v>0</v>
      </c>
      <c r="U988" s="395"/>
      <c r="V988" s="823"/>
    </row>
    <row r="989" spans="1:23" hidden="1">
      <c r="A989" s="253"/>
      <c r="B989" s="392"/>
      <c r="C989" s="396" t="s">
        <v>668</v>
      </c>
      <c r="D989" s="392" t="s">
        <v>173</v>
      </c>
      <c r="E989" s="392"/>
      <c r="F989" s="392"/>
      <c r="G989" s="392"/>
      <c r="H989" s="394">
        <v>0</v>
      </c>
      <c r="I989" s="394">
        <v>0</v>
      </c>
      <c r="J989" s="394">
        <v>0</v>
      </c>
      <c r="K989" s="394">
        <v>0</v>
      </c>
      <c r="L989" s="394">
        <v>0</v>
      </c>
      <c r="M989" s="394">
        <v>0</v>
      </c>
      <c r="N989" s="394">
        <v>0</v>
      </c>
      <c r="O989" s="394">
        <v>0</v>
      </c>
      <c r="P989" s="394">
        <v>0</v>
      </c>
      <c r="Q989" s="394">
        <v>0</v>
      </c>
      <c r="R989" s="394">
        <v>0</v>
      </c>
      <c r="S989" s="394">
        <v>0</v>
      </c>
      <c r="T989" s="395">
        <f>SUM(H989:S989)</f>
        <v>0</v>
      </c>
      <c r="U989" s="395"/>
      <c r="V989" s="823"/>
    </row>
    <row r="990" spans="1:23" hidden="1">
      <c r="A990" s="253"/>
      <c r="B990" s="392"/>
      <c r="C990" s="392" t="s">
        <v>537</v>
      </c>
      <c r="D990" s="392" t="s">
        <v>173</v>
      </c>
      <c r="E990" s="392"/>
      <c r="F990" s="392"/>
      <c r="G990" s="392"/>
      <c r="H990" s="394">
        <v>0</v>
      </c>
      <c r="I990" s="394">
        <v>0</v>
      </c>
      <c r="J990" s="394">
        <v>0</v>
      </c>
      <c r="K990" s="394">
        <v>0</v>
      </c>
      <c r="L990" s="394">
        <v>0</v>
      </c>
      <c r="M990" s="394">
        <v>0</v>
      </c>
      <c r="N990" s="394">
        <v>0</v>
      </c>
      <c r="O990" s="394">
        <v>0</v>
      </c>
      <c r="P990" s="394">
        <v>0</v>
      </c>
      <c r="Q990" s="394">
        <v>0</v>
      </c>
      <c r="R990" s="394">
        <v>0</v>
      </c>
      <c r="S990" s="394">
        <v>0</v>
      </c>
      <c r="T990" s="395">
        <f>SUM(H990:S990)</f>
        <v>0</v>
      </c>
      <c r="U990" s="395"/>
      <c r="V990" s="823"/>
    </row>
    <row r="991" spans="1:23" s="413" customFormat="1" hidden="1">
      <c r="A991" s="229"/>
      <c r="B991" s="229"/>
      <c r="C991" s="407"/>
      <c r="D991" s="229"/>
      <c r="E991" s="229"/>
      <c r="F991" s="229"/>
      <c r="G991" s="229"/>
      <c r="H991" s="275"/>
      <c r="I991" s="275"/>
      <c r="J991" s="275"/>
      <c r="K991" s="275"/>
      <c r="L991" s="275"/>
      <c r="M991" s="275"/>
      <c r="N991" s="275"/>
      <c r="O991" s="275"/>
      <c r="P991" s="275"/>
      <c r="Q991" s="275"/>
      <c r="R991" s="275"/>
      <c r="S991" s="275"/>
      <c r="T991" s="275"/>
      <c r="U991" s="275"/>
      <c r="V991" s="275"/>
      <c r="W991" s="412"/>
    </row>
    <row r="992" spans="1:23" s="413" customFormat="1" hidden="1">
      <c r="A992" s="229"/>
      <c r="B992" s="229"/>
      <c r="C992" s="407"/>
      <c r="D992" s="229"/>
      <c r="E992" s="229"/>
      <c r="F992" s="229"/>
      <c r="G992" s="229"/>
      <c r="H992" s="275"/>
      <c r="I992" s="275"/>
      <c r="J992" s="275"/>
      <c r="K992" s="275"/>
      <c r="L992" s="275"/>
      <c r="M992" s="275"/>
      <c r="N992" s="275"/>
      <c r="O992" s="275"/>
      <c r="P992" s="275"/>
      <c r="Q992" s="275"/>
      <c r="R992" s="275"/>
      <c r="S992" s="275"/>
      <c r="T992" s="275"/>
      <c r="U992" s="275"/>
      <c r="V992" s="275"/>
      <c r="W992" s="412"/>
    </row>
    <row r="993" spans="1:23" s="413" customFormat="1" hidden="1">
      <c r="A993" s="229"/>
      <c r="B993" s="229"/>
      <c r="C993" s="407" t="s">
        <v>624</v>
      </c>
      <c r="D993" s="229"/>
      <c r="E993" s="229"/>
      <c r="F993" s="229"/>
      <c r="G993" s="229"/>
      <c r="H993" s="275"/>
      <c r="I993" s="275"/>
      <c r="J993" s="275"/>
      <c r="K993" s="275"/>
      <c r="L993" s="275"/>
      <c r="M993" s="275"/>
      <c r="N993" s="275"/>
      <c r="O993" s="275"/>
      <c r="P993" s="275"/>
      <c r="Q993" s="275"/>
      <c r="R993" s="275"/>
      <c r="S993" s="275"/>
      <c r="T993" s="275"/>
      <c r="U993" s="275"/>
      <c r="V993" s="275"/>
      <c r="W993" s="412"/>
    </row>
    <row r="994" spans="1:23" s="413" customFormat="1" hidden="1">
      <c r="A994" s="229"/>
      <c r="B994" s="229"/>
      <c r="C994" s="320" t="s">
        <v>664</v>
      </c>
      <c r="D994" s="229" t="s">
        <v>173</v>
      </c>
      <c r="E994" s="229"/>
      <c r="F994" s="229"/>
      <c r="G994" s="229"/>
      <c r="H994" s="275">
        <v>0</v>
      </c>
      <c r="I994" s="275">
        <v>0</v>
      </c>
      <c r="J994" s="275">
        <v>0</v>
      </c>
      <c r="K994" s="275">
        <v>0</v>
      </c>
      <c r="L994" s="275">
        <v>0</v>
      </c>
      <c r="M994" s="275">
        <v>0</v>
      </c>
      <c r="N994" s="275">
        <v>0</v>
      </c>
      <c r="O994" s="275">
        <v>0</v>
      </c>
      <c r="P994" s="275">
        <v>0</v>
      </c>
      <c r="Q994" s="275">
        <v>0</v>
      </c>
      <c r="R994" s="275">
        <v>0</v>
      </c>
      <c r="S994" s="275">
        <v>0</v>
      </c>
      <c r="T994" s="275">
        <f>SUM(H994:S994)</f>
        <v>0</v>
      </c>
      <c r="U994" s="275"/>
      <c r="V994" s="275"/>
      <c r="W994" s="412"/>
    </row>
    <row r="995" spans="1:23" s="413" customFormat="1" hidden="1">
      <c r="A995" s="229"/>
      <c r="B995" s="229"/>
      <c r="C995" s="320" t="s">
        <v>665</v>
      </c>
      <c r="D995" s="229" t="s">
        <v>173</v>
      </c>
      <c r="E995" s="229"/>
      <c r="F995" s="229"/>
      <c r="G995" s="229"/>
      <c r="H995" s="275">
        <v>0</v>
      </c>
      <c r="I995" s="275">
        <v>0</v>
      </c>
      <c r="J995" s="275">
        <v>0</v>
      </c>
      <c r="K995" s="275">
        <v>0</v>
      </c>
      <c r="L995" s="275">
        <v>0</v>
      </c>
      <c r="M995" s="275">
        <v>0</v>
      </c>
      <c r="N995" s="275">
        <v>0</v>
      </c>
      <c r="O995" s="275">
        <v>0</v>
      </c>
      <c r="P995" s="275">
        <v>0</v>
      </c>
      <c r="Q995" s="275">
        <v>0</v>
      </c>
      <c r="R995" s="275">
        <v>0</v>
      </c>
      <c r="S995" s="275">
        <v>0</v>
      </c>
      <c r="T995" s="275">
        <f>SUM(H995:S995)</f>
        <v>0</v>
      </c>
      <c r="U995" s="275"/>
      <c r="V995" s="275"/>
      <c r="W995" s="412"/>
    </row>
    <row r="996" spans="1:23" s="413" customFormat="1" hidden="1">
      <c r="A996" s="229"/>
      <c r="B996" s="229"/>
      <c r="C996" s="426" t="s">
        <v>625</v>
      </c>
      <c r="D996" s="229" t="s">
        <v>173</v>
      </c>
      <c r="E996" s="229"/>
      <c r="F996" s="229"/>
      <c r="G996" s="229"/>
      <c r="H996" s="275">
        <v>0</v>
      </c>
      <c r="I996" s="275">
        <v>0</v>
      </c>
      <c r="J996" s="275">
        <v>0</v>
      </c>
      <c r="K996" s="275">
        <v>0</v>
      </c>
      <c r="L996" s="275">
        <v>0</v>
      </c>
      <c r="M996" s="275">
        <v>0</v>
      </c>
      <c r="N996" s="275">
        <v>0</v>
      </c>
      <c r="O996" s="275">
        <v>0</v>
      </c>
      <c r="P996" s="275">
        <v>0</v>
      </c>
      <c r="Q996" s="275">
        <v>0</v>
      </c>
      <c r="R996" s="275">
        <v>0</v>
      </c>
      <c r="S996" s="275">
        <v>0</v>
      </c>
      <c r="T996" s="275">
        <f>SUM(H996:S996)</f>
        <v>0</v>
      </c>
      <c r="U996" s="275"/>
      <c r="V996" s="275"/>
      <c r="W996" s="412"/>
    </row>
    <row r="997" spans="1:23" s="413" customFormat="1" hidden="1">
      <c r="A997" s="229"/>
      <c r="B997" s="229"/>
      <c r="C997" s="400" t="s">
        <v>626</v>
      </c>
      <c r="D997" s="229" t="s">
        <v>173</v>
      </c>
      <c r="E997" s="229"/>
      <c r="F997" s="229"/>
      <c r="G997" s="229"/>
      <c r="H997" s="275">
        <v>0</v>
      </c>
      <c r="I997" s="275">
        <v>0</v>
      </c>
      <c r="J997" s="275">
        <v>0</v>
      </c>
      <c r="K997" s="275">
        <v>0</v>
      </c>
      <c r="L997" s="275">
        <v>0</v>
      </c>
      <c r="M997" s="275">
        <v>0</v>
      </c>
      <c r="N997" s="275">
        <v>0</v>
      </c>
      <c r="O997" s="275">
        <v>0</v>
      </c>
      <c r="P997" s="275">
        <v>0</v>
      </c>
      <c r="Q997" s="275">
        <v>0</v>
      </c>
      <c r="R997" s="275">
        <v>0</v>
      </c>
      <c r="S997" s="275">
        <v>0</v>
      </c>
      <c r="T997" s="439">
        <f>SUM(H997:S997)</f>
        <v>0</v>
      </c>
      <c r="U997" s="275"/>
      <c r="V997" s="275"/>
      <c r="W997" s="412"/>
    </row>
    <row r="998" spans="1:23" s="413" customFormat="1" hidden="1">
      <c r="A998" s="229"/>
      <c r="B998" s="229"/>
      <c r="C998" s="237" t="s">
        <v>345</v>
      </c>
      <c r="D998" s="62" t="s">
        <v>173</v>
      </c>
      <c r="E998" s="229"/>
      <c r="F998" s="229"/>
      <c r="G998" s="229"/>
      <c r="H998" s="275"/>
      <c r="I998" s="275"/>
      <c r="J998" s="275"/>
      <c r="K998" s="275"/>
      <c r="L998" s="275"/>
      <c r="M998" s="275"/>
      <c r="N998" s="275"/>
      <c r="O998" s="275"/>
      <c r="P998" s="275"/>
      <c r="Q998" s="275"/>
      <c r="R998" s="275"/>
      <c r="S998" s="275"/>
      <c r="T998" s="439">
        <f>SUM(H998:S998)</f>
        <v>0</v>
      </c>
      <c r="U998" s="275"/>
      <c r="V998" s="275"/>
      <c r="W998" s="412"/>
    </row>
    <row r="999" spans="1:23" s="413" customFormat="1" hidden="1">
      <c r="A999" s="229"/>
      <c r="B999" s="336"/>
      <c r="C999" s="429" t="s">
        <v>669</v>
      </c>
      <c r="D999" s="336"/>
      <c r="E999" s="336"/>
      <c r="F999" s="336"/>
      <c r="G999" s="336"/>
      <c r="H999" s="366"/>
      <c r="I999" s="366"/>
      <c r="J999" s="366"/>
      <c r="K999" s="366"/>
      <c r="L999" s="366"/>
      <c r="M999" s="366"/>
      <c r="N999" s="366"/>
      <c r="O999" s="366"/>
      <c r="P999" s="366"/>
      <c r="Q999" s="366"/>
      <c r="R999" s="366"/>
      <c r="S999" s="366"/>
      <c r="T999" s="366"/>
      <c r="U999" s="366"/>
      <c r="V999" s="366"/>
      <c r="W999" s="412"/>
    </row>
    <row r="1000" spans="1:23" s="413" customFormat="1" hidden="1">
      <c r="A1000" s="229"/>
      <c r="B1000" s="336"/>
      <c r="C1000" s="431" t="s">
        <v>670</v>
      </c>
      <c r="D1000" s="336" t="s">
        <v>671</v>
      </c>
      <c r="E1000" s="336"/>
      <c r="F1000" s="336"/>
      <c r="G1000" s="336"/>
      <c r="H1000" s="440" t="e">
        <v>#DIV/0!</v>
      </c>
      <c r="I1000" s="440" t="e">
        <v>#DIV/0!</v>
      </c>
      <c r="J1000" s="440" t="e">
        <v>#DIV/0!</v>
      </c>
      <c r="K1000" s="440" t="e">
        <v>#DIV/0!</v>
      </c>
      <c r="L1000" s="440" t="e">
        <v>#DIV/0!</v>
      </c>
      <c r="M1000" s="440" t="e">
        <v>#DIV/0!</v>
      </c>
      <c r="N1000" s="440" t="e">
        <v>#DIV/0!</v>
      </c>
      <c r="O1000" s="440" t="e">
        <v>#DIV/0!</v>
      </c>
      <c r="P1000" s="440" t="e">
        <v>#DIV/0!</v>
      </c>
      <c r="Q1000" s="440" t="e">
        <v>#DIV/0!</v>
      </c>
      <c r="R1000" s="440" t="e">
        <v>#DIV/0!</v>
      </c>
      <c r="S1000" s="440" t="e">
        <v>#DIV/0!</v>
      </c>
      <c r="T1000" s="440" t="e">
        <f>T996/T977</f>
        <v>#DIV/0!</v>
      </c>
      <c r="U1000" s="366"/>
      <c r="V1000" s="366"/>
      <c r="W1000" s="412"/>
    </row>
    <row r="1001" spans="1:23" s="413" customFormat="1" ht="23.25" hidden="1">
      <c r="A1001" s="229"/>
      <c r="B1001" s="336"/>
      <c r="C1001" s="364" t="s">
        <v>629</v>
      </c>
      <c r="D1001" s="336" t="s">
        <v>671</v>
      </c>
      <c r="E1001" s="336"/>
      <c r="F1001" s="336"/>
      <c r="G1001" s="336"/>
      <c r="H1001" s="440" t="e">
        <v>#DIV/0!</v>
      </c>
      <c r="I1001" s="440" t="e">
        <v>#DIV/0!</v>
      </c>
      <c r="J1001" s="440" t="e">
        <v>#DIV/0!</v>
      </c>
      <c r="K1001" s="440" t="e">
        <v>#DIV/0!</v>
      </c>
      <c r="L1001" s="440" t="e">
        <v>#DIV/0!</v>
      </c>
      <c r="M1001" s="440" t="e">
        <v>#DIV/0!</v>
      </c>
      <c r="N1001" s="440" t="e">
        <v>#DIV/0!</v>
      </c>
      <c r="O1001" s="440" t="e">
        <v>#DIV/0!</v>
      </c>
      <c r="P1001" s="440" t="e">
        <v>#DIV/0!</v>
      </c>
      <c r="Q1001" s="440" t="e">
        <v>#DIV/0!</v>
      </c>
      <c r="R1001" s="440" t="e">
        <v>#DIV/0!</v>
      </c>
      <c r="S1001" s="440" t="e">
        <v>#DIV/0!</v>
      </c>
      <c r="T1001" s="441" t="e">
        <f>T997/T977</f>
        <v>#DIV/0!</v>
      </c>
      <c r="U1001" s="366"/>
      <c r="V1001" s="366"/>
      <c r="W1001" s="412"/>
    </row>
    <row r="1002" spans="1:23" s="413" customFormat="1" hidden="1">
      <c r="A1002" s="229"/>
      <c r="B1002" s="336"/>
      <c r="C1002" s="364" t="s">
        <v>630</v>
      </c>
      <c r="D1002" s="336" t="s">
        <v>672</v>
      </c>
      <c r="E1002" s="336"/>
      <c r="F1002" s="336"/>
      <c r="G1002" s="336"/>
      <c r="H1002" s="440" t="e">
        <v>#DIV/0!</v>
      </c>
      <c r="I1002" s="440" t="e">
        <v>#DIV/0!</v>
      </c>
      <c r="J1002" s="440" t="e">
        <v>#DIV/0!</v>
      </c>
      <c r="K1002" s="440" t="e">
        <v>#DIV/0!</v>
      </c>
      <c r="L1002" s="440" t="e">
        <v>#DIV/0!</v>
      </c>
      <c r="M1002" s="440" t="e">
        <v>#DIV/0!</v>
      </c>
      <c r="N1002" s="440" t="e">
        <v>#DIV/0!</v>
      </c>
      <c r="O1002" s="440" t="e">
        <v>#DIV/0!</v>
      </c>
      <c r="P1002" s="440" t="e">
        <v>#DIV/0!</v>
      </c>
      <c r="Q1002" s="440" t="e">
        <v>#DIV/0!</v>
      </c>
      <c r="R1002" s="440" t="e">
        <v>#DIV/0!</v>
      </c>
      <c r="S1002" s="440" t="e">
        <v>#DIV/0!</v>
      </c>
      <c r="T1002" s="440" t="e">
        <f>T997/T998*100</f>
        <v>#DIV/0!</v>
      </c>
      <c r="U1002" s="275"/>
      <c r="V1002" s="275"/>
      <c r="W1002" s="412"/>
    </row>
    <row r="1003" spans="1:23" s="413" customFormat="1" hidden="1">
      <c r="A1003" s="229"/>
      <c r="B1003" s="400">
        <v>25.7</v>
      </c>
      <c r="C1003" s="442" t="s">
        <v>673</v>
      </c>
      <c r="D1003" s="229"/>
      <c r="E1003" s="229"/>
      <c r="F1003" s="229"/>
      <c r="G1003" s="229"/>
      <c r="H1003" s="275" t="e">
        <v>#DIV/0!</v>
      </c>
      <c r="I1003" s="275" t="e">
        <v>#DIV/0!</v>
      </c>
      <c r="J1003" s="275" t="e">
        <v>#DIV/0!</v>
      </c>
      <c r="K1003" s="275" t="e">
        <v>#DIV/0!</v>
      </c>
      <c r="L1003" s="275" t="e">
        <v>#DIV/0!</v>
      </c>
      <c r="M1003" s="275" t="e">
        <v>#DIV/0!</v>
      </c>
      <c r="N1003" s="275" t="e">
        <v>#DIV/0!</v>
      </c>
      <c r="O1003" s="275" t="e">
        <v>#DIV/0!</v>
      </c>
      <c r="P1003" s="275" t="e">
        <v>#DIV/0!</v>
      </c>
      <c r="Q1003" s="275" t="e">
        <v>#DIV/0!</v>
      </c>
      <c r="R1003" s="275"/>
      <c r="S1003" s="275"/>
      <c r="T1003" s="275"/>
      <c r="U1003" s="275"/>
      <c r="V1003" s="275"/>
      <c r="W1003" s="412"/>
    </row>
    <row r="1004" spans="1:23" s="413" customFormat="1" hidden="1">
      <c r="A1004" s="229"/>
      <c r="B1004" s="229"/>
      <c r="C1004" s="320" t="s">
        <v>138</v>
      </c>
      <c r="D1004" s="229" t="s">
        <v>90</v>
      </c>
      <c r="E1004" s="832">
        <v>3.6</v>
      </c>
      <c r="F1004" s="229"/>
      <c r="G1004" s="229">
        <v>2.59</v>
      </c>
      <c r="H1004" s="477">
        <v>5580450</v>
      </c>
      <c r="I1004" s="275">
        <v>5084628</v>
      </c>
      <c r="J1004" s="275">
        <v>5649484</v>
      </c>
      <c r="K1004" s="275">
        <v>5453470</v>
      </c>
      <c r="L1004" s="275">
        <v>5771116</v>
      </c>
      <c r="M1004" s="275">
        <v>5576667</v>
      </c>
      <c r="N1004" s="275">
        <v>5831501</v>
      </c>
      <c r="O1004" s="275">
        <v>5845602</v>
      </c>
      <c r="P1004" s="275">
        <v>5646643</v>
      </c>
      <c r="Q1004" s="275">
        <v>5841650</v>
      </c>
      <c r="R1004" s="275">
        <v>5631161</v>
      </c>
      <c r="S1004" s="275">
        <v>5748963</v>
      </c>
      <c r="T1004" s="275">
        <f>SUM(H1004:S1004)</f>
        <v>67661335</v>
      </c>
      <c r="U1004" s="275"/>
      <c r="V1004" s="275"/>
      <c r="W1004" s="412"/>
    </row>
    <row r="1005" spans="1:23" s="413" customFormat="1" hidden="1">
      <c r="A1005" s="229"/>
      <c r="B1005" s="229"/>
      <c r="C1005" s="407"/>
      <c r="D1005" s="229"/>
      <c r="E1005" s="229"/>
      <c r="F1005" s="229"/>
      <c r="G1005" s="229"/>
      <c r="H1005" s="275"/>
      <c r="I1005" s="275"/>
      <c r="J1005" s="275"/>
      <c r="K1005" s="275"/>
      <c r="L1005" s="275"/>
      <c r="M1005" s="275"/>
      <c r="N1005" s="275"/>
      <c r="O1005" s="275"/>
      <c r="P1005" s="275"/>
      <c r="Q1005" s="275"/>
      <c r="R1005" s="275"/>
      <c r="S1005" s="275"/>
      <c r="T1005" s="275"/>
      <c r="U1005" s="275"/>
      <c r="V1005" s="275"/>
      <c r="W1005" s="412"/>
    </row>
    <row r="1006" spans="1:23" hidden="1">
      <c r="A1006" s="342"/>
      <c r="B1006" s="420"/>
      <c r="C1006" s="423" t="s">
        <v>674</v>
      </c>
      <c r="D1006" s="233" t="s">
        <v>675</v>
      </c>
      <c r="E1006" s="420"/>
      <c r="F1006" s="420"/>
      <c r="G1006" s="342"/>
      <c r="H1006" s="835">
        <v>27528000</v>
      </c>
      <c r="I1006" s="421">
        <v>24864000</v>
      </c>
      <c r="J1006" s="421">
        <v>28428000</v>
      </c>
      <c r="K1006" s="421">
        <v>24960000</v>
      </c>
      <c r="L1006" s="421">
        <v>28800000</v>
      </c>
      <c r="M1006" s="421">
        <v>28800000</v>
      </c>
      <c r="N1006" s="421">
        <v>29760000</v>
      </c>
      <c r="O1006" s="421">
        <v>29760000</v>
      </c>
      <c r="P1006" s="421">
        <v>28800000</v>
      </c>
      <c r="Q1006" s="421">
        <v>29760000</v>
      </c>
      <c r="R1006" s="421">
        <v>28800000</v>
      </c>
      <c r="S1006" s="421">
        <v>29472000</v>
      </c>
      <c r="T1006" s="236">
        <f>SUM(H1006:S1006)</f>
        <v>339732000</v>
      </c>
      <c r="U1006" s="422"/>
      <c r="V1006" s="833"/>
    </row>
    <row r="1007" spans="1:23" s="413" customFormat="1" hidden="1">
      <c r="A1007" s="229"/>
      <c r="B1007" s="229"/>
      <c r="C1007" s="407"/>
      <c r="D1007" s="229"/>
      <c r="E1007" s="229"/>
      <c r="F1007" s="229"/>
      <c r="G1007" s="229"/>
      <c r="H1007" s="275"/>
      <c r="I1007" s="275"/>
      <c r="J1007" s="275"/>
      <c r="K1007" s="275"/>
      <c r="L1007" s="275"/>
      <c r="M1007" s="275"/>
      <c r="N1007" s="275"/>
      <c r="O1007" s="275"/>
      <c r="P1007" s="275"/>
      <c r="Q1007" s="275"/>
      <c r="R1007" s="275"/>
      <c r="S1007" s="275"/>
      <c r="T1007" s="275"/>
      <c r="U1007" s="275"/>
      <c r="V1007" s="275"/>
      <c r="W1007" s="412"/>
    </row>
    <row r="1008" spans="1:23" s="413" customFormat="1" hidden="1">
      <c r="A1008" s="229"/>
      <c r="B1008" s="229"/>
      <c r="C1008" s="407"/>
      <c r="D1008" s="229"/>
      <c r="E1008" s="229"/>
      <c r="F1008" s="229"/>
      <c r="G1008" s="229"/>
      <c r="H1008" s="275"/>
      <c r="I1008" s="275"/>
      <c r="J1008" s="275"/>
      <c r="K1008" s="275"/>
      <c r="L1008" s="275"/>
      <c r="M1008" s="275"/>
      <c r="N1008" s="275"/>
      <c r="O1008" s="275"/>
      <c r="P1008" s="275"/>
      <c r="Q1008" s="275"/>
      <c r="R1008" s="275"/>
      <c r="S1008" s="275"/>
      <c r="T1008" s="275"/>
      <c r="U1008" s="275"/>
      <c r="V1008" s="275"/>
      <c r="W1008" s="412"/>
    </row>
    <row r="1009" spans="1:23" s="413" customFormat="1" hidden="1">
      <c r="A1009" s="229"/>
      <c r="B1009" s="229"/>
      <c r="C1009" s="407" t="s">
        <v>624</v>
      </c>
      <c r="D1009" s="229"/>
      <c r="E1009" s="229"/>
      <c r="F1009" s="229"/>
      <c r="G1009" s="229"/>
      <c r="H1009" s="275"/>
      <c r="I1009" s="275"/>
      <c r="J1009" s="275"/>
      <c r="K1009" s="275"/>
      <c r="L1009" s="275"/>
      <c r="M1009" s="275"/>
      <c r="N1009" s="275"/>
      <c r="O1009" s="275"/>
      <c r="P1009" s="275"/>
      <c r="Q1009" s="275"/>
      <c r="R1009" s="275"/>
      <c r="S1009" s="275"/>
      <c r="T1009" s="275"/>
      <c r="U1009" s="275"/>
      <c r="V1009" s="275"/>
      <c r="W1009" s="412"/>
    </row>
    <row r="1010" spans="1:23" s="413" customFormat="1" hidden="1">
      <c r="A1010" s="229"/>
      <c r="B1010" s="229"/>
      <c r="C1010" s="320" t="s">
        <v>138</v>
      </c>
      <c r="D1010" s="229" t="s">
        <v>173</v>
      </c>
      <c r="E1010" s="229"/>
      <c r="F1010" s="229"/>
      <c r="G1010" s="229"/>
      <c r="H1010" s="275">
        <v>20089.62</v>
      </c>
      <c r="I1010" s="275">
        <v>18304.660800000001</v>
      </c>
      <c r="J1010" s="275">
        <v>20338.142400000001</v>
      </c>
      <c r="K1010" s="275">
        <v>19632.491999999998</v>
      </c>
      <c r="L1010" s="275">
        <v>20776.017600000003</v>
      </c>
      <c r="M1010" s="275">
        <v>20076.001199999999</v>
      </c>
      <c r="N1010" s="275">
        <v>20993.403600000001</v>
      </c>
      <c r="O1010" s="275">
        <v>21044.1672</v>
      </c>
      <c r="P1010" s="275">
        <v>20327.914800000002</v>
      </c>
      <c r="Q1010" s="275">
        <v>21029.94</v>
      </c>
      <c r="R1010" s="275">
        <v>20272.179600000003</v>
      </c>
      <c r="S1010" s="275">
        <v>20696.266800000001</v>
      </c>
      <c r="T1010" s="275">
        <f>SUM(H1010:S1010)</f>
        <v>243580.80600000001</v>
      </c>
      <c r="U1010" s="275"/>
      <c r="V1010" s="275"/>
      <c r="W1010" s="412"/>
    </row>
    <row r="1011" spans="1:23" s="413" customFormat="1" hidden="1">
      <c r="A1011" s="229"/>
      <c r="B1011" s="229"/>
      <c r="C1011" s="400" t="s">
        <v>625</v>
      </c>
      <c r="D1011" s="229" t="s">
        <v>173</v>
      </c>
      <c r="E1011" s="229"/>
      <c r="F1011" s="229"/>
      <c r="G1011" s="229"/>
      <c r="H1011" s="275">
        <v>20089.62</v>
      </c>
      <c r="I1011" s="275">
        <v>18304.660800000001</v>
      </c>
      <c r="J1011" s="275">
        <v>20338.142400000001</v>
      </c>
      <c r="K1011" s="275">
        <v>19632.491999999998</v>
      </c>
      <c r="L1011" s="275">
        <v>20776.017600000003</v>
      </c>
      <c r="M1011" s="275">
        <v>20076.001199999999</v>
      </c>
      <c r="N1011" s="275">
        <v>20993.403600000001</v>
      </c>
      <c r="O1011" s="275">
        <v>21044.1672</v>
      </c>
      <c r="P1011" s="275">
        <v>20327.914800000002</v>
      </c>
      <c r="Q1011" s="275">
        <v>21029.94</v>
      </c>
      <c r="R1011" s="275">
        <v>20272.179600000003</v>
      </c>
      <c r="S1011" s="275">
        <v>20696.266800000001</v>
      </c>
      <c r="T1011" s="275">
        <f>SUM(H1011:S1011)</f>
        <v>243580.80600000001</v>
      </c>
      <c r="U1011" s="275"/>
      <c r="V1011" s="275"/>
      <c r="W1011" s="412"/>
    </row>
    <row r="1012" spans="1:23" s="413" customFormat="1" hidden="1">
      <c r="A1012" s="229"/>
      <c r="B1012" s="229"/>
      <c r="C1012" s="237" t="s">
        <v>345</v>
      </c>
      <c r="D1012" s="62" t="s">
        <v>173</v>
      </c>
      <c r="E1012" s="229"/>
      <c r="F1012" s="229"/>
      <c r="G1012" s="229"/>
      <c r="H1012" s="480">
        <v>20791.426282092652</v>
      </c>
      <c r="I1012" s="275">
        <v>18779.352770922396</v>
      </c>
      <c r="J1012" s="275">
        <v>21471.180846677198</v>
      </c>
      <c r="K1012" s="275">
        <v>18851.859924478082</v>
      </c>
      <c r="L1012" s="275">
        <v>21752.146066705478</v>
      </c>
      <c r="M1012" s="275">
        <v>21752.146066705478</v>
      </c>
      <c r="N1012" s="275">
        <v>22477.217602262324</v>
      </c>
      <c r="O1012" s="275">
        <v>22477.217602262324</v>
      </c>
      <c r="P1012" s="275">
        <v>21752.146066705478</v>
      </c>
      <c r="Q1012" s="275">
        <v>22477.217602262324</v>
      </c>
      <c r="R1012" s="275">
        <v>21752.146066705478</v>
      </c>
      <c r="S1012" s="275">
        <v>22259.696141595276</v>
      </c>
      <c r="T1012" s="275">
        <f>SUM(H1012:S1012)</f>
        <v>256593.75303937451</v>
      </c>
      <c r="U1012" s="275"/>
      <c r="V1012" s="275"/>
      <c r="W1012" s="412"/>
    </row>
    <row r="1013" spans="1:23" s="413" customFormat="1" hidden="1">
      <c r="A1013" s="229"/>
      <c r="B1013" s="336"/>
      <c r="C1013" s="429" t="s">
        <v>676</v>
      </c>
      <c r="D1013" s="336"/>
      <c r="E1013" s="336"/>
      <c r="F1013" s="336"/>
      <c r="G1013" s="336"/>
      <c r="H1013" s="366"/>
      <c r="I1013" s="366"/>
      <c r="J1013" s="366"/>
      <c r="K1013" s="366"/>
      <c r="L1013" s="366"/>
      <c r="M1013" s="366"/>
      <c r="N1013" s="366"/>
      <c r="O1013" s="366"/>
      <c r="P1013" s="366"/>
      <c r="Q1013" s="366"/>
      <c r="R1013" s="366"/>
      <c r="S1013" s="366"/>
      <c r="T1013" s="366"/>
      <c r="U1013" s="366"/>
      <c r="V1013" s="366"/>
      <c r="W1013" s="412"/>
    </row>
    <row r="1014" spans="1:23" s="413" customFormat="1" hidden="1">
      <c r="A1014" s="229"/>
      <c r="B1014" s="336"/>
      <c r="C1014" s="430" t="s">
        <v>138</v>
      </c>
      <c r="D1014" s="336" t="s">
        <v>677</v>
      </c>
      <c r="E1014" s="336"/>
      <c r="F1014" s="336"/>
      <c r="G1014" s="336"/>
      <c r="H1014" s="345">
        <v>0.72978857890148208</v>
      </c>
      <c r="I1014" s="345">
        <v>0.73619131274131289</v>
      </c>
      <c r="J1014" s="345">
        <v>0.71542642465175177</v>
      </c>
      <c r="K1014" s="345">
        <v>0.786558173076923</v>
      </c>
      <c r="L1014" s="345">
        <v>0.72138950000000013</v>
      </c>
      <c r="M1014" s="345">
        <v>0.69708337499999995</v>
      </c>
      <c r="N1014" s="345">
        <v>0.70542350806451615</v>
      </c>
      <c r="O1014" s="345">
        <v>0.70712927419354843</v>
      </c>
      <c r="P1014" s="345">
        <v>0.70583037500000012</v>
      </c>
      <c r="Q1014" s="345">
        <v>0.70665120967741923</v>
      </c>
      <c r="R1014" s="345">
        <v>0.70389512500000007</v>
      </c>
      <c r="S1014" s="345">
        <v>0.70223489413680784</v>
      </c>
      <c r="T1014" s="345">
        <f>T1010/T$1006*1000</f>
        <v>0.71697928367065811</v>
      </c>
      <c r="U1014" s="366"/>
      <c r="V1014" s="366"/>
      <c r="W1014" s="412"/>
    </row>
    <row r="1015" spans="1:23" s="413" customFormat="1" ht="23.25" hidden="1">
      <c r="A1015" s="229"/>
      <c r="B1015" s="336"/>
      <c r="C1015" s="364" t="s">
        <v>628</v>
      </c>
      <c r="D1015" s="336" t="s">
        <v>677</v>
      </c>
      <c r="E1015" s="336"/>
      <c r="F1015" s="336"/>
      <c r="G1015" s="336"/>
      <c r="H1015" s="345">
        <v>0.72978857890148208</v>
      </c>
      <c r="I1015" s="345">
        <v>0.73619131274131289</v>
      </c>
      <c r="J1015" s="345">
        <v>0.71542642465175177</v>
      </c>
      <c r="K1015" s="345">
        <v>0.786558173076923</v>
      </c>
      <c r="L1015" s="345">
        <v>0.72138950000000013</v>
      </c>
      <c r="M1015" s="345">
        <v>0.69708337499999995</v>
      </c>
      <c r="N1015" s="345">
        <v>0.70542350806451615</v>
      </c>
      <c r="O1015" s="345">
        <v>0.70712927419354843</v>
      </c>
      <c r="P1015" s="345">
        <v>0.70583037500000012</v>
      </c>
      <c r="Q1015" s="345">
        <v>0.70665120967741923</v>
      </c>
      <c r="R1015" s="345">
        <v>0.70389512500000007</v>
      </c>
      <c r="S1015" s="345">
        <v>0.70223489413680784</v>
      </c>
      <c r="T1015" s="433">
        <f>T1011/T$1006*1000</f>
        <v>0.71697928367065811</v>
      </c>
      <c r="U1015" s="366"/>
      <c r="V1015" s="366"/>
      <c r="W1015" s="412"/>
    </row>
    <row r="1016" spans="1:23" s="413" customFormat="1" hidden="1">
      <c r="A1016" s="229"/>
      <c r="B1016" s="336"/>
      <c r="C1016" s="364" t="s">
        <v>642</v>
      </c>
      <c r="D1016" s="336" t="s">
        <v>678</v>
      </c>
      <c r="E1016" s="336"/>
      <c r="F1016" s="336"/>
      <c r="G1016" s="336"/>
      <c r="H1016" s="345">
        <v>96.624539978302934</v>
      </c>
      <c r="I1016" s="345">
        <v>97.472266607306096</v>
      </c>
      <c r="J1016" s="345">
        <v>94.722980283347852</v>
      </c>
      <c r="K1016" s="345">
        <v>104.14087564117909</v>
      </c>
      <c r="L1016" s="345">
        <v>95.512495807484626</v>
      </c>
      <c r="M1016" s="345">
        <v>92.294347134460267</v>
      </c>
      <c r="N1016" s="345">
        <v>93.398586833483449</v>
      </c>
      <c r="O1016" s="345">
        <v>93.624431512741651</v>
      </c>
      <c r="P1016" s="345">
        <v>93.452456312412096</v>
      </c>
      <c r="Q1016" s="345">
        <v>93.561135422221213</v>
      </c>
      <c r="R1016" s="345">
        <v>93.196227801307572</v>
      </c>
      <c r="S1016" s="345">
        <v>92.976412024449004</v>
      </c>
      <c r="T1016" s="345">
        <f>T1011/T1012*100</f>
        <v>94.928579949731812</v>
      </c>
      <c r="U1016" s="275"/>
      <c r="V1016" s="275"/>
      <c r="W1016" s="412"/>
    </row>
    <row r="1017" spans="1:23" s="413" customFormat="1" hidden="1">
      <c r="A1017" s="229"/>
      <c r="B1017" s="400">
        <v>25.8</v>
      </c>
      <c r="C1017" s="442" t="s">
        <v>612</v>
      </c>
      <c r="D1017" s="229"/>
      <c r="E1017" s="229"/>
      <c r="F1017" s="229"/>
      <c r="G1017" s="229"/>
      <c r="H1017" s="275"/>
      <c r="I1017" s="275"/>
      <c r="J1017" s="275"/>
      <c r="K1017" s="275"/>
      <c r="L1017" s="275"/>
      <c r="M1017" s="275"/>
      <c r="N1017" s="275"/>
      <c r="O1017" s="275"/>
      <c r="P1017" s="275"/>
      <c r="Q1017" s="275"/>
      <c r="R1017" s="275"/>
      <c r="S1017" s="275"/>
      <c r="T1017" s="275"/>
      <c r="U1017" s="275"/>
      <c r="V1017" s="275"/>
      <c r="W1017" s="412"/>
    </row>
    <row r="1018" spans="1:23" s="413" customFormat="1" hidden="1">
      <c r="A1018" s="229"/>
      <c r="B1018" s="229"/>
      <c r="C1018" s="320" t="s">
        <v>138</v>
      </c>
      <c r="D1018" s="229" t="s">
        <v>90</v>
      </c>
      <c r="E1018" s="832">
        <v>3.6</v>
      </c>
      <c r="F1018" s="229"/>
      <c r="G1018" s="229">
        <v>2.59</v>
      </c>
      <c r="H1018" s="477">
        <v>65810</v>
      </c>
      <c r="I1018" s="275">
        <v>60330</v>
      </c>
      <c r="J1018" s="275">
        <v>65210</v>
      </c>
      <c r="K1018" s="275">
        <v>64260</v>
      </c>
      <c r="L1018" s="275">
        <v>68820</v>
      </c>
      <c r="M1018" s="275">
        <v>51640</v>
      </c>
      <c r="N1018" s="275">
        <v>61640</v>
      </c>
      <c r="O1018" s="275">
        <v>67010</v>
      </c>
      <c r="P1018" s="275">
        <v>64520</v>
      </c>
      <c r="Q1018" s="275">
        <v>64270</v>
      </c>
      <c r="R1018" s="275">
        <v>53950</v>
      </c>
      <c r="S1018" s="275">
        <v>63340</v>
      </c>
      <c r="T1018" s="275">
        <f>SUM(H1018:S1018)</f>
        <v>750800</v>
      </c>
      <c r="U1018" s="275"/>
      <c r="V1018" s="275"/>
      <c r="W1018" s="412"/>
    </row>
    <row r="1019" spans="1:23" s="413" customFormat="1" hidden="1">
      <c r="A1019" s="229"/>
      <c r="B1019" s="229"/>
      <c r="C1019" s="407"/>
      <c r="D1019" s="229"/>
      <c r="E1019" s="229"/>
      <c r="F1019" s="229"/>
      <c r="G1019" s="229"/>
      <c r="H1019" s="275"/>
      <c r="I1019" s="275"/>
      <c r="J1019" s="275"/>
      <c r="K1019" s="275"/>
      <c r="L1019" s="275"/>
      <c r="M1019" s="275"/>
      <c r="N1019" s="275"/>
      <c r="O1019" s="275"/>
      <c r="P1019" s="275"/>
      <c r="Q1019" s="275"/>
      <c r="R1019" s="275"/>
      <c r="S1019" s="275"/>
      <c r="T1019" s="275"/>
      <c r="U1019" s="275"/>
      <c r="V1019" s="275"/>
      <c r="W1019" s="412"/>
    </row>
    <row r="1020" spans="1:23" hidden="1">
      <c r="A1020" s="342"/>
      <c r="B1020" s="420"/>
      <c r="C1020" s="423" t="s">
        <v>679</v>
      </c>
      <c r="D1020" s="233" t="s">
        <v>675</v>
      </c>
      <c r="E1020" s="420"/>
      <c r="F1020" s="420"/>
      <c r="G1020" s="342"/>
      <c r="H1020" s="835">
        <v>151087.1764</v>
      </c>
      <c r="I1020" s="421">
        <v>131769.56480000002</v>
      </c>
      <c r="J1020" s="421">
        <v>148010.70760000002</v>
      </c>
      <c r="K1020" s="421">
        <v>117027.66439999998</v>
      </c>
      <c r="L1020" s="421">
        <v>156921.35440000001</v>
      </c>
      <c r="M1020" s="421">
        <v>153799.07000000004</v>
      </c>
      <c r="N1020" s="421">
        <v>153841.96120000002</v>
      </c>
      <c r="O1020" s="421">
        <v>153779.57400000002</v>
      </c>
      <c r="P1020" s="421">
        <v>145861.27360000001</v>
      </c>
      <c r="Q1020" s="421">
        <v>143344.34000000003</v>
      </c>
      <c r="R1020" s="421">
        <v>125791.11639999997</v>
      </c>
      <c r="S1020" s="421">
        <v>151246.06880000001</v>
      </c>
      <c r="T1020" s="236">
        <f>SUM(H1020:S1020)</f>
        <v>1732479.8716000002</v>
      </c>
      <c r="U1020" s="422"/>
      <c r="V1020" s="833"/>
    </row>
    <row r="1021" spans="1:23" s="413" customFormat="1" hidden="1">
      <c r="A1021" s="229"/>
      <c r="B1021" s="229"/>
      <c r="C1021" s="407"/>
      <c r="D1021" s="229"/>
      <c r="E1021" s="229"/>
      <c r="F1021" s="229"/>
      <c r="G1021" s="229"/>
      <c r="H1021" s="275"/>
      <c r="I1021" s="275"/>
      <c r="J1021" s="275"/>
      <c r="K1021" s="275"/>
      <c r="L1021" s="275"/>
      <c r="M1021" s="275"/>
      <c r="N1021" s="275"/>
      <c r="O1021" s="275"/>
      <c r="P1021" s="275"/>
      <c r="Q1021" s="275"/>
      <c r="R1021" s="275"/>
      <c r="S1021" s="275"/>
      <c r="T1021" s="275"/>
      <c r="U1021" s="275"/>
      <c r="V1021" s="275"/>
      <c r="W1021" s="412"/>
    </row>
    <row r="1022" spans="1:23" s="413" customFormat="1" hidden="1">
      <c r="A1022" s="229"/>
      <c r="B1022" s="229"/>
      <c r="C1022" s="407"/>
      <c r="D1022" s="229"/>
      <c r="E1022" s="229"/>
      <c r="F1022" s="229"/>
      <c r="G1022" s="229"/>
      <c r="H1022" s="275"/>
      <c r="I1022" s="275"/>
      <c r="J1022" s="275"/>
      <c r="K1022" s="275"/>
      <c r="L1022" s="275"/>
      <c r="M1022" s="275"/>
      <c r="N1022" s="275"/>
      <c r="O1022" s="275"/>
      <c r="P1022" s="275"/>
      <c r="Q1022" s="275"/>
      <c r="R1022" s="275"/>
      <c r="S1022" s="275"/>
      <c r="T1022" s="275"/>
      <c r="U1022" s="275"/>
      <c r="V1022" s="275"/>
      <c r="W1022" s="412"/>
    </row>
    <row r="1023" spans="1:23" s="413" customFormat="1" hidden="1">
      <c r="A1023" s="229"/>
      <c r="B1023" s="229"/>
      <c r="C1023" s="407" t="s">
        <v>624</v>
      </c>
      <c r="D1023" s="229"/>
      <c r="E1023" s="229"/>
      <c r="F1023" s="229"/>
      <c r="G1023" s="229"/>
      <c r="H1023" s="275"/>
      <c r="I1023" s="275"/>
      <c r="J1023" s="275"/>
      <c r="K1023" s="275"/>
      <c r="L1023" s="275"/>
      <c r="M1023" s="275"/>
      <c r="N1023" s="275"/>
      <c r="O1023" s="275"/>
      <c r="P1023" s="275"/>
      <c r="Q1023" s="275"/>
      <c r="R1023" s="275"/>
      <c r="S1023" s="275"/>
      <c r="T1023" s="275"/>
      <c r="U1023" s="275"/>
      <c r="V1023" s="275"/>
      <c r="W1023" s="412"/>
    </row>
    <row r="1024" spans="1:23" s="413" customFormat="1" hidden="1">
      <c r="A1024" s="229"/>
      <c r="B1024" s="229"/>
      <c r="C1024" s="320" t="s">
        <v>138</v>
      </c>
      <c r="D1024" s="229" t="s">
        <v>173</v>
      </c>
      <c r="E1024" s="229"/>
      <c r="F1024" s="229"/>
      <c r="G1024" s="229"/>
      <c r="H1024" s="275">
        <v>236.916</v>
      </c>
      <c r="I1024" s="275">
        <v>217.18799999999999</v>
      </c>
      <c r="J1024" s="275">
        <v>234.756</v>
      </c>
      <c r="K1024" s="275">
        <v>231.33600000000001</v>
      </c>
      <c r="L1024" s="275">
        <v>247.75200000000001</v>
      </c>
      <c r="M1024" s="275">
        <v>185.904</v>
      </c>
      <c r="N1024" s="275">
        <v>221.904</v>
      </c>
      <c r="O1024" s="275">
        <v>241.23599999999999</v>
      </c>
      <c r="P1024" s="275">
        <v>232.27199999999999</v>
      </c>
      <c r="Q1024" s="275">
        <v>231.37200000000001</v>
      </c>
      <c r="R1024" s="275">
        <v>194.22</v>
      </c>
      <c r="S1024" s="275">
        <v>228.024</v>
      </c>
      <c r="T1024" s="275">
        <f>SUM(H1024:S1024)</f>
        <v>2702.8799999999997</v>
      </c>
      <c r="U1024" s="275"/>
      <c r="V1024" s="275"/>
      <c r="W1024" s="412"/>
    </row>
    <row r="1025" spans="1:23" s="413" customFormat="1" hidden="1">
      <c r="A1025" s="229"/>
      <c r="B1025" s="229"/>
      <c r="C1025" s="400" t="s">
        <v>625</v>
      </c>
      <c r="D1025" s="229" t="s">
        <v>173</v>
      </c>
      <c r="E1025" s="229"/>
      <c r="F1025" s="229"/>
      <c r="G1025" s="229"/>
      <c r="H1025" s="275">
        <v>236.916</v>
      </c>
      <c r="I1025" s="275">
        <v>217.18799999999999</v>
      </c>
      <c r="J1025" s="275">
        <v>234.756</v>
      </c>
      <c r="K1025" s="275">
        <v>231.33600000000001</v>
      </c>
      <c r="L1025" s="275">
        <v>247.75200000000001</v>
      </c>
      <c r="M1025" s="275">
        <v>185.904</v>
      </c>
      <c r="N1025" s="275">
        <v>221.904</v>
      </c>
      <c r="O1025" s="275">
        <v>241.23599999999999</v>
      </c>
      <c r="P1025" s="275">
        <v>232.27199999999999</v>
      </c>
      <c r="Q1025" s="275">
        <v>231.37200000000001</v>
      </c>
      <c r="R1025" s="275">
        <v>194.22</v>
      </c>
      <c r="S1025" s="275">
        <v>228.024</v>
      </c>
      <c r="T1025" s="275">
        <f>SUM(H1025:S1025)</f>
        <v>2702.8799999999997</v>
      </c>
      <c r="U1025" s="275"/>
      <c r="V1025" s="275"/>
      <c r="W1025" s="412"/>
    </row>
    <row r="1026" spans="1:23" s="413" customFormat="1" hidden="1">
      <c r="A1026" s="229"/>
      <c r="B1026" s="229"/>
      <c r="C1026" s="237" t="s">
        <v>345</v>
      </c>
      <c r="D1026" s="62" t="s">
        <v>173</v>
      </c>
      <c r="E1026" s="229"/>
      <c r="F1026" s="229"/>
      <c r="G1026" s="229"/>
      <c r="H1026" s="266">
        <v>267.72403565483921</v>
      </c>
      <c r="I1026" s="266">
        <v>233.49353999005473</v>
      </c>
      <c r="J1026" s="266">
        <v>262.27258264388604</v>
      </c>
      <c r="K1026" s="266">
        <v>207.37113064764478</v>
      </c>
      <c r="L1026" s="266">
        <v>278.06210481534464</v>
      </c>
      <c r="M1026" s="266">
        <v>272.52946730137666</v>
      </c>
      <c r="N1026" s="266">
        <v>272.60546981483725</v>
      </c>
      <c r="O1026" s="266">
        <v>272.494920704349</v>
      </c>
      <c r="P1026" s="266">
        <v>258.4638203215946</v>
      </c>
      <c r="Q1026" s="266">
        <v>254.00385464533312</v>
      </c>
      <c r="R1026" s="266">
        <v>222.89982601154512</v>
      </c>
      <c r="S1026" s="266">
        <v>268.00559042061406</v>
      </c>
      <c r="T1026" s="275">
        <f>SUM(H1026:S1026)</f>
        <v>3069.9263429714192</v>
      </c>
      <c r="U1026" s="275"/>
      <c r="V1026" s="275"/>
      <c r="W1026" s="412"/>
    </row>
    <row r="1027" spans="1:23" s="413" customFormat="1" hidden="1">
      <c r="A1027" s="229"/>
      <c r="B1027" s="336"/>
      <c r="C1027" s="429" t="s">
        <v>680</v>
      </c>
      <c r="D1027" s="336"/>
      <c r="E1027" s="336"/>
      <c r="F1027" s="336"/>
      <c r="G1027" s="336"/>
      <c r="H1027" s="366"/>
      <c r="I1027" s="366"/>
      <c r="J1027" s="366"/>
      <c r="K1027" s="366"/>
      <c r="L1027" s="366"/>
      <c r="M1027" s="366"/>
      <c r="N1027" s="366"/>
      <c r="O1027" s="366"/>
      <c r="P1027" s="366"/>
      <c r="Q1027" s="366"/>
      <c r="R1027" s="366"/>
      <c r="S1027" s="366"/>
      <c r="T1027" s="366"/>
      <c r="U1027" s="366"/>
      <c r="V1027" s="366"/>
      <c r="W1027" s="412"/>
    </row>
    <row r="1028" spans="1:23" s="413" customFormat="1" hidden="1">
      <c r="A1028" s="229"/>
      <c r="B1028" s="336"/>
      <c r="C1028" s="430" t="s">
        <v>138</v>
      </c>
      <c r="D1028" s="336" t="s">
        <v>677</v>
      </c>
      <c r="E1028" s="336"/>
      <c r="F1028" s="336"/>
      <c r="G1028" s="336"/>
      <c r="H1028" s="345">
        <v>1.5680748402681777</v>
      </c>
      <c r="I1028" s="345">
        <v>1.6482410056498871</v>
      </c>
      <c r="J1028" s="345">
        <v>1.5860744388468824</v>
      </c>
      <c r="K1028" s="345">
        <v>1.976763367756317</v>
      </c>
      <c r="L1028" s="345">
        <v>1.5788290952961592</v>
      </c>
      <c r="M1028" s="345">
        <v>1.208745930648345</v>
      </c>
      <c r="N1028" s="345">
        <v>1.4424153089904834</v>
      </c>
      <c r="O1028" s="345">
        <v>1.5687128903088257</v>
      </c>
      <c r="P1028" s="345">
        <v>1.5924171938671456</v>
      </c>
      <c r="Q1028" s="345">
        <v>1.6140993080019761</v>
      </c>
      <c r="R1028" s="345">
        <v>1.5439882048777176</v>
      </c>
      <c r="S1028" s="345">
        <v>1.5076358797895579</v>
      </c>
      <c r="T1028" s="345">
        <f>T1024/T$1020*1000</f>
        <v>1.560122021795153</v>
      </c>
      <c r="U1028" s="366"/>
      <c r="V1028" s="366"/>
      <c r="W1028" s="412"/>
    </row>
    <row r="1029" spans="1:23" s="413" customFormat="1" ht="23.25" hidden="1">
      <c r="A1029" s="229"/>
      <c r="B1029" s="336"/>
      <c r="C1029" s="364" t="s">
        <v>628</v>
      </c>
      <c r="D1029" s="336" t="s">
        <v>677</v>
      </c>
      <c r="E1029" s="336"/>
      <c r="F1029" s="336"/>
      <c r="G1029" s="336"/>
      <c r="H1029" s="345">
        <v>1.5680748402681777</v>
      </c>
      <c r="I1029" s="345">
        <v>1.6482410056498871</v>
      </c>
      <c r="J1029" s="345">
        <v>1.5860744388468824</v>
      </c>
      <c r="K1029" s="345">
        <v>1.976763367756317</v>
      </c>
      <c r="L1029" s="345">
        <v>1.5788290952961592</v>
      </c>
      <c r="M1029" s="345">
        <v>1.208745930648345</v>
      </c>
      <c r="N1029" s="345">
        <v>1.4424153089904834</v>
      </c>
      <c r="O1029" s="345">
        <v>1.5687128903088257</v>
      </c>
      <c r="P1029" s="345">
        <v>1.5924171938671456</v>
      </c>
      <c r="Q1029" s="345">
        <v>1.6140993080019761</v>
      </c>
      <c r="R1029" s="345">
        <v>1.5439882048777176</v>
      </c>
      <c r="S1029" s="345">
        <v>1.5076358797895579</v>
      </c>
      <c r="T1029" s="433">
        <f>T1025/T$1020*1000</f>
        <v>1.560122021795153</v>
      </c>
      <c r="U1029" s="366"/>
      <c r="V1029" s="366"/>
      <c r="W1029" s="412"/>
    </row>
    <row r="1030" spans="1:23" s="413" customFormat="1" hidden="1">
      <c r="A1030" s="229"/>
      <c r="B1030" s="336"/>
      <c r="C1030" s="364" t="s">
        <v>642</v>
      </c>
      <c r="D1030" s="336" t="s">
        <v>678</v>
      </c>
      <c r="E1030" s="336"/>
      <c r="F1030" s="336"/>
      <c r="G1030" s="336"/>
      <c r="H1030" s="345">
        <v>88.492614949761844</v>
      </c>
      <c r="I1030" s="345">
        <v>93.016706162085143</v>
      </c>
      <c r="J1030" s="345">
        <v>89.508402911772109</v>
      </c>
      <c r="K1030" s="345">
        <v>111.55651188162503</v>
      </c>
      <c r="L1030" s="345">
        <v>89.099519751002049</v>
      </c>
      <c r="M1030" s="345">
        <v>68.214274896893286</v>
      </c>
      <c r="N1030" s="345">
        <v>81.40115462493273</v>
      </c>
      <c r="O1030" s="345">
        <v>88.528622616689333</v>
      </c>
      <c r="P1030" s="345">
        <v>89.866349460823827</v>
      </c>
      <c r="Q1030" s="345">
        <v>91.089956222540764</v>
      </c>
      <c r="R1030" s="345">
        <v>87.133311620413906</v>
      </c>
      <c r="S1030" s="345">
        <v>85.081807301905144</v>
      </c>
      <c r="T1030" s="345">
        <f>T1025/T1026*100</f>
        <v>88.043806203631874</v>
      </c>
      <c r="U1030" s="275"/>
      <c r="V1030" s="275"/>
      <c r="W1030" s="412"/>
    </row>
    <row r="1031" spans="1:23" s="413" customFormat="1" hidden="1">
      <c r="A1031" s="229"/>
      <c r="B1031" s="400">
        <v>25.9</v>
      </c>
      <c r="C1031" s="442" t="s">
        <v>613</v>
      </c>
      <c r="D1031" s="229"/>
      <c r="E1031" s="229"/>
      <c r="F1031" s="229"/>
      <c r="G1031" s="229"/>
      <c r="H1031" s="275"/>
      <c r="I1031" s="275"/>
      <c r="J1031" s="275"/>
      <c r="K1031" s="275"/>
      <c r="L1031" s="275"/>
      <c r="M1031" s="275"/>
      <c r="N1031" s="275"/>
      <c r="O1031" s="275"/>
      <c r="P1031" s="275"/>
      <c r="Q1031" s="275"/>
      <c r="R1031" s="275"/>
      <c r="S1031" s="275"/>
      <c r="T1031" s="275"/>
      <c r="U1031" s="275"/>
      <c r="V1031" s="275"/>
      <c r="W1031" s="412"/>
    </row>
    <row r="1032" spans="1:23" s="413" customFormat="1" hidden="1">
      <c r="A1032" s="229"/>
      <c r="B1032" s="229"/>
      <c r="C1032" s="320" t="s">
        <v>138</v>
      </c>
      <c r="D1032" s="229" t="s">
        <v>90</v>
      </c>
      <c r="E1032" s="832">
        <v>3.6</v>
      </c>
      <c r="F1032" s="229"/>
      <c r="G1032" s="229">
        <v>2.59</v>
      </c>
      <c r="H1032" s="477">
        <v>399374</v>
      </c>
      <c r="I1032" s="275">
        <v>390622</v>
      </c>
      <c r="J1032" s="275">
        <v>409128</v>
      </c>
      <c r="K1032" s="275">
        <v>521122</v>
      </c>
      <c r="L1032" s="275">
        <v>507752</v>
      </c>
      <c r="M1032" s="275">
        <v>478377</v>
      </c>
      <c r="N1032" s="275">
        <v>444375</v>
      </c>
      <c r="O1032" s="275">
        <v>452382</v>
      </c>
      <c r="P1032" s="275">
        <v>457995</v>
      </c>
      <c r="Q1032" s="275">
        <v>464624</v>
      </c>
      <c r="R1032" s="275">
        <v>421377</v>
      </c>
      <c r="S1032" s="275">
        <v>637621</v>
      </c>
      <c r="T1032" s="275">
        <f>SUM(H1032:S1032)</f>
        <v>5584749</v>
      </c>
      <c r="U1032" s="275"/>
      <c r="V1032" s="275"/>
      <c r="W1032" s="412"/>
    </row>
    <row r="1033" spans="1:23" s="413" customFormat="1" hidden="1">
      <c r="A1033" s="229"/>
      <c r="B1033" s="229"/>
      <c r="C1033" s="407"/>
      <c r="D1033" s="229"/>
      <c r="E1033" s="229"/>
      <c r="F1033" s="229"/>
      <c r="G1033" s="229"/>
      <c r="H1033" s="275"/>
      <c r="I1033" s="275"/>
      <c r="J1033" s="275"/>
      <c r="K1033" s="275"/>
      <c r="L1033" s="275"/>
      <c r="M1033" s="275"/>
      <c r="N1033" s="275"/>
      <c r="O1033" s="275"/>
      <c r="P1033" s="275"/>
      <c r="Q1033" s="275"/>
      <c r="R1033" s="275"/>
      <c r="S1033" s="275"/>
      <c r="T1033" s="275"/>
      <c r="U1033" s="275"/>
      <c r="V1033" s="275"/>
      <c r="W1033" s="412"/>
    </row>
    <row r="1034" spans="1:23" hidden="1">
      <c r="A1034" s="342"/>
      <c r="B1034" s="420"/>
      <c r="C1034" s="423" t="s">
        <v>681</v>
      </c>
      <c r="D1034" s="233" t="s">
        <v>163</v>
      </c>
      <c r="E1034" s="420"/>
      <c r="F1034" s="420"/>
      <c r="G1034" s="342"/>
      <c r="H1034" s="835">
        <v>3120544</v>
      </c>
      <c r="I1034" s="421">
        <v>2938356</v>
      </c>
      <c r="J1034" s="421">
        <v>3124056</v>
      </c>
      <c r="K1034" s="421">
        <v>3226752</v>
      </c>
      <c r="L1034" s="421">
        <v>3453071</v>
      </c>
      <c r="M1034" s="421">
        <v>3427471</v>
      </c>
      <c r="N1034" s="421">
        <v>3808036</v>
      </c>
      <c r="O1034" s="421">
        <v>4109943</v>
      </c>
      <c r="P1034" s="421">
        <v>3959677</v>
      </c>
      <c r="Q1034" s="421">
        <v>4129264</v>
      </c>
      <c r="R1034" s="421">
        <v>3538608</v>
      </c>
      <c r="S1034" s="421">
        <v>4678944</v>
      </c>
      <c r="T1034" s="236">
        <f>SUM(H1034:S1034)</f>
        <v>43514722</v>
      </c>
      <c r="U1034" s="422"/>
      <c r="V1034" s="833"/>
    </row>
    <row r="1035" spans="1:23" s="413" customFormat="1" hidden="1">
      <c r="A1035" s="229"/>
      <c r="B1035" s="229"/>
      <c r="C1035" s="407"/>
      <c r="D1035" s="229"/>
      <c r="E1035" s="229"/>
      <c r="F1035" s="229"/>
      <c r="G1035" s="229"/>
      <c r="H1035" s="275"/>
      <c r="I1035" s="275"/>
      <c r="J1035" s="275"/>
      <c r="K1035" s="275"/>
      <c r="L1035" s="275"/>
      <c r="M1035" s="275"/>
      <c r="N1035" s="275"/>
      <c r="O1035" s="275"/>
      <c r="P1035" s="275"/>
      <c r="Q1035" s="275"/>
      <c r="R1035" s="275"/>
      <c r="S1035" s="275"/>
      <c r="T1035" s="275"/>
      <c r="U1035" s="275"/>
      <c r="V1035" s="275"/>
      <c r="W1035" s="412"/>
    </row>
    <row r="1036" spans="1:23" s="413" customFormat="1" hidden="1">
      <c r="A1036" s="229"/>
      <c r="B1036" s="229"/>
      <c r="C1036" s="407"/>
      <c r="D1036" s="229"/>
      <c r="E1036" s="229"/>
      <c r="F1036" s="229"/>
      <c r="G1036" s="229"/>
      <c r="H1036" s="275"/>
      <c r="I1036" s="275"/>
      <c r="J1036" s="275"/>
      <c r="K1036" s="275"/>
      <c r="L1036" s="275"/>
      <c r="M1036" s="275"/>
      <c r="N1036" s="275"/>
      <c r="O1036" s="275"/>
      <c r="P1036" s="275"/>
      <c r="Q1036" s="275"/>
      <c r="R1036" s="275"/>
      <c r="S1036" s="275"/>
      <c r="T1036" s="275"/>
      <c r="U1036" s="275"/>
      <c r="V1036" s="275"/>
      <c r="W1036" s="412"/>
    </row>
    <row r="1037" spans="1:23" s="413" customFormat="1" hidden="1">
      <c r="A1037" s="229"/>
      <c r="B1037" s="229"/>
      <c r="C1037" s="407" t="s">
        <v>624</v>
      </c>
      <c r="D1037" s="229"/>
      <c r="E1037" s="229"/>
      <c r="F1037" s="229"/>
      <c r="G1037" s="229"/>
      <c r="H1037" s="275"/>
      <c r="I1037" s="275"/>
      <c r="J1037" s="275"/>
      <c r="K1037" s="275"/>
      <c r="L1037" s="275"/>
      <c r="M1037" s="275"/>
      <c r="N1037" s="275"/>
      <c r="O1037" s="275"/>
      <c r="P1037" s="275"/>
      <c r="Q1037" s="275"/>
      <c r="R1037" s="275"/>
      <c r="S1037" s="275"/>
      <c r="T1037" s="275"/>
      <c r="U1037" s="275"/>
      <c r="V1037" s="275"/>
      <c r="W1037" s="412"/>
    </row>
    <row r="1038" spans="1:23" s="413" customFormat="1" hidden="1">
      <c r="A1038" s="229"/>
      <c r="B1038" s="229"/>
      <c r="C1038" s="320" t="s">
        <v>138</v>
      </c>
      <c r="D1038" s="229" t="s">
        <v>173</v>
      </c>
      <c r="E1038" s="229"/>
      <c r="F1038" s="229"/>
      <c r="G1038" s="229"/>
      <c r="H1038" s="275">
        <v>1437.7464000000002</v>
      </c>
      <c r="I1038" s="275">
        <v>1406.2392</v>
      </c>
      <c r="J1038" s="275">
        <v>1472.8608000000002</v>
      </c>
      <c r="K1038" s="275">
        <v>1876.0391999999999</v>
      </c>
      <c r="L1038" s="275">
        <v>1827.9071999999999</v>
      </c>
      <c r="M1038" s="275">
        <v>1722.1571999999999</v>
      </c>
      <c r="N1038" s="275">
        <v>1599.75</v>
      </c>
      <c r="O1038" s="275">
        <v>1628.5752</v>
      </c>
      <c r="P1038" s="275">
        <v>1648.7819999999999</v>
      </c>
      <c r="Q1038" s="275">
        <v>1672.6464000000001</v>
      </c>
      <c r="R1038" s="275">
        <v>1516.9572000000001</v>
      </c>
      <c r="S1038" s="275">
        <v>2295.4356000000002</v>
      </c>
      <c r="T1038" s="275">
        <f>SUM(H1038:S1038)</f>
        <v>20105.096399999999</v>
      </c>
      <c r="U1038" s="275"/>
      <c r="V1038" s="275"/>
      <c r="W1038" s="412"/>
    </row>
    <row r="1039" spans="1:23" s="413" customFormat="1" hidden="1">
      <c r="A1039" s="229"/>
      <c r="B1039" s="229"/>
      <c r="C1039" s="400" t="s">
        <v>625</v>
      </c>
      <c r="D1039" s="229" t="s">
        <v>173</v>
      </c>
      <c r="E1039" s="229"/>
      <c r="F1039" s="229"/>
      <c r="G1039" s="229"/>
      <c r="H1039" s="275">
        <v>1437.7464000000002</v>
      </c>
      <c r="I1039" s="275">
        <v>1406.2392</v>
      </c>
      <c r="J1039" s="275">
        <v>1472.8608000000002</v>
      </c>
      <c r="K1039" s="275">
        <v>1876.0391999999999</v>
      </c>
      <c r="L1039" s="275">
        <v>1827.9071999999999</v>
      </c>
      <c r="M1039" s="275">
        <v>1722.1571999999999</v>
      </c>
      <c r="N1039" s="275">
        <v>1599.75</v>
      </c>
      <c r="O1039" s="275">
        <v>1628.5752</v>
      </c>
      <c r="P1039" s="275">
        <v>1648.7819999999999</v>
      </c>
      <c r="Q1039" s="275">
        <v>1672.6464000000001</v>
      </c>
      <c r="R1039" s="275">
        <v>1516.9572000000001</v>
      </c>
      <c r="S1039" s="275">
        <v>2295.4356000000002</v>
      </c>
      <c r="T1039" s="275">
        <f>SUM(H1039:S1039)</f>
        <v>20105.096399999999</v>
      </c>
      <c r="U1039" s="275"/>
      <c r="V1039" s="275"/>
      <c r="W1039" s="412"/>
    </row>
    <row r="1040" spans="1:23" s="413" customFormat="1" hidden="1">
      <c r="A1040" s="229"/>
      <c r="B1040" s="229"/>
      <c r="C1040" s="237" t="s">
        <v>345</v>
      </c>
      <c r="D1040" s="62" t="s">
        <v>173</v>
      </c>
      <c r="E1040" s="229"/>
      <c r="F1040" s="229"/>
      <c r="G1040" s="229"/>
      <c r="H1040" s="480">
        <v>1650.0773344876279</v>
      </c>
      <c r="I1040" s="275">
        <v>1553.7401928175755</v>
      </c>
      <c r="J1040" s="275">
        <v>1651.9344054338221</v>
      </c>
      <c r="K1040" s="275">
        <v>1706.237867247705</v>
      </c>
      <c r="L1040" s="275">
        <v>1825.9105436348689</v>
      </c>
      <c r="M1040" s="275">
        <v>1812.3738078083964</v>
      </c>
      <c r="N1040" s="275">
        <v>2013.6084902225152</v>
      </c>
      <c r="O1040" s="275">
        <v>2173.2504942523115</v>
      </c>
      <c r="P1040" s="275">
        <v>2093.7930276233783</v>
      </c>
      <c r="Q1040" s="275">
        <v>2183.4670283500959</v>
      </c>
      <c r="R1040" s="275">
        <v>1871.1406909938128</v>
      </c>
      <c r="S1040" s="275">
        <v>2474.1261279241312</v>
      </c>
      <c r="T1040" s="275">
        <f>SUM(H1040:S1040)</f>
        <v>23009.66001079624</v>
      </c>
      <c r="U1040" s="275"/>
      <c r="V1040" s="275"/>
      <c r="W1040" s="412"/>
    </row>
    <row r="1041" spans="1:23" s="413" customFormat="1" hidden="1">
      <c r="A1041" s="229"/>
      <c r="B1041" s="336"/>
      <c r="C1041" s="429" t="s">
        <v>682</v>
      </c>
      <c r="D1041" s="336"/>
      <c r="E1041" s="336"/>
      <c r="F1041" s="336"/>
      <c r="G1041" s="336"/>
      <c r="H1041" s="366"/>
      <c r="I1041" s="366"/>
      <c r="J1041" s="366"/>
      <c r="K1041" s="366"/>
      <c r="L1041" s="366"/>
      <c r="M1041" s="366"/>
      <c r="N1041" s="366"/>
      <c r="O1041" s="366"/>
      <c r="P1041" s="366"/>
      <c r="Q1041" s="366"/>
      <c r="R1041" s="366"/>
      <c r="S1041" s="366"/>
      <c r="T1041" s="366"/>
      <c r="U1041" s="366"/>
      <c r="V1041" s="366"/>
      <c r="W1041" s="412"/>
    </row>
    <row r="1042" spans="1:23" s="413" customFormat="1" hidden="1">
      <c r="A1042" s="229"/>
      <c r="B1042" s="336"/>
      <c r="C1042" s="430" t="s">
        <v>138</v>
      </c>
      <c r="D1042" s="336" t="s">
        <v>374</v>
      </c>
      <c r="E1042" s="336"/>
      <c r="F1042" s="336"/>
      <c r="G1042" s="336"/>
      <c r="H1042" s="345">
        <v>0.46073582042105488</v>
      </c>
      <c r="I1042" s="345">
        <v>0.47858026733316178</v>
      </c>
      <c r="J1042" s="345">
        <v>0.47145787399457628</v>
      </c>
      <c r="K1042" s="345">
        <v>0.58140173152445551</v>
      </c>
      <c r="L1042" s="345">
        <v>0.52935696949179434</v>
      </c>
      <c r="M1042" s="345">
        <v>0.50245711779910018</v>
      </c>
      <c r="N1042" s="345">
        <v>0.42009844444747896</v>
      </c>
      <c r="O1042" s="345">
        <v>0.39625250277193624</v>
      </c>
      <c r="P1042" s="345">
        <v>0.41639305428195278</v>
      </c>
      <c r="Q1042" s="345">
        <v>0.40507131537242475</v>
      </c>
      <c r="R1042" s="345">
        <v>0.42868755171525075</v>
      </c>
      <c r="S1042" s="345">
        <v>0.49058838917499337</v>
      </c>
      <c r="T1042" s="345">
        <f>T1038/T$1034*1000</f>
        <v>0.46202975627420989</v>
      </c>
      <c r="U1042" s="366"/>
      <c r="V1042" s="366"/>
      <c r="W1042" s="412"/>
    </row>
    <row r="1043" spans="1:23" s="413" customFormat="1" ht="23.25" hidden="1">
      <c r="A1043" s="229"/>
      <c r="B1043" s="336"/>
      <c r="C1043" s="364" t="s">
        <v>628</v>
      </c>
      <c r="D1043" s="336" t="s">
        <v>374</v>
      </c>
      <c r="E1043" s="336"/>
      <c r="F1043" s="336"/>
      <c r="G1043" s="336"/>
      <c r="H1043" s="345">
        <v>0.46073582042105488</v>
      </c>
      <c r="I1043" s="345">
        <v>0.47858026733316178</v>
      </c>
      <c r="J1043" s="345">
        <v>0.47145787399457628</v>
      </c>
      <c r="K1043" s="345">
        <v>0.58140173152445551</v>
      </c>
      <c r="L1043" s="345">
        <v>0.52935696949179434</v>
      </c>
      <c r="M1043" s="345">
        <v>0.50245711779910018</v>
      </c>
      <c r="N1043" s="345">
        <v>0.42009844444747896</v>
      </c>
      <c r="O1043" s="345">
        <v>0.39625250277193624</v>
      </c>
      <c r="P1043" s="345">
        <v>0.41639305428195278</v>
      </c>
      <c r="Q1043" s="345">
        <v>0.40507131537242475</v>
      </c>
      <c r="R1043" s="345">
        <v>0.42868755171525075</v>
      </c>
      <c r="S1043" s="345">
        <v>0.49058838917499337</v>
      </c>
      <c r="T1043" s="433">
        <f>T1039/T$1034*1000</f>
        <v>0.46202975627420989</v>
      </c>
      <c r="U1043" s="366"/>
      <c r="V1043" s="366"/>
      <c r="W1043" s="412"/>
    </row>
    <row r="1044" spans="1:23" s="413" customFormat="1" hidden="1">
      <c r="A1044" s="229"/>
      <c r="B1044" s="336"/>
      <c r="C1044" s="364" t="s">
        <v>642</v>
      </c>
      <c r="D1044" s="336" t="s">
        <v>683</v>
      </c>
      <c r="E1044" s="336"/>
      <c r="F1044" s="336"/>
      <c r="G1044" s="336"/>
      <c r="H1044" s="345">
        <v>87.132061628277597</v>
      </c>
      <c r="I1044" s="345">
        <v>90.506714475211268</v>
      </c>
      <c r="J1044" s="345">
        <v>89.159762951556516</v>
      </c>
      <c r="K1044" s="345">
        <v>109.95179722661985</v>
      </c>
      <c r="L1044" s="345">
        <v>100.10935126981393</v>
      </c>
      <c r="M1044" s="345">
        <v>95.022185411215446</v>
      </c>
      <c r="N1044" s="345">
        <v>79.446923658094946</v>
      </c>
      <c r="O1044" s="345">
        <v>74.937298038452653</v>
      </c>
      <c r="P1044" s="345">
        <v>78.746178741052489</v>
      </c>
      <c r="Q1044" s="345">
        <v>76.605067916409538</v>
      </c>
      <c r="R1044" s="345">
        <v>81.071252808590444</v>
      </c>
      <c r="S1044" s="345">
        <v>92.777630618449606</v>
      </c>
      <c r="T1044" s="345">
        <f>T1039/T1040*100</f>
        <v>87.376764326663633</v>
      </c>
      <c r="U1044" s="366"/>
      <c r="V1044" s="275"/>
      <c r="W1044" s="412"/>
    </row>
    <row r="1045" spans="1:23" s="413" customFormat="1" hidden="1">
      <c r="A1045" s="229"/>
      <c r="B1045" s="443">
        <v>25.1</v>
      </c>
      <c r="C1045" s="442" t="s">
        <v>615</v>
      </c>
      <c r="D1045" s="229"/>
      <c r="E1045" s="229"/>
      <c r="F1045" s="229"/>
      <c r="G1045" s="229"/>
      <c r="H1045" s="275"/>
      <c r="I1045" s="275"/>
      <c r="J1045" s="275"/>
      <c r="K1045" s="275"/>
      <c r="L1045" s="275"/>
      <c r="M1045" s="275"/>
      <c r="N1045" s="275"/>
      <c r="O1045" s="275"/>
      <c r="P1045" s="275"/>
      <c r="Q1045" s="275"/>
      <c r="R1045" s="275"/>
      <c r="S1045" s="275"/>
      <c r="T1045" s="275"/>
      <c r="U1045" s="275"/>
      <c r="V1045" s="275"/>
      <c r="W1045" s="412"/>
    </row>
    <row r="1046" spans="1:23" s="413" customFormat="1" hidden="1">
      <c r="A1046" s="229"/>
      <c r="B1046" s="229"/>
      <c r="C1046" s="320" t="s">
        <v>138</v>
      </c>
      <c r="D1046" s="229" t="s">
        <v>90</v>
      </c>
      <c r="E1046" s="832">
        <v>3.6</v>
      </c>
      <c r="F1046" s="229"/>
      <c r="G1046" s="229">
        <v>2.59</v>
      </c>
      <c r="H1046" s="477">
        <v>15876</v>
      </c>
      <c r="I1046" s="275">
        <v>18668</v>
      </c>
      <c r="J1046" s="275">
        <v>16618</v>
      </c>
      <c r="K1046" s="275">
        <v>17506</v>
      </c>
      <c r="L1046" s="275">
        <v>24970</v>
      </c>
      <c r="M1046" s="275">
        <v>19488</v>
      </c>
      <c r="N1046" s="275">
        <v>26040</v>
      </c>
      <c r="O1046" s="275">
        <v>20118</v>
      </c>
      <c r="P1046" s="275">
        <v>25454</v>
      </c>
      <c r="Q1046" s="275">
        <v>21444</v>
      </c>
      <c r="R1046" s="275">
        <v>19666</v>
      </c>
      <c r="S1046" s="275">
        <v>20182</v>
      </c>
      <c r="T1046" s="275">
        <f>SUM(H1046:S1046)</f>
        <v>246030</v>
      </c>
      <c r="U1046" s="275"/>
      <c r="V1046" s="275"/>
      <c r="W1046" s="412"/>
    </row>
    <row r="1047" spans="1:23" s="413" customFormat="1" hidden="1">
      <c r="A1047" s="229"/>
      <c r="B1047" s="229"/>
      <c r="C1047" s="407"/>
      <c r="D1047" s="229"/>
      <c r="E1047" s="229"/>
      <c r="F1047" s="229"/>
      <c r="G1047" s="229"/>
      <c r="H1047" s="275"/>
      <c r="I1047" s="275"/>
      <c r="J1047" s="275"/>
      <c r="K1047" s="275"/>
      <c r="L1047" s="275"/>
      <c r="M1047" s="275"/>
      <c r="N1047" s="275"/>
      <c r="O1047" s="275"/>
      <c r="P1047" s="275"/>
      <c r="Q1047" s="275"/>
      <c r="R1047" s="275"/>
      <c r="S1047" s="275"/>
      <c r="T1047" s="275"/>
      <c r="U1047" s="275"/>
      <c r="V1047" s="275"/>
      <c r="W1047" s="412"/>
    </row>
    <row r="1048" spans="1:23" hidden="1">
      <c r="A1048" s="342"/>
      <c r="B1048" s="420"/>
      <c r="C1048" s="423" t="s">
        <v>684</v>
      </c>
      <c r="D1048" s="233" t="s">
        <v>163</v>
      </c>
      <c r="E1048" s="420"/>
      <c r="F1048" s="420"/>
      <c r="G1048" s="342"/>
      <c r="H1048" s="835">
        <v>2301628</v>
      </c>
      <c r="I1048" s="421">
        <v>2083685</v>
      </c>
      <c r="J1048" s="421">
        <v>2434358</v>
      </c>
      <c r="K1048" s="421">
        <v>2070977</v>
      </c>
      <c r="L1048" s="421">
        <v>2343867</v>
      </c>
      <c r="M1048" s="421">
        <v>2278454</v>
      </c>
      <c r="N1048" s="421">
        <v>2420945</v>
      </c>
      <c r="O1048" s="421">
        <v>2403971</v>
      </c>
      <c r="P1048" s="421">
        <v>2311616</v>
      </c>
      <c r="Q1048" s="421">
        <v>2417656</v>
      </c>
      <c r="R1048" s="421">
        <v>2368536</v>
      </c>
      <c r="S1048" s="421">
        <v>2440968</v>
      </c>
      <c r="T1048" s="236">
        <f>SUM(H1048:S1048)</f>
        <v>27876661</v>
      </c>
      <c r="U1048" s="422"/>
      <c r="V1048" s="833"/>
    </row>
    <row r="1049" spans="1:23" s="413" customFormat="1" hidden="1">
      <c r="A1049" s="229"/>
      <c r="B1049" s="229"/>
      <c r="C1049" s="407"/>
      <c r="D1049" s="229"/>
      <c r="E1049" s="229"/>
      <c r="F1049" s="229"/>
      <c r="G1049" s="229"/>
      <c r="H1049" s="275"/>
      <c r="I1049" s="275"/>
      <c r="J1049" s="275"/>
      <c r="K1049" s="275"/>
      <c r="L1049" s="275"/>
      <c r="M1049" s="275"/>
      <c r="N1049" s="275"/>
      <c r="O1049" s="275"/>
      <c r="P1049" s="275"/>
      <c r="Q1049" s="275"/>
      <c r="R1049" s="275"/>
      <c r="S1049" s="275"/>
      <c r="T1049" s="275"/>
      <c r="U1049" s="275"/>
      <c r="V1049" s="275"/>
      <c r="W1049" s="412"/>
    </row>
    <row r="1050" spans="1:23" s="413" customFormat="1" hidden="1">
      <c r="A1050" s="229"/>
      <c r="B1050" s="229"/>
      <c r="C1050" s="407"/>
      <c r="D1050" s="229"/>
      <c r="E1050" s="229"/>
      <c r="F1050" s="229"/>
      <c r="G1050" s="229"/>
      <c r="H1050" s="275"/>
      <c r="I1050" s="275"/>
      <c r="J1050" s="275"/>
      <c r="K1050" s="275"/>
      <c r="L1050" s="275"/>
      <c r="M1050" s="275"/>
      <c r="N1050" s="275"/>
      <c r="O1050" s="275"/>
      <c r="P1050" s="275"/>
      <c r="Q1050" s="275"/>
      <c r="R1050" s="275"/>
      <c r="S1050" s="275"/>
      <c r="T1050" s="275"/>
      <c r="U1050" s="275"/>
      <c r="V1050" s="275"/>
      <c r="W1050" s="412"/>
    </row>
    <row r="1051" spans="1:23" s="413" customFormat="1" hidden="1">
      <c r="A1051" s="229"/>
      <c r="B1051" s="229"/>
      <c r="C1051" s="407" t="s">
        <v>624</v>
      </c>
      <c r="D1051" s="229"/>
      <c r="E1051" s="229"/>
      <c r="F1051" s="229"/>
      <c r="G1051" s="229"/>
      <c r="H1051" s="275"/>
      <c r="I1051" s="275"/>
      <c r="J1051" s="275"/>
      <c r="K1051" s="275"/>
      <c r="L1051" s="275"/>
      <c r="M1051" s="275"/>
      <c r="N1051" s="275"/>
      <c r="O1051" s="275"/>
      <c r="P1051" s="275"/>
      <c r="Q1051" s="275"/>
      <c r="R1051" s="275"/>
      <c r="S1051" s="275"/>
      <c r="T1051" s="275"/>
      <c r="U1051" s="275"/>
      <c r="V1051" s="275"/>
      <c r="W1051" s="412"/>
    </row>
    <row r="1052" spans="1:23" s="413" customFormat="1" hidden="1">
      <c r="A1052" s="229"/>
      <c r="B1052" s="229"/>
      <c r="C1052" s="320" t="s">
        <v>138</v>
      </c>
      <c r="D1052" s="229" t="s">
        <v>173</v>
      </c>
      <c r="E1052" s="229"/>
      <c r="F1052" s="229"/>
      <c r="G1052" s="229"/>
      <c r="H1052" s="275">
        <v>57.153599999999997</v>
      </c>
      <c r="I1052" s="275">
        <v>67.204800000000006</v>
      </c>
      <c r="J1052" s="275">
        <v>59.824800000000003</v>
      </c>
      <c r="K1052" s="275">
        <v>63.021599999999999</v>
      </c>
      <c r="L1052" s="275">
        <v>89.891999999999996</v>
      </c>
      <c r="M1052" s="275">
        <v>70.156800000000004</v>
      </c>
      <c r="N1052" s="275">
        <v>93.744</v>
      </c>
      <c r="O1052" s="275">
        <v>72.424800000000005</v>
      </c>
      <c r="P1052" s="275">
        <v>91.634400000000014</v>
      </c>
      <c r="Q1052" s="275">
        <v>77.198400000000007</v>
      </c>
      <c r="R1052" s="275">
        <v>70.797600000000003</v>
      </c>
      <c r="S1052" s="275">
        <v>72.655199999999994</v>
      </c>
      <c r="T1052" s="275">
        <f>SUM(H1052:S1052)</f>
        <v>885.70800000000008</v>
      </c>
      <c r="U1052" s="275"/>
      <c r="V1052" s="275"/>
      <c r="W1052" s="412"/>
    </row>
    <row r="1053" spans="1:23" s="413" customFormat="1" hidden="1">
      <c r="A1053" s="229"/>
      <c r="B1053" s="229"/>
      <c r="C1053" s="400" t="s">
        <v>625</v>
      </c>
      <c r="D1053" s="229" t="s">
        <v>173</v>
      </c>
      <c r="E1053" s="229"/>
      <c r="F1053" s="229"/>
      <c r="G1053" s="229"/>
      <c r="H1053" s="275">
        <v>57.153599999999997</v>
      </c>
      <c r="I1053" s="275">
        <v>67.204800000000006</v>
      </c>
      <c r="J1053" s="275">
        <v>59.824800000000003</v>
      </c>
      <c r="K1053" s="275">
        <v>63.021599999999999</v>
      </c>
      <c r="L1053" s="275">
        <v>89.891999999999996</v>
      </c>
      <c r="M1053" s="275">
        <v>70.156800000000004</v>
      </c>
      <c r="N1053" s="275">
        <v>93.744</v>
      </c>
      <c r="O1053" s="275">
        <v>72.424800000000005</v>
      </c>
      <c r="P1053" s="275">
        <v>91.634400000000014</v>
      </c>
      <c r="Q1053" s="275">
        <v>77.198400000000007</v>
      </c>
      <c r="R1053" s="275">
        <v>70.797600000000003</v>
      </c>
      <c r="S1053" s="275">
        <v>72.655199999999994</v>
      </c>
      <c r="T1053" s="275">
        <f>SUM(H1053:S1053)</f>
        <v>885.70800000000008</v>
      </c>
      <c r="U1053" s="275"/>
      <c r="V1053" s="275"/>
      <c r="W1053" s="412"/>
    </row>
    <row r="1054" spans="1:23" s="413" customFormat="1" hidden="1">
      <c r="A1054" s="229"/>
      <c r="B1054" s="229"/>
      <c r="C1054" s="237" t="s">
        <v>345</v>
      </c>
      <c r="D1054" s="62" t="s">
        <v>173</v>
      </c>
      <c r="E1054" s="229"/>
      <c r="F1054" s="229"/>
      <c r="G1054" s="229"/>
      <c r="H1054" s="480">
        <v>85.500843657552835</v>
      </c>
      <c r="I1054" s="480">
        <v>77.404700245473194</v>
      </c>
      <c r="J1054" s="480">
        <v>90.431495777994101</v>
      </c>
      <c r="K1054" s="480">
        <v>76.932623645257962</v>
      </c>
      <c r="L1054" s="480">
        <v>87.069937418686848</v>
      </c>
      <c r="M1054" s="480">
        <v>84.639976240698275</v>
      </c>
      <c r="N1054" s="480">
        <v>89.933229847974673</v>
      </c>
      <c r="O1054" s="480">
        <v>89.302679941454883</v>
      </c>
      <c r="P1054" s="480">
        <v>85.871877737105066</v>
      </c>
      <c r="Q1054" s="480">
        <v>89.811050123540625</v>
      </c>
      <c r="R1054" s="480">
        <v>87.986341073920528</v>
      </c>
      <c r="S1054" s="480">
        <v>90.677043962399424</v>
      </c>
      <c r="T1054" s="275">
        <f>SUM(H1054:S1054)</f>
        <v>1035.5617996720584</v>
      </c>
      <c r="U1054" s="275"/>
      <c r="V1054" s="275"/>
      <c r="W1054" s="412"/>
    </row>
    <row r="1055" spans="1:23" s="413" customFormat="1" hidden="1">
      <c r="A1055" s="229"/>
      <c r="B1055" s="336"/>
      <c r="C1055" s="429" t="s">
        <v>685</v>
      </c>
      <c r="D1055" s="336"/>
      <c r="E1055" s="336"/>
      <c r="F1055" s="336"/>
      <c r="G1055" s="336"/>
      <c r="H1055" s="366"/>
      <c r="I1055" s="366"/>
      <c r="J1055" s="366"/>
      <c r="K1055" s="366"/>
      <c r="L1055" s="366"/>
      <c r="M1055" s="366"/>
      <c r="N1055" s="366"/>
      <c r="O1055" s="366"/>
      <c r="P1055" s="366"/>
      <c r="Q1055" s="366"/>
      <c r="R1055" s="366"/>
      <c r="S1055" s="366"/>
      <c r="T1055" s="366"/>
      <c r="U1055" s="366"/>
      <c r="V1055" s="366"/>
      <c r="W1055" s="412"/>
    </row>
    <row r="1056" spans="1:23" s="413" customFormat="1" hidden="1">
      <c r="A1056" s="229"/>
      <c r="B1056" s="336"/>
      <c r="C1056" s="430" t="s">
        <v>138</v>
      </c>
      <c r="D1056" s="336" t="s">
        <v>374</v>
      </c>
      <c r="E1056" s="336"/>
      <c r="F1056" s="336"/>
      <c r="G1056" s="336"/>
      <c r="H1056" s="345">
        <v>2.4831814698118026E-2</v>
      </c>
      <c r="I1056" s="345">
        <v>3.2252859717279724E-2</v>
      </c>
      <c r="J1056" s="345">
        <v>2.4575185736855468E-2</v>
      </c>
      <c r="K1056" s="345">
        <v>3.0430854615961452E-2</v>
      </c>
      <c r="L1056" s="345">
        <v>3.8352005467887043E-2</v>
      </c>
      <c r="M1056" s="345">
        <v>3.0791405049213197E-2</v>
      </c>
      <c r="N1056" s="345">
        <v>3.8722069274601451E-2</v>
      </c>
      <c r="O1056" s="345">
        <v>3.0127152116227691E-2</v>
      </c>
      <c r="P1056" s="345">
        <v>3.9640840001107458E-2</v>
      </c>
      <c r="Q1056" s="345">
        <v>3.1931093588169701E-2</v>
      </c>
      <c r="R1056" s="345">
        <v>2.9890869296476812E-2</v>
      </c>
      <c r="S1056" s="345">
        <v>2.9764912936179413E-2</v>
      </c>
      <c r="T1056" s="345">
        <f>T1052/T$1048*1000</f>
        <v>3.1772384791708019E-2</v>
      </c>
      <c r="U1056" s="366"/>
      <c r="V1056" s="366"/>
      <c r="W1056" s="412"/>
    </row>
    <row r="1057" spans="1:23" s="413" customFormat="1" ht="23.25" hidden="1">
      <c r="A1057" s="229"/>
      <c r="B1057" s="336"/>
      <c r="C1057" s="364" t="s">
        <v>628</v>
      </c>
      <c r="D1057" s="336" t="s">
        <v>374</v>
      </c>
      <c r="E1057" s="336"/>
      <c r="F1057" s="336"/>
      <c r="G1057" s="336"/>
      <c r="H1057" s="345">
        <v>2.4831814698118026E-2</v>
      </c>
      <c r="I1057" s="345">
        <v>3.2252859717279724E-2</v>
      </c>
      <c r="J1057" s="345">
        <v>2.4575185736855468E-2</v>
      </c>
      <c r="K1057" s="345">
        <v>3.0430854615961452E-2</v>
      </c>
      <c r="L1057" s="345">
        <v>3.8352005467887043E-2</v>
      </c>
      <c r="M1057" s="345">
        <v>3.0791405049213197E-2</v>
      </c>
      <c r="N1057" s="345">
        <v>3.8722069274601451E-2</v>
      </c>
      <c r="O1057" s="345">
        <v>3.0127152116227691E-2</v>
      </c>
      <c r="P1057" s="345">
        <v>3.9640840001107458E-2</v>
      </c>
      <c r="Q1057" s="345">
        <v>3.1931093588169701E-2</v>
      </c>
      <c r="R1057" s="345">
        <v>2.9890869296476812E-2</v>
      </c>
      <c r="S1057" s="345">
        <v>2.9764912936179413E-2</v>
      </c>
      <c r="T1057" s="433">
        <f>T1053/T$1048*1000</f>
        <v>3.1772384791708019E-2</v>
      </c>
      <c r="U1057" s="366"/>
      <c r="V1057" s="366"/>
      <c r="W1057" s="412"/>
    </row>
    <row r="1058" spans="1:23" s="413" customFormat="1" hidden="1">
      <c r="A1058" s="229"/>
      <c r="B1058" s="336"/>
      <c r="C1058" s="364" t="s">
        <v>642</v>
      </c>
      <c r="D1058" s="336" t="s">
        <v>683</v>
      </c>
      <c r="E1058" s="336"/>
      <c r="F1058" s="336"/>
      <c r="G1058" s="336"/>
      <c r="H1058" s="345">
        <v>66.84565620066985</v>
      </c>
      <c r="I1058" s="345">
        <v>86.82263452590567</v>
      </c>
      <c r="J1058" s="345">
        <v>66.154827458419589</v>
      </c>
      <c r="K1058" s="345">
        <v>81.917913381710832</v>
      </c>
      <c r="L1058" s="345">
        <v>103.24114460740094</v>
      </c>
      <c r="M1058" s="345">
        <v>82.888492076709525</v>
      </c>
      <c r="N1058" s="345">
        <v>104.23733269500846</v>
      </c>
      <c r="O1058" s="345">
        <v>81.100365686091735</v>
      </c>
      <c r="P1058" s="345">
        <v>106.7106046994067</v>
      </c>
      <c r="Q1058" s="345">
        <v>85.956460695881916</v>
      </c>
      <c r="R1058" s="345">
        <v>80.46430745485867</v>
      </c>
      <c r="S1058" s="345">
        <v>80.125240992778231</v>
      </c>
      <c r="T1058" s="345">
        <f>T1053/T1054*100</f>
        <v>85.529226771447725</v>
      </c>
      <c r="U1058" s="275"/>
      <c r="V1058" s="275"/>
      <c r="W1058" s="412"/>
    </row>
    <row r="1059" spans="1:23" s="413" customFormat="1" hidden="1">
      <c r="A1059" s="229"/>
      <c r="B1059" s="400">
        <v>25.11</v>
      </c>
      <c r="C1059" s="435" t="s">
        <v>617</v>
      </c>
      <c r="D1059" s="229"/>
      <c r="E1059" s="229"/>
      <c r="F1059" s="229"/>
      <c r="G1059" s="229"/>
      <c r="H1059" s="275"/>
      <c r="I1059" s="275"/>
      <c r="J1059" s="275"/>
      <c r="K1059" s="275"/>
      <c r="L1059" s="275"/>
      <c r="M1059" s="275"/>
      <c r="N1059" s="275"/>
      <c r="O1059" s="275"/>
      <c r="P1059" s="275"/>
      <c r="Q1059" s="275"/>
      <c r="R1059" s="275"/>
      <c r="S1059" s="275"/>
      <c r="T1059" s="275"/>
      <c r="U1059" s="275"/>
      <c r="V1059" s="275"/>
      <c r="W1059" s="412"/>
    </row>
    <row r="1060" spans="1:23" s="413" customFormat="1" hidden="1">
      <c r="A1060" s="229"/>
      <c r="B1060" s="229"/>
      <c r="C1060" s="320" t="s">
        <v>138</v>
      </c>
      <c r="D1060" s="229" t="s">
        <v>90</v>
      </c>
      <c r="E1060" s="832">
        <v>3.6</v>
      </c>
      <c r="F1060" s="229"/>
      <c r="G1060" s="229">
        <v>2.59</v>
      </c>
      <c r="H1060" s="477">
        <v>1490</v>
      </c>
      <c r="I1060" s="275">
        <v>1752</v>
      </c>
      <c r="J1060" s="275">
        <v>1560</v>
      </c>
      <c r="K1060" s="275">
        <v>1642</v>
      </c>
      <c r="L1060" s="275">
        <v>2342</v>
      </c>
      <c r="M1060" s="275">
        <v>1828</v>
      </c>
      <c r="N1060" s="275">
        <v>2444</v>
      </c>
      <c r="O1060" s="275">
        <v>1888</v>
      </c>
      <c r="P1060" s="275">
        <v>2388</v>
      </c>
      <c r="Q1060" s="275">
        <v>2012</v>
      </c>
      <c r="R1060" s="275">
        <v>1846</v>
      </c>
      <c r="S1060" s="275">
        <v>1894</v>
      </c>
      <c r="T1060" s="275">
        <f>SUM(H1060:S1060)</f>
        <v>23086</v>
      </c>
      <c r="U1060" s="275"/>
      <c r="V1060" s="275"/>
      <c r="W1060" s="412"/>
    </row>
    <row r="1061" spans="1:23" s="413" customFormat="1" hidden="1">
      <c r="A1061" s="229"/>
      <c r="B1061" s="229"/>
      <c r="C1061" s="407"/>
      <c r="D1061" s="229"/>
      <c r="E1061" s="229"/>
      <c r="F1061" s="229"/>
      <c r="G1061" s="229"/>
      <c r="H1061" s="275"/>
      <c r="I1061" s="275"/>
      <c r="J1061" s="275"/>
      <c r="K1061" s="275"/>
      <c r="L1061" s="275"/>
      <c r="M1061" s="275"/>
      <c r="N1061" s="275"/>
      <c r="O1061" s="275"/>
      <c r="P1061" s="275"/>
      <c r="Q1061" s="275"/>
      <c r="R1061" s="275"/>
      <c r="S1061" s="275"/>
      <c r="T1061" s="275"/>
      <c r="U1061" s="275"/>
      <c r="V1061" s="275"/>
      <c r="W1061" s="412"/>
    </row>
    <row r="1062" spans="1:23" hidden="1">
      <c r="A1062" s="342"/>
      <c r="B1062" s="420"/>
      <c r="C1062" s="423" t="s">
        <v>686</v>
      </c>
      <c r="D1062" s="233" t="s">
        <v>163</v>
      </c>
      <c r="E1062" s="420"/>
      <c r="F1062" s="420"/>
      <c r="G1062" s="342"/>
      <c r="H1062" s="835">
        <v>287154</v>
      </c>
      <c r="I1062" s="421">
        <v>265832</v>
      </c>
      <c r="J1062" s="421">
        <v>446649</v>
      </c>
      <c r="K1062" s="421">
        <v>354076</v>
      </c>
      <c r="L1062" s="421">
        <v>313382</v>
      </c>
      <c r="M1062" s="421">
        <v>291749</v>
      </c>
      <c r="N1062" s="421">
        <v>353291</v>
      </c>
      <c r="O1062" s="421">
        <v>359525</v>
      </c>
      <c r="P1062" s="421">
        <v>288998</v>
      </c>
      <c r="Q1062" s="421">
        <v>298349</v>
      </c>
      <c r="R1062" s="421">
        <v>309636</v>
      </c>
      <c r="S1062" s="421">
        <v>368550</v>
      </c>
      <c r="T1062" s="236">
        <f>SUM(H1062:S1062)</f>
        <v>3937191</v>
      </c>
      <c r="U1062" s="422"/>
      <c r="V1062" s="833"/>
    </row>
    <row r="1063" spans="1:23" s="413" customFormat="1" hidden="1">
      <c r="A1063" s="229"/>
      <c r="B1063" s="229"/>
      <c r="C1063" s="407"/>
      <c r="D1063" s="229"/>
      <c r="E1063" s="229"/>
      <c r="F1063" s="229"/>
      <c r="G1063" s="229"/>
      <c r="H1063" s="275"/>
      <c r="I1063" s="275"/>
      <c r="J1063" s="275"/>
      <c r="K1063" s="275"/>
      <c r="L1063" s="275"/>
      <c r="M1063" s="275"/>
      <c r="N1063" s="275"/>
      <c r="O1063" s="275"/>
      <c r="P1063" s="275"/>
      <c r="Q1063" s="275"/>
      <c r="R1063" s="275"/>
      <c r="S1063" s="275"/>
      <c r="T1063" s="275"/>
      <c r="U1063" s="275"/>
      <c r="V1063" s="275"/>
      <c r="W1063" s="412"/>
    </row>
    <row r="1064" spans="1:23" s="413" customFormat="1" hidden="1">
      <c r="A1064" s="229"/>
      <c r="B1064" s="229"/>
      <c r="C1064" s="407"/>
      <c r="D1064" s="229"/>
      <c r="E1064" s="229"/>
      <c r="F1064" s="229"/>
      <c r="G1064" s="229"/>
      <c r="H1064" s="275"/>
      <c r="I1064" s="275"/>
      <c r="J1064" s="275"/>
      <c r="K1064" s="275"/>
      <c r="L1064" s="275"/>
      <c r="M1064" s="275"/>
      <c r="N1064" s="275"/>
      <c r="O1064" s="275"/>
      <c r="P1064" s="275"/>
      <c r="Q1064" s="275"/>
      <c r="R1064" s="275"/>
      <c r="S1064" s="275"/>
      <c r="T1064" s="275"/>
      <c r="U1064" s="275"/>
      <c r="V1064" s="275"/>
      <c r="W1064" s="412"/>
    </row>
    <row r="1065" spans="1:23" s="413" customFormat="1" hidden="1">
      <c r="A1065" s="229"/>
      <c r="B1065" s="229"/>
      <c r="C1065" s="407" t="s">
        <v>624</v>
      </c>
      <c r="D1065" s="229"/>
      <c r="E1065" s="229"/>
      <c r="F1065" s="229"/>
      <c r="G1065" s="229"/>
      <c r="H1065" s="275"/>
      <c r="I1065" s="275"/>
      <c r="J1065" s="275"/>
      <c r="K1065" s="275"/>
      <c r="L1065" s="275"/>
      <c r="M1065" s="275"/>
      <c r="N1065" s="275"/>
      <c r="O1065" s="275"/>
      <c r="P1065" s="275"/>
      <c r="Q1065" s="275"/>
      <c r="R1065" s="275"/>
      <c r="S1065" s="275"/>
      <c r="T1065" s="275"/>
      <c r="U1065" s="275"/>
      <c r="V1065" s="275"/>
      <c r="W1065" s="412"/>
    </row>
    <row r="1066" spans="1:23" s="413" customFormat="1" hidden="1">
      <c r="A1066" s="229"/>
      <c r="B1066" s="229"/>
      <c r="C1066" s="320" t="s">
        <v>138</v>
      </c>
      <c r="D1066" s="229" t="s">
        <v>173</v>
      </c>
      <c r="E1066" s="229"/>
      <c r="F1066" s="229"/>
      <c r="G1066" s="229"/>
      <c r="H1066" s="275">
        <v>5.3639999999999999</v>
      </c>
      <c r="I1066" s="275">
        <v>6.3071999999999999</v>
      </c>
      <c r="J1066" s="275">
        <v>5.6159999999999997</v>
      </c>
      <c r="K1066" s="275">
        <v>5.9112</v>
      </c>
      <c r="L1066" s="275">
        <v>8.4312000000000005</v>
      </c>
      <c r="M1066" s="275">
        <v>6.5808</v>
      </c>
      <c r="N1066" s="275">
        <v>8.7983999999999991</v>
      </c>
      <c r="O1066" s="275">
        <v>6.7968000000000002</v>
      </c>
      <c r="P1066" s="275">
        <v>8.5968000000000018</v>
      </c>
      <c r="Q1066" s="275">
        <v>7.2431999999999999</v>
      </c>
      <c r="R1066" s="275">
        <v>6.6456</v>
      </c>
      <c r="S1066" s="275">
        <v>6.8184000000000005</v>
      </c>
      <c r="T1066" s="275">
        <f>SUM(H1066:S1066)</f>
        <v>83.1096</v>
      </c>
      <c r="U1066" s="275"/>
      <c r="V1066" s="275"/>
      <c r="W1066" s="412"/>
    </row>
    <row r="1067" spans="1:23" s="413" customFormat="1" hidden="1">
      <c r="A1067" s="229"/>
      <c r="B1067" s="229"/>
      <c r="C1067" s="400" t="s">
        <v>625</v>
      </c>
      <c r="D1067" s="229" t="s">
        <v>173</v>
      </c>
      <c r="E1067" s="229"/>
      <c r="F1067" s="229"/>
      <c r="G1067" s="229"/>
      <c r="H1067" s="275">
        <v>5.3639999999999999</v>
      </c>
      <c r="I1067" s="275">
        <v>6.3071999999999999</v>
      </c>
      <c r="J1067" s="275">
        <v>5.6159999999999997</v>
      </c>
      <c r="K1067" s="275">
        <v>5.9112</v>
      </c>
      <c r="L1067" s="275">
        <v>8.4312000000000005</v>
      </c>
      <c r="M1067" s="275">
        <v>6.5808</v>
      </c>
      <c r="N1067" s="275">
        <v>8.7983999999999991</v>
      </c>
      <c r="O1067" s="275">
        <v>6.7968000000000002</v>
      </c>
      <c r="P1067" s="275">
        <v>8.5968000000000018</v>
      </c>
      <c r="Q1067" s="275">
        <v>7.2431999999999999</v>
      </c>
      <c r="R1067" s="275">
        <v>6.6456</v>
      </c>
      <c r="S1067" s="275">
        <v>6.8184000000000005</v>
      </c>
      <c r="T1067" s="275">
        <f>SUM(H1067:S1067)</f>
        <v>83.1096</v>
      </c>
      <c r="U1067" s="275"/>
      <c r="V1067" s="275"/>
      <c r="W1067" s="412"/>
    </row>
    <row r="1068" spans="1:23" s="413" customFormat="1" hidden="1">
      <c r="A1068" s="229"/>
      <c r="B1068" s="229"/>
      <c r="C1068" s="237" t="s">
        <v>345</v>
      </c>
      <c r="D1068" s="62" t="s">
        <v>173</v>
      </c>
      <c r="E1068" s="229"/>
      <c r="F1068" s="229"/>
      <c r="G1068" s="229"/>
      <c r="H1068" s="275">
        <v>6.7157937522586506</v>
      </c>
      <c r="I1068" s="275">
        <v>6.2171269937051958</v>
      </c>
      <c r="J1068" s="275">
        <v>10.445971721280477</v>
      </c>
      <c r="K1068" s="275">
        <v>8.2809272676847065</v>
      </c>
      <c r="L1068" s="275">
        <v>7.3291992368914265</v>
      </c>
      <c r="M1068" s="275">
        <v>6.8232589879566685</v>
      </c>
      <c r="N1068" s="275">
        <v>8.2625681360148615</v>
      </c>
      <c r="O1068" s="275">
        <v>8.4083653676452066</v>
      </c>
      <c r="P1068" s="275">
        <v>6.7589201711111313</v>
      </c>
      <c r="Q1068" s="275">
        <v>6.9776160185566507</v>
      </c>
      <c r="R1068" s="275">
        <v>7.2415899283114973</v>
      </c>
      <c r="S1068" s="275">
        <v>8.6194369132762425</v>
      </c>
      <c r="T1068" s="275">
        <f>SUM(H1068:S1068)</f>
        <v>92.080774494692719</v>
      </c>
      <c r="U1068" s="275"/>
      <c r="V1068" s="275"/>
      <c r="W1068" s="412"/>
    </row>
    <row r="1069" spans="1:23" s="413" customFormat="1" hidden="1">
      <c r="A1069" s="229"/>
      <c r="B1069" s="336"/>
      <c r="C1069" s="429" t="s">
        <v>687</v>
      </c>
      <c r="D1069" s="336"/>
      <c r="E1069" s="336"/>
      <c r="F1069" s="336"/>
      <c r="G1069" s="336"/>
      <c r="H1069" s="366"/>
      <c r="I1069" s="366"/>
      <c r="J1069" s="366"/>
      <c r="K1069" s="366"/>
      <c r="L1069" s="366"/>
      <c r="M1069" s="366"/>
      <c r="N1069" s="366"/>
      <c r="O1069" s="366"/>
      <c r="P1069" s="366"/>
      <c r="Q1069" s="366"/>
      <c r="R1069" s="366"/>
      <c r="S1069" s="366"/>
      <c r="T1069" s="366"/>
      <c r="U1069" s="366"/>
      <c r="V1069" s="366"/>
      <c r="W1069" s="412"/>
    </row>
    <row r="1070" spans="1:23" s="413" customFormat="1" hidden="1">
      <c r="A1070" s="229"/>
      <c r="B1070" s="336"/>
      <c r="C1070" s="430" t="s">
        <v>138</v>
      </c>
      <c r="D1070" s="336" t="s">
        <v>374</v>
      </c>
      <c r="E1070" s="336"/>
      <c r="F1070" s="336"/>
      <c r="G1070" s="336"/>
      <c r="H1070" s="345">
        <v>1.867987212436532E-2</v>
      </c>
      <c r="I1070" s="345">
        <v>2.372626320382798E-2</v>
      </c>
      <c r="J1070" s="345">
        <v>1.2573631643639636E-2</v>
      </c>
      <c r="K1070" s="345">
        <v>1.6694720907375817E-2</v>
      </c>
      <c r="L1070" s="345">
        <v>2.6903906414535616E-2</v>
      </c>
      <c r="M1070" s="345">
        <v>2.255637551456903E-2</v>
      </c>
      <c r="N1070" s="345">
        <v>2.4904115870486368E-2</v>
      </c>
      <c r="O1070" s="345">
        <v>1.8904944023364161E-2</v>
      </c>
      <c r="P1070" s="345">
        <v>2.9746918663796987E-2</v>
      </c>
      <c r="Q1070" s="345">
        <v>2.4277607768083687E-2</v>
      </c>
      <c r="R1070" s="345">
        <v>2.1462620625508664E-2</v>
      </c>
      <c r="S1070" s="345">
        <v>1.8500610500610502E-2</v>
      </c>
      <c r="T1070" s="345">
        <f>T1066/T$1062*1000</f>
        <v>2.1108856542646777E-2</v>
      </c>
      <c r="U1070" s="366"/>
      <c r="V1070" s="366"/>
      <c r="W1070" s="412"/>
    </row>
    <row r="1071" spans="1:23" s="413" customFormat="1" ht="23.25" hidden="1">
      <c r="A1071" s="229"/>
      <c r="B1071" s="336"/>
      <c r="C1071" s="364" t="s">
        <v>628</v>
      </c>
      <c r="D1071" s="336" t="s">
        <v>374</v>
      </c>
      <c r="E1071" s="336"/>
      <c r="F1071" s="336"/>
      <c r="G1071" s="336"/>
      <c r="H1071" s="345">
        <v>1.867987212436532E-2</v>
      </c>
      <c r="I1071" s="345">
        <v>2.372626320382798E-2</v>
      </c>
      <c r="J1071" s="345">
        <v>1.2573631643639636E-2</v>
      </c>
      <c r="K1071" s="345">
        <v>1.6694720907375817E-2</v>
      </c>
      <c r="L1071" s="345">
        <v>2.6903906414535616E-2</v>
      </c>
      <c r="M1071" s="345">
        <v>2.255637551456903E-2</v>
      </c>
      <c r="N1071" s="345">
        <v>2.4904115870486368E-2</v>
      </c>
      <c r="O1071" s="345">
        <v>1.8904944023364161E-2</v>
      </c>
      <c r="P1071" s="345">
        <v>2.9746918663796987E-2</v>
      </c>
      <c r="Q1071" s="345">
        <v>2.4277607768083687E-2</v>
      </c>
      <c r="R1071" s="345">
        <v>2.1462620625508664E-2</v>
      </c>
      <c r="S1071" s="345">
        <v>1.8500610500610502E-2</v>
      </c>
      <c r="T1071" s="433">
        <f>T1067/T$1062*1000</f>
        <v>2.1108856542646777E-2</v>
      </c>
      <c r="U1071" s="366"/>
      <c r="V1071" s="366"/>
      <c r="W1071" s="412"/>
    </row>
    <row r="1072" spans="1:23" s="413" customFormat="1" hidden="1">
      <c r="A1072" s="229"/>
      <c r="B1072" s="336"/>
      <c r="C1072" s="364" t="s">
        <v>642</v>
      </c>
      <c r="D1072" s="336" t="s">
        <v>683</v>
      </c>
      <c r="E1072" s="336"/>
      <c r="F1072" s="336"/>
      <c r="G1072" s="336"/>
      <c r="H1072" s="345">
        <v>79.871422468803232</v>
      </c>
      <c r="I1072" s="345">
        <v>101.44878826483684</v>
      </c>
      <c r="J1072" s="345">
        <v>53.762351170826115</v>
      </c>
      <c r="K1072" s="345">
        <v>71.383310212948331</v>
      </c>
      <c r="L1072" s="345">
        <v>115.03575939867574</v>
      </c>
      <c r="M1072" s="345">
        <v>96.446580902401351</v>
      </c>
      <c r="N1072" s="345">
        <v>106.48505228839875</v>
      </c>
      <c r="O1072" s="345">
        <v>80.833785198649949</v>
      </c>
      <c r="P1072" s="345">
        <v>127.19191501542373</v>
      </c>
      <c r="Q1072" s="345">
        <v>103.80622809763452</v>
      </c>
      <c r="R1072" s="345">
        <v>91.769902269922326</v>
      </c>
      <c r="S1072" s="345">
        <v>79.104935375741746</v>
      </c>
      <c r="T1072" s="345">
        <f>T1067/T1068*100</f>
        <v>90.257277326430625</v>
      </c>
      <c r="U1072" s="275"/>
      <c r="V1072" s="275"/>
      <c r="W1072" s="412"/>
    </row>
    <row r="1073" spans="1:23" s="413" customFormat="1" hidden="1">
      <c r="A1073" s="229"/>
      <c r="B1073" s="400"/>
      <c r="C1073" s="407"/>
      <c r="D1073" s="229"/>
      <c r="E1073" s="229"/>
      <c r="F1073" s="229"/>
      <c r="G1073" s="229"/>
      <c r="H1073" s="275"/>
      <c r="I1073" s="275"/>
      <c r="J1073" s="275"/>
      <c r="K1073" s="275"/>
      <c r="L1073" s="275"/>
      <c r="M1073" s="275"/>
      <c r="N1073" s="275"/>
      <c r="O1073" s="275"/>
      <c r="P1073" s="275"/>
      <c r="Q1073" s="275"/>
      <c r="R1073" s="275"/>
      <c r="S1073" s="275"/>
      <c r="T1073" s="275"/>
      <c r="U1073" s="275"/>
      <c r="V1073" s="275"/>
      <c r="W1073" s="412"/>
    </row>
    <row r="1074" spans="1:23" s="293" customFormat="1" hidden="1">
      <c r="A1074" s="288"/>
      <c r="B1074" s="288"/>
      <c r="C1074" s="289" t="s">
        <v>688</v>
      </c>
      <c r="D1074" s="288" t="s">
        <v>173</v>
      </c>
      <c r="E1074" s="288"/>
      <c r="F1074" s="288"/>
      <c r="G1074" s="288"/>
      <c r="H1074" s="291">
        <f>H951</f>
        <v>79236.060870000001</v>
      </c>
      <c r="I1074" s="291">
        <f t="shared" ref="I1074:S1074" si="375">I951</f>
        <v>69266.08388999998</v>
      </c>
      <c r="J1074" s="291">
        <f t="shared" si="375"/>
        <v>58589.472460000005</v>
      </c>
      <c r="K1074" s="291">
        <f t="shared" si="375"/>
        <v>27458.88911</v>
      </c>
      <c r="L1074" s="291">
        <f t="shared" si="375"/>
        <v>38754.46183</v>
      </c>
      <c r="M1074" s="291">
        <f t="shared" si="375"/>
        <v>48150.556270000001</v>
      </c>
      <c r="N1074" s="291">
        <f t="shared" si="375"/>
        <v>71156.907049999994</v>
      </c>
      <c r="O1074" s="291">
        <f t="shared" si="375"/>
        <v>44310.007050000007</v>
      </c>
      <c r="P1074" s="291">
        <f t="shared" si="375"/>
        <v>13792.334419999999</v>
      </c>
      <c r="Q1074" s="291">
        <f t="shared" si="375"/>
        <v>13497.5795</v>
      </c>
      <c r="R1074" s="291">
        <f t="shared" si="375"/>
        <v>21047.969599999997</v>
      </c>
      <c r="S1074" s="291">
        <f t="shared" si="375"/>
        <v>13909.459030000002</v>
      </c>
      <c r="T1074" s="291">
        <f t="shared" ref="T1074:T1081" si="376">SUM(H1074:S1074)</f>
        <v>499169.78108000004</v>
      </c>
      <c r="U1074" s="291">
        <f>T1074/$T$1080*100</f>
        <v>4.2850212770759315</v>
      </c>
      <c r="V1074" s="816"/>
      <c r="W1074" s="292"/>
    </row>
    <row r="1075" spans="1:23" s="293" customFormat="1" hidden="1">
      <c r="A1075" s="288"/>
      <c r="B1075" s="288"/>
      <c r="C1075" s="289" t="s">
        <v>689</v>
      </c>
      <c r="D1075" s="288" t="s">
        <v>173</v>
      </c>
      <c r="E1075" s="288"/>
      <c r="F1075" s="288"/>
      <c r="G1075" s="288"/>
      <c r="H1075" s="291">
        <f t="shared" ref="H1075:S1077" si="377">H952</f>
        <v>40247.319240000012</v>
      </c>
      <c r="I1075" s="291">
        <f t="shared" si="377"/>
        <v>36630.622320000024</v>
      </c>
      <c r="J1075" s="291">
        <f t="shared" si="377"/>
        <v>35722.165200000025</v>
      </c>
      <c r="K1075" s="291">
        <f t="shared" si="377"/>
        <v>28884.955199999953</v>
      </c>
      <c r="L1075" s="291">
        <f t="shared" si="377"/>
        <v>30744.764399999993</v>
      </c>
      <c r="M1075" s="291">
        <f t="shared" si="377"/>
        <v>32330.468640000032</v>
      </c>
      <c r="N1075" s="291">
        <f t="shared" si="377"/>
        <v>32944.342199999977</v>
      </c>
      <c r="O1075" s="291">
        <f t="shared" si="377"/>
        <v>31660.311960000021</v>
      </c>
      <c r="P1075" s="291">
        <f t="shared" si="377"/>
        <v>34953.843359999999</v>
      </c>
      <c r="Q1075" s="291">
        <f t="shared" si="377"/>
        <v>35374.117080000004</v>
      </c>
      <c r="R1075" s="291">
        <f t="shared" si="377"/>
        <v>18502.833480000012</v>
      </c>
      <c r="S1075" s="291">
        <f t="shared" si="377"/>
        <v>37515.870359999986</v>
      </c>
      <c r="T1075" s="291">
        <f t="shared" si="376"/>
        <v>395511.6134400001</v>
      </c>
      <c r="U1075" s="291">
        <f t="shared" ref="U1075:U1077" si="378">T1075/$T$1080*100</f>
        <v>3.3951888578956591</v>
      </c>
      <c r="V1075" s="816"/>
      <c r="W1075" s="292"/>
    </row>
    <row r="1076" spans="1:23" s="293" customFormat="1" hidden="1">
      <c r="A1076" s="288"/>
      <c r="B1076" s="288"/>
      <c r="C1076" s="289" t="s">
        <v>124</v>
      </c>
      <c r="D1076" s="288" t="s">
        <v>173</v>
      </c>
      <c r="E1076" s="288"/>
      <c r="F1076" s="288"/>
      <c r="G1076" s="288"/>
      <c r="H1076" s="291">
        <f>H953+H829</f>
        <v>868999.38427499996</v>
      </c>
      <c r="I1076" s="291">
        <f t="shared" ref="I1076:S1076" si="379">I953+I829</f>
        <v>799519.99641620135</v>
      </c>
      <c r="J1076" s="291">
        <f t="shared" si="379"/>
        <v>908252.61636795267</v>
      </c>
      <c r="K1076" s="291">
        <f t="shared" si="379"/>
        <v>719117.29806783341</v>
      </c>
      <c r="L1076" s="291">
        <f t="shared" si="379"/>
        <v>871069.98462579667</v>
      </c>
      <c r="M1076" s="291">
        <f t="shared" si="379"/>
        <v>860481.91962809279</v>
      </c>
      <c r="N1076" s="291">
        <f t="shared" si="379"/>
        <v>850774.39962809277</v>
      </c>
      <c r="O1076" s="291">
        <f t="shared" si="379"/>
        <v>911288.74787753168</v>
      </c>
      <c r="P1076" s="291">
        <f t="shared" si="379"/>
        <v>904827.87444445665</v>
      </c>
      <c r="Q1076" s="291">
        <f t="shared" si="379"/>
        <v>889040.88534706365</v>
      </c>
      <c r="R1076" s="291">
        <f t="shared" si="379"/>
        <v>799565.11994039651</v>
      </c>
      <c r="S1076" s="291">
        <f t="shared" si="379"/>
        <v>874052.97038612131</v>
      </c>
      <c r="T1076" s="291">
        <f t="shared" si="376"/>
        <v>10256991.19700454</v>
      </c>
      <c r="U1076" s="291">
        <f t="shared" si="378"/>
        <v>88.049051011966313</v>
      </c>
      <c r="V1076" s="816"/>
      <c r="W1076" s="292"/>
    </row>
    <row r="1077" spans="1:23" s="293" customFormat="1" hidden="1">
      <c r="A1077" s="288"/>
      <c r="B1077" s="288"/>
      <c r="C1077" s="289" t="s">
        <v>690</v>
      </c>
      <c r="D1077" s="288" t="s">
        <v>173</v>
      </c>
      <c r="E1077" s="288"/>
      <c r="F1077" s="288"/>
      <c r="G1077" s="288"/>
      <c r="H1077" s="291">
        <f t="shared" si="377"/>
        <v>48575.375999999967</v>
      </c>
      <c r="I1077" s="291">
        <f t="shared" si="377"/>
        <v>40631.328000000009</v>
      </c>
      <c r="J1077" s="291">
        <f t="shared" si="377"/>
        <v>42293.663999999982</v>
      </c>
      <c r="K1077" s="291">
        <f t="shared" si="377"/>
        <v>31544.423999999981</v>
      </c>
      <c r="L1077" s="291">
        <f t="shared" si="377"/>
        <v>39116.844000000026</v>
      </c>
      <c r="M1077" s="291">
        <f t="shared" si="377"/>
        <v>39868.091999999924</v>
      </c>
      <c r="N1077" s="291">
        <f t="shared" si="377"/>
        <v>39132.828000000045</v>
      </c>
      <c r="O1077" s="291">
        <f t="shared" si="377"/>
        <v>38968.991999999955</v>
      </c>
      <c r="P1077" s="291">
        <f t="shared" si="377"/>
        <v>41642.316000000013</v>
      </c>
      <c r="Q1077" s="291">
        <f t="shared" si="377"/>
        <v>41738.220000000074</v>
      </c>
      <c r="R1077" s="291">
        <f t="shared" si="377"/>
        <v>43212.743999999992</v>
      </c>
      <c r="S1077" s="291">
        <f t="shared" si="377"/>
        <v>50781.167999999969</v>
      </c>
      <c r="T1077" s="291">
        <f t="shared" si="376"/>
        <v>497505.99599999993</v>
      </c>
      <c r="U1077" s="291">
        <f t="shared" si="378"/>
        <v>4.2707388530620882</v>
      </c>
      <c r="V1077" s="816"/>
      <c r="W1077" s="292"/>
    </row>
    <row r="1078" spans="1:23" s="299" customFormat="1" hidden="1">
      <c r="A1078" s="281"/>
      <c r="B1078" s="281"/>
      <c r="C1078" s="294" t="s">
        <v>397</v>
      </c>
      <c r="D1078" s="281" t="s">
        <v>173</v>
      </c>
      <c r="E1078" s="281"/>
      <c r="F1078" s="281"/>
      <c r="G1078" s="281"/>
      <c r="H1078" s="296">
        <f>SUM(H1074:H1077)</f>
        <v>1037058.1403849999</v>
      </c>
      <c r="I1078" s="296">
        <f t="shared" ref="I1078:S1078" si="380">SUM(I1074:I1077)</f>
        <v>946048.0306262013</v>
      </c>
      <c r="J1078" s="296">
        <f t="shared" si="380"/>
        <v>1044857.9180279527</v>
      </c>
      <c r="K1078" s="296">
        <f t="shared" si="380"/>
        <v>807005.56637783337</v>
      </c>
      <c r="L1078" s="296">
        <f t="shared" si="380"/>
        <v>979686.05485579674</v>
      </c>
      <c r="M1078" s="296">
        <f t="shared" si="380"/>
        <v>980831.03653809277</v>
      </c>
      <c r="N1078" s="296">
        <f t="shared" si="380"/>
        <v>994008.47687809286</v>
      </c>
      <c r="O1078" s="296">
        <f t="shared" si="380"/>
        <v>1026228.0588875316</v>
      </c>
      <c r="P1078" s="296">
        <f t="shared" si="380"/>
        <v>995216.36822445667</v>
      </c>
      <c r="Q1078" s="296">
        <f t="shared" si="380"/>
        <v>979650.80192706373</v>
      </c>
      <c r="R1078" s="296">
        <f t="shared" si="380"/>
        <v>882328.66702039645</v>
      </c>
      <c r="S1078" s="296">
        <f t="shared" si="380"/>
        <v>976259.46777612122</v>
      </c>
      <c r="T1078" s="296">
        <f t="shared" si="376"/>
        <v>11649178.587524541</v>
      </c>
      <c r="U1078" s="296">
        <f>T1078/T1080*100</f>
        <v>100</v>
      </c>
      <c r="V1078" s="231"/>
      <c r="W1078" s="298"/>
    </row>
    <row r="1079" spans="1:23" s="299" customFormat="1" hidden="1">
      <c r="A1079" s="281"/>
      <c r="B1079" s="281"/>
      <c r="C1079" s="294" t="s">
        <v>93</v>
      </c>
      <c r="D1079" s="281" t="s">
        <v>173</v>
      </c>
      <c r="E1079" s="281"/>
      <c r="F1079" s="281"/>
      <c r="G1079" s="281"/>
      <c r="H1079" s="296"/>
      <c r="I1079" s="296"/>
      <c r="J1079" s="296"/>
      <c r="K1079" s="296"/>
      <c r="L1079" s="296"/>
      <c r="M1079" s="296"/>
      <c r="N1079" s="296"/>
      <c r="O1079" s="296"/>
      <c r="P1079" s="296"/>
      <c r="Q1079" s="296"/>
      <c r="R1079" s="296"/>
      <c r="S1079" s="296"/>
      <c r="T1079" s="296">
        <f t="shared" si="376"/>
        <v>0</v>
      </c>
      <c r="U1079" s="296">
        <f>T1079/T1080*100</f>
        <v>0</v>
      </c>
      <c r="V1079" s="231"/>
      <c r="W1079" s="298"/>
    </row>
    <row r="1080" spans="1:23" hidden="1">
      <c r="A1080" s="253"/>
      <c r="B1080" s="253"/>
      <c r="C1080" s="300" t="s">
        <v>398</v>
      </c>
      <c r="D1080" s="253" t="s">
        <v>173</v>
      </c>
      <c r="E1080" s="253"/>
      <c r="F1080" s="253"/>
      <c r="G1080" s="253"/>
      <c r="H1080" s="302">
        <f>H1078</f>
        <v>1037058.1403849999</v>
      </c>
      <c r="I1080" s="302">
        <f t="shared" ref="I1080:S1080" si="381">I1078</f>
        <v>946048.0306262013</v>
      </c>
      <c r="J1080" s="302">
        <f t="shared" si="381"/>
        <v>1044857.9180279527</v>
      </c>
      <c r="K1080" s="302">
        <f t="shared" si="381"/>
        <v>807005.56637783337</v>
      </c>
      <c r="L1080" s="302">
        <f t="shared" si="381"/>
        <v>979686.05485579674</v>
      </c>
      <c r="M1080" s="302">
        <f t="shared" si="381"/>
        <v>980831.03653809277</v>
      </c>
      <c r="N1080" s="302">
        <f t="shared" si="381"/>
        <v>994008.47687809286</v>
      </c>
      <c r="O1080" s="302">
        <f t="shared" si="381"/>
        <v>1026228.0588875316</v>
      </c>
      <c r="P1080" s="302">
        <f t="shared" si="381"/>
        <v>995216.36822445667</v>
      </c>
      <c r="Q1080" s="302">
        <f t="shared" si="381"/>
        <v>979650.80192706373</v>
      </c>
      <c r="R1080" s="302">
        <f t="shared" si="381"/>
        <v>882328.66702039645</v>
      </c>
      <c r="S1080" s="302">
        <f t="shared" si="381"/>
        <v>976259.46777612122</v>
      </c>
      <c r="T1080" s="302">
        <f t="shared" si="376"/>
        <v>11649178.587524541</v>
      </c>
      <c r="U1080" s="353"/>
      <c r="V1080" s="257"/>
    </row>
    <row r="1081" spans="1:23" hidden="1">
      <c r="A1081" s="253"/>
      <c r="B1081" s="253"/>
      <c r="C1081" s="300" t="s">
        <v>461</v>
      </c>
      <c r="D1081" s="253" t="s">
        <v>173</v>
      </c>
      <c r="E1081" s="253"/>
      <c r="F1081" s="253"/>
      <c r="G1081" s="253"/>
      <c r="H1081" s="302"/>
      <c r="I1081" s="302"/>
      <c r="J1081" s="302"/>
      <c r="K1081" s="302"/>
      <c r="L1081" s="302"/>
      <c r="M1081" s="302"/>
      <c r="N1081" s="302"/>
      <c r="O1081" s="302"/>
      <c r="P1081" s="302"/>
      <c r="Q1081" s="302"/>
      <c r="R1081" s="302"/>
      <c r="S1081" s="302"/>
      <c r="T1081" s="302">
        <f t="shared" si="376"/>
        <v>0</v>
      </c>
      <c r="U1081" s="353"/>
      <c r="V1081" s="257"/>
    </row>
    <row r="1082" spans="1:23" hidden="1">
      <c r="A1082" s="253"/>
      <c r="B1082" s="253"/>
      <c r="C1082" s="300" t="s">
        <v>691</v>
      </c>
      <c r="D1082" s="253" t="s">
        <v>401</v>
      </c>
      <c r="E1082" s="253"/>
      <c r="F1082" s="253"/>
      <c r="G1082" s="253"/>
      <c r="H1082" s="302" t="e">
        <f>H1080/H1081*100</f>
        <v>#DIV/0!</v>
      </c>
      <c r="I1082" s="302" t="e">
        <f t="shared" ref="I1082:Q1082" si="382">I1080/I1081*100</f>
        <v>#DIV/0!</v>
      </c>
      <c r="J1082" s="302" t="e">
        <f t="shared" si="382"/>
        <v>#DIV/0!</v>
      </c>
      <c r="K1082" s="302" t="e">
        <f t="shared" si="382"/>
        <v>#DIV/0!</v>
      </c>
      <c r="L1082" s="302" t="e">
        <f t="shared" si="382"/>
        <v>#DIV/0!</v>
      </c>
      <c r="M1082" s="302" t="e">
        <f t="shared" si="382"/>
        <v>#DIV/0!</v>
      </c>
      <c r="N1082" s="302" t="e">
        <f t="shared" si="382"/>
        <v>#DIV/0!</v>
      </c>
      <c r="O1082" s="302" t="e">
        <f t="shared" si="382"/>
        <v>#DIV/0!</v>
      </c>
      <c r="P1082" s="302" t="e">
        <f t="shared" si="382"/>
        <v>#DIV/0!</v>
      </c>
      <c r="Q1082" s="302" t="e">
        <f t="shared" si="382"/>
        <v>#DIV/0!</v>
      </c>
      <c r="R1082" s="353"/>
      <c r="S1082" s="353"/>
      <c r="T1082" s="302" t="e">
        <f t="shared" ref="T1082" si="383">T1080/T1081*100</f>
        <v>#DIV/0!</v>
      </c>
      <c r="U1082" s="353"/>
      <c r="V1082" s="257"/>
    </row>
    <row r="1083" spans="1:23" s="413" customFormat="1" hidden="1">
      <c r="A1083" s="229"/>
      <c r="B1083" s="336"/>
      <c r="C1083" s="429"/>
      <c r="D1083" s="336"/>
      <c r="E1083" s="336"/>
      <c r="F1083" s="336"/>
      <c r="G1083" s="336"/>
      <c r="H1083" s="366"/>
      <c r="I1083" s="366"/>
      <c r="J1083" s="366"/>
      <c r="K1083" s="366"/>
      <c r="L1083" s="366"/>
      <c r="M1083" s="366"/>
      <c r="N1083" s="366"/>
      <c r="O1083" s="366"/>
      <c r="P1083" s="366"/>
      <c r="Q1083" s="366"/>
      <c r="R1083" s="366"/>
      <c r="S1083" s="366"/>
      <c r="T1083" s="366"/>
      <c r="U1083" s="366"/>
      <c r="V1083" s="366"/>
      <c r="W1083" s="412"/>
    </row>
    <row r="1084" spans="1:23" s="413" customFormat="1" hidden="1">
      <c r="A1084" s="229"/>
      <c r="B1084" s="336"/>
      <c r="C1084" s="444" t="s">
        <v>692</v>
      </c>
      <c r="D1084" s="336"/>
      <c r="E1084" s="336"/>
      <c r="F1084" s="336"/>
      <c r="G1084" s="336"/>
      <c r="H1084" s="345"/>
      <c r="I1084" s="345"/>
      <c r="J1084" s="345"/>
      <c r="K1084" s="345"/>
      <c r="L1084" s="345"/>
      <c r="M1084" s="345"/>
      <c r="N1084" s="345"/>
      <c r="O1084" s="345"/>
      <c r="P1084" s="345"/>
      <c r="Q1084" s="345"/>
      <c r="R1084" s="345"/>
      <c r="S1084" s="345"/>
      <c r="T1084" s="345"/>
      <c r="U1084" s="366"/>
      <c r="V1084" s="366"/>
      <c r="W1084" s="412"/>
    </row>
    <row r="1085" spans="1:23" s="413" customFormat="1" hidden="1">
      <c r="A1085" s="229"/>
      <c r="B1085" s="336"/>
      <c r="C1085" s="364" t="s">
        <v>97</v>
      </c>
      <c r="D1085" s="336" t="s">
        <v>121</v>
      </c>
      <c r="E1085" s="336"/>
      <c r="F1085" s="336"/>
      <c r="G1085" s="336"/>
      <c r="H1085" s="345">
        <v>48337.341905999994</v>
      </c>
      <c r="I1085" s="345">
        <v>43208.956199999993</v>
      </c>
      <c r="J1085" s="345">
        <v>48294.006579999994</v>
      </c>
      <c r="K1085" s="345">
        <v>34898.830849999998</v>
      </c>
      <c r="L1085" s="345">
        <v>45701.529500000004</v>
      </c>
      <c r="M1085" s="345">
        <v>44908.88392</v>
      </c>
      <c r="N1085" s="345">
        <v>45369.625390000001</v>
      </c>
      <c r="O1085" s="345">
        <v>46734.752119999997</v>
      </c>
      <c r="P1085" s="345">
        <v>45252.169560000002</v>
      </c>
      <c r="Q1085" s="345">
        <v>45951.593339999999</v>
      </c>
      <c r="R1085" s="345">
        <v>46251.837010000003</v>
      </c>
      <c r="S1085" s="345">
        <v>48100.523610000004</v>
      </c>
      <c r="T1085" s="345">
        <f>SUM(H1085:S1085)</f>
        <v>543010.04998600006</v>
      </c>
      <c r="U1085" s="366"/>
      <c r="V1085" s="366"/>
      <c r="W1085" s="412"/>
    </row>
    <row r="1086" spans="1:23" s="413" customFormat="1" hidden="1">
      <c r="A1086" s="229"/>
      <c r="B1086" s="336"/>
      <c r="C1086" s="364" t="s">
        <v>398</v>
      </c>
      <c r="D1086" s="336" t="s">
        <v>173</v>
      </c>
      <c r="E1086" s="336"/>
      <c r="F1086" s="336"/>
      <c r="G1086" s="336"/>
      <c r="H1086" s="366">
        <f>902682597.999297/1000</f>
        <v>902682.59799929697</v>
      </c>
      <c r="I1086" s="366">
        <f>846418416.365204/1000</f>
        <v>846418.41636520403</v>
      </c>
      <c r="J1086" s="366">
        <f>908064213.923702/1000</f>
        <v>908064.21392370202</v>
      </c>
      <c r="K1086" s="366">
        <f>758476642.690392/1000</f>
        <v>758476.64269039198</v>
      </c>
      <c r="L1086" s="366">
        <f>837068635.175575/1000</f>
        <v>837068.63517557504</v>
      </c>
      <c r="M1086" s="366">
        <f>869337672.734282/1000</f>
        <v>869337.67273428198</v>
      </c>
      <c r="N1086" s="366">
        <f>897638788.018149/1000</f>
        <v>897638.78801814897</v>
      </c>
      <c r="O1086" s="366">
        <f>896734589.957118/1000</f>
        <v>896734.58995711803</v>
      </c>
      <c r="P1086" s="366">
        <f>886329150.335651/1000</f>
        <v>886329.15033565101</v>
      </c>
      <c r="Q1086" s="366">
        <f>870272372.110612/1000</f>
        <v>870272.37211061199</v>
      </c>
      <c r="R1086" s="366">
        <f>(788545247.981465/1000)+(40*24*30*3.406)</f>
        <v>886638.047981465</v>
      </c>
      <c r="S1086" s="345">
        <f>859544926.046404/1000</f>
        <v>859544.92604640406</v>
      </c>
      <c r="T1086" s="345">
        <f>SUM(H1086:S1086)</f>
        <v>10419206.053337853</v>
      </c>
      <c r="U1086" s="366"/>
      <c r="V1086" s="366"/>
      <c r="W1086" s="412"/>
    </row>
    <row r="1087" spans="1:23" s="413" customFormat="1" hidden="1">
      <c r="A1087" s="229"/>
      <c r="B1087" s="336"/>
      <c r="C1087" s="364" t="s">
        <v>492</v>
      </c>
      <c r="D1087" s="336" t="s">
        <v>173</v>
      </c>
      <c r="E1087" s="336" t="s">
        <v>693</v>
      </c>
      <c r="F1087" s="336">
        <v>19690.726445539498</v>
      </c>
      <c r="G1087" s="336"/>
      <c r="H1087" s="366">
        <f>H1085*$F1087/1000</f>
        <v>951797.37657555868</v>
      </c>
      <c r="I1087" s="366">
        <f>I1085*$F1087/1000</f>
        <v>850815.73653149768</v>
      </c>
      <c r="J1087" s="366">
        <f>J1085*$F1087/1000</f>
        <v>950944.07252586435</v>
      </c>
      <c r="K1087" s="366">
        <f>687183331.536505/1000</f>
        <v>687183.33153650502</v>
      </c>
      <c r="L1087" s="366">
        <f>899896315.527254/1000</f>
        <v>899896.31552725402</v>
      </c>
      <c r="M1087" s="366">
        <f>884288548.243208/1000</f>
        <v>884288.54824320809</v>
      </c>
      <c r="N1087" s="366">
        <f>893360882.491093/1000</f>
        <v>893360.88249109301</v>
      </c>
      <c r="O1087" s="366">
        <f>920241219.495017/1000</f>
        <v>920241.21949501708</v>
      </c>
      <c r="P1087" s="366">
        <f>891048091.873129/1000</f>
        <v>891048.09187312901</v>
      </c>
      <c r="Q1087" s="366">
        <f>904820254.194615/1000</f>
        <v>904820.25419461506</v>
      </c>
      <c r="R1087" s="366">
        <f>910732270.16759/1000</f>
        <v>910732.27016759</v>
      </c>
      <c r="S1087" s="345">
        <f>947134252.291724/1000</f>
        <v>947134.25229172397</v>
      </c>
      <c r="T1087" s="345">
        <f>SUM(H1087:S1087)</f>
        <v>10692262.351453055</v>
      </c>
      <c r="U1087" s="366"/>
      <c r="V1087" s="366"/>
      <c r="W1087" s="412"/>
    </row>
    <row r="1088" spans="1:23" s="413" customFormat="1" hidden="1">
      <c r="A1088" s="229"/>
      <c r="B1088" s="336"/>
      <c r="C1088" s="364" t="s">
        <v>497</v>
      </c>
      <c r="D1088" s="336"/>
      <c r="E1088" s="336"/>
      <c r="F1088" s="336"/>
      <c r="G1088" s="336"/>
      <c r="H1088" s="345">
        <f>H1086/H1087*100</f>
        <v>94.83978630483621</v>
      </c>
      <c r="I1088" s="345">
        <f t="shared" ref="I1088:S1088" si="384">I1086/I1087*100</f>
        <v>99.483164217881054</v>
      </c>
      <c r="J1088" s="345">
        <f t="shared" si="384"/>
        <v>95.490811726890897</v>
      </c>
      <c r="K1088" s="345">
        <f t="shared" si="384"/>
        <v>110.37471485149079</v>
      </c>
      <c r="L1088" s="345">
        <f t="shared" si="384"/>
        <v>93.018342305928002</v>
      </c>
      <c r="M1088" s="345">
        <f t="shared" si="384"/>
        <v>98.309276362491786</v>
      </c>
      <c r="N1088" s="345">
        <f t="shared" si="384"/>
        <v>100.47885525445521</v>
      </c>
      <c r="O1088" s="345">
        <f t="shared" si="384"/>
        <v>97.445601322792484</v>
      </c>
      <c r="P1088" s="345">
        <f t="shared" si="384"/>
        <v>99.470405516770938</v>
      </c>
      <c r="Q1088" s="345">
        <f t="shared" si="384"/>
        <v>96.181796116538706</v>
      </c>
      <c r="R1088" s="345">
        <f t="shared" si="384"/>
        <v>97.35441216092066</v>
      </c>
      <c r="S1088" s="345">
        <f t="shared" si="384"/>
        <v>90.752174147077326</v>
      </c>
      <c r="T1088" s="345">
        <f>T1086/T1087*100</f>
        <v>97.446225231481591</v>
      </c>
      <c r="U1088" s="275"/>
      <c r="V1088" s="275"/>
      <c r="W1088" s="412"/>
    </row>
    <row r="1089" spans="1:23" s="413" customFormat="1" hidden="1">
      <c r="A1089" s="229"/>
      <c r="B1089" s="400"/>
      <c r="C1089" s="407"/>
      <c r="D1089" s="229"/>
      <c r="E1089" s="229"/>
      <c r="F1089" s="229"/>
      <c r="G1089" s="229"/>
      <c r="H1089" s="275"/>
      <c r="I1089" s="275"/>
      <c r="J1089" s="275"/>
      <c r="K1089" s="275"/>
      <c r="L1089" s="275"/>
      <c r="M1089" s="275"/>
      <c r="N1089" s="275"/>
      <c r="O1089" s="275"/>
      <c r="P1089" s="275"/>
      <c r="Q1089" s="275"/>
      <c r="R1089" s="275"/>
      <c r="S1089" s="275"/>
      <c r="T1089" s="275"/>
      <c r="U1089" s="275"/>
      <c r="V1089" s="275"/>
      <c r="W1089" s="412"/>
    </row>
    <row r="1090" spans="1:23" s="413" customFormat="1" hidden="1">
      <c r="A1090" s="229"/>
      <c r="B1090" s="336"/>
      <c r="C1090" s="444" t="s">
        <v>326</v>
      </c>
      <c r="D1090" s="336"/>
      <c r="E1090" s="336"/>
      <c r="F1090" s="336"/>
      <c r="G1090" s="336"/>
      <c r="H1090" s="345"/>
      <c r="I1090" s="345"/>
      <c r="J1090" s="345"/>
      <c r="K1090" s="345"/>
      <c r="L1090" s="345"/>
      <c r="M1090" s="345"/>
      <c r="N1090" s="345"/>
      <c r="O1090" s="345"/>
      <c r="P1090" s="345"/>
      <c r="Q1090" s="345"/>
      <c r="R1090" s="345"/>
      <c r="S1090" s="345"/>
      <c r="T1090" s="345"/>
      <c r="U1090" s="366"/>
      <c r="V1090" s="366"/>
      <c r="W1090" s="412"/>
    </row>
    <row r="1091" spans="1:23" s="413" customFormat="1" hidden="1">
      <c r="A1091" s="229"/>
      <c r="B1091" s="336"/>
      <c r="C1091" s="364" t="s">
        <v>97</v>
      </c>
      <c r="D1091" s="336" t="s">
        <v>121</v>
      </c>
      <c r="E1091" s="336"/>
      <c r="F1091" s="336"/>
      <c r="G1091" s="336"/>
      <c r="H1091" s="345">
        <v>12441.674170999997</v>
      </c>
      <c r="I1091" s="345">
        <v>10520.323495000001</v>
      </c>
      <c r="J1091" s="345">
        <v>11378.007096000001</v>
      </c>
      <c r="K1091" s="345">
        <v>8596.0059539999984</v>
      </c>
      <c r="L1091" s="345">
        <v>11648.548344000003</v>
      </c>
      <c r="M1091" s="345">
        <v>10028.637706</v>
      </c>
      <c r="N1091" s="345">
        <v>10052.232641999999</v>
      </c>
      <c r="O1091" s="345">
        <v>11654.102109000001</v>
      </c>
      <c r="P1091" s="345">
        <v>12965.597369000001</v>
      </c>
      <c r="Q1091" s="345">
        <v>13627.367233000001</v>
      </c>
      <c r="R1091" s="345">
        <v>13164.209653</v>
      </c>
      <c r="S1091" s="345">
        <v>14556.478437000002</v>
      </c>
      <c r="T1091" s="345">
        <f>SUM(H1091:S1091)</f>
        <v>140633.184209</v>
      </c>
      <c r="U1091" s="366"/>
      <c r="V1091" s="366"/>
      <c r="W1091" s="412"/>
    </row>
    <row r="1092" spans="1:23" s="413" customFormat="1" hidden="1">
      <c r="A1092" s="229"/>
      <c r="B1092" s="336"/>
      <c r="C1092" s="364" t="s">
        <v>398</v>
      </c>
      <c r="D1092" s="336" t="s">
        <v>173</v>
      </c>
      <c r="E1092" s="336"/>
      <c r="F1092" s="336"/>
      <c r="G1092" s="336"/>
      <c r="H1092" s="366">
        <f>43895348.6/1000</f>
        <v>43895.348600000005</v>
      </c>
      <c r="I1092" s="366">
        <f>37831768.16/1000</f>
        <v>37831.76816</v>
      </c>
      <c r="J1092" s="366">
        <f>44406248.76/1000</f>
        <v>44406.248759999995</v>
      </c>
      <c r="K1092" s="366">
        <f>36616271.6/1000</f>
        <v>36616.2716</v>
      </c>
      <c r="L1092" s="366">
        <f>39461670.26/1000</f>
        <v>39461.670259999999</v>
      </c>
      <c r="M1092" s="366">
        <f>34397788.76/1000</f>
        <v>34397.788759999996</v>
      </c>
      <c r="N1092" s="366">
        <f>35288148.72/1000</f>
        <v>35288.148719999997</v>
      </c>
      <c r="O1092" s="366">
        <f>36252459.2/1000</f>
        <v>36252.459200000005</v>
      </c>
      <c r="P1092" s="366">
        <f>39012887.16/1000</f>
        <v>39012.887159999998</v>
      </c>
      <c r="Q1092" s="366">
        <f>37681605.64/1000</f>
        <v>37681.605640000002</v>
      </c>
      <c r="R1092" s="366">
        <f>37757108.88/1000</f>
        <v>37757.10888</v>
      </c>
      <c r="S1092" s="345">
        <f>38031969.64/1000</f>
        <v>38031.969640000003</v>
      </c>
      <c r="T1092" s="345">
        <f>SUM(H1092:S1092)</f>
        <v>460633.27538000001</v>
      </c>
      <c r="U1092" s="366"/>
      <c r="V1092" s="366"/>
      <c r="W1092" s="412"/>
    </row>
    <row r="1093" spans="1:23" s="413" customFormat="1" hidden="1">
      <c r="A1093" s="229"/>
      <c r="B1093" s="336"/>
      <c r="C1093" s="364" t="s">
        <v>492</v>
      </c>
      <c r="D1093" s="336" t="s">
        <v>173</v>
      </c>
      <c r="E1093" s="336" t="s">
        <v>693</v>
      </c>
      <c r="F1093" s="336">
        <v>3937.0583494836906</v>
      </c>
      <c r="G1093" s="336"/>
      <c r="H1093" s="366">
        <f>H1091*$F1093/1000</f>
        <v>48983.597176491108</v>
      </c>
      <c r="I1093" s="366">
        <f>I1091*$F1093/1000</f>
        <v>41419.127455259193</v>
      </c>
      <c r="J1093" s="366">
        <f>J1091*$F1093/1000</f>
        <v>44795.877837791479</v>
      </c>
      <c r="K1093" s="366">
        <f>33842977.0134072/1000</f>
        <v>33842.977013407202</v>
      </c>
      <c r="L1093" s="366">
        <f>45861014.5171096/1000</f>
        <v>45861.014517109601</v>
      </c>
      <c r="M1093" s="366">
        <f>39483331.8143543/1000</f>
        <v>39483.3318143543</v>
      </c>
      <c r="N1093" s="366">
        <f>39576226.4541386/1000</f>
        <v>39576.226454138596</v>
      </c>
      <c r="O1093" s="366">
        <f>45882880.0139739/1000</f>
        <v>45882.880013973896</v>
      </c>
      <c r="P1093" s="366">
        <f>51046313.3776652/1000</f>
        <v>51046.313377665196</v>
      </c>
      <c r="Q1093" s="366">
        <f>53651739.9461631/1000</f>
        <v>53651.739946163099</v>
      </c>
      <c r="R1093" s="366">
        <f>51828261.5286974/1000</f>
        <v>51828.261528697403</v>
      </c>
      <c r="S1093" s="345">
        <f>57309704.9694702/1000</f>
        <v>57309.7049694702</v>
      </c>
      <c r="T1093" s="345">
        <f>SUM(H1093:S1093)</f>
        <v>553681.05210452119</v>
      </c>
      <c r="U1093" s="366"/>
      <c r="V1093" s="366"/>
      <c r="W1093" s="412"/>
    </row>
    <row r="1094" spans="1:23" s="413" customFormat="1" hidden="1">
      <c r="A1094" s="229"/>
      <c r="B1094" s="336"/>
      <c r="C1094" s="364" t="s">
        <v>497</v>
      </c>
      <c r="D1094" s="336"/>
      <c r="E1094" s="336"/>
      <c r="F1094" s="336"/>
      <c r="G1094" s="336"/>
      <c r="H1094" s="345">
        <f>H1092/H1093*100</f>
        <v>89.612341947534375</v>
      </c>
      <c r="I1094" s="345">
        <f t="shared" ref="I1094:S1094" si="385">I1092/I1093*100</f>
        <v>91.338882502693352</v>
      </c>
      <c r="J1094" s="345">
        <f t="shared" si="385"/>
        <v>99.13021220568028</v>
      </c>
      <c r="K1094" s="345">
        <f t="shared" si="385"/>
        <v>108.19459406746084</v>
      </c>
      <c r="L1094" s="345">
        <f t="shared" si="385"/>
        <v>86.046221775747753</v>
      </c>
      <c r="M1094" s="345">
        <f t="shared" si="385"/>
        <v>87.119772266773495</v>
      </c>
      <c r="N1094" s="345">
        <f t="shared" si="385"/>
        <v>89.165016176800805</v>
      </c>
      <c r="O1094" s="345">
        <f t="shared" si="385"/>
        <v>79.010862415260576</v>
      </c>
      <c r="P1094" s="345">
        <f t="shared" si="385"/>
        <v>76.426453897588814</v>
      </c>
      <c r="Q1094" s="345">
        <f t="shared" si="385"/>
        <v>70.233706638054343</v>
      </c>
      <c r="R1094" s="345">
        <f t="shared" si="385"/>
        <v>72.850425166381129</v>
      </c>
      <c r="S1094" s="345">
        <f t="shared" si="385"/>
        <v>66.362180123349518</v>
      </c>
      <c r="T1094" s="345">
        <f>T1092/T1093*100</f>
        <v>83.194697313399118</v>
      </c>
      <c r="U1094" s="275"/>
      <c r="V1094" s="275"/>
      <c r="W1094" s="412"/>
    </row>
    <row r="1095" spans="1:23" s="413" customFormat="1" hidden="1">
      <c r="A1095" s="229"/>
      <c r="B1095" s="229"/>
      <c r="C1095" s="407"/>
      <c r="D1095" s="229"/>
      <c r="E1095" s="229"/>
      <c r="F1095" s="229"/>
      <c r="G1095" s="229"/>
      <c r="H1095" s="275"/>
      <c r="I1095" s="275"/>
      <c r="J1095" s="275"/>
      <c r="K1095" s="275"/>
      <c r="L1095" s="275"/>
      <c r="M1095" s="275"/>
      <c r="N1095" s="275"/>
      <c r="O1095" s="275"/>
      <c r="P1095" s="275"/>
      <c r="Q1095" s="275"/>
      <c r="R1095" s="275"/>
      <c r="S1095" s="275"/>
      <c r="T1095" s="275"/>
      <c r="U1095" s="275"/>
      <c r="V1095" s="275"/>
      <c r="W1095" s="412"/>
    </row>
    <row r="1096" spans="1:23" s="413" customFormat="1" hidden="1">
      <c r="A1096" s="229"/>
      <c r="B1096" s="336"/>
      <c r="C1096" s="444" t="s">
        <v>329</v>
      </c>
      <c r="D1096" s="336"/>
      <c r="E1096" s="336"/>
      <c r="F1096" s="336"/>
      <c r="G1096" s="336"/>
      <c r="H1096" s="345"/>
      <c r="I1096" s="345"/>
      <c r="J1096" s="345"/>
      <c r="K1096" s="345"/>
      <c r="L1096" s="345"/>
      <c r="M1096" s="345"/>
      <c r="N1096" s="345"/>
      <c r="O1096" s="345"/>
      <c r="P1096" s="345"/>
      <c r="Q1096" s="345"/>
      <c r="R1096" s="345"/>
      <c r="S1096" s="345"/>
      <c r="T1096" s="345"/>
      <c r="U1096" s="366"/>
      <c r="V1096" s="366"/>
      <c r="W1096" s="412"/>
    </row>
    <row r="1097" spans="1:23" s="413" customFormat="1" hidden="1">
      <c r="A1097" s="229"/>
      <c r="B1097" s="336"/>
      <c r="C1097" s="364" t="s">
        <v>97</v>
      </c>
      <c r="D1097" s="336" t="s">
        <v>121</v>
      </c>
      <c r="E1097" s="336"/>
      <c r="F1097" s="336"/>
      <c r="G1097" s="336"/>
      <c r="H1097" s="345">
        <v>4201.3600000000006</v>
      </c>
      <c r="I1097" s="345">
        <v>4005.3420000000006</v>
      </c>
      <c r="J1097" s="345">
        <v>4318.0610000000006</v>
      </c>
      <c r="K1097" s="345">
        <v>2455.3200000000002</v>
      </c>
      <c r="L1097" s="345">
        <v>4368.8149999999996</v>
      </c>
      <c r="M1097" s="345">
        <v>4039.3100000000009</v>
      </c>
      <c r="N1097" s="345">
        <v>4211.0700000000006</v>
      </c>
      <c r="O1097" s="345">
        <v>4205.1080000000002</v>
      </c>
      <c r="P1097" s="345">
        <v>4350.1319999999996</v>
      </c>
      <c r="Q1097" s="345">
        <v>4365.74</v>
      </c>
      <c r="R1097" s="345">
        <v>4020.58</v>
      </c>
      <c r="S1097" s="345">
        <v>4223.3639999999996</v>
      </c>
      <c r="T1097" s="345">
        <f>SUM(H1097:S1097)</f>
        <v>48764.202000000005</v>
      </c>
      <c r="U1097" s="366"/>
      <c r="V1097" s="366"/>
      <c r="W1097" s="412"/>
    </row>
    <row r="1098" spans="1:23" s="413" customFormat="1" hidden="1">
      <c r="A1098" s="229"/>
      <c r="B1098" s="336"/>
      <c r="C1098" s="364" t="s">
        <v>398</v>
      </c>
      <c r="D1098" s="336" t="s">
        <v>173</v>
      </c>
      <c r="E1098" s="336"/>
      <c r="F1098" s="336"/>
      <c r="G1098" s="336"/>
      <c r="H1098" s="366">
        <f>30041626/1000</f>
        <v>30041.626</v>
      </c>
      <c r="I1098" s="366">
        <f>28207608.8/1000</f>
        <v>28207.608800000002</v>
      </c>
      <c r="J1098" s="366">
        <f>31611092.8/1000</f>
        <v>31611.092800000002</v>
      </c>
      <c r="K1098" s="366">
        <f>25537679.6/1000</f>
        <v>25537.679600000003</v>
      </c>
      <c r="L1098" s="366">
        <f>35277098.4/1000</f>
        <v>35277.098399999995</v>
      </c>
      <c r="M1098" s="366">
        <f>29600270.8/1000</f>
        <v>29600.270800000002</v>
      </c>
      <c r="N1098" s="366">
        <f>29400201.6/1000</f>
        <v>29400.2016</v>
      </c>
      <c r="O1098" s="366">
        <f>30029150.8/1000</f>
        <v>30029.150799999999</v>
      </c>
      <c r="P1098" s="366">
        <f>30981845.2/1000</f>
        <v>30981.8452</v>
      </c>
      <c r="Q1098" s="366">
        <f>32033076.4/1000</f>
        <v>32033.076399999998</v>
      </c>
      <c r="R1098" s="366">
        <f>28386744.8/1000</f>
        <v>28386.7448</v>
      </c>
      <c r="S1098" s="345">
        <f>29169088/1000</f>
        <v>29169.088</v>
      </c>
      <c r="T1098" s="345">
        <f>SUM(H1098:S1098)</f>
        <v>360275.48320000002</v>
      </c>
      <c r="U1098" s="366"/>
      <c r="V1098" s="366"/>
      <c r="W1098" s="412"/>
    </row>
    <row r="1099" spans="1:23" s="413" customFormat="1" hidden="1">
      <c r="A1099" s="229"/>
      <c r="B1099" s="336"/>
      <c r="C1099" s="364" t="s">
        <v>492</v>
      </c>
      <c r="D1099" s="336" t="s">
        <v>173</v>
      </c>
      <c r="E1099" s="336" t="s">
        <v>693</v>
      </c>
      <c r="F1099" s="336">
        <v>7751.7189314169173</v>
      </c>
      <c r="G1099" s="336"/>
      <c r="H1099" s="366">
        <f>H1097*$F1099/1000</f>
        <v>32567.761849697785</v>
      </c>
      <c r="I1099" s="366">
        <f>I1097*$F1099/1000</f>
        <v>31048.285408199303</v>
      </c>
      <c r="J1099" s="366">
        <f>J1097*$F1099/1000</f>
        <v>33472.395200713065</v>
      </c>
      <c r="K1099" s="366">
        <f>19032950.5266866/1000</f>
        <v>19032.9505266866</v>
      </c>
      <c r="L1099" s="366">
        <f>33865825.9433582/1000</f>
        <v>33865.825943358199</v>
      </c>
      <c r="M1099" s="366">
        <f>31311595.7968617/1000</f>
        <v>31311.5957968617</v>
      </c>
      <c r="N1099" s="366">
        <f>32643031.0405218/1000</f>
        <v>32643.031040521801</v>
      </c>
      <c r="O1099" s="366">
        <f>32596815.2922527/1000</f>
        <v>32596.815292252701</v>
      </c>
      <c r="P1099" s="366">
        <f>33721000.5785625/1000</f>
        <v>33721.000578562496</v>
      </c>
      <c r="Q1099" s="366">
        <f>33841989.4076441/1000</f>
        <v>33841.989407644098</v>
      </c>
      <c r="R1099" s="366">
        <f>31166406.1012762/1000</f>
        <v>31166.406101276199</v>
      </c>
      <c r="S1099" s="345">
        <f>32738330.6730647/1000</f>
        <v>32738.330673064702</v>
      </c>
      <c r="T1099" s="345">
        <f>SUM(H1099:S1099)</f>
        <v>378006.38781883864</v>
      </c>
      <c r="U1099" s="366"/>
      <c r="V1099" s="366"/>
      <c r="W1099" s="412"/>
    </row>
    <row r="1100" spans="1:23" s="413" customFormat="1" hidden="1">
      <c r="A1100" s="229"/>
      <c r="B1100" s="336"/>
      <c r="C1100" s="364" t="s">
        <v>497</v>
      </c>
      <c r="D1100" s="336"/>
      <c r="E1100" s="336"/>
      <c r="F1100" s="336"/>
      <c r="G1100" s="336"/>
      <c r="H1100" s="345">
        <f>H1098/H1099*100</f>
        <v>92.243446567326131</v>
      </c>
      <c r="I1100" s="345">
        <f t="shared" ref="I1100:S1100" si="386">I1098/I1099*100</f>
        <v>90.850777842150578</v>
      </c>
      <c r="J1100" s="345">
        <f t="shared" si="386"/>
        <v>94.439291274042404</v>
      </c>
      <c r="K1100" s="345">
        <f t="shared" si="386"/>
        <v>134.17614659478545</v>
      </c>
      <c r="L1100" s="345">
        <f t="shared" si="386"/>
        <v>104.16724653047646</v>
      </c>
      <c r="M1100" s="345">
        <f t="shared" si="386"/>
        <v>94.534532803871912</v>
      </c>
      <c r="N1100" s="345">
        <f t="shared" si="386"/>
        <v>90.065783301506912</v>
      </c>
      <c r="O1100" s="345">
        <f t="shared" si="386"/>
        <v>92.122959039918968</v>
      </c>
      <c r="P1100" s="345">
        <f t="shared" si="386"/>
        <v>91.877004443622994</v>
      </c>
      <c r="Q1100" s="345">
        <f t="shared" si="386"/>
        <v>94.654826624242389</v>
      </c>
      <c r="R1100" s="345">
        <f t="shared" si="386"/>
        <v>91.081226073216129</v>
      </c>
      <c r="S1100" s="345">
        <f t="shared" si="386"/>
        <v>89.097664420619722</v>
      </c>
      <c r="T1100" s="345">
        <f>T1098/T1099*100</f>
        <v>95.309363759393335</v>
      </c>
      <c r="U1100" s="275"/>
      <c r="V1100" s="275"/>
      <c r="W1100" s="412"/>
    </row>
    <row r="1101" spans="1:23" s="413" customFormat="1" hidden="1">
      <c r="A1101" s="229"/>
      <c r="B1101" s="229"/>
      <c r="C1101" s="237"/>
      <c r="D1101" s="62"/>
      <c r="E1101" s="229"/>
      <c r="F1101" s="229"/>
      <c r="G1101" s="229"/>
      <c r="H1101" s="275"/>
      <c r="I1101" s="275"/>
      <c r="J1101" s="275"/>
      <c r="K1101" s="275"/>
      <c r="L1101" s="275"/>
      <c r="M1101" s="275"/>
      <c r="N1101" s="275"/>
      <c r="O1101" s="275"/>
      <c r="P1101" s="275"/>
      <c r="Q1101" s="275"/>
      <c r="R1101" s="275"/>
      <c r="S1101" s="275"/>
      <c r="T1101" s="275"/>
      <c r="U1101" s="275"/>
      <c r="V1101" s="275"/>
      <c r="W1101" s="412"/>
    </row>
    <row r="1102" spans="1:23" s="413" customFormat="1" hidden="1">
      <c r="A1102" s="229"/>
      <c r="B1102" s="336"/>
      <c r="C1102" s="444" t="s">
        <v>113</v>
      </c>
      <c r="D1102" s="336"/>
      <c r="E1102" s="336"/>
      <c r="F1102" s="336"/>
      <c r="G1102" s="336"/>
      <c r="H1102" s="345"/>
      <c r="I1102" s="345"/>
      <c r="J1102" s="345"/>
      <c r="K1102" s="345"/>
      <c r="L1102" s="345"/>
      <c r="M1102" s="345"/>
      <c r="N1102" s="345"/>
      <c r="O1102" s="345"/>
      <c r="P1102" s="345"/>
      <c r="Q1102" s="345"/>
      <c r="R1102" s="345"/>
      <c r="S1102" s="345"/>
      <c r="T1102" s="345"/>
      <c r="U1102" s="366"/>
      <c r="V1102" s="366"/>
      <c r="W1102" s="412"/>
    </row>
    <row r="1103" spans="1:23" s="413" customFormat="1" hidden="1">
      <c r="A1103" s="229"/>
      <c r="B1103" s="336"/>
      <c r="C1103" s="364" t="s">
        <v>97</v>
      </c>
      <c r="D1103" s="336" t="s">
        <v>121</v>
      </c>
      <c r="E1103" s="336"/>
      <c r="F1103" s="336"/>
      <c r="G1103" s="336"/>
      <c r="H1103" s="345">
        <v>15592.945911000003</v>
      </c>
      <c r="I1103" s="345">
        <v>17062.045031000001</v>
      </c>
      <c r="J1103" s="345">
        <v>18730.675516000003</v>
      </c>
      <c r="K1103" s="345">
        <v>11103.756455999999</v>
      </c>
      <c r="L1103" s="345">
        <v>16990.186535000001</v>
      </c>
      <c r="M1103" s="345">
        <v>17726.361787000002</v>
      </c>
      <c r="N1103" s="345">
        <v>19066.766630999999</v>
      </c>
      <c r="O1103" s="345">
        <v>19329.710246000002</v>
      </c>
      <c r="P1103" s="345">
        <v>17464.884024999999</v>
      </c>
      <c r="Q1103" s="345">
        <v>14722.187811</v>
      </c>
      <c r="R1103" s="345">
        <v>18532.425931999998</v>
      </c>
      <c r="S1103" s="345">
        <v>19545.377326000002</v>
      </c>
      <c r="T1103" s="345">
        <f>SUM(H1103:S1103)</f>
        <v>205867.32320700004</v>
      </c>
      <c r="U1103" s="366"/>
      <c r="V1103" s="366"/>
      <c r="W1103" s="412"/>
    </row>
    <row r="1104" spans="1:23" s="413" customFormat="1" hidden="1">
      <c r="A1104" s="229"/>
      <c r="B1104" s="336"/>
      <c r="C1104" s="364" t="s">
        <v>398</v>
      </c>
      <c r="D1104" s="336" t="s">
        <v>173</v>
      </c>
      <c r="E1104" s="336"/>
      <c r="F1104" s="336"/>
      <c r="G1104" s="336"/>
      <c r="H1104" s="366">
        <f>81190295.165/1000</f>
        <v>81190.295165000003</v>
      </c>
      <c r="I1104" s="366">
        <f>77858659.845/1000</f>
        <v>77858.659845000002</v>
      </c>
      <c r="J1104" s="366">
        <f>84162694.059/1000</f>
        <v>84162.694059000001</v>
      </c>
      <c r="K1104" s="366">
        <f>51303231.636/1000</f>
        <v>51303.231635999997</v>
      </c>
      <c r="L1104" s="366">
        <f>77440871.97/1000</f>
        <v>77440.871969999993</v>
      </c>
      <c r="M1104" s="366">
        <f>79984855.038/1000</f>
        <v>79984.855038000009</v>
      </c>
      <c r="N1104" s="366">
        <f>83907773.558/1000</f>
        <v>83907.773558000001</v>
      </c>
      <c r="O1104" s="366">
        <f>84847175.216/1000</f>
        <v>84847.175216000003</v>
      </c>
      <c r="P1104" s="366">
        <f>81378099.467/1000</f>
        <v>81378.099466999993</v>
      </c>
      <c r="Q1104" s="366">
        <f>78665119.21/1000</f>
        <v>78665.11920999999</v>
      </c>
      <c r="R1104" s="366">
        <f>82169541.558/1000</f>
        <v>82169.541557999997</v>
      </c>
      <c r="S1104" s="345">
        <f>85265591.352/1000</f>
        <v>85265.591352000003</v>
      </c>
      <c r="T1104" s="345">
        <f>SUM(H1104:S1104)</f>
        <v>948173.90807400015</v>
      </c>
      <c r="U1104" s="366"/>
      <c r="V1104" s="366"/>
      <c r="W1104" s="412"/>
    </row>
    <row r="1105" spans="1:23" s="413" customFormat="1" hidden="1">
      <c r="A1105" s="229"/>
      <c r="B1105" s="336"/>
      <c r="C1105" s="364" t="s">
        <v>492</v>
      </c>
      <c r="D1105" s="336" t="s">
        <v>173</v>
      </c>
      <c r="E1105" s="336" t="s">
        <v>694</v>
      </c>
      <c r="F1105" s="345">
        <f>(($H$1104+$I$1104+$J$1104+$K$1104)/($H$1103+$I$1103+$J$1103+$K$1103))</f>
        <v>4.7130356942217411</v>
      </c>
      <c r="G1105" s="336"/>
      <c r="H1105" s="366">
        <f>(($H$1104+$I$1104+$J$1104+$K$1104)/($H$1103+$I$1103+$J$1103+$K$1103))*H1103</f>
        <v>73490.110656611956</v>
      </c>
      <c r="I1105" s="366">
        <f t="shared" ref="I1105:L1105" si="387">(($H$1104+$I$1104+$J$1104+$K$1104)/($H$1103+$I$1103+$J$1103+$K$1103))*I1103</f>
        <v>80414.027247521706</v>
      </c>
      <c r="J1105" s="366">
        <f t="shared" si="387"/>
        <v>88278.342283793245</v>
      </c>
      <c r="K1105" s="366">
        <f t="shared" si="387"/>
        <v>52332.400517073096</v>
      </c>
      <c r="L1105" s="366">
        <f t="shared" si="387"/>
        <v>80075.355590940599</v>
      </c>
      <c r="M1105" s="366">
        <f>81656488.287375/1000</f>
        <v>81656.488287375003</v>
      </c>
      <c r="N1105" s="366">
        <f>90013177.0097841/1000</f>
        <v>90013.177009784107</v>
      </c>
      <c r="O1105" s="366">
        <f>91254519.6358645/1000</f>
        <v>91254.51963586449</v>
      </c>
      <c r="P1105" s="366">
        <f>82450775.61508/1000</f>
        <v>82450.775615079998</v>
      </c>
      <c r="Q1105" s="366">
        <f>69502654.7001549/1000</f>
        <v>69502.654700154904</v>
      </c>
      <c r="R1105" s="366">
        <f>87490583.386363/1000</f>
        <v>87490.583386362996</v>
      </c>
      <c r="S1105" s="345">
        <f>92272672.2897949/1000</f>
        <v>92272.672289794908</v>
      </c>
      <c r="T1105" s="345">
        <f>SUM(H1105:S1105)</f>
        <v>969231.10722035705</v>
      </c>
      <c r="U1105" s="366"/>
      <c r="V1105" s="366"/>
      <c r="W1105" s="412"/>
    </row>
    <row r="1106" spans="1:23" s="413" customFormat="1" hidden="1">
      <c r="A1106" s="229"/>
      <c r="B1106" s="336"/>
      <c r="C1106" s="364" t="s">
        <v>497</v>
      </c>
      <c r="D1106" s="336"/>
      <c r="E1106" s="336"/>
      <c r="F1106" s="336"/>
      <c r="G1106" s="336"/>
      <c r="H1106" s="345">
        <f>H1104/H1105*100</f>
        <v>110.47785129126792</v>
      </c>
      <c r="I1106" s="345">
        <f>I1104/I1105*100</f>
        <v>96.822236753973229</v>
      </c>
      <c r="J1106" s="345">
        <f t="shared" ref="J1106:S1106" si="388">J1104/J1105*100</f>
        <v>95.337873233320977</v>
      </c>
      <c r="K1106" s="345">
        <f t="shared" si="388"/>
        <v>98.033400205409379</v>
      </c>
      <c r="L1106" s="345">
        <f t="shared" si="388"/>
        <v>96.709994477703376</v>
      </c>
      <c r="M1106" s="345">
        <f t="shared" si="388"/>
        <v>97.952847000360848</v>
      </c>
      <c r="N1106" s="345">
        <f t="shared" si="388"/>
        <v>93.21721146325001</v>
      </c>
      <c r="O1106" s="345">
        <f t="shared" si="388"/>
        <v>92.97860046227639</v>
      </c>
      <c r="P1106" s="345">
        <f t="shared" si="388"/>
        <v>98.699010239651628</v>
      </c>
      <c r="Q1106" s="345">
        <f t="shared" si="388"/>
        <v>113.18289862361857</v>
      </c>
      <c r="R1106" s="345">
        <f t="shared" si="388"/>
        <v>93.918154820313632</v>
      </c>
      <c r="S1106" s="345">
        <f t="shared" si="388"/>
        <v>92.406114655714958</v>
      </c>
      <c r="T1106" s="345">
        <f>T1104/T1105*100</f>
        <v>97.82743259172247</v>
      </c>
      <c r="U1106" s="275"/>
      <c r="V1106" s="275"/>
      <c r="W1106" s="412"/>
    </row>
    <row r="1107" spans="1:23" s="413" customFormat="1" hidden="1">
      <c r="A1107" s="229"/>
      <c r="B1107" s="336"/>
      <c r="C1107" s="364"/>
      <c r="D1107" s="336"/>
      <c r="E1107" s="336"/>
      <c r="F1107" s="336"/>
      <c r="G1107" s="336"/>
      <c r="H1107" s="345"/>
      <c r="I1107" s="345"/>
      <c r="J1107" s="345"/>
      <c r="K1107" s="345"/>
      <c r="L1107" s="345"/>
      <c r="M1107" s="345"/>
      <c r="N1107" s="345"/>
      <c r="O1107" s="345"/>
      <c r="P1107" s="345"/>
      <c r="Q1107" s="345"/>
      <c r="R1107" s="345"/>
      <c r="S1107" s="345"/>
      <c r="T1107" s="345"/>
      <c r="U1107" s="275"/>
      <c r="V1107" s="275"/>
      <c r="W1107" s="412"/>
    </row>
    <row r="1108" spans="1:23" s="413" customFormat="1" hidden="1">
      <c r="A1108" s="229"/>
      <c r="B1108" s="336"/>
      <c r="C1108" s="444" t="s">
        <v>695</v>
      </c>
      <c r="D1108" s="336"/>
      <c r="E1108" s="336"/>
      <c r="F1108" s="336"/>
      <c r="G1108" s="336"/>
      <c r="H1108" s="345"/>
      <c r="I1108" s="345"/>
      <c r="J1108" s="345"/>
      <c r="K1108" s="345"/>
      <c r="L1108" s="345"/>
      <c r="M1108" s="345"/>
      <c r="N1108" s="345"/>
      <c r="O1108" s="345"/>
      <c r="P1108" s="345"/>
      <c r="Q1108" s="345"/>
      <c r="R1108" s="345"/>
      <c r="S1108" s="345"/>
      <c r="T1108" s="345"/>
      <c r="U1108" s="366"/>
      <c r="V1108" s="366"/>
      <c r="W1108" s="412"/>
    </row>
    <row r="1109" spans="1:23" s="413" customFormat="1" hidden="1">
      <c r="A1109" s="229"/>
      <c r="B1109" s="336"/>
      <c r="C1109" s="364" t="s">
        <v>97</v>
      </c>
      <c r="D1109" s="336" t="s">
        <v>121</v>
      </c>
      <c r="E1109" s="336"/>
      <c r="F1109" s="336"/>
      <c r="G1109" s="336"/>
      <c r="H1109" s="345">
        <v>279.08999999999997</v>
      </c>
      <c r="I1109" s="345">
        <v>255.32</v>
      </c>
      <c r="J1109" s="345">
        <v>253.23599999999999</v>
      </c>
      <c r="K1109" s="345">
        <v>184.262</v>
      </c>
      <c r="L1109" s="345">
        <v>269.54000000000002</v>
      </c>
      <c r="M1109" s="345">
        <v>239.22</v>
      </c>
      <c r="N1109" s="345">
        <v>268.25</v>
      </c>
      <c r="O1109" s="345">
        <v>199.91631999999996</v>
      </c>
      <c r="P1109" s="345">
        <v>239.9914</v>
      </c>
      <c r="Q1109" s="345">
        <v>268.20139999999992</v>
      </c>
      <c r="R1109" s="345">
        <v>313.23140000000001</v>
      </c>
      <c r="S1109" s="345">
        <v>307.34340000000003</v>
      </c>
      <c r="T1109" s="345">
        <f>SUM(H1109:S1109)</f>
        <v>3077.6019200000001</v>
      </c>
      <c r="U1109" s="366"/>
      <c r="V1109" s="366"/>
      <c r="W1109" s="412"/>
    </row>
    <row r="1110" spans="1:23" s="413" customFormat="1" hidden="1">
      <c r="A1110" s="229"/>
      <c r="B1110" s="336"/>
      <c r="C1110" s="364" t="s">
        <v>398</v>
      </c>
      <c r="D1110" s="336" t="s">
        <v>173</v>
      </c>
      <c r="E1110" s="336"/>
      <c r="F1110" s="336"/>
      <c r="G1110" s="336"/>
      <c r="H1110" s="366">
        <f>248522.4/1000</f>
        <v>248.5224</v>
      </c>
      <c r="I1110" s="366">
        <f>216327.6/1000</f>
        <v>216.32760000000002</v>
      </c>
      <c r="J1110" s="366">
        <f>216327.6/1000</f>
        <v>216.32760000000002</v>
      </c>
      <c r="K1110" s="366">
        <f>203922/1000</f>
        <v>203.922</v>
      </c>
      <c r="L1110" s="366">
        <f>242985.6/1000</f>
        <v>242.98560000000001</v>
      </c>
      <c r="M1110" s="366">
        <f>210301.2/1000</f>
        <v>210.30120000000002</v>
      </c>
      <c r="N1110" s="366">
        <f>229849.2/1000</f>
        <v>229.84920000000002</v>
      </c>
      <c r="O1110" s="366">
        <f>173358/1000</f>
        <v>173.358</v>
      </c>
      <c r="P1110" s="366">
        <f>167846.4/1000</f>
        <v>167.84639999999999</v>
      </c>
      <c r="Q1110" s="366">
        <f>139305.6/1000</f>
        <v>139.3056</v>
      </c>
      <c r="R1110" s="366">
        <f>167792.4/1000</f>
        <v>167.79239999999999</v>
      </c>
      <c r="S1110" s="345">
        <f>154854/1000</f>
        <v>154.85400000000001</v>
      </c>
      <c r="T1110" s="345">
        <f>SUM(H1110:S1110)</f>
        <v>2371.3919999999998</v>
      </c>
      <c r="U1110" s="366"/>
      <c r="V1110" s="366"/>
      <c r="W1110" s="412"/>
    </row>
    <row r="1111" spans="1:23" s="413" customFormat="1" hidden="1">
      <c r="A1111" s="229"/>
      <c r="B1111" s="336"/>
      <c r="C1111" s="364" t="s">
        <v>492</v>
      </c>
      <c r="D1111" s="336" t="s">
        <v>173</v>
      </c>
      <c r="E1111" s="336" t="s">
        <v>693</v>
      </c>
      <c r="F1111" s="336">
        <v>890.04601635780352</v>
      </c>
      <c r="G1111" s="336"/>
      <c r="H1111" s="366">
        <f>H1109*$F1111/1000</f>
        <v>248.40294270529935</v>
      </c>
      <c r="I1111" s="366">
        <f>I1109*$F1111/1000</f>
        <v>227.24654889647439</v>
      </c>
      <c r="J1111" s="366">
        <f>J1109*$F1111/1000</f>
        <v>225.39169299838474</v>
      </c>
      <c r="K1111" s="366">
        <f>164001.659066122/1000</f>
        <v>164.00165906612199</v>
      </c>
      <c r="L1111" s="366">
        <f>239903.003249082/1000</f>
        <v>239.90300324908199</v>
      </c>
      <c r="M1111" s="366">
        <f>212916.808033114/1000</f>
        <v>212.91680803311399</v>
      </c>
      <c r="N1111" s="366">
        <f>238754.843887981/1000</f>
        <v>238.754843887981</v>
      </c>
      <c r="O1111" s="366">
        <f>177934.724220912/1000</f>
        <v>177.93472422091199</v>
      </c>
      <c r="P1111" s="366">
        <f>213603.389530132/1000</f>
        <v>213.60338953013201</v>
      </c>
      <c r="Q1111" s="366">
        <f>238711.587651586/1000</f>
        <v>238.71158765158597</v>
      </c>
      <c r="R1111" s="366">
        <f>278790.359768178/1000</f>
        <v>278.79035976817801</v>
      </c>
      <c r="S1111" s="345">
        <f>273549.768823863/1000</f>
        <v>273.54976882386302</v>
      </c>
      <c r="T1111" s="345">
        <f>SUM(H1111:S1111)</f>
        <v>2739.2073288311285</v>
      </c>
      <c r="U1111" s="366"/>
      <c r="V1111" s="366"/>
      <c r="W1111" s="412"/>
    </row>
    <row r="1112" spans="1:23" s="413" customFormat="1" hidden="1">
      <c r="A1112" s="229"/>
      <c r="B1112" s="336"/>
      <c r="C1112" s="364" t="s">
        <v>497</v>
      </c>
      <c r="D1112" s="336"/>
      <c r="E1112" s="336"/>
      <c r="F1112" s="336"/>
      <c r="G1112" s="336"/>
      <c r="H1112" s="345">
        <f>H1110/H1111*100</f>
        <v>100.04809012864327</v>
      </c>
      <c r="I1112" s="345">
        <f t="shared" ref="I1112:S1112" si="389">I1110/I1111*100</f>
        <v>95.195109034879692</v>
      </c>
      <c r="J1112" s="345">
        <f t="shared" si="389"/>
        <v>95.978515056253784</v>
      </c>
      <c r="K1112" s="345">
        <f t="shared" si="389"/>
        <v>124.34142505703736</v>
      </c>
      <c r="L1112" s="345">
        <f t="shared" si="389"/>
        <v>101.28493462323082</v>
      </c>
      <c r="M1112" s="345">
        <f t="shared" si="389"/>
        <v>98.771535203220225</v>
      </c>
      <c r="N1112" s="345">
        <f t="shared" si="389"/>
        <v>96.269963053750928</v>
      </c>
      <c r="O1112" s="345">
        <f t="shared" si="389"/>
        <v>97.427863369024124</v>
      </c>
      <c r="P1112" s="345">
        <f t="shared" si="389"/>
        <v>78.578528350704232</v>
      </c>
      <c r="Q1112" s="345">
        <f t="shared" si="389"/>
        <v>58.35728435744182</v>
      </c>
      <c r="R1112" s="345">
        <f t="shared" si="389"/>
        <v>60.185868743640945</v>
      </c>
      <c r="S1112" s="345">
        <f t="shared" si="389"/>
        <v>56.609077268023398</v>
      </c>
      <c r="T1112" s="345">
        <f>T1110/T1111*100</f>
        <v>86.572198279416753</v>
      </c>
      <c r="U1112" s="275"/>
      <c r="V1112" s="275"/>
      <c r="W1112" s="412"/>
    </row>
    <row r="1113" spans="1:23" hidden="1">
      <c r="A1113" s="342"/>
      <c r="B1113" s="420"/>
      <c r="C1113" s="423"/>
      <c r="D1113" s="233"/>
      <c r="E1113" s="420"/>
      <c r="F1113" s="420"/>
      <c r="G1113" s="342"/>
      <c r="H1113" s="421"/>
      <c r="I1113" s="421"/>
      <c r="J1113" s="421"/>
      <c r="K1113" s="421"/>
      <c r="L1113" s="421"/>
      <c r="M1113" s="421"/>
      <c r="N1113" s="421"/>
      <c r="O1113" s="421"/>
      <c r="P1113" s="421"/>
      <c r="Q1113" s="421"/>
      <c r="R1113" s="421"/>
      <c r="S1113" s="421"/>
      <c r="T1113" s="236"/>
      <c r="U1113" s="422"/>
      <c r="V1113" s="833"/>
    </row>
    <row r="1114" spans="1:23" s="419" customFormat="1" ht="26.25" hidden="1">
      <c r="A1114" s="451"/>
      <c r="B1114" s="451"/>
      <c r="C1114" s="452" t="s">
        <v>691</v>
      </c>
      <c r="D1114" s="451"/>
      <c r="E1114" s="451"/>
      <c r="F1114" s="451"/>
      <c r="G1114" s="451"/>
      <c r="H1114" s="446"/>
      <c r="I1114" s="446"/>
      <c r="J1114" s="446"/>
      <c r="K1114" s="446"/>
      <c r="L1114" s="446"/>
      <c r="M1114" s="446"/>
      <c r="N1114" s="446"/>
      <c r="O1114" s="446"/>
      <c r="P1114" s="446"/>
      <c r="Q1114" s="446"/>
      <c r="R1114" s="446"/>
      <c r="S1114" s="446"/>
      <c r="T1114" s="446"/>
      <c r="U1114" s="446"/>
      <c r="V1114" s="446"/>
      <c r="W1114" s="445"/>
    </row>
    <row r="1115" spans="1:23" s="419" customFormat="1" hidden="1">
      <c r="A1115" s="451"/>
      <c r="B1115" s="451"/>
      <c r="C1115" s="454" t="s">
        <v>398</v>
      </c>
      <c r="D1115" s="455" t="s">
        <v>173</v>
      </c>
      <c r="E1115" s="451"/>
      <c r="F1115" s="451"/>
      <c r="G1115" s="451"/>
      <c r="H1115" s="446">
        <f>H1086+H1092+H1098+H1110+H1104</f>
        <v>1058058.3901642971</v>
      </c>
      <c r="I1115" s="446">
        <f t="shared" ref="H1115:S1116" si="390">I1086+I1092+I1098+I1110+I1104</f>
        <v>990532.78077020403</v>
      </c>
      <c r="J1115" s="446">
        <f t="shared" si="390"/>
        <v>1068460.5771427019</v>
      </c>
      <c r="K1115" s="446">
        <f t="shared" si="390"/>
        <v>872137.74752639199</v>
      </c>
      <c r="L1115" s="446">
        <f t="shared" si="390"/>
        <v>989491.26140557509</v>
      </c>
      <c r="M1115" s="446">
        <f t="shared" si="390"/>
        <v>1013530.8885322821</v>
      </c>
      <c r="N1115" s="446">
        <f t="shared" si="390"/>
        <v>1046464.7610961491</v>
      </c>
      <c r="O1115" s="446">
        <f t="shared" si="390"/>
        <v>1048036.733173118</v>
      </c>
      <c r="P1115" s="446">
        <f t="shared" si="390"/>
        <v>1037869.8285626511</v>
      </c>
      <c r="Q1115" s="446">
        <f t="shared" si="390"/>
        <v>1018791.478960612</v>
      </c>
      <c r="R1115" s="446">
        <f t="shared" si="390"/>
        <v>1035119.235619465</v>
      </c>
      <c r="S1115" s="446">
        <f t="shared" si="390"/>
        <v>1012166.4290384041</v>
      </c>
      <c r="T1115" s="446">
        <f>SUM(H1115:S1115)</f>
        <v>12190660.111991851</v>
      </c>
      <c r="U1115" s="446"/>
      <c r="V1115" s="446"/>
      <c r="W1115" s="445"/>
    </row>
    <row r="1116" spans="1:23" s="419" customFormat="1" hidden="1">
      <c r="A1116" s="451"/>
      <c r="B1116" s="451"/>
      <c r="C1116" s="454" t="s">
        <v>492</v>
      </c>
      <c r="D1116" s="455" t="s">
        <v>173</v>
      </c>
      <c r="E1116" s="451"/>
      <c r="F1116" s="451"/>
      <c r="G1116" s="451"/>
      <c r="H1116" s="446">
        <f t="shared" si="390"/>
        <v>1107087.2492010647</v>
      </c>
      <c r="I1116" s="446">
        <f t="shared" si="390"/>
        <v>1003924.4231913743</v>
      </c>
      <c r="J1116" s="446">
        <f t="shared" si="390"/>
        <v>1117716.0795411605</v>
      </c>
      <c r="K1116" s="446">
        <f t="shared" si="390"/>
        <v>792555.66125273798</v>
      </c>
      <c r="L1116" s="446">
        <f t="shared" si="390"/>
        <v>1059938.4145819116</v>
      </c>
      <c r="M1116" s="446">
        <f t="shared" si="390"/>
        <v>1036952.8809498321</v>
      </c>
      <c r="N1116" s="446">
        <f t="shared" si="390"/>
        <v>1055832.0718394255</v>
      </c>
      <c r="O1116" s="446">
        <f t="shared" si="390"/>
        <v>1090153.369161329</v>
      </c>
      <c r="P1116" s="446">
        <f t="shared" si="390"/>
        <v>1058479.7848339668</v>
      </c>
      <c r="Q1116" s="446">
        <f t="shared" si="390"/>
        <v>1062055.3498362289</v>
      </c>
      <c r="R1116" s="446">
        <f t="shared" si="390"/>
        <v>1081496.3115436947</v>
      </c>
      <c r="S1116" s="446">
        <f t="shared" si="390"/>
        <v>1129728.5099928777</v>
      </c>
      <c r="T1116" s="446">
        <f>SUM(H1116:S1116)</f>
        <v>12595920.105925603</v>
      </c>
      <c r="U1116" s="446"/>
      <c r="V1116" s="446"/>
      <c r="W1116" s="445"/>
    </row>
    <row r="1117" spans="1:23" s="419" customFormat="1" hidden="1">
      <c r="A1117" s="451"/>
      <c r="B1117" s="451"/>
      <c r="C1117" s="454" t="s">
        <v>497</v>
      </c>
      <c r="D1117" s="455"/>
      <c r="E1117" s="451"/>
      <c r="F1117" s="451"/>
      <c r="G1117" s="451"/>
      <c r="H1117" s="456">
        <f>H1115/H1116*100</f>
        <v>95.571364490725585</v>
      </c>
      <c r="I1117" s="456">
        <f t="shared" ref="I1117:S1117" si="391">I1115/I1116*100</f>
        <v>98.666070661116152</v>
      </c>
      <c r="J1117" s="456">
        <f t="shared" si="391"/>
        <v>95.593200876319258</v>
      </c>
      <c r="K1117" s="456">
        <f t="shared" si="391"/>
        <v>110.04119838698321</v>
      </c>
      <c r="L1117" s="456">
        <f t="shared" si="391"/>
        <v>93.353656004238303</v>
      </c>
      <c r="M1117" s="456">
        <f t="shared" si="391"/>
        <v>97.741267433859107</v>
      </c>
      <c r="N1117" s="456">
        <f t="shared" si="391"/>
        <v>99.112802973776212</v>
      </c>
      <c r="O1117" s="456">
        <f t="shared" si="391"/>
        <v>96.13663203915867</v>
      </c>
      <c r="P1117" s="456">
        <f t="shared" si="391"/>
        <v>98.052871999388387</v>
      </c>
      <c r="Q1117" s="456">
        <f t="shared" si="391"/>
        <v>95.926401492889397</v>
      </c>
      <c r="R1117" s="456">
        <f t="shared" si="391"/>
        <v>95.711767536402178</v>
      </c>
      <c r="S1117" s="456">
        <f t="shared" si="391"/>
        <v>89.593775857244253</v>
      </c>
      <c r="T1117" s="456">
        <f>T1115/T1116*100</f>
        <v>96.782609047011164</v>
      </c>
      <c r="U1117" s="446"/>
      <c r="V1117" s="446"/>
      <c r="W1117" s="445"/>
    </row>
    <row r="1118" spans="1:23" s="413" customFormat="1" hidden="1">
      <c r="A1118" s="229"/>
      <c r="B1118" s="229"/>
      <c r="C1118" s="426"/>
      <c r="D1118" s="229"/>
      <c r="E1118" s="229"/>
      <c r="F1118" s="229"/>
      <c r="G1118" s="229"/>
      <c r="H1118" s="275"/>
      <c r="I1118" s="275"/>
      <c r="J1118" s="275"/>
      <c r="K1118" s="275"/>
      <c r="L1118" s="275"/>
      <c r="M1118" s="275"/>
      <c r="N1118" s="275"/>
      <c r="O1118" s="275"/>
      <c r="P1118" s="275"/>
      <c r="Q1118" s="275"/>
      <c r="R1118" s="275"/>
      <c r="S1118" s="275"/>
      <c r="T1118" s="275"/>
      <c r="U1118" s="275"/>
      <c r="V1118" s="275"/>
      <c r="W1118" s="412"/>
    </row>
    <row r="1119" spans="1:23" s="413" customFormat="1" hidden="1">
      <c r="A1119" s="229"/>
      <c r="B1119" s="229"/>
      <c r="C1119" s="237"/>
      <c r="D1119" s="62"/>
      <c r="E1119" s="229"/>
      <c r="F1119" s="229"/>
      <c r="G1119" s="229"/>
      <c r="H1119" s="275"/>
      <c r="I1119" s="275"/>
      <c r="J1119" s="275"/>
      <c r="K1119" s="275"/>
      <c r="L1119" s="275"/>
      <c r="M1119" s="275"/>
      <c r="N1119" s="275"/>
      <c r="O1119" s="275"/>
      <c r="P1119" s="275"/>
      <c r="Q1119" s="275"/>
      <c r="R1119" s="275"/>
      <c r="S1119" s="275"/>
      <c r="T1119" s="275"/>
      <c r="U1119" s="275"/>
      <c r="V1119" s="275"/>
      <c r="W1119" s="412"/>
    </row>
    <row r="1120" spans="1:23" s="419" customFormat="1" ht="26.25" hidden="1">
      <c r="A1120" s="451"/>
      <c r="B1120" s="451"/>
      <c r="C1120" s="452" t="s">
        <v>696</v>
      </c>
      <c r="D1120" s="451"/>
      <c r="E1120" s="451"/>
      <c r="F1120" s="451"/>
      <c r="G1120" s="451"/>
      <c r="H1120" s="446"/>
      <c r="I1120" s="446"/>
      <c r="J1120" s="446"/>
      <c r="K1120" s="446"/>
      <c r="L1120" s="446"/>
      <c r="M1120" s="446"/>
      <c r="N1120" s="446"/>
      <c r="O1120" s="446"/>
      <c r="P1120" s="446"/>
      <c r="Q1120" s="446"/>
      <c r="R1120" s="446"/>
      <c r="S1120" s="446"/>
      <c r="T1120" s="446"/>
      <c r="U1120" s="446"/>
      <c r="V1120" s="446"/>
      <c r="W1120" s="445"/>
    </row>
    <row r="1121" spans="1:24" s="419" customFormat="1" hidden="1">
      <c r="A1121" s="451"/>
      <c r="B1121" s="451"/>
      <c r="C1121" s="454" t="s">
        <v>398</v>
      </c>
      <c r="D1121" s="455" t="s">
        <v>173</v>
      </c>
      <c r="E1121" s="451"/>
      <c r="F1121" s="451"/>
      <c r="G1121" s="451"/>
      <c r="H1121" s="446">
        <f>H1115-H1104</f>
        <v>976868.09499929706</v>
      </c>
      <c r="I1121" s="446">
        <f t="shared" ref="I1121:S1122" si="392">I1115-I1104</f>
        <v>912674.12092520401</v>
      </c>
      <c r="J1121" s="446">
        <f t="shared" si="392"/>
        <v>984297.88308370195</v>
      </c>
      <c r="K1121" s="446">
        <f t="shared" si="392"/>
        <v>820834.51589039201</v>
      </c>
      <c r="L1121" s="446">
        <f t="shared" si="392"/>
        <v>912050.38943557511</v>
      </c>
      <c r="M1121" s="446">
        <f t="shared" si="392"/>
        <v>933546.03349428205</v>
      </c>
      <c r="N1121" s="446">
        <f t="shared" si="392"/>
        <v>962556.98753814911</v>
      </c>
      <c r="O1121" s="446">
        <f t="shared" si="392"/>
        <v>963189.55795711791</v>
      </c>
      <c r="P1121" s="446">
        <f t="shared" si="392"/>
        <v>956491.72909565107</v>
      </c>
      <c r="Q1121" s="446">
        <f t="shared" si="392"/>
        <v>940126.35975061194</v>
      </c>
      <c r="R1121" s="446">
        <f t="shared" si="392"/>
        <v>952949.69406146498</v>
      </c>
      <c r="S1121" s="446">
        <f t="shared" si="392"/>
        <v>926900.83768640412</v>
      </c>
      <c r="T1121" s="446">
        <f>SUM(H1121:S1121)</f>
        <v>11242486.203917854</v>
      </c>
      <c r="U1121" s="446"/>
      <c r="V1121" s="446"/>
      <c r="W1121" s="445"/>
    </row>
    <row r="1122" spans="1:24" s="419" customFormat="1" hidden="1">
      <c r="A1122" s="451"/>
      <c r="B1122" s="451"/>
      <c r="C1122" s="454" t="s">
        <v>492</v>
      </c>
      <c r="D1122" s="455" t="s">
        <v>173</v>
      </c>
      <c r="E1122" s="451"/>
      <c r="F1122" s="451"/>
      <c r="G1122" s="451"/>
      <c r="H1122" s="446">
        <f>H1116-H1105</f>
        <v>1033597.1385444527</v>
      </c>
      <c r="I1122" s="446">
        <f t="shared" si="392"/>
        <v>923510.39594385261</v>
      </c>
      <c r="J1122" s="446">
        <f t="shared" si="392"/>
        <v>1029437.7372573672</v>
      </c>
      <c r="K1122" s="446">
        <f t="shared" si="392"/>
        <v>740223.26073566487</v>
      </c>
      <c r="L1122" s="446">
        <f t="shared" si="392"/>
        <v>979863.05899097107</v>
      </c>
      <c r="M1122" s="446">
        <f t="shared" si="392"/>
        <v>955296.39266245719</v>
      </c>
      <c r="N1122" s="446">
        <f t="shared" si="392"/>
        <v>965818.89482964133</v>
      </c>
      <c r="O1122" s="446">
        <f t="shared" si="392"/>
        <v>998898.84952546447</v>
      </c>
      <c r="P1122" s="446">
        <f t="shared" si="392"/>
        <v>976029.00921888673</v>
      </c>
      <c r="Q1122" s="446">
        <f t="shared" si="392"/>
        <v>992552.69513607398</v>
      </c>
      <c r="R1122" s="446">
        <f t="shared" si="392"/>
        <v>994005.7281573317</v>
      </c>
      <c r="S1122" s="446">
        <f t="shared" si="392"/>
        <v>1037455.8377030828</v>
      </c>
      <c r="T1122" s="446">
        <f>SUM(H1122:S1122)</f>
        <v>11626688.998705247</v>
      </c>
      <c r="U1122" s="446"/>
      <c r="V1122" s="446"/>
      <c r="W1122" s="445"/>
    </row>
    <row r="1123" spans="1:24" s="419" customFormat="1" hidden="1">
      <c r="A1123" s="451"/>
      <c r="B1123" s="451"/>
      <c r="C1123" s="454" t="s">
        <v>497</v>
      </c>
      <c r="D1123" s="455"/>
      <c r="E1123" s="451"/>
      <c r="F1123" s="451"/>
      <c r="G1123" s="451"/>
      <c r="H1123" s="456">
        <f>H1121/H1122*100</f>
        <v>94.511493750355825</v>
      </c>
      <c r="I1123" s="456">
        <f t="shared" ref="I1123:S1123" si="393">I1121/I1122*100</f>
        <v>98.826621219832219</v>
      </c>
      <c r="J1123" s="456">
        <f t="shared" si="393"/>
        <v>95.615096227778949</v>
      </c>
      <c r="K1123" s="456">
        <f t="shared" si="393"/>
        <v>110.89012726709133</v>
      </c>
      <c r="L1123" s="456">
        <f t="shared" si="393"/>
        <v>93.079372782434817</v>
      </c>
      <c r="M1123" s="456">
        <f t="shared" si="393"/>
        <v>97.723182110260481</v>
      </c>
      <c r="N1123" s="456">
        <f t="shared" si="393"/>
        <v>99.662265119376485</v>
      </c>
      <c r="O1123" s="456">
        <f t="shared" si="393"/>
        <v>96.425134378189497</v>
      </c>
      <c r="P1123" s="456">
        <f t="shared" si="393"/>
        <v>97.998288991546332</v>
      </c>
      <c r="Q1123" s="456">
        <f t="shared" si="393"/>
        <v>94.718030020736109</v>
      </c>
      <c r="R1123" s="456">
        <f t="shared" si="393"/>
        <v>95.869638078245728</v>
      </c>
      <c r="S1123" s="456">
        <f t="shared" si="393"/>
        <v>89.34364278469468</v>
      </c>
      <c r="T1123" s="456">
        <f>T1121/T1122*100</f>
        <v>96.695509832333357</v>
      </c>
      <c r="U1123" s="446"/>
      <c r="V1123" s="446"/>
      <c r="W1123" s="445"/>
    </row>
    <row r="1124" spans="1:24" s="413" customFormat="1" hidden="1">
      <c r="A1124" s="229"/>
      <c r="B1124" s="336"/>
      <c r="C1124" s="364"/>
      <c r="D1124" s="336"/>
      <c r="E1124" s="336"/>
      <c r="F1124" s="336"/>
      <c r="G1124" s="336"/>
      <c r="H1124" s="365"/>
      <c r="I1124" s="365"/>
      <c r="J1124" s="365"/>
      <c r="K1124" s="365"/>
      <c r="L1124" s="365"/>
      <c r="M1124" s="365"/>
      <c r="N1124" s="365"/>
      <c r="O1124" s="365"/>
      <c r="P1124" s="365"/>
      <c r="Q1124" s="365"/>
      <c r="R1124" s="365"/>
      <c r="S1124" s="365"/>
      <c r="T1124" s="365"/>
      <c r="U1124" s="275"/>
      <c r="V1124" s="275"/>
      <c r="W1124" s="412"/>
    </row>
    <row r="1125" spans="1:24" hidden="1">
      <c r="A1125" s="253"/>
      <c r="B1125" s="253"/>
      <c r="C1125" s="300"/>
      <c r="D1125" s="253"/>
      <c r="E1125" s="283"/>
      <c r="F1125" s="283"/>
      <c r="G1125" s="283"/>
      <c r="H1125" s="353"/>
      <c r="I1125" s="353"/>
      <c r="J1125" s="353"/>
      <c r="K1125" s="353"/>
      <c r="L1125" s="353"/>
      <c r="M1125" s="353"/>
      <c r="N1125" s="353"/>
      <c r="O1125" s="353"/>
      <c r="P1125" s="353"/>
      <c r="Q1125" s="353"/>
      <c r="R1125" s="353"/>
      <c r="S1125" s="353"/>
      <c r="T1125" s="257"/>
      <c r="U1125" s="277"/>
      <c r="V1125" s="277"/>
    </row>
    <row r="1126" spans="1:24" hidden="1">
      <c r="A1126" s="253"/>
      <c r="B1126" s="253"/>
      <c r="C1126" s="300"/>
      <c r="D1126" s="253"/>
      <c r="E1126" s="283"/>
      <c r="F1126" s="283"/>
      <c r="G1126" s="283"/>
      <c r="H1126" s="302"/>
      <c r="I1126" s="302"/>
      <c r="J1126" s="302"/>
      <c r="K1126" s="302"/>
      <c r="L1126" s="302"/>
      <c r="M1126" s="302"/>
      <c r="N1126" s="302"/>
      <c r="O1126" s="302"/>
      <c r="P1126" s="302"/>
      <c r="Q1126" s="302"/>
      <c r="R1126" s="302"/>
      <c r="S1126" s="302"/>
      <c r="T1126" s="302"/>
      <c r="U1126" s="277"/>
      <c r="V1126" s="277"/>
    </row>
    <row r="1127" spans="1:24" hidden="1">
      <c r="A1127" s="253"/>
      <c r="B1127" s="253"/>
      <c r="C1127" s="300"/>
      <c r="D1127" s="253"/>
      <c r="E1127" s="283"/>
      <c r="F1127" s="283"/>
      <c r="G1127" s="283"/>
      <c r="H1127" s="353"/>
      <c r="I1127" s="353"/>
      <c r="J1127" s="353"/>
      <c r="K1127" s="353"/>
      <c r="L1127" s="353"/>
      <c r="M1127" s="353"/>
      <c r="N1127" s="353"/>
      <c r="O1127" s="353"/>
      <c r="P1127" s="353"/>
      <c r="Q1127" s="353"/>
      <c r="R1127" s="353"/>
      <c r="S1127" s="353"/>
      <c r="T1127" s="353"/>
      <c r="U1127" s="277"/>
      <c r="V1127" s="277"/>
    </row>
    <row r="1128" spans="1:24" hidden="1">
      <c r="A1128" s="253"/>
      <c r="B1128" s="253"/>
      <c r="C1128" s="300"/>
      <c r="D1128" s="253"/>
      <c r="E1128" s="283"/>
      <c r="F1128" s="283"/>
      <c r="G1128" s="283"/>
      <c r="H1128" s="302"/>
      <c r="I1128" s="302"/>
      <c r="J1128" s="302"/>
      <c r="K1128" s="302"/>
      <c r="L1128" s="302"/>
      <c r="M1128" s="302"/>
      <c r="N1128" s="302"/>
      <c r="O1128" s="302"/>
      <c r="P1128" s="302"/>
      <c r="Q1128" s="302"/>
      <c r="R1128" s="302"/>
      <c r="S1128" s="302"/>
      <c r="T1128" s="302"/>
      <c r="U1128" s="277"/>
      <c r="V1128" s="277"/>
    </row>
    <row r="1129" spans="1:24" hidden="1">
      <c r="A1129" s="253"/>
      <c r="B1129" s="253"/>
      <c r="C1129" s="300"/>
      <c r="D1129" s="253"/>
      <c r="E1129" s="283"/>
      <c r="F1129" s="283"/>
      <c r="G1129" s="283"/>
      <c r="H1129" s="353"/>
      <c r="I1129" s="353"/>
      <c r="J1129" s="353"/>
      <c r="K1129" s="353"/>
      <c r="L1129" s="353"/>
      <c r="M1129" s="353"/>
      <c r="N1129" s="353"/>
      <c r="O1129" s="353"/>
      <c r="P1129" s="353"/>
      <c r="Q1129" s="353"/>
      <c r="R1129" s="353"/>
      <c r="S1129" s="353"/>
      <c r="T1129" s="277"/>
      <c r="U1129" s="277"/>
      <c r="V1129" s="277"/>
    </row>
    <row r="1130" spans="1:24" hidden="1">
      <c r="A1130" s="253"/>
      <c r="B1130" s="253"/>
      <c r="C1130" s="237"/>
      <c r="D1130" s="253"/>
      <c r="E1130" s="283"/>
      <c r="F1130" s="283"/>
      <c r="G1130" s="283"/>
      <c r="H1130" s="302"/>
      <c r="I1130" s="463"/>
      <c r="J1130" s="302"/>
      <c r="K1130" s="302"/>
      <c r="L1130" s="302"/>
      <c r="M1130" s="302"/>
      <c r="N1130" s="302"/>
      <c r="O1130" s="302"/>
      <c r="P1130" s="302"/>
      <c r="Q1130" s="302"/>
      <c r="R1130" s="302"/>
      <c r="S1130" s="302"/>
      <c r="T1130" s="302"/>
      <c r="U1130" s="277"/>
      <c r="V1130" s="277"/>
    </row>
    <row r="1131" spans="1:24" hidden="1">
      <c r="A1131" s="253"/>
      <c r="B1131" s="253"/>
      <c r="C1131" s="237"/>
      <c r="D1131" s="253"/>
      <c r="E1131" s="283"/>
      <c r="F1131" s="283"/>
      <c r="G1131" s="283"/>
      <c r="H1131" s="353"/>
      <c r="I1131" s="353"/>
      <c r="J1131" s="353"/>
      <c r="K1131" s="353"/>
      <c r="L1131" s="353"/>
      <c r="M1131" s="353"/>
      <c r="N1131" s="353"/>
      <c r="O1131" s="353"/>
      <c r="P1131" s="353"/>
      <c r="Q1131" s="353"/>
      <c r="R1131" s="353"/>
      <c r="S1131" s="353"/>
      <c r="T1131" s="257"/>
      <c r="U1131" s="277"/>
      <c r="V1131" s="277"/>
    </row>
    <row r="1132" spans="1:24" hidden="1">
      <c r="A1132" s="303"/>
      <c r="B1132" s="303"/>
      <c r="C1132" s="382"/>
      <c r="D1132" s="303"/>
      <c r="E1132" s="303"/>
      <c r="F1132" s="303"/>
      <c r="G1132" s="303"/>
      <c r="H1132" s="310"/>
      <c r="I1132" s="310"/>
      <c r="J1132" s="310"/>
      <c r="K1132" s="310"/>
      <c r="L1132" s="310"/>
      <c r="M1132" s="310"/>
      <c r="N1132" s="310"/>
      <c r="O1132" s="310"/>
      <c r="P1132" s="310"/>
      <c r="Q1132" s="310"/>
      <c r="R1132" s="310"/>
      <c r="S1132" s="310"/>
      <c r="T1132" s="310"/>
      <c r="U1132" s="310"/>
      <c r="V1132" s="310"/>
    </row>
    <row r="1133" spans="1:24" hidden="1">
      <c r="A1133" s="466"/>
      <c r="B1133" s="464"/>
      <c r="C1133" s="313" t="s">
        <v>699</v>
      </c>
      <c r="D1133" s="464"/>
      <c r="E1133" s="464"/>
      <c r="F1133" s="464"/>
      <c r="G1133" s="464"/>
      <c r="H1133" s="465"/>
      <c r="I1133" s="465"/>
      <c r="J1133" s="465"/>
      <c r="K1133" s="465"/>
      <c r="L1133" s="465"/>
      <c r="M1133" s="465"/>
      <c r="N1133" s="465"/>
      <c r="O1133" s="465"/>
      <c r="P1133" s="465"/>
      <c r="Q1133" s="465"/>
      <c r="R1133" s="465"/>
      <c r="S1133" s="465"/>
      <c r="T1133" s="210"/>
      <c r="U1133" s="210">
        <f>T836+T873+T901+T958+T996+T1010+T1024+T1038+T1052+T1066+T1080+T1099+T1118+T1098+T1079</f>
        <v>43908985.806906916</v>
      </c>
      <c r="V1133" s="210">
        <f>V805+V857+V888+V933+V976+V1004+V1018+V1032+V1046+V1060+V1076+V1093+V1112</f>
        <v>0</v>
      </c>
    </row>
    <row r="1134" spans="1:24" s="413" customFormat="1" hidden="1">
      <c r="A1134" s="471"/>
      <c r="B1134" s="467"/>
      <c r="C1134" s="468"/>
      <c r="D1134" s="467"/>
      <c r="E1134" s="467"/>
      <c r="F1134" s="467"/>
      <c r="G1134" s="467"/>
      <c r="H1134" s="469"/>
      <c r="I1134" s="469"/>
      <c r="J1134" s="469"/>
      <c r="K1134" s="469"/>
      <c r="L1134" s="469"/>
      <c r="M1134" s="469"/>
      <c r="N1134" s="470"/>
      <c r="O1134" s="470"/>
      <c r="P1134" s="470"/>
      <c r="Q1134" s="470"/>
      <c r="R1134" s="470"/>
      <c r="S1134" s="470"/>
      <c r="T1134" s="212"/>
      <c r="U1134" s="416">
        <f>V1133/U1133</f>
        <v>0</v>
      </c>
      <c r="V1134" s="271" t="s">
        <v>158</v>
      </c>
      <c r="W1134" s="412"/>
    </row>
    <row r="1135" spans="1:24" s="413" customFormat="1" hidden="1">
      <c r="A1135" s="471"/>
      <c r="B1135" s="467"/>
      <c r="C1135" s="468"/>
      <c r="D1135" s="467"/>
      <c r="E1135" s="467"/>
      <c r="F1135" s="467"/>
      <c r="G1135" s="467"/>
      <c r="H1135" s="469"/>
      <c r="I1135" s="469"/>
      <c r="J1135" s="469"/>
      <c r="K1135" s="469"/>
      <c r="L1135" s="469"/>
      <c r="M1135" s="469"/>
      <c r="N1135" s="470"/>
      <c r="O1135" s="470"/>
      <c r="P1135" s="470"/>
      <c r="Q1135" s="470"/>
      <c r="R1135" s="470"/>
      <c r="S1135" s="470"/>
      <c r="T1135" s="212" t="s">
        <v>453</v>
      </c>
      <c r="U1135" s="212" t="e">
        <f>U1133+U793+U791+#REF!+U165</f>
        <v>#REF!</v>
      </c>
      <c r="V1135" s="212" t="e">
        <f>V1133+V793+V791+#REF!+V165</f>
        <v>#REF!</v>
      </c>
      <c r="W1135" s="412"/>
      <c r="X1135" s="840">
        <f>300*42751189</f>
        <v>12825356700</v>
      </c>
    </row>
    <row r="1136" spans="1:24" s="413" customFormat="1" hidden="1">
      <c r="A1136" s="471"/>
      <c r="B1136" s="467"/>
      <c r="C1136" s="468"/>
      <c r="D1136" s="467"/>
      <c r="E1136" s="467"/>
      <c r="F1136" s="467"/>
      <c r="G1136" s="467"/>
      <c r="H1136" s="469"/>
      <c r="I1136" s="469"/>
      <c r="J1136" s="469"/>
      <c r="K1136" s="469"/>
      <c r="L1136" s="469"/>
      <c r="M1136" s="469"/>
      <c r="N1136" s="470"/>
      <c r="O1136" s="470"/>
      <c r="P1136" s="470"/>
      <c r="Q1136" s="470"/>
      <c r="R1136" s="470"/>
      <c r="S1136" s="470"/>
      <c r="T1136" s="212"/>
      <c r="U1136" s="457" t="e">
        <f>V1135/U1135</f>
        <v>#REF!</v>
      </c>
      <c r="V1136" s="271" t="s">
        <v>158</v>
      </c>
      <c r="W1136" s="412"/>
      <c r="X1136" s="840">
        <f>362*39481781</f>
        <v>14292404722</v>
      </c>
    </row>
    <row r="1137" spans="1:23" s="450" customFormat="1" ht="23.25" hidden="1">
      <c r="A1137" s="472">
        <v>26</v>
      </c>
      <c r="B1137" s="472" t="s">
        <v>99</v>
      </c>
      <c r="C1137" s="473" t="s">
        <v>700</v>
      </c>
      <c r="D1137" s="472"/>
      <c r="E1137" s="472"/>
      <c r="F1137" s="472"/>
      <c r="G1137" s="472"/>
      <c r="H1137" s="458"/>
      <c r="I1137" s="458"/>
      <c r="J1137" s="458"/>
      <c r="K1137" s="458"/>
      <c r="L1137" s="458"/>
      <c r="M1137" s="458"/>
      <c r="N1137" s="458"/>
      <c r="O1137" s="458"/>
      <c r="P1137" s="458"/>
      <c r="Q1137" s="458"/>
      <c r="R1137" s="458"/>
      <c r="S1137" s="458"/>
      <c r="T1137" s="458" t="s">
        <v>173</v>
      </c>
      <c r="U1137" s="458"/>
      <c r="V1137" s="458"/>
      <c r="W1137" s="449"/>
    </row>
    <row r="1138" spans="1:23" s="450" customFormat="1" hidden="1">
      <c r="A1138" s="474"/>
      <c r="B1138" s="474"/>
      <c r="C1138" s="475" t="s">
        <v>701</v>
      </c>
      <c r="D1138" s="474"/>
      <c r="E1138" s="474"/>
      <c r="F1138" s="474"/>
      <c r="G1138" s="474"/>
      <c r="H1138" s="462">
        <v>529943.55217304861</v>
      </c>
      <c r="I1138" s="462">
        <v>500031.03624703921</v>
      </c>
      <c r="J1138" s="462">
        <v>553463.70473539049</v>
      </c>
      <c r="K1138" s="462">
        <v>480655.72548791242</v>
      </c>
      <c r="L1138" s="462">
        <v>475008.41912700952</v>
      </c>
      <c r="M1138" s="841">
        <v>474083.40252207889</v>
      </c>
      <c r="N1138" s="462">
        <v>475782.76139885711</v>
      </c>
      <c r="O1138" s="462">
        <v>442608.66223661165</v>
      </c>
      <c r="P1138" s="462">
        <v>472721.01884207997</v>
      </c>
      <c r="Q1138" s="462">
        <v>97681.924326239998</v>
      </c>
      <c r="R1138" s="842"/>
      <c r="S1138" s="462">
        <v>210128.61003542278</v>
      </c>
      <c r="T1138" s="462">
        <f t="shared" ref="T1138:T1145" si="394">SUM(H1138:S1138)</f>
        <v>4712108.8171316907</v>
      </c>
      <c r="U1138" s="459">
        <f>T1138/$T$1145*100</f>
        <v>19.621422767010245</v>
      </c>
      <c r="V1138" s="462" t="s">
        <v>697</v>
      </c>
      <c r="W1138" s="453">
        <f>U1138</f>
        <v>19.621422767010245</v>
      </c>
    </row>
    <row r="1139" spans="1:23" s="450" customFormat="1" hidden="1">
      <c r="A1139" s="474"/>
      <c r="B1139" s="474"/>
      <c r="C1139" s="475" t="s">
        <v>702</v>
      </c>
      <c r="D1139" s="474"/>
      <c r="E1139" s="474"/>
      <c r="F1139" s="474"/>
      <c r="G1139" s="474"/>
      <c r="H1139" s="462">
        <v>286289.37244694476</v>
      </c>
      <c r="I1139" s="462">
        <v>270741.52413792739</v>
      </c>
      <c r="J1139" s="462">
        <v>233017.69976667702</v>
      </c>
      <c r="K1139" s="462">
        <v>263550.18739002378</v>
      </c>
      <c r="L1139" s="462">
        <v>289306.62299024523</v>
      </c>
      <c r="M1139" s="841">
        <v>272906.33670282096</v>
      </c>
      <c r="N1139" s="462">
        <v>233955.63983327671</v>
      </c>
      <c r="O1139" s="462">
        <v>260985.69991135615</v>
      </c>
      <c r="P1139" s="462">
        <v>310812.97845079791</v>
      </c>
      <c r="Q1139" s="462">
        <v>303833.8403666729</v>
      </c>
      <c r="R1139" s="462">
        <v>317258.80156204442</v>
      </c>
      <c r="S1139" s="462">
        <v>303833.8403666729</v>
      </c>
      <c r="T1139" s="462">
        <f t="shared" si="394"/>
        <v>3346492.5439254595</v>
      </c>
      <c r="U1139" s="459">
        <f t="shared" ref="U1139:U1144" si="395">T1139/$T$1145*100</f>
        <v>13.934938164475316</v>
      </c>
      <c r="V1139" s="462" t="s">
        <v>698</v>
      </c>
      <c r="W1139" s="453">
        <f>U1145-W1138</f>
        <v>80.378577232989741</v>
      </c>
    </row>
    <row r="1140" spans="1:23" s="450" customFormat="1" hidden="1">
      <c r="A1140" s="474"/>
      <c r="B1140" s="474"/>
      <c r="C1140" s="475" t="s">
        <v>704</v>
      </c>
      <c r="D1140" s="474"/>
      <c r="E1140" s="474"/>
      <c r="F1140" s="474"/>
      <c r="G1140" s="474"/>
      <c r="H1140" s="462">
        <v>286113.29227073287</v>
      </c>
      <c r="I1140" s="462">
        <v>132691.46497336632</v>
      </c>
      <c r="J1140" s="462">
        <v>323890.97270792641</v>
      </c>
      <c r="K1140" s="462">
        <v>276174.30379573646</v>
      </c>
      <c r="L1140" s="462">
        <v>299043.01335894573</v>
      </c>
      <c r="M1140" s="841">
        <v>293843.01063333795</v>
      </c>
      <c r="N1140" s="462">
        <v>306297.10703856318</v>
      </c>
      <c r="O1140" s="462">
        <v>286151.43352392153</v>
      </c>
      <c r="P1140" s="462">
        <v>247305.4398079325</v>
      </c>
      <c r="Q1140" s="462">
        <v>311644.59920717316</v>
      </c>
      <c r="R1140" s="462">
        <v>317673.83681712701</v>
      </c>
      <c r="S1140" s="462">
        <v>311644.59920717316</v>
      </c>
      <c r="T1140" s="462">
        <f t="shared" si="394"/>
        <v>3392473.0733419359</v>
      </c>
      <c r="U1140" s="459">
        <f t="shared" si="395"/>
        <v>14.126403056680589</v>
      </c>
      <c r="V1140" s="462"/>
      <c r="W1140" s="449"/>
    </row>
    <row r="1141" spans="1:23" s="450" customFormat="1" hidden="1">
      <c r="A1141" s="474"/>
      <c r="B1141" s="474"/>
      <c r="C1141" s="475" t="s">
        <v>705</v>
      </c>
      <c r="D1141" s="474"/>
      <c r="E1141" s="474"/>
      <c r="F1141" s="474"/>
      <c r="G1141" s="474"/>
      <c r="H1141" s="462">
        <v>284045.15354265214</v>
      </c>
      <c r="I1141" s="462">
        <v>173781.97926189561</v>
      </c>
      <c r="J1141" s="462">
        <v>321181.87899763003</v>
      </c>
      <c r="K1141" s="462">
        <v>183606.45213061356</v>
      </c>
      <c r="L1141" s="462">
        <v>240993.58087614659</v>
      </c>
      <c r="M1141" s="841">
        <v>264393.78417385567</v>
      </c>
      <c r="N1141" s="462">
        <v>304570.48877884919</v>
      </c>
      <c r="O1141" s="462">
        <v>313781.00107377989</v>
      </c>
      <c r="P1141" s="462">
        <v>236578.30993243711</v>
      </c>
      <c r="Q1141" s="462">
        <v>304997.09442363097</v>
      </c>
      <c r="R1141" s="462">
        <v>314812.87282778253</v>
      </c>
      <c r="S1141" s="462">
        <v>304997.09442363097</v>
      </c>
      <c r="T1141" s="462">
        <f t="shared" si="394"/>
        <v>3247739.6904429048</v>
      </c>
      <c r="U1141" s="459">
        <f t="shared" si="395"/>
        <v>13.523727056492183</v>
      </c>
      <c r="V1141" s="462"/>
      <c r="W1141" s="449"/>
    </row>
    <row r="1142" spans="1:23" s="450" customFormat="1" hidden="1">
      <c r="A1142" s="474"/>
      <c r="B1142" s="474"/>
      <c r="C1142" s="475" t="s">
        <v>706</v>
      </c>
      <c r="D1142" s="474"/>
      <c r="E1142" s="474"/>
      <c r="F1142" s="474"/>
      <c r="G1142" s="474"/>
      <c r="H1142" s="462">
        <v>285229.73303650069</v>
      </c>
      <c r="I1142" s="462">
        <v>271496.86463813926</v>
      </c>
      <c r="J1142" s="462">
        <v>237218.05361529966</v>
      </c>
      <c r="K1142" s="462">
        <v>262535.33694340161</v>
      </c>
      <c r="L1142" s="462">
        <v>298591.44068447046</v>
      </c>
      <c r="M1142" s="841">
        <v>129768.07194937336</v>
      </c>
      <c r="N1142" s="462">
        <v>307166.77512821433</v>
      </c>
      <c r="O1142" s="462">
        <v>142841.42168336257</v>
      </c>
      <c r="P1142" s="462">
        <v>259166.57924103775</v>
      </c>
      <c r="Q1142" s="462">
        <v>310302.87334822537</v>
      </c>
      <c r="R1142" s="462">
        <v>316854.31687359058</v>
      </c>
      <c r="S1142" s="462">
        <v>310302.87334822537</v>
      </c>
      <c r="T1142" s="462">
        <f t="shared" si="394"/>
        <v>3131474.3404898411</v>
      </c>
      <c r="U1142" s="459">
        <f t="shared" si="395"/>
        <v>13.039593163766822</v>
      </c>
      <c r="V1142" s="462"/>
      <c r="W1142" s="449"/>
    </row>
    <row r="1143" spans="1:23" s="450" customFormat="1" hidden="1">
      <c r="A1143" s="474"/>
      <c r="B1143" s="474"/>
      <c r="C1143" s="475" t="s">
        <v>707</v>
      </c>
      <c r="D1143" s="474"/>
      <c r="E1143" s="474"/>
      <c r="F1143" s="474"/>
      <c r="G1143" s="474"/>
      <c r="H1143" s="462">
        <v>215632.7244817093</v>
      </c>
      <c r="I1143" s="462">
        <v>269169.63150819985</v>
      </c>
      <c r="J1143" s="462">
        <v>219105.88239677221</v>
      </c>
      <c r="K1143" s="462">
        <v>200031.72603987387</v>
      </c>
      <c r="L1143" s="462">
        <v>298395.53170097835</v>
      </c>
      <c r="M1143" s="841">
        <v>293164.37495250156</v>
      </c>
      <c r="N1143" s="462">
        <v>75011.663583698057</v>
      </c>
      <c r="O1143" s="462">
        <v>314213.61087163491</v>
      </c>
      <c r="P1143" s="462">
        <v>196953.90266730054</v>
      </c>
      <c r="Q1143" s="462">
        <v>284150.11096258723</v>
      </c>
      <c r="R1143" s="462">
        <v>315030.01306845504</v>
      </c>
      <c r="S1143" s="462">
        <v>284150.11096258723</v>
      </c>
      <c r="T1143" s="462">
        <f t="shared" si="394"/>
        <v>2965009.2831962984</v>
      </c>
      <c r="U1143" s="459">
        <f t="shared" si="395"/>
        <v>12.346425541402912</v>
      </c>
      <c r="V1143" s="462"/>
      <c r="W1143" s="449"/>
    </row>
    <row r="1144" spans="1:23" s="450" customFormat="1" hidden="1">
      <c r="A1144" s="474"/>
      <c r="B1144" s="474"/>
      <c r="C1144" s="475" t="s">
        <v>708</v>
      </c>
      <c r="D1144" s="474"/>
      <c r="E1144" s="474"/>
      <c r="F1144" s="474"/>
      <c r="G1144" s="474"/>
      <c r="H1144" s="462">
        <v>68212.800958026826</v>
      </c>
      <c r="I1144" s="462">
        <v>237149.48096598408</v>
      </c>
      <c r="J1144" s="462">
        <v>302548.63866285834</v>
      </c>
      <c r="K1144" s="462">
        <v>273811.03380609967</v>
      </c>
      <c r="L1144" s="462">
        <v>241914.65701706486</v>
      </c>
      <c r="M1144" s="841">
        <v>291894.50843220757</v>
      </c>
      <c r="N1144" s="462">
        <v>304748.7140244508</v>
      </c>
      <c r="O1144" s="462">
        <v>313472.55427228619</v>
      </c>
      <c r="P1144" s="462">
        <v>309473.4153315312</v>
      </c>
      <c r="Q1144" s="462">
        <v>278830.49710980931</v>
      </c>
      <c r="R1144" s="462">
        <v>318938.48071239376</v>
      </c>
      <c r="S1144" s="462">
        <v>278830.49710980931</v>
      </c>
      <c r="T1144" s="462">
        <f t="shared" si="394"/>
        <v>3219825.2784025222</v>
      </c>
      <c r="U1144" s="459">
        <f t="shared" si="395"/>
        <v>13.407490250171932</v>
      </c>
      <c r="V1144" s="462"/>
      <c r="W1144" s="449"/>
    </row>
    <row r="1145" spans="1:23" s="450" customFormat="1" hidden="1">
      <c r="A1145" s="474"/>
      <c r="B1145" s="474"/>
      <c r="C1145" s="476" t="s">
        <v>709</v>
      </c>
      <c r="D1145" s="474" t="s">
        <v>173</v>
      </c>
      <c r="E1145" s="474"/>
      <c r="F1145" s="474"/>
      <c r="G1145" s="474"/>
      <c r="H1145" s="462">
        <f t="shared" ref="H1145:Q1145" si="396">SUM(H1138:H1144)</f>
        <v>1955466.6289096153</v>
      </c>
      <c r="I1145" s="462">
        <f t="shared" si="396"/>
        <v>1855061.9817325519</v>
      </c>
      <c r="J1145" s="462">
        <f t="shared" si="396"/>
        <v>2190426.8308825544</v>
      </c>
      <c r="K1145" s="462">
        <f t="shared" si="396"/>
        <v>1940364.7655936615</v>
      </c>
      <c r="L1145" s="462">
        <f t="shared" si="396"/>
        <v>2143253.2657548608</v>
      </c>
      <c r="M1145" s="462">
        <f t="shared" si="396"/>
        <v>2020053.4893661761</v>
      </c>
      <c r="N1145" s="462">
        <f>SUM(N1138:N1144)</f>
        <v>2007533.1497859093</v>
      </c>
      <c r="O1145" s="462">
        <f>SUM(O1138:O1144)</f>
        <v>2074054.3835729528</v>
      </c>
      <c r="P1145" s="462">
        <f t="shared" si="396"/>
        <v>2033011.6442731172</v>
      </c>
      <c r="Q1145" s="462">
        <f t="shared" si="396"/>
        <v>1891440.9397443389</v>
      </c>
      <c r="R1145" s="462">
        <v>1900568.3218613935</v>
      </c>
      <c r="S1145" s="462">
        <f t="shared" ref="S1145" si="397">SUM(S1138:S1144)</f>
        <v>2003887.6254535215</v>
      </c>
      <c r="T1145" s="462">
        <f t="shared" si="394"/>
        <v>24015123.026930653</v>
      </c>
      <c r="U1145" s="462">
        <f>SUM(U1138:U1144)</f>
        <v>99.999999999999986</v>
      </c>
      <c r="V1145" s="462"/>
      <c r="W1145" s="449"/>
    </row>
    <row r="1146" spans="1:23" s="450" customFormat="1" hidden="1">
      <c r="A1146" s="474"/>
      <c r="B1146" s="474"/>
      <c r="C1146" s="476" t="s">
        <v>710</v>
      </c>
      <c r="D1146" s="474" t="s">
        <v>173</v>
      </c>
      <c r="E1146" s="474"/>
      <c r="F1146" s="474"/>
      <c r="G1146" s="474"/>
      <c r="H1146" s="462">
        <f>H1145</f>
        <v>1955466.6289096153</v>
      </c>
      <c r="I1146" s="462">
        <f>H1146+I1145</f>
        <v>3810528.6106421673</v>
      </c>
      <c r="J1146" s="462">
        <f>I1146+J1145</f>
        <v>6000955.4415247217</v>
      </c>
      <c r="K1146" s="462">
        <f>J1146+K1145</f>
        <v>7941320.2071183827</v>
      </c>
      <c r="L1146" s="462">
        <f t="shared" ref="L1146:S1146" si="398">K1146+L1145</f>
        <v>10084573.472873244</v>
      </c>
      <c r="M1146" s="462">
        <f t="shared" si="398"/>
        <v>12104626.96223942</v>
      </c>
      <c r="N1146" s="462">
        <f t="shared" si="398"/>
        <v>14112160.11202533</v>
      </c>
      <c r="O1146" s="462">
        <f t="shared" si="398"/>
        <v>16186214.495598283</v>
      </c>
      <c r="P1146" s="462">
        <f t="shared" si="398"/>
        <v>18219226.1398714</v>
      </c>
      <c r="Q1146" s="462">
        <f>P1146+Q1145</f>
        <v>20110667.079615738</v>
      </c>
      <c r="R1146" s="462">
        <f t="shared" si="398"/>
        <v>22011235.401477132</v>
      </c>
      <c r="S1146" s="462">
        <f t="shared" si="398"/>
        <v>24015123.026930653</v>
      </c>
      <c r="T1146" s="462">
        <f>T1145</f>
        <v>24015123.026930653</v>
      </c>
      <c r="U1146" s="462"/>
      <c r="V1146" s="462"/>
      <c r="W1146" s="449"/>
    </row>
    <row r="1147" spans="1:23" s="461" customFormat="1" ht="23.25" hidden="1">
      <c r="A1147" s="420"/>
      <c r="B1147" s="420"/>
      <c r="C1147" s="478" t="s">
        <v>711</v>
      </c>
      <c r="D1147" s="420"/>
      <c r="E1147" s="423"/>
      <c r="F1147" s="420"/>
      <c r="G1147" s="420"/>
      <c r="H1147" s="422"/>
      <c r="I1147" s="422"/>
      <c r="J1147" s="422"/>
      <c r="K1147" s="422"/>
      <c r="L1147" s="422"/>
      <c r="M1147" s="422"/>
      <c r="N1147" s="422"/>
      <c r="O1147" s="422"/>
      <c r="P1147" s="422"/>
      <c r="Q1147" s="422"/>
      <c r="R1147" s="422"/>
      <c r="S1147" s="422"/>
      <c r="T1147" s="422"/>
      <c r="U1147" s="422"/>
      <c r="V1147" s="422"/>
      <c r="W1147" s="460"/>
    </row>
    <row r="1148" spans="1:23" s="461" customFormat="1" hidden="1">
      <c r="A1148" s="420"/>
      <c r="B1148" s="420"/>
      <c r="C1148" s="479" t="s">
        <v>701</v>
      </c>
      <c r="D1148" s="420"/>
      <c r="E1148" s="420"/>
      <c r="F1148" s="420"/>
      <c r="G1148" s="420"/>
      <c r="H1148" s="422"/>
      <c r="I1148" s="422"/>
      <c r="J1148" s="422"/>
      <c r="K1148" s="422"/>
      <c r="L1148" s="422"/>
      <c r="M1148" s="481"/>
      <c r="N1148" s="422"/>
      <c r="O1148" s="422"/>
      <c r="P1148" s="422"/>
      <c r="Q1148" s="422"/>
      <c r="R1148" s="422"/>
      <c r="S1148" s="422"/>
      <c r="T1148" s="422">
        <f t="shared" ref="T1148:T1156" si="399">SUM(H1148:S1148)</f>
        <v>0</v>
      </c>
      <c r="U1148" s="422"/>
      <c r="V1148" s="422"/>
      <c r="W1148" s="460"/>
    </row>
    <row r="1149" spans="1:23" s="461" customFormat="1" hidden="1">
      <c r="A1149" s="420"/>
      <c r="B1149" s="420"/>
      <c r="C1149" s="479" t="s">
        <v>702</v>
      </c>
      <c r="D1149" s="420"/>
      <c r="E1149" s="420"/>
      <c r="F1149" s="420"/>
      <c r="G1149" s="420"/>
      <c r="H1149" s="422"/>
      <c r="I1149" s="422"/>
      <c r="J1149" s="422"/>
      <c r="K1149" s="422"/>
      <c r="L1149" s="422"/>
      <c r="M1149" s="481"/>
      <c r="N1149" s="422"/>
      <c r="O1149" s="422"/>
      <c r="P1149" s="422"/>
      <c r="Q1149" s="422"/>
      <c r="R1149" s="422"/>
      <c r="S1149" s="422"/>
      <c r="T1149" s="422">
        <f t="shared" si="399"/>
        <v>0</v>
      </c>
      <c r="U1149" s="422"/>
      <c r="V1149" s="422"/>
      <c r="W1149" s="460"/>
    </row>
    <row r="1150" spans="1:23" s="461" customFormat="1" hidden="1">
      <c r="A1150" s="420"/>
      <c r="B1150" s="420"/>
      <c r="C1150" s="479" t="s">
        <v>704</v>
      </c>
      <c r="D1150" s="420"/>
      <c r="E1150" s="420"/>
      <c r="F1150" s="420"/>
      <c r="G1150" s="420"/>
      <c r="H1150" s="422"/>
      <c r="I1150" s="422"/>
      <c r="J1150" s="422"/>
      <c r="K1150" s="422"/>
      <c r="L1150" s="422"/>
      <c r="M1150" s="481"/>
      <c r="N1150" s="422"/>
      <c r="O1150" s="422"/>
      <c r="P1150" s="422"/>
      <c r="Q1150" s="422"/>
      <c r="R1150" s="422"/>
      <c r="S1150" s="422"/>
      <c r="T1150" s="422">
        <f t="shared" si="399"/>
        <v>0</v>
      </c>
      <c r="U1150" s="422"/>
      <c r="V1150" s="422"/>
      <c r="W1150" s="460"/>
    </row>
    <row r="1151" spans="1:23" s="461" customFormat="1" hidden="1">
      <c r="A1151" s="420"/>
      <c r="B1151" s="420"/>
      <c r="C1151" s="479" t="s">
        <v>705</v>
      </c>
      <c r="D1151" s="420"/>
      <c r="E1151" s="420"/>
      <c r="F1151" s="420"/>
      <c r="G1151" s="420"/>
      <c r="H1151" s="422"/>
      <c r="I1151" s="422"/>
      <c r="J1151" s="422"/>
      <c r="K1151" s="422"/>
      <c r="L1151" s="422"/>
      <c r="M1151" s="481"/>
      <c r="N1151" s="422"/>
      <c r="O1151" s="422"/>
      <c r="P1151" s="422"/>
      <c r="Q1151" s="422"/>
      <c r="R1151" s="422"/>
      <c r="S1151" s="422"/>
      <c r="T1151" s="422">
        <f t="shared" si="399"/>
        <v>0</v>
      </c>
      <c r="U1151" s="422"/>
      <c r="V1151" s="422"/>
      <c r="W1151" s="460"/>
    </row>
    <row r="1152" spans="1:23" s="461" customFormat="1" hidden="1">
      <c r="A1152" s="420"/>
      <c r="B1152" s="420"/>
      <c r="C1152" s="479" t="s">
        <v>706</v>
      </c>
      <c r="D1152" s="420"/>
      <c r="E1152" s="420"/>
      <c r="F1152" s="420"/>
      <c r="G1152" s="420"/>
      <c r="H1152" s="422"/>
      <c r="I1152" s="422"/>
      <c r="J1152" s="422"/>
      <c r="K1152" s="422"/>
      <c r="L1152" s="422"/>
      <c r="M1152" s="481"/>
      <c r="N1152" s="422"/>
      <c r="O1152" s="422"/>
      <c r="P1152" s="422"/>
      <c r="Q1152" s="422"/>
      <c r="R1152" s="422"/>
      <c r="S1152" s="422"/>
      <c r="T1152" s="422">
        <f t="shared" si="399"/>
        <v>0</v>
      </c>
      <c r="U1152" s="422"/>
      <c r="V1152" s="422"/>
      <c r="W1152" s="460"/>
    </row>
    <row r="1153" spans="1:34" s="461" customFormat="1" hidden="1">
      <c r="A1153" s="420"/>
      <c r="B1153" s="420"/>
      <c r="C1153" s="479" t="s">
        <v>707</v>
      </c>
      <c r="D1153" s="420"/>
      <c r="E1153" s="420"/>
      <c r="F1153" s="420"/>
      <c r="G1153" s="420"/>
      <c r="H1153" s="422"/>
      <c r="I1153" s="422"/>
      <c r="J1153" s="422"/>
      <c r="K1153" s="422"/>
      <c r="L1153" s="422"/>
      <c r="M1153" s="481"/>
      <c r="N1153" s="422"/>
      <c r="O1153" s="422"/>
      <c r="P1153" s="422"/>
      <c r="Q1153" s="422"/>
      <c r="R1153" s="422"/>
      <c r="S1153" s="422"/>
      <c r="T1153" s="422">
        <f t="shared" si="399"/>
        <v>0</v>
      </c>
      <c r="U1153" s="422"/>
      <c r="V1153" s="422"/>
      <c r="W1153" s="460"/>
    </row>
    <row r="1154" spans="1:34" s="461" customFormat="1" hidden="1">
      <c r="A1154" s="420"/>
      <c r="B1154" s="420"/>
      <c r="C1154" s="479" t="s">
        <v>708</v>
      </c>
      <c r="D1154" s="420"/>
      <c r="E1154" s="420"/>
      <c r="F1154" s="420"/>
      <c r="G1154" s="420"/>
      <c r="H1154" s="422"/>
      <c r="I1154" s="422"/>
      <c r="J1154" s="422"/>
      <c r="K1154" s="422"/>
      <c r="L1154" s="422"/>
      <c r="M1154" s="481"/>
      <c r="N1154" s="422"/>
      <c r="O1154" s="422"/>
      <c r="P1154" s="422"/>
      <c r="Q1154" s="422"/>
      <c r="R1154" s="422"/>
      <c r="S1154" s="422"/>
      <c r="T1154" s="422">
        <f t="shared" si="399"/>
        <v>0</v>
      </c>
      <c r="U1154" s="422"/>
      <c r="V1154" s="422"/>
      <c r="W1154" s="460"/>
    </row>
    <row r="1155" spans="1:34" s="461" customFormat="1" hidden="1">
      <c r="A1155" s="420"/>
      <c r="B1155" s="420"/>
      <c r="C1155" s="482" t="s">
        <v>875</v>
      </c>
      <c r="D1155" s="420" t="s">
        <v>173</v>
      </c>
      <c r="E1155" s="420"/>
      <c r="F1155" s="420"/>
      <c r="G1155" s="420"/>
      <c r="H1155" s="422">
        <f t="shared" ref="H1155:S1155" si="400">SUM(H1148:H1154)</f>
        <v>0</v>
      </c>
      <c r="I1155" s="422">
        <f t="shared" si="400"/>
        <v>0</v>
      </c>
      <c r="J1155" s="422">
        <f t="shared" si="400"/>
        <v>0</v>
      </c>
      <c r="K1155" s="422">
        <f t="shared" si="400"/>
        <v>0</v>
      </c>
      <c r="L1155" s="422">
        <f t="shared" si="400"/>
        <v>0</v>
      </c>
      <c r="M1155" s="422">
        <f t="shared" si="400"/>
        <v>0</v>
      </c>
      <c r="N1155" s="422">
        <f t="shared" si="400"/>
        <v>0</v>
      </c>
      <c r="O1155" s="422">
        <f t="shared" si="400"/>
        <v>0</v>
      </c>
      <c r="P1155" s="422">
        <f t="shared" si="400"/>
        <v>0</v>
      </c>
      <c r="Q1155" s="422">
        <f t="shared" si="400"/>
        <v>0</v>
      </c>
      <c r="R1155" s="422">
        <f t="shared" si="400"/>
        <v>0</v>
      </c>
      <c r="S1155" s="422">
        <f t="shared" si="400"/>
        <v>0</v>
      </c>
      <c r="T1155" s="422">
        <f t="shared" si="399"/>
        <v>0</v>
      </c>
      <c r="U1155" s="422"/>
      <c r="V1155" s="422"/>
      <c r="W1155" s="460"/>
    </row>
    <row r="1156" spans="1:34" s="461" customFormat="1" hidden="1">
      <c r="A1156" s="420"/>
      <c r="B1156" s="420"/>
      <c r="C1156" s="482" t="s">
        <v>712</v>
      </c>
      <c r="D1156" s="420"/>
      <c r="E1156" s="420"/>
      <c r="F1156" s="420"/>
      <c r="G1156" s="420"/>
      <c r="H1156" s="422">
        <f>H1155</f>
        <v>0</v>
      </c>
      <c r="I1156" s="422">
        <f>H1156+I1155</f>
        <v>0</v>
      </c>
      <c r="J1156" s="422">
        <f>I1156+J1155</f>
        <v>0</v>
      </c>
      <c r="K1156" s="422">
        <f t="shared" ref="K1156:S1156" si="401">J1156+K1155</f>
        <v>0</v>
      </c>
      <c r="L1156" s="422">
        <f t="shared" si="401"/>
        <v>0</v>
      </c>
      <c r="M1156" s="422">
        <f t="shared" si="401"/>
        <v>0</v>
      </c>
      <c r="N1156" s="422">
        <f t="shared" si="401"/>
        <v>0</v>
      </c>
      <c r="O1156" s="422">
        <f t="shared" si="401"/>
        <v>0</v>
      </c>
      <c r="P1156" s="422">
        <f t="shared" si="401"/>
        <v>0</v>
      </c>
      <c r="Q1156" s="422">
        <f>P1156+Q1155</f>
        <v>0</v>
      </c>
      <c r="R1156" s="422">
        <f t="shared" si="401"/>
        <v>0</v>
      </c>
      <c r="S1156" s="422">
        <f t="shared" si="401"/>
        <v>0</v>
      </c>
      <c r="T1156" s="483">
        <f t="shared" si="399"/>
        <v>0</v>
      </c>
      <c r="U1156" s="422"/>
      <c r="V1156" s="422"/>
      <c r="W1156" s="460"/>
    </row>
    <row r="1157" spans="1:34" ht="23.25" hidden="1">
      <c r="A1157" s="229"/>
      <c r="B1157" s="229"/>
      <c r="C1157" s="484" t="s">
        <v>399</v>
      </c>
      <c r="D1157" s="229"/>
      <c r="E1157" s="400"/>
      <c r="F1157" s="400"/>
      <c r="G1157" s="229"/>
      <c r="H1157" s="275"/>
      <c r="I1157" s="275"/>
      <c r="J1157" s="275"/>
      <c r="K1157" s="275"/>
      <c r="L1157" s="275"/>
      <c r="M1157" s="275"/>
      <c r="N1157" s="275"/>
      <c r="O1157" s="275"/>
      <c r="P1157" s="275"/>
      <c r="Q1157" s="275"/>
      <c r="R1157" s="275"/>
      <c r="S1157" s="275"/>
      <c r="T1157" s="274" t="s">
        <v>713</v>
      </c>
      <c r="U1157" s="274" t="s">
        <v>703</v>
      </c>
      <c r="V1157" s="275"/>
    </row>
    <row r="1158" spans="1:34" hidden="1">
      <c r="A1158" s="229"/>
      <c r="B1158" s="229"/>
      <c r="C1158" s="426" t="s">
        <v>701</v>
      </c>
      <c r="D1158" s="229"/>
      <c r="E1158" s="229"/>
      <c r="F1158" s="485"/>
      <c r="G1158" s="229"/>
      <c r="H1158" s="275">
        <v>489240.61091803323</v>
      </c>
      <c r="I1158" s="275">
        <v>449613.72289625235</v>
      </c>
      <c r="J1158" s="275">
        <v>489935.81947981881</v>
      </c>
      <c r="K1158" s="275">
        <v>478179.34612247965</v>
      </c>
      <c r="L1158" s="275">
        <v>466944.27918647975</v>
      </c>
      <c r="M1158" s="275">
        <v>448397.10791312752</v>
      </c>
      <c r="N1158" s="275">
        <v>502834.42118866293</v>
      </c>
      <c r="O1158" s="275">
        <v>463505.47969336162</v>
      </c>
      <c r="P1158" s="275">
        <v>469549.27757107286</v>
      </c>
      <c r="Q1158" s="275">
        <v>101823.22542438803</v>
      </c>
      <c r="R1158" s="275"/>
      <c r="S1158" s="275">
        <v>232981.76926840897</v>
      </c>
      <c r="T1158" s="275">
        <f t="shared" ref="T1158:T1166" si="402">SUM(H1158:S1158)</f>
        <v>4593005.0596620869</v>
      </c>
      <c r="U1158" s="275" t="e">
        <f t="shared" ref="U1158:U1164" si="403">T1158*F1158/E1158</f>
        <v>#DIV/0!</v>
      </c>
      <c r="V1158" s="275"/>
      <c r="W1158" s="214" t="e">
        <f t="shared" ref="W1158:AH1164" si="404">H1158*$F1158/$E1158</f>
        <v>#DIV/0!</v>
      </c>
      <c r="X1158" s="214" t="e">
        <f t="shared" ref="X1158:AH1158" si="405">I1158*$F$1158/$E$1158</f>
        <v>#DIV/0!</v>
      </c>
      <c r="Y1158" s="214" t="e">
        <f t="shared" si="405"/>
        <v>#DIV/0!</v>
      </c>
      <c r="Z1158" s="214" t="e">
        <f t="shared" si="405"/>
        <v>#DIV/0!</v>
      </c>
      <c r="AA1158" s="214" t="e">
        <f t="shared" si="405"/>
        <v>#DIV/0!</v>
      </c>
      <c r="AB1158" s="214" t="e">
        <f t="shared" si="405"/>
        <v>#DIV/0!</v>
      </c>
      <c r="AC1158" s="214" t="e">
        <f t="shared" si="405"/>
        <v>#DIV/0!</v>
      </c>
      <c r="AD1158" s="214" t="e">
        <f t="shared" si="405"/>
        <v>#DIV/0!</v>
      </c>
      <c r="AE1158" s="214" t="e">
        <f t="shared" si="405"/>
        <v>#DIV/0!</v>
      </c>
      <c r="AF1158" s="214" t="e">
        <f t="shared" si="405"/>
        <v>#DIV/0!</v>
      </c>
      <c r="AG1158" s="214" t="e">
        <f t="shared" si="405"/>
        <v>#DIV/0!</v>
      </c>
      <c r="AH1158" s="214" t="e">
        <f t="shared" si="405"/>
        <v>#DIV/0!</v>
      </c>
    </row>
    <row r="1159" spans="1:34" hidden="1">
      <c r="A1159" s="229"/>
      <c r="B1159" s="229"/>
      <c r="C1159" s="426" t="s">
        <v>702</v>
      </c>
      <c r="D1159" s="229"/>
      <c r="E1159" s="229"/>
      <c r="F1159" s="485"/>
      <c r="G1159" s="229"/>
      <c r="H1159" s="275">
        <v>290479.96974153322</v>
      </c>
      <c r="I1159" s="275">
        <v>273837.85974486161</v>
      </c>
      <c r="J1159" s="275">
        <v>233016.09925890804</v>
      </c>
      <c r="K1159" s="275">
        <v>272924.68763529498</v>
      </c>
      <c r="L1159" s="275">
        <v>292730.57952571136</v>
      </c>
      <c r="M1159" s="275">
        <v>275915.69527399441</v>
      </c>
      <c r="N1159" s="275">
        <v>235419.45589895584</v>
      </c>
      <c r="O1159" s="275">
        <v>261741.3748482705</v>
      </c>
      <c r="P1159" s="275">
        <v>315765.59513041319</v>
      </c>
      <c r="Q1159" s="275">
        <v>309773.42836140149</v>
      </c>
      <c r="R1159" s="275">
        <v>323692.74280237884</v>
      </c>
      <c r="S1159" s="275">
        <v>306296.0343666203</v>
      </c>
      <c r="T1159" s="275">
        <f t="shared" si="402"/>
        <v>3391593.5225883438</v>
      </c>
      <c r="U1159" s="275" t="e">
        <f t="shared" si="403"/>
        <v>#DIV/0!</v>
      </c>
      <c r="V1159" s="275"/>
      <c r="W1159" s="214" t="e">
        <f t="shared" si="404"/>
        <v>#DIV/0!</v>
      </c>
      <c r="X1159" s="214" t="e">
        <f t="shared" si="404"/>
        <v>#DIV/0!</v>
      </c>
      <c r="Y1159" s="214" t="e">
        <f t="shared" si="404"/>
        <v>#DIV/0!</v>
      </c>
      <c r="Z1159" s="214" t="e">
        <f t="shared" si="404"/>
        <v>#DIV/0!</v>
      </c>
      <c r="AA1159" s="214" t="e">
        <f t="shared" si="404"/>
        <v>#DIV/0!</v>
      </c>
      <c r="AB1159" s="214" t="e">
        <f t="shared" si="404"/>
        <v>#DIV/0!</v>
      </c>
      <c r="AC1159" s="214" t="e">
        <f t="shared" si="404"/>
        <v>#DIV/0!</v>
      </c>
      <c r="AD1159" s="214" t="e">
        <f t="shared" si="404"/>
        <v>#DIV/0!</v>
      </c>
      <c r="AE1159" s="214" t="e">
        <f t="shared" si="404"/>
        <v>#DIV/0!</v>
      </c>
      <c r="AF1159" s="214" t="e">
        <f t="shared" si="404"/>
        <v>#DIV/0!</v>
      </c>
      <c r="AG1159" s="214" t="e">
        <f t="shared" si="404"/>
        <v>#DIV/0!</v>
      </c>
      <c r="AH1159" s="214" t="e">
        <f t="shared" si="404"/>
        <v>#DIV/0!</v>
      </c>
    </row>
    <row r="1160" spans="1:34" hidden="1">
      <c r="A1160" s="229"/>
      <c r="B1160" s="229"/>
      <c r="C1160" s="426" t="s">
        <v>704</v>
      </c>
      <c r="D1160" s="229"/>
      <c r="E1160" s="229"/>
      <c r="F1160" s="485"/>
      <c r="G1160" s="229"/>
      <c r="H1160" s="275">
        <v>290397.97624519386</v>
      </c>
      <c r="I1160" s="275">
        <v>135152.44924317542</v>
      </c>
      <c r="J1160" s="275">
        <v>323848.30834290857</v>
      </c>
      <c r="K1160" s="275">
        <v>281332.79999903182</v>
      </c>
      <c r="L1160" s="275">
        <v>302853.37320441048</v>
      </c>
      <c r="M1160" s="275">
        <v>296645.1924304993</v>
      </c>
      <c r="N1160" s="275">
        <v>306552.64108144428</v>
      </c>
      <c r="O1160" s="275">
        <v>285828.30859818734</v>
      </c>
      <c r="P1160" s="275">
        <v>251057.57483170819</v>
      </c>
      <c r="Q1160" s="275">
        <v>315206.42721860064</v>
      </c>
      <c r="R1160" s="275">
        <v>322370.04392770556</v>
      </c>
      <c r="S1160" s="275">
        <v>311809.42598288268</v>
      </c>
      <c r="T1160" s="275">
        <f t="shared" si="402"/>
        <v>3423054.5211057481</v>
      </c>
      <c r="U1160" s="275" t="e">
        <f t="shared" si="403"/>
        <v>#DIV/0!</v>
      </c>
      <c r="V1160" s="275"/>
      <c r="W1160" s="214" t="e">
        <f t="shared" si="404"/>
        <v>#DIV/0!</v>
      </c>
      <c r="X1160" s="214" t="e">
        <f t="shared" si="404"/>
        <v>#DIV/0!</v>
      </c>
      <c r="Y1160" s="214" t="e">
        <f t="shared" si="404"/>
        <v>#DIV/0!</v>
      </c>
      <c r="Z1160" s="214" t="e">
        <f t="shared" si="404"/>
        <v>#DIV/0!</v>
      </c>
      <c r="AA1160" s="214" t="e">
        <f t="shared" si="404"/>
        <v>#DIV/0!</v>
      </c>
      <c r="AB1160" s="214" t="e">
        <f t="shared" si="404"/>
        <v>#DIV/0!</v>
      </c>
      <c r="AC1160" s="214" t="e">
        <f t="shared" si="404"/>
        <v>#DIV/0!</v>
      </c>
      <c r="AD1160" s="214" t="e">
        <f t="shared" si="404"/>
        <v>#DIV/0!</v>
      </c>
      <c r="AE1160" s="214" t="e">
        <f t="shared" si="404"/>
        <v>#DIV/0!</v>
      </c>
      <c r="AF1160" s="214" t="e">
        <f t="shared" si="404"/>
        <v>#DIV/0!</v>
      </c>
      <c r="AG1160" s="214" t="e">
        <f t="shared" si="404"/>
        <v>#DIV/0!</v>
      </c>
      <c r="AH1160" s="214" t="e">
        <f t="shared" si="404"/>
        <v>#DIV/0!</v>
      </c>
    </row>
    <row r="1161" spans="1:34" hidden="1">
      <c r="A1161" s="229"/>
      <c r="B1161" s="229"/>
      <c r="C1161" s="426" t="s">
        <v>705</v>
      </c>
      <c r="D1161" s="229"/>
      <c r="E1161" s="229"/>
      <c r="F1161" s="485"/>
      <c r="G1161" s="229"/>
      <c r="H1161" s="275">
        <v>289914.16097558942</v>
      </c>
      <c r="I1161" s="275">
        <v>176716.30952552136</v>
      </c>
      <c r="J1161" s="275">
        <v>324013.830359468</v>
      </c>
      <c r="K1161" s="275">
        <v>189606.04042456325</v>
      </c>
      <c r="L1161" s="275">
        <v>245162.57477771776</v>
      </c>
      <c r="M1161" s="275">
        <v>271670.44494375127</v>
      </c>
      <c r="N1161" s="275">
        <v>307274.8772752331</v>
      </c>
      <c r="O1161" s="275">
        <v>317238.98963317415</v>
      </c>
      <c r="P1161" s="275">
        <v>243460.58144402533</v>
      </c>
      <c r="Q1161" s="275">
        <v>309029.93241058616</v>
      </c>
      <c r="R1161" s="275">
        <v>320757.92719992943</v>
      </c>
      <c r="S1161" s="275">
        <v>307350.21715341142</v>
      </c>
      <c r="T1161" s="275">
        <f t="shared" si="402"/>
        <v>3302195.8861229708</v>
      </c>
      <c r="U1161" s="275" t="e">
        <f t="shared" si="403"/>
        <v>#DIV/0!</v>
      </c>
      <c r="V1161" s="275"/>
      <c r="W1161" s="214" t="e">
        <f t="shared" si="404"/>
        <v>#DIV/0!</v>
      </c>
      <c r="X1161" s="214" t="e">
        <f t="shared" si="404"/>
        <v>#DIV/0!</v>
      </c>
      <c r="Y1161" s="214" t="e">
        <f t="shared" si="404"/>
        <v>#DIV/0!</v>
      </c>
      <c r="Z1161" s="214" t="e">
        <f t="shared" si="404"/>
        <v>#DIV/0!</v>
      </c>
      <c r="AA1161" s="214" t="e">
        <f t="shared" si="404"/>
        <v>#DIV/0!</v>
      </c>
      <c r="AB1161" s="214" t="e">
        <f t="shared" si="404"/>
        <v>#DIV/0!</v>
      </c>
      <c r="AC1161" s="214" t="e">
        <f t="shared" si="404"/>
        <v>#DIV/0!</v>
      </c>
      <c r="AD1161" s="214" t="e">
        <f t="shared" si="404"/>
        <v>#DIV/0!</v>
      </c>
      <c r="AE1161" s="214" t="e">
        <f t="shared" si="404"/>
        <v>#DIV/0!</v>
      </c>
      <c r="AF1161" s="214" t="e">
        <f t="shared" si="404"/>
        <v>#DIV/0!</v>
      </c>
      <c r="AG1161" s="214" t="e">
        <f t="shared" si="404"/>
        <v>#DIV/0!</v>
      </c>
      <c r="AH1161" s="214" t="e">
        <f t="shared" si="404"/>
        <v>#DIV/0!</v>
      </c>
    </row>
    <row r="1162" spans="1:34" hidden="1">
      <c r="A1162" s="229"/>
      <c r="B1162" s="229"/>
      <c r="C1162" s="426" t="s">
        <v>706</v>
      </c>
      <c r="D1162" s="229"/>
      <c r="E1162" s="229"/>
      <c r="F1162" s="485"/>
      <c r="G1162" s="229"/>
      <c r="H1162" s="275">
        <v>287731.31151237764</v>
      </c>
      <c r="I1162" s="275">
        <v>271972.43577623327</v>
      </c>
      <c r="J1162" s="275">
        <v>234566.44878872816</v>
      </c>
      <c r="K1162" s="275">
        <v>266696.03888615576</v>
      </c>
      <c r="L1162" s="275">
        <v>300173.06494949223</v>
      </c>
      <c r="M1162" s="275">
        <v>129158.32884190805</v>
      </c>
      <c r="N1162" s="275">
        <v>304867.20849114924</v>
      </c>
      <c r="O1162" s="275">
        <v>141706.76892822664</v>
      </c>
      <c r="P1162" s="275">
        <v>263319.93373133504</v>
      </c>
      <c r="Q1162" s="275">
        <v>309577.24099813972</v>
      </c>
      <c r="R1162" s="275">
        <v>316269.9575425678</v>
      </c>
      <c r="S1162" s="275">
        <v>309577.24099813972</v>
      </c>
      <c r="T1162" s="275">
        <f t="shared" si="402"/>
        <v>3135615.9794444535</v>
      </c>
      <c r="U1162" s="275" t="e">
        <f t="shared" si="403"/>
        <v>#DIV/0!</v>
      </c>
      <c r="V1162" s="275"/>
      <c r="W1162" s="214" t="e">
        <f t="shared" si="404"/>
        <v>#DIV/0!</v>
      </c>
      <c r="X1162" s="214" t="e">
        <f t="shared" si="404"/>
        <v>#DIV/0!</v>
      </c>
      <c r="Y1162" s="214" t="e">
        <f t="shared" si="404"/>
        <v>#DIV/0!</v>
      </c>
      <c r="Z1162" s="214" t="e">
        <f t="shared" si="404"/>
        <v>#DIV/0!</v>
      </c>
      <c r="AA1162" s="214" t="e">
        <f t="shared" si="404"/>
        <v>#DIV/0!</v>
      </c>
      <c r="AB1162" s="214" t="e">
        <f t="shared" si="404"/>
        <v>#DIV/0!</v>
      </c>
      <c r="AC1162" s="214" t="e">
        <f t="shared" si="404"/>
        <v>#DIV/0!</v>
      </c>
      <c r="AD1162" s="214" t="e">
        <f t="shared" si="404"/>
        <v>#DIV/0!</v>
      </c>
      <c r="AE1162" s="214" t="e">
        <f t="shared" si="404"/>
        <v>#DIV/0!</v>
      </c>
      <c r="AF1162" s="214" t="e">
        <f t="shared" si="404"/>
        <v>#DIV/0!</v>
      </c>
      <c r="AG1162" s="214" t="e">
        <f t="shared" si="404"/>
        <v>#DIV/0!</v>
      </c>
      <c r="AH1162" s="214" t="e">
        <f t="shared" si="404"/>
        <v>#DIV/0!</v>
      </c>
    </row>
    <row r="1163" spans="1:34" hidden="1">
      <c r="A1163" s="229"/>
      <c r="B1163" s="229"/>
      <c r="C1163" s="426" t="s">
        <v>707</v>
      </c>
      <c r="D1163" s="229"/>
      <c r="E1163" s="229"/>
      <c r="F1163" s="485"/>
      <c r="G1163" s="229"/>
      <c r="H1163" s="275">
        <v>218118.96542385567</v>
      </c>
      <c r="I1163" s="275">
        <v>273125.62870180752</v>
      </c>
      <c r="J1163" s="275">
        <v>218330.9478848452</v>
      </c>
      <c r="K1163" s="275">
        <v>208232.10631846628</v>
      </c>
      <c r="L1163" s="275">
        <v>302984.58682550344</v>
      </c>
      <c r="M1163" s="275">
        <v>296481.98739207676</v>
      </c>
      <c r="N1163" s="275">
        <v>76368.139871593157</v>
      </c>
      <c r="O1163" s="275">
        <v>316486.81625669793</v>
      </c>
      <c r="P1163" s="275">
        <v>201962.10272882204</v>
      </c>
      <c r="Q1163" s="275">
        <v>290011.30801023758</v>
      </c>
      <c r="R1163" s="275">
        <v>321850.53212746955</v>
      </c>
      <c r="S1163" s="275">
        <v>286531.35624642443</v>
      </c>
      <c r="T1163" s="275">
        <f t="shared" si="402"/>
        <v>3010484.4777877997</v>
      </c>
      <c r="U1163" s="275" t="e">
        <f t="shared" si="403"/>
        <v>#DIV/0!</v>
      </c>
      <c r="V1163" s="275"/>
      <c r="W1163" s="214" t="e">
        <f t="shared" si="404"/>
        <v>#DIV/0!</v>
      </c>
      <c r="X1163" s="214" t="e">
        <f t="shared" si="404"/>
        <v>#DIV/0!</v>
      </c>
      <c r="Y1163" s="214" t="e">
        <f t="shared" si="404"/>
        <v>#DIV/0!</v>
      </c>
      <c r="Z1163" s="214" t="e">
        <f t="shared" si="404"/>
        <v>#DIV/0!</v>
      </c>
      <c r="AA1163" s="214" t="e">
        <f t="shared" si="404"/>
        <v>#DIV/0!</v>
      </c>
      <c r="AB1163" s="214" t="e">
        <f t="shared" si="404"/>
        <v>#DIV/0!</v>
      </c>
      <c r="AC1163" s="214" t="e">
        <f t="shared" si="404"/>
        <v>#DIV/0!</v>
      </c>
      <c r="AD1163" s="214" t="e">
        <f t="shared" si="404"/>
        <v>#DIV/0!</v>
      </c>
      <c r="AE1163" s="214" t="e">
        <f t="shared" si="404"/>
        <v>#DIV/0!</v>
      </c>
      <c r="AF1163" s="214" t="e">
        <f t="shared" si="404"/>
        <v>#DIV/0!</v>
      </c>
      <c r="AG1163" s="214" t="e">
        <f t="shared" si="404"/>
        <v>#DIV/0!</v>
      </c>
      <c r="AH1163" s="214" t="e">
        <f t="shared" si="404"/>
        <v>#DIV/0!</v>
      </c>
    </row>
    <row r="1164" spans="1:34" hidden="1">
      <c r="A1164" s="229"/>
      <c r="B1164" s="229"/>
      <c r="C1164" s="426" t="s">
        <v>708</v>
      </c>
      <c r="D1164" s="229"/>
      <c r="E1164" s="229"/>
      <c r="F1164" s="485"/>
      <c r="G1164" s="229"/>
      <c r="H1164" s="275">
        <v>68904.652788720443</v>
      </c>
      <c r="I1164" s="275">
        <v>242166.20312811047</v>
      </c>
      <c r="J1164" s="275">
        <v>304034.49692345638</v>
      </c>
      <c r="K1164" s="275">
        <v>279891.9365230538</v>
      </c>
      <c r="L1164" s="275">
        <v>245970.54300081352</v>
      </c>
      <c r="M1164" s="275">
        <v>296056.47536957014</v>
      </c>
      <c r="N1164" s="275">
        <v>306640.26597587147</v>
      </c>
      <c r="O1164" s="275">
        <v>316309.33287985536</v>
      </c>
      <c r="P1164" s="275">
        <v>316170.64895925461</v>
      </c>
      <c r="Q1164" s="275">
        <v>284038.7829572449</v>
      </c>
      <c r="R1164" s="275">
        <v>327211.41751206829</v>
      </c>
      <c r="S1164" s="275">
        <v>280618.42832406313</v>
      </c>
      <c r="T1164" s="275">
        <f t="shared" si="402"/>
        <v>3268013.1843420826</v>
      </c>
      <c r="U1164" s="275" t="e">
        <f t="shared" si="403"/>
        <v>#DIV/0!</v>
      </c>
      <c r="V1164" s="275"/>
      <c r="W1164" s="214" t="e">
        <f t="shared" si="404"/>
        <v>#DIV/0!</v>
      </c>
      <c r="X1164" s="214" t="e">
        <f t="shared" si="404"/>
        <v>#DIV/0!</v>
      </c>
      <c r="Y1164" s="214" t="e">
        <f t="shared" si="404"/>
        <v>#DIV/0!</v>
      </c>
      <c r="Z1164" s="214" t="e">
        <f t="shared" si="404"/>
        <v>#DIV/0!</v>
      </c>
      <c r="AA1164" s="214" t="e">
        <f t="shared" si="404"/>
        <v>#DIV/0!</v>
      </c>
      <c r="AB1164" s="214" t="e">
        <f t="shared" si="404"/>
        <v>#DIV/0!</v>
      </c>
      <c r="AC1164" s="214" t="e">
        <f t="shared" si="404"/>
        <v>#DIV/0!</v>
      </c>
      <c r="AD1164" s="214" t="e">
        <f t="shared" si="404"/>
        <v>#DIV/0!</v>
      </c>
      <c r="AE1164" s="214" t="e">
        <f t="shared" si="404"/>
        <v>#DIV/0!</v>
      </c>
      <c r="AF1164" s="214" t="e">
        <f t="shared" si="404"/>
        <v>#DIV/0!</v>
      </c>
      <c r="AG1164" s="214" t="e">
        <f t="shared" si="404"/>
        <v>#DIV/0!</v>
      </c>
      <c r="AH1164" s="214" t="e">
        <f t="shared" si="404"/>
        <v>#DIV/0!</v>
      </c>
    </row>
    <row r="1165" spans="1:34" hidden="1">
      <c r="A1165" s="229"/>
      <c r="B1165" s="229"/>
      <c r="C1165" s="426"/>
      <c r="D1165" s="229"/>
      <c r="E1165" s="229"/>
      <c r="F1165" s="485"/>
      <c r="G1165" s="229"/>
      <c r="H1165" s="275">
        <f t="shared" ref="H1165:S1165" si="406">SUM(H1158:H1164)</f>
        <v>1934787.6476053032</v>
      </c>
      <c r="I1165" s="275">
        <f t="shared" si="406"/>
        <v>1822584.6090159619</v>
      </c>
      <c r="J1165" s="275">
        <f t="shared" si="406"/>
        <v>2127745.9510381334</v>
      </c>
      <c r="K1165" s="275">
        <f t="shared" si="406"/>
        <v>1976862.9559090456</v>
      </c>
      <c r="L1165" s="275">
        <f t="shared" si="406"/>
        <v>2156819.0014701285</v>
      </c>
      <c r="M1165" s="275">
        <f t="shared" si="406"/>
        <v>2014325.2321649273</v>
      </c>
      <c r="N1165" s="275">
        <f t="shared" si="406"/>
        <v>2039957.0097829103</v>
      </c>
      <c r="O1165" s="275">
        <f t="shared" si="406"/>
        <v>2102817.0708377734</v>
      </c>
      <c r="P1165" s="275">
        <f t="shared" si="406"/>
        <v>2061285.7143966313</v>
      </c>
      <c r="Q1165" s="275">
        <f t="shared" si="406"/>
        <v>1919460.3453805984</v>
      </c>
      <c r="R1165" s="275">
        <f t="shared" si="406"/>
        <v>1932152.6211121194</v>
      </c>
      <c r="S1165" s="275">
        <f t="shared" si="406"/>
        <v>2035164.4723399503</v>
      </c>
      <c r="T1165" s="275">
        <f t="shared" si="402"/>
        <v>24123962.631053481</v>
      </c>
      <c r="U1165" s="275"/>
      <c r="V1165" s="275"/>
      <c r="X1165" s="214"/>
      <c r="Y1165" s="214"/>
      <c r="Z1165" s="214"/>
      <c r="AA1165" s="214"/>
      <c r="AB1165" s="214"/>
      <c r="AC1165" s="214"/>
      <c r="AD1165" s="214"/>
      <c r="AE1165" s="214"/>
      <c r="AF1165" s="214"/>
      <c r="AG1165" s="214"/>
      <c r="AH1165" s="214"/>
    </row>
    <row r="1166" spans="1:34" hidden="1">
      <c r="A1166" s="229"/>
      <c r="B1166" s="229"/>
      <c r="C1166" s="426" t="s">
        <v>714</v>
      </c>
      <c r="D1166" s="229" t="s">
        <v>173</v>
      </c>
      <c r="E1166" s="229">
        <v>99.12766098543085</v>
      </c>
      <c r="F1166" s="229"/>
      <c r="G1166" s="229"/>
      <c r="H1166" s="275">
        <f>H1165*$E$1166/100</f>
        <v>1917909.7401061773</v>
      </c>
      <c r="I1166" s="275">
        <f>I1165*$E$1166/100</f>
        <v>1806685.4923979831</v>
      </c>
      <c r="J1166" s="275">
        <f>J1165*$E$1166/100</f>
        <v>2109184.7929763123</v>
      </c>
      <c r="K1166" s="275">
        <f t="shared" ref="K1166:S1166" si="407">K1165*$E$1166/100</f>
        <v>1959618.0090800861</v>
      </c>
      <c r="L1166" s="275">
        <f t="shared" si="407"/>
        <v>2138004.2278466639</v>
      </c>
      <c r="M1166" s="275">
        <f t="shared" si="407"/>
        <v>1996753.4872844419</v>
      </c>
      <c r="N1166" s="275">
        <f t="shared" si="407"/>
        <v>2022161.668906136</v>
      </c>
      <c r="O1166" s="275">
        <f t="shared" si="407"/>
        <v>2084473.3771238355</v>
      </c>
      <c r="P1166" s="275">
        <f t="shared" si="407"/>
        <v>2043304.3149082093</v>
      </c>
      <c r="Q1166" s="275">
        <f t="shared" si="407"/>
        <v>1902716.1439186598</v>
      </c>
      <c r="R1166" s="275">
        <f t="shared" si="407"/>
        <v>1915297.6999771381</v>
      </c>
      <c r="S1166" s="275">
        <f t="shared" si="407"/>
        <v>2017410.9386370785</v>
      </c>
      <c r="T1166" s="275">
        <f t="shared" si="402"/>
        <v>23913519.89316272</v>
      </c>
      <c r="U1166" s="275" t="e">
        <f>SUM(U1158:U1164)</f>
        <v>#DIV/0!</v>
      </c>
      <c r="V1166" s="275"/>
    </row>
    <row r="1167" spans="1:34" hidden="1">
      <c r="A1167" s="229"/>
      <c r="B1167" s="229"/>
      <c r="C1167" s="426" t="s">
        <v>715</v>
      </c>
      <c r="D1167" s="229"/>
      <c r="E1167" s="229"/>
      <c r="F1167" s="229"/>
      <c r="G1167" s="229"/>
      <c r="H1167" s="275">
        <f>H1166</f>
        <v>1917909.7401061773</v>
      </c>
      <c r="I1167" s="275">
        <f>H1167+I1166</f>
        <v>3724595.2325041601</v>
      </c>
      <c r="J1167" s="275">
        <f>I1167+J1166</f>
        <v>5833780.0254804725</v>
      </c>
      <c r="K1167" s="275">
        <f t="shared" ref="K1167:S1167" si="408">J1167+K1166</f>
        <v>7793398.0345605584</v>
      </c>
      <c r="L1167" s="275">
        <f t="shared" si="408"/>
        <v>9931402.2624072228</v>
      </c>
      <c r="M1167" s="275">
        <f>L1167+M1166</f>
        <v>11928155.749691665</v>
      </c>
      <c r="N1167" s="275">
        <f t="shared" si="408"/>
        <v>13950317.418597801</v>
      </c>
      <c r="O1167" s="275">
        <f t="shared" si="408"/>
        <v>16034790.795721635</v>
      </c>
      <c r="P1167" s="275">
        <f t="shared" si="408"/>
        <v>18078095.110629845</v>
      </c>
      <c r="Q1167" s="275">
        <f>P1167+Q1166</f>
        <v>19980811.254548505</v>
      </c>
      <c r="R1167" s="275">
        <f t="shared" si="408"/>
        <v>21896108.954525642</v>
      </c>
      <c r="S1167" s="275">
        <f t="shared" si="408"/>
        <v>23913519.89316272</v>
      </c>
      <c r="T1167" s="275">
        <f>T1166</f>
        <v>23913519.89316272</v>
      </c>
      <c r="U1167" s="275"/>
      <c r="V1167" s="275"/>
    </row>
    <row r="1168" spans="1:34" s="450" customFormat="1" hidden="1">
      <c r="A1168" s="474"/>
      <c r="B1168" s="474"/>
      <c r="C1168" s="487" t="s">
        <v>174</v>
      </c>
      <c r="D1168" s="474"/>
      <c r="E1168" s="474"/>
      <c r="F1168" s="474"/>
      <c r="G1168" s="474"/>
      <c r="H1168" s="462"/>
      <c r="I1168" s="462"/>
      <c r="J1168" s="462"/>
      <c r="K1168" s="462"/>
      <c r="L1168" s="462"/>
      <c r="M1168" s="462"/>
      <c r="N1168" s="462"/>
      <c r="O1168" s="462"/>
      <c r="P1168" s="462"/>
      <c r="Q1168" s="462"/>
      <c r="R1168" s="462"/>
      <c r="S1168" s="462"/>
      <c r="T1168" s="462"/>
      <c r="U1168" s="462"/>
      <c r="V1168" s="462"/>
      <c r="W1168" s="449"/>
    </row>
    <row r="1169" spans="1:23" s="450" customFormat="1" hidden="1">
      <c r="A1169" s="474"/>
      <c r="B1169" s="474"/>
      <c r="C1169" s="488" t="s">
        <v>701</v>
      </c>
      <c r="D1169" s="474"/>
      <c r="E1169" s="474"/>
      <c r="F1169" s="474"/>
      <c r="G1169" s="474"/>
      <c r="H1169" s="489" t="e">
        <f>H1138/H1148</f>
        <v>#DIV/0!</v>
      </c>
      <c r="I1169" s="489" t="e">
        <f t="shared" ref="I1169:S1169" si="409">I1138/I1148</f>
        <v>#DIV/0!</v>
      </c>
      <c r="J1169" s="489" t="e">
        <f>J1138/J1148</f>
        <v>#DIV/0!</v>
      </c>
      <c r="K1169" s="489" t="e">
        <f t="shared" si="409"/>
        <v>#DIV/0!</v>
      </c>
      <c r="L1169" s="489" t="e">
        <f t="shared" si="409"/>
        <v>#DIV/0!</v>
      </c>
      <c r="M1169" s="489" t="e">
        <f t="shared" si="409"/>
        <v>#DIV/0!</v>
      </c>
      <c r="N1169" s="489" t="e">
        <f t="shared" si="409"/>
        <v>#DIV/0!</v>
      </c>
      <c r="O1169" s="489" t="e">
        <f t="shared" si="409"/>
        <v>#DIV/0!</v>
      </c>
      <c r="P1169" s="489" t="e">
        <f t="shared" si="409"/>
        <v>#DIV/0!</v>
      </c>
      <c r="Q1169" s="489" t="e">
        <f t="shared" si="409"/>
        <v>#DIV/0!</v>
      </c>
      <c r="R1169" s="489" t="e">
        <f t="shared" si="409"/>
        <v>#DIV/0!</v>
      </c>
      <c r="S1169" s="489" t="e">
        <f t="shared" si="409"/>
        <v>#DIV/0!</v>
      </c>
      <c r="T1169" s="489" t="e">
        <f>T1138/T1148</f>
        <v>#DIV/0!</v>
      </c>
      <c r="U1169" s="462"/>
      <c r="V1169" s="462"/>
      <c r="W1169" s="449"/>
    </row>
    <row r="1170" spans="1:23" s="450" customFormat="1" hidden="1">
      <c r="A1170" s="474"/>
      <c r="B1170" s="474"/>
      <c r="C1170" s="488" t="s">
        <v>702</v>
      </c>
      <c r="D1170" s="474"/>
      <c r="E1170" s="474"/>
      <c r="F1170" s="474"/>
      <c r="G1170" s="474"/>
      <c r="H1170" s="489" t="e">
        <f t="shared" ref="H1170:T1175" si="410">H1139/H1149</f>
        <v>#DIV/0!</v>
      </c>
      <c r="I1170" s="489" t="e">
        <f t="shared" si="410"/>
        <v>#DIV/0!</v>
      </c>
      <c r="J1170" s="489" t="e">
        <f t="shared" si="410"/>
        <v>#DIV/0!</v>
      </c>
      <c r="K1170" s="489" t="e">
        <f t="shared" si="410"/>
        <v>#DIV/0!</v>
      </c>
      <c r="L1170" s="489" t="e">
        <f t="shared" si="410"/>
        <v>#DIV/0!</v>
      </c>
      <c r="M1170" s="489" t="e">
        <f t="shared" si="410"/>
        <v>#DIV/0!</v>
      </c>
      <c r="N1170" s="489" t="e">
        <f t="shared" si="410"/>
        <v>#DIV/0!</v>
      </c>
      <c r="O1170" s="489" t="e">
        <f t="shared" si="410"/>
        <v>#DIV/0!</v>
      </c>
      <c r="P1170" s="489" t="e">
        <f t="shared" si="410"/>
        <v>#DIV/0!</v>
      </c>
      <c r="Q1170" s="489" t="e">
        <f t="shared" si="410"/>
        <v>#DIV/0!</v>
      </c>
      <c r="R1170" s="489" t="e">
        <f t="shared" si="410"/>
        <v>#DIV/0!</v>
      </c>
      <c r="S1170" s="489" t="e">
        <f t="shared" si="410"/>
        <v>#DIV/0!</v>
      </c>
      <c r="T1170" s="489" t="e">
        <f t="shared" si="410"/>
        <v>#DIV/0!</v>
      </c>
      <c r="U1170" s="462"/>
      <c r="V1170" s="462"/>
      <c r="W1170" s="449"/>
    </row>
    <row r="1171" spans="1:23" s="450" customFormat="1" hidden="1">
      <c r="A1171" s="474"/>
      <c r="B1171" s="474"/>
      <c r="C1171" s="488" t="s">
        <v>704</v>
      </c>
      <c r="D1171" s="474"/>
      <c r="E1171" s="474"/>
      <c r="F1171" s="474"/>
      <c r="G1171" s="474"/>
      <c r="H1171" s="489" t="e">
        <f t="shared" si="410"/>
        <v>#DIV/0!</v>
      </c>
      <c r="I1171" s="489" t="e">
        <f t="shared" si="410"/>
        <v>#DIV/0!</v>
      </c>
      <c r="J1171" s="489" t="e">
        <f t="shared" si="410"/>
        <v>#DIV/0!</v>
      </c>
      <c r="K1171" s="489" t="e">
        <f t="shared" si="410"/>
        <v>#DIV/0!</v>
      </c>
      <c r="L1171" s="489" t="e">
        <f t="shared" si="410"/>
        <v>#DIV/0!</v>
      </c>
      <c r="M1171" s="489" t="e">
        <f t="shared" si="410"/>
        <v>#DIV/0!</v>
      </c>
      <c r="N1171" s="489" t="e">
        <f t="shared" si="410"/>
        <v>#DIV/0!</v>
      </c>
      <c r="O1171" s="489" t="e">
        <f t="shared" si="410"/>
        <v>#DIV/0!</v>
      </c>
      <c r="P1171" s="489" t="e">
        <f t="shared" si="410"/>
        <v>#DIV/0!</v>
      </c>
      <c r="Q1171" s="489" t="e">
        <f t="shared" si="410"/>
        <v>#DIV/0!</v>
      </c>
      <c r="R1171" s="489" t="e">
        <f t="shared" si="410"/>
        <v>#DIV/0!</v>
      </c>
      <c r="S1171" s="489" t="e">
        <f t="shared" si="410"/>
        <v>#DIV/0!</v>
      </c>
      <c r="T1171" s="489" t="e">
        <f t="shared" si="410"/>
        <v>#DIV/0!</v>
      </c>
      <c r="U1171" s="462"/>
      <c r="V1171" s="462"/>
      <c r="W1171" s="449"/>
    </row>
    <row r="1172" spans="1:23" s="450" customFormat="1" hidden="1">
      <c r="A1172" s="474"/>
      <c r="B1172" s="474"/>
      <c r="C1172" s="488" t="s">
        <v>705</v>
      </c>
      <c r="D1172" s="474"/>
      <c r="E1172" s="474"/>
      <c r="F1172" s="474"/>
      <c r="G1172" s="474"/>
      <c r="H1172" s="489" t="e">
        <f>H1141/H1151</f>
        <v>#DIV/0!</v>
      </c>
      <c r="I1172" s="489" t="e">
        <f t="shared" si="410"/>
        <v>#DIV/0!</v>
      </c>
      <c r="J1172" s="489" t="e">
        <f t="shared" si="410"/>
        <v>#DIV/0!</v>
      </c>
      <c r="K1172" s="489" t="e">
        <f t="shared" si="410"/>
        <v>#DIV/0!</v>
      </c>
      <c r="L1172" s="489" t="e">
        <f t="shared" si="410"/>
        <v>#DIV/0!</v>
      </c>
      <c r="M1172" s="489" t="e">
        <f t="shared" si="410"/>
        <v>#DIV/0!</v>
      </c>
      <c r="N1172" s="489" t="e">
        <f t="shared" si="410"/>
        <v>#DIV/0!</v>
      </c>
      <c r="O1172" s="489" t="e">
        <f t="shared" si="410"/>
        <v>#DIV/0!</v>
      </c>
      <c r="P1172" s="489" t="e">
        <f t="shared" si="410"/>
        <v>#DIV/0!</v>
      </c>
      <c r="Q1172" s="489" t="e">
        <f t="shared" si="410"/>
        <v>#DIV/0!</v>
      </c>
      <c r="R1172" s="489" t="e">
        <f t="shared" si="410"/>
        <v>#DIV/0!</v>
      </c>
      <c r="S1172" s="489" t="e">
        <f t="shared" si="410"/>
        <v>#DIV/0!</v>
      </c>
      <c r="T1172" s="489" t="e">
        <f t="shared" si="410"/>
        <v>#DIV/0!</v>
      </c>
      <c r="U1172" s="462"/>
      <c r="V1172" s="462"/>
      <c r="W1172" s="449"/>
    </row>
    <row r="1173" spans="1:23" s="450" customFormat="1" hidden="1">
      <c r="A1173" s="474"/>
      <c r="B1173" s="474"/>
      <c r="C1173" s="488" t="s">
        <v>706</v>
      </c>
      <c r="D1173" s="474"/>
      <c r="E1173" s="474"/>
      <c r="F1173" s="474"/>
      <c r="G1173" s="474"/>
      <c r="H1173" s="489" t="e">
        <f>H1142/H1152</f>
        <v>#DIV/0!</v>
      </c>
      <c r="I1173" s="489" t="e">
        <f t="shared" si="410"/>
        <v>#DIV/0!</v>
      </c>
      <c r="J1173" s="489" t="e">
        <f t="shared" si="410"/>
        <v>#DIV/0!</v>
      </c>
      <c r="K1173" s="489" t="e">
        <f t="shared" si="410"/>
        <v>#DIV/0!</v>
      </c>
      <c r="L1173" s="489" t="e">
        <f t="shared" si="410"/>
        <v>#DIV/0!</v>
      </c>
      <c r="M1173" s="489" t="e">
        <f t="shared" si="410"/>
        <v>#DIV/0!</v>
      </c>
      <c r="N1173" s="489" t="e">
        <f t="shared" si="410"/>
        <v>#DIV/0!</v>
      </c>
      <c r="O1173" s="489" t="e">
        <f t="shared" si="410"/>
        <v>#DIV/0!</v>
      </c>
      <c r="P1173" s="489" t="e">
        <f t="shared" si="410"/>
        <v>#DIV/0!</v>
      </c>
      <c r="Q1173" s="489" t="e">
        <f t="shared" si="410"/>
        <v>#DIV/0!</v>
      </c>
      <c r="R1173" s="489" t="e">
        <f t="shared" si="410"/>
        <v>#DIV/0!</v>
      </c>
      <c r="S1173" s="489" t="e">
        <f t="shared" si="410"/>
        <v>#DIV/0!</v>
      </c>
      <c r="T1173" s="489" t="e">
        <f t="shared" si="410"/>
        <v>#DIV/0!</v>
      </c>
      <c r="U1173" s="462"/>
      <c r="V1173" s="462"/>
      <c r="W1173" s="449"/>
    </row>
    <row r="1174" spans="1:23" s="450" customFormat="1" hidden="1">
      <c r="A1174" s="474"/>
      <c r="B1174" s="474"/>
      <c r="C1174" s="488" t="s">
        <v>707</v>
      </c>
      <c r="D1174" s="474"/>
      <c r="E1174" s="474"/>
      <c r="F1174" s="474"/>
      <c r="G1174" s="474"/>
      <c r="H1174" s="489" t="e">
        <f>H1143/H1153</f>
        <v>#DIV/0!</v>
      </c>
      <c r="I1174" s="489" t="e">
        <f t="shared" si="410"/>
        <v>#DIV/0!</v>
      </c>
      <c r="J1174" s="489" t="e">
        <f t="shared" si="410"/>
        <v>#DIV/0!</v>
      </c>
      <c r="K1174" s="489" t="e">
        <f t="shared" si="410"/>
        <v>#DIV/0!</v>
      </c>
      <c r="L1174" s="489" t="e">
        <f t="shared" si="410"/>
        <v>#DIV/0!</v>
      </c>
      <c r="M1174" s="489" t="e">
        <f t="shared" si="410"/>
        <v>#DIV/0!</v>
      </c>
      <c r="N1174" s="489" t="e">
        <f t="shared" si="410"/>
        <v>#DIV/0!</v>
      </c>
      <c r="O1174" s="489" t="e">
        <f t="shared" si="410"/>
        <v>#DIV/0!</v>
      </c>
      <c r="P1174" s="489" t="e">
        <f t="shared" si="410"/>
        <v>#DIV/0!</v>
      </c>
      <c r="Q1174" s="489" t="e">
        <f t="shared" si="410"/>
        <v>#DIV/0!</v>
      </c>
      <c r="R1174" s="489" t="e">
        <f t="shared" si="410"/>
        <v>#DIV/0!</v>
      </c>
      <c r="S1174" s="489" t="e">
        <f t="shared" si="410"/>
        <v>#DIV/0!</v>
      </c>
      <c r="T1174" s="489" t="e">
        <f t="shared" si="410"/>
        <v>#DIV/0!</v>
      </c>
      <c r="U1174" s="462"/>
      <c r="V1174" s="462"/>
      <c r="W1174" s="449"/>
    </row>
    <row r="1175" spans="1:23" s="450" customFormat="1" hidden="1">
      <c r="A1175" s="474"/>
      <c r="B1175" s="474"/>
      <c r="C1175" s="488" t="s">
        <v>708</v>
      </c>
      <c r="D1175" s="474"/>
      <c r="E1175" s="474"/>
      <c r="F1175" s="474"/>
      <c r="G1175" s="474"/>
      <c r="H1175" s="489" t="e">
        <f>H1144/H1154</f>
        <v>#DIV/0!</v>
      </c>
      <c r="I1175" s="489" t="e">
        <f t="shared" si="410"/>
        <v>#DIV/0!</v>
      </c>
      <c r="J1175" s="489" t="e">
        <f t="shared" si="410"/>
        <v>#DIV/0!</v>
      </c>
      <c r="K1175" s="489" t="e">
        <f t="shared" si="410"/>
        <v>#DIV/0!</v>
      </c>
      <c r="L1175" s="489" t="e">
        <f t="shared" si="410"/>
        <v>#DIV/0!</v>
      </c>
      <c r="M1175" s="489" t="e">
        <f t="shared" si="410"/>
        <v>#DIV/0!</v>
      </c>
      <c r="N1175" s="489" t="e">
        <f t="shared" si="410"/>
        <v>#DIV/0!</v>
      </c>
      <c r="O1175" s="489" t="e">
        <f t="shared" si="410"/>
        <v>#DIV/0!</v>
      </c>
      <c r="P1175" s="489" t="e">
        <f t="shared" si="410"/>
        <v>#DIV/0!</v>
      </c>
      <c r="Q1175" s="489" t="e">
        <f t="shared" si="410"/>
        <v>#DIV/0!</v>
      </c>
      <c r="R1175" s="489" t="e">
        <f t="shared" si="410"/>
        <v>#DIV/0!</v>
      </c>
      <c r="S1175" s="489" t="e">
        <f t="shared" si="410"/>
        <v>#DIV/0!</v>
      </c>
      <c r="T1175" s="489" t="e">
        <f t="shared" si="410"/>
        <v>#DIV/0!</v>
      </c>
      <c r="U1175" s="462"/>
      <c r="V1175" s="462"/>
      <c r="W1175" s="449"/>
    </row>
    <row r="1176" spans="1:23" s="461" customFormat="1" hidden="1">
      <c r="A1176" s="420"/>
      <c r="B1176" s="420"/>
      <c r="C1176" s="479" t="s">
        <v>497</v>
      </c>
      <c r="D1176" s="420"/>
      <c r="E1176" s="420"/>
      <c r="F1176" s="420"/>
      <c r="G1176" s="420"/>
      <c r="H1176" s="421"/>
      <c r="I1176" s="421"/>
      <c r="J1176" s="421"/>
      <c r="K1176" s="421"/>
      <c r="L1176" s="421"/>
      <c r="M1176" s="421"/>
      <c r="N1176" s="421"/>
      <c r="O1176" s="421"/>
      <c r="P1176" s="421"/>
      <c r="Q1176" s="421"/>
      <c r="R1176" s="421"/>
      <c r="S1176" s="421"/>
      <c r="T1176" s="421"/>
      <c r="U1176" s="422"/>
      <c r="V1176" s="422"/>
      <c r="W1176" s="460"/>
    </row>
    <row r="1177" spans="1:23" s="461" customFormat="1" hidden="1">
      <c r="A1177" s="420"/>
      <c r="B1177" s="420"/>
      <c r="C1177" s="492" t="s">
        <v>701</v>
      </c>
      <c r="D1177" s="420"/>
      <c r="E1177" s="420"/>
      <c r="F1177" s="420"/>
      <c r="G1177" s="420"/>
      <c r="H1177" s="421">
        <f t="shared" ref="H1177:T1178" si="411">H1138/H1158*100</f>
        <v>108.31961622700096</v>
      </c>
      <c r="I1177" s="421">
        <f t="shared" si="411"/>
        <v>111.2134729843245</v>
      </c>
      <c r="J1177" s="421">
        <f t="shared" si="411"/>
        <v>112.9665729121462</v>
      </c>
      <c r="K1177" s="421">
        <f t="shared" si="411"/>
        <v>100.51787668905266</v>
      </c>
      <c r="L1177" s="421">
        <f t="shared" si="411"/>
        <v>101.72700262107917</v>
      </c>
      <c r="M1177" s="421">
        <f t="shared" si="411"/>
        <v>105.7284701786988</v>
      </c>
      <c r="N1177" s="421">
        <f t="shared" si="411"/>
        <v>94.620165475971646</v>
      </c>
      <c r="O1177" s="421">
        <f t="shared" si="411"/>
        <v>95.491570569872337</v>
      </c>
      <c r="P1177" s="421">
        <f t="shared" si="411"/>
        <v>100.67548634882672</v>
      </c>
      <c r="Q1177" s="421">
        <f t="shared" si="411"/>
        <v>95.932852175044019</v>
      </c>
      <c r="R1177" s="421" t="e">
        <f t="shared" si="411"/>
        <v>#DIV/0!</v>
      </c>
      <c r="S1177" s="421">
        <f t="shared" si="411"/>
        <v>90.191009663653986</v>
      </c>
      <c r="T1177" s="421">
        <f t="shared" si="411"/>
        <v>102.59315537262583</v>
      </c>
      <c r="U1177" s="422"/>
      <c r="V1177" s="422"/>
      <c r="W1177" s="460"/>
    </row>
    <row r="1178" spans="1:23" s="461" customFormat="1" hidden="1">
      <c r="A1178" s="420"/>
      <c r="B1178" s="420"/>
      <c r="C1178" s="492" t="s">
        <v>702</v>
      </c>
      <c r="D1178" s="420"/>
      <c r="E1178" s="420"/>
      <c r="F1178" s="420"/>
      <c r="G1178" s="420"/>
      <c r="H1178" s="421">
        <f>H1139/H1159*100</f>
        <v>98.557354127268326</v>
      </c>
      <c r="I1178" s="421">
        <f t="shared" si="411"/>
        <v>98.8692814025719</v>
      </c>
      <c r="J1178" s="421">
        <f t="shared" si="411"/>
        <v>100.00068686574622</v>
      </c>
      <c r="K1178" s="421">
        <f t="shared" si="411"/>
        <v>96.565169561429272</v>
      </c>
      <c r="L1178" s="421">
        <f t="shared" si="411"/>
        <v>98.830338620237868</v>
      </c>
      <c r="M1178" s="421">
        <f t="shared" si="411"/>
        <v>98.909319541179045</v>
      </c>
      <c r="N1178" s="421">
        <f t="shared" si="411"/>
        <v>99.378209392214629</v>
      </c>
      <c r="O1178" s="421">
        <f t="shared" si="411"/>
        <v>99.71128945992875</v>
      </c>
      <c r="P1178" s="421">
        <f t="shared" si="411"/>
        <v>98.431552785993091</v>
      </c>
      <c r="Q1178" s="421">
        <f t="shared" si="411"/>
        <v>98.082602492361261</v>
      </c>
      <c r="R1178" s="421">
        <f t="shared" si="411"/>
        <v>98.01233071071276</v>
      </c>
      <c r="S1178" s="421">
        <f t="shared" si="411"/>
        <v>99.196139119124112</v>
      </c>
      <c r="T1178" s="421">
        <f t="shared" si="411"/>
        <v>98.670212737390045</v>
      </c>
      <c r="U1178" s="422"/>
      <c r="V1178" s="422"/>
      <c r="W1178" s="460"/>
    </row>
    <row r="1179" spans="1:23" s="461" customFormat="1" hidden="1">
      <c r="A1179" s="420"/>
      <c r="B1179" s="420"/>
      <c r="C1179" s="492" t="s">
        <v>704</v>
      </c>
      <c r="D1179" s="420"/>
      <c r="E1179" s="420"/>
      <c r="F1179" s="420"/>
      <c r="G1179" s="420"/>
      <c r="H1179" s="421">
        <f t="shared" ref="H1179:T1183" si="412">H1140/H1160*100</f>
        <v>98.524547577823583</v>
      </c>
      <c r="I1179" s="421">
        <f t="shared" si="412"/>
        <v>98.179104941427198</v>
      </c>
      <c r="J1179" s="421">
        <f t="shared" si="412"/>
        <v>100.01317418183721</v>
      </c>
      <c r="K1179" s="421">
        <f t="shared" si="412"/>
        <v>98.166407826135767</v>
      </c>
      <c r="L1179" s="421">
        <f t="shared" si="412"/>
        <v>98.741846654984116</v>
      </c>
      <c r="M1179" s="421">
        <f t="shared" si="412"/>
        <v>99.055375961362373</v>
      </c>
      <c r="N1179" s="421">
        <f t="shared" si="412"/>
        <v>99.916642687539849</v>
      </c>
      <c r="O1179" s="421">
        <f t="shared" si="412"/>
        <v>100.11304860855768</v>
      </c>
      <c r="P1179" s="421">
        <f t="shared" si="412"/>
        <v>98.505468306904959</v>
      </c>
      <c r="Q1179" s="421">
        <f t="shared" si="412"/>
        <v>98.870001464482414</v>
      </c>
      <c r="R1179" s="421">
        <f t="shared" si="412"/>
        <v>98.543224719840367</v>
      </c>
      <c r="S1179" s="421">
        <f t="shared" si="412"/>
        <v>99.947138616740034</v>
      </c>
      <c r="T1179" s="421">
        <f t="shared" si="412"/>
        <v>99.106603544429277</v>
      </c>
      <c r="U1179" s="422"/>
      <c r="V1179" s="422"/>
      <c r="W1179" s="460"/>
    </row>
    <row r="1180" spans="1:23" s="461" customFormat="1" hidden="1">
      <c r="A1180" s="420"/>
      <c r="B1180" s="420"/>
      <c r="C1180" s="492" t="s">
        <v>705</v>
      </c>
      <c r="D1180" s="420"/>
      <c r="E1180" s="420"/>
      <c r="F1180" s="420"/>
      <c r="G1180" s="420"/>
      <c r="H1180" s="421">
        <f>H1141/H1161*100</f>
        <v>97.97560511939551</v>
      </c>
      <c r="I1180" s="421">
        <f t="shared" si="412"/>
        <v>98.3395249303789</v>
      </c>
      <c r="J1180" s="421">
        <f t="shared" si="412"/>
        <v>99.125978246454437</v>
      </c>
      <c r="K1180" s="421">
        <f t="shared" si="412"/>
        <v>96.835760991308348</v>
      </c>
      <c r="L1180" s="421">
        <f t="shared" si="412"/>
        <v>98.299498238933452</v>
      </c>
      <c r="M1180" s="421">
        <f t="shared" si="412"/>
        <v>97.321511815021978</v>
      </c>
      <c r="N1180" s="421">
        <f t="shared" si="412"/>
        <v>99.119879724510795</v>
      </c>
      <c r="O1180" s="421">
        <f t="shared" si="412"/>
        <v>98.909973656329967</v>
      </c>
      <c r="P1180" s="421">
        <f t="shared" si="412"/>
        <v>97.173147508821444</v>
      </c>
      <c r="Q1180" s="421">
        <f t="shared" si="412"/>
        <v>98.6950008513748</v>
      </c>
      <c r="R1180" s="421">
        <f t="shared" si="412"/>
        <v>98.146560422046463</v>
      </c>
      <c r="S1180" s="421">
        <f t="shared" si="412"/>
        <v>99.234383905248421</v>
      </c>
      <c r="T1180" s="421">
        <f t="shared" si="412"/>
        <v>98.350909589921343</v>
      </c>
      <c r="U1180" s="422"/>
      <c r="V1180" s="422"/>
      <c r="W1180" s="460"/>
    </row>
    <row r="1181" spans="1:23" s="461" customFormat="1" hidden="1">
      <c r="A1181" s="420"/>
      <c r="B1181" s="420"/>
      <c r="C1181" s="492" t="s">
        <v>706</v>
      </c>
      <c r="D1181" s="420"/>
      <c r="E1181" s="420"/>
      <c r="F1181" s="420"/>
      <c r="G1181" s="420"/>
      <c r="H1181" s="421">
        <f>H1142/H1162*100</f>
        <v>99.130585245405484</v>
      </c>
      <c r="I1181" s="421">
        <f t="shared" si="412"/>
        <v>99.825139949665612</v>
      </c>
      <c r="J1181" s="421">
        <f t="shared" si="412"/>
        <v>101.130428004629</v>
      </c>
      <c r="K1181" s="421">
        <f t="shared" si="412"/>
        <v>98.439908609017536</v>
      </c>
      <c r="L1181" s="421">
        <f t="shared" si="412"/>
        <v>99.473095873779386</v>
      </c>
      <c r="M1181" s="421">
        <f t="shared" si="412"/>
        <v>100.47208965378583</v>
      </c>
      <c r="N1181" s="421">
        <f t="shared" si="412"/>
        <v>100.75428467641572</v>
      </c>
      <c r="O1181" s="421">
        <f t="shared" si="412"/>
        <v>100.80070469725453</v>
      </c>
      <c r="P1181" s="421">
        <f t="shared" si="412"/>
        <v>98.42269651543549</v>
      </c>
      <c r="Q1181" s="421">
        <f t="shared" si="412"/>
        <v>100.23439460463763</v>
      </c>
      <c r="R1181" s="421">
        <f t="shared" si="412"/>
        <v>100.18476599407775</v>
      </c>
      <c r="S1181" s="421">
        <f t="shared" si="412"/>
        <v>100.23439460463763</v>
      </c>
      <c r="T1181" s="421">
        <f t="shared" si="412"/>
        <v>99.867916256908913</v>
      </c>
      <c r="U1181" s="422"/>
      <c r="V1181" s="422"/>
      <c r="W1181" s="460"/>
    </row>
    <row r="1182" spans="1:23" s="461" customFormat="1" hidden="1">
      <c r="A1182" s="420"/>
      <c r="B1182" s="420"/>
      <c r="C1182" s="492" t="s">
        <v>707</v>
      </c>
      <c r="D1182" s="420"/>
      <c r="E1182" s="420"/>
      <c r="F1182" s="420"/>
      <c r="G1182" s="420"/>
      <c r="H1182" s="421">
        <f>H1143/H1163*100</f>
        <v>98.860144537493554</v>
      </c>
      <c r="I1182" s="421">
        <f t="shared" si="412"/>
        <v>98.551583308966315</v>
      </c>
      <c r="J1182" s="421">
        <f t="shared" si="412"/>
        <v>100.35493571545145</v>
      </c>
      <c r="K1182" s="421">
        <f t="shared" si="412"/>
        <v>96.061903986097661</v>
      </c>
      <c r="L1182" s="421">
        <f t="shared" si="412"/>
        <v>98.485383308568089</v>
      </c>
      <c r="M1182" s="421">
        <f t="shared" si="412"/>
        <v>98.881007082839105</v>
      </c>
      <c r="N1182" s="421">
        <f t="shared" si="412"/>
        <v>98.223766756430237</v>
      </c>
      <c r="O1182" s="421">
        <f t="shared" si="412"/>
        <v>99.28173773177987</v>
      </c>
      <c r="P1182" s="421">
        <f t="shared" si="412"/>
        <v>97.520227808161579</v>
      </c>
      <c r="Q1182" s="421">
        <f t="shared" si="412"/>
        <v>97.978976375830342</v>
      </c>
      <c r="R1182" s="421">
        <f t="shared" si="412"/>
        <v>97.880842696163938</v>
      </c>
      <c r="S1182" s="421">
        <f t="shared" si="412"/>
        <v>99.168940769683417</v>
      </c>
      <c r="T1182" s="421">
        <f t="shared" si="412"/>
        <v>98.4894393268914</v>
      </c>
      <c r="U1182" s="422"/>
      <c r="V1182" s="422"/>
      <c r="W1182" s="460"/>
    </row>
    <row r="1183" spans="1:23" s="461" customFormat="1" hidden="1">
      <c r="A1183" s="420"/>
      <c r="B1183" s="420"/>
      <c r="C1183" s="492" t="s">
        <v>708</v>
      </c>
      <c r="D1183" s="420"/>
      <c r="E1183" s="420"/>
      <c r="F1183" s="420"/>
      <c r="G1183" s="420"/>
      <c r="H1183" s="421">
        <f>H1144/H1164*100</f>
        <v>98.995928717883515</v>
      </c>
      <c r="I1183" s="421">
        <f t="shared" si="412"/>
        <v>97.928397068903777</v>
      </c>
      <c r="J1183" s="421">
        <f t="shared" si="412"/>
        <v>99.511286292959014</v>
      </c>
      <c r="K1183" s="421">
        <f t="shared" si="412"/>
        <v>97.82741053833351</v>
      </c>
      <c r="L1183" s="421">
        <f t="shared" si="412"/>
        <v>98.351068410766871</v>
      </c>
      <c r="M1183" s="421">
        <f t="shared" si="412"/>
        <v>98.594198308897944</v>
      </c>
      <c r="N1183" s="421">
        <f t="shared" si="412"/>
        <v>99.383136475765539</v>
      </c>
      <c r="O1183" s="421">
        <f t="shared" si="412"/>
        <v>99.10316316570821</v>
      </c>
      <c r="P1183" s="421">
        <f t="shared" si="412"/>
        <v>97.881766176029032</v>
      </c>
      <c r="Q1183" s="421">
        <f t="shared" si="412"/>
        <v>98.166346935721251</v>
      </c>
      <c r="R1183" s="421">
        <f t="shared" si="412"/>
        <v>97.471684557165744</v>
      </c>
      <c r="S1183" s="421">
        <f t="shared" si="412"/>
        <v>99.362860370599364</v>
      </c>
      <c r="T1183" s="421">
        <f t="shared" si="412"/>
        <v>98.525467823372267</v>
      </c>
      <c r="U1183" s="422"/>
      <c r="V1183" s="422"/>
      <c r="W1183" s="460"/>
    </row>
    <row r="1184" spans="1:23" s="461" customFormat="1" hidden="1">
      <c r="A1184" s="420"/>
      <c r="B1184" s="420"/>
      <c r="C1184" s="492" t="s">
        <v>717</v>
      </c>
      <c r="D1184" s="420"/>
      <c r="E1184" s="420"/>
      <c r="F1184" s="420"/>
      <c r="G1184" s="420"/>
      <c r="H1184" s="421">
        <f>H1145</f>
        <v>1955466.6289096153</v>
      </c>
      <c r="I1184" s="421">
        <f t="shared" ref="I1184:S1184" si="413">I1145</f>
        <v>1855061.9817325519</v>
      </c>
      <c r="J1184" s="421">
        <f t="shared" si="413"/>
        <v>2190426.8308825544</v>
      </c>
      <c r="K1184" s="421">
        <f t="shared" si="413"/>
        <v>1940364.7655936615</v>
      </c>
      <c r="L1184" s="421">
        <f t="shared" si="413"/>
        <v>2143253.2657548608</v>
      </c>
      <c r="M1184" s="421">
        <f t="shared" si="413"/>
        <v>2020053.4893661761</v>
      </c>
      <c r="N1184" s="421">
        <f t="shared" si="413"/>
        <v>2007533.1497859093</v>
      </c>
      <c r="O1184" s="421">
        <f t="shared" si="413"/>
        <v>2074054.3835729528</v>
      </c>
      <c r="P1184" s="421">
        <f t="shared" si="413"/>
        <v>2033011.6442731172</v>
      </c>
      <c r="Q1184" s="421">
        <f t="shared" si="413"/>
        <v>1891440.9397443389</v>
      </c>
      <c r="R1184" s="421">
        <f t="shared" si="413"/>
        <v>1900568.3218613935</v>
      </c>
      <c r="S1184" s="421">
        <f t="shared" si="413"/>
        <v>2003887.6254535215</v>
      </c>
      <c r="T1184" s="421">
        <f>T1145</f>
        <v>24015123.026930653</v>
      </c>
      <c r="U1184" s="422"/>
      <c r="V1184" s="422"/>
      <c r="W1184" s="460"/>
    </row>
    <row r="1185" spans="1:29" s="461" customFormat="1" hidden="1">
      <c r="A1185" s="420"/>
      <c r="B1185" s="420"/>
      <c r="C1185" s="492" t="s">
        <v>718</v>
      </c>
      <c r="D1185" s="420"/>
      <c r="E1185" s="420"/>
      <c r="F1185" s="420"/>
      <c r="G1185" s="420"/>
      <c r="H1185" s="421">
        <f>H1166</f>
        <v>1917909.7401061773</v>
      </c>
      <c r="I1185" s="421">
        <f t="shared" ref="I1185:T1185" si="414">I1166</f>
        <v>1806685.4923979831</v>
      </c>
      <c r="J1185" s="421">
        <f t="shared" si="414"/>
        <v>2109184.7929763123</v>
      </c>
      <c r="K1185" s="421">
        <f t="shared" si="414"/>
        <v>1959618.0090800861</v>
      </c>
      <c r="L1185" s="421">
        <f t="shared" si="414"/>
        <v>2138004.2278466639</v>
      </c>
      <c r="M1185" s="421">
        <f t="shared" si="414"/>
        <v>1996753.4872844419</v>
      </c>
      <c r="N1185" s="421">
        <f t="shared" si="414"/>
        <v>2022161.668906136</v>
      </c>
      <c r="O1185" s="421">
        <f t="shared" si="414"/>
        <v>2084473.3771238355</v>
      </c>
      <c r="P1185" s="421">
        <f t="shared" si="414"/>
        <v>2043304.3149082093</v>
      </c>
      <c r="Q1185" s="421">
        <f t="shared" si="414"/>
        <v>1902716.1439186598</v>
      </c>
      <c r="R1185" s="421">
        <f t="shared" si="414"/>
        <v>1915297.6999771381</v>
      </c>
      <c r="S1185" s="421">
        <f t="shared" si="414"/>
        <v>2017410.9386370785</v>
      </c>
      <c r="T1185" s="421">
        <f t="shared" si="414"/>
        <v>23913519.89316272</v>
      </c>
      <c r="U1185" s="422"/>
      <c r="V1185" s="422"/>
      <c r="W1185" s="460"/>
    </row>
    <row r="1186" spans="1:29" s="461" customFormat="1" hidden="1">
      <c r="A1186" s="420"/>
      <c r="B1186" s="420"/>
      <c r="C1186" s="479" t="s">
        <v>719</v>
      </c>
      <c r="D1186" s="420"/>
      <c r="E1186" s="420"/>
      <c r="F1186" s="420"/>
      <c r="G1186" s="420"/>
      <c r="H1186" s="421">
        <f t="shared" ref="H1186:T1187" si="415">H1145/H1166*100</f>
        <v>101.95821982745439</v>
      </c>
      <c r="I1186" s="421">
        <f t="shared" si="415"/>
        <v>102.67763755994739</v>
      </c>
      <c r="J1186" s="421">
        <f t="shared" si="415"/>
        <v>103.85182171693927</v>
      </c>
      <c r="K1186" s="421">
        <f t="shared" si="415"/>
        <v>99.017500176196947</v>
      </c>
      <c r="L1186" s="421">
        <f t="shared" si="415"/>
        <v>100.24551110983928</v>
      </c>
      <c r="M1186" s="421">
        <f t="shared" si="415"/>
        <v>101.16689427263361</v>
      </c>
      <c r="N1186" s="421">
        <f t="shared" si="415"/>
        <v>99.27659003010676</v>
      </c>
      <c r="O1186" s="421">
        <f t="shared" si="415"/>
        <v>99.500161831509743</v>
      </c>
      <c r="P1186" s="421">
        <f t="shared" si="415"/>
        <v>99.496273239380187</v>
      </c>
      <c r="Q1186" s="421">
        <f t="shared" si="415"/>
        <v>99.407415330428663</v>
      </c>
      <c r="R1186" s="421">
        <f t="shared" si="415"/>
        <v>99.230961426209603</v>
      </c>
      <c r="S1186" s="421">
        <f>S1145/S1166*100</f>
        <v>99.329669879122733</v>
      </c>
      <c r="T1186" s="421">
        <f t="shared" si="415"/>
        <v>100.42487736737151</v>
      </c>
      <c r="U1186" s="422"/>
      <c r="V1186" s="422"/>
      <c r="W1186" s="460"/>
    </row>
    <row r="1187" spans="1:29" s="461" customFormat="1" hidden="1">
      <c r="A1187" s="420"/>
      <c r="B1187" s="420"/>
      <c r="C1187" s="479" t="s">
        <v>720</v>
      </c>
      <c r="D1187" s="420"/>
      <c r="E1187" s="420"/>
      <c r="F1187" s="420"/>
      <c r="G1187" s="420"/>
      <c r="H1187" s="421">
        <f t="shared" si="415"/>
        <v>101.95821982745439</v>
      </c>
      <c r="I1187" s="421">
        <f t="shared" si="415"/>
        <v>102.3071870303671</v>
      </c>
      <c r="J1187" s="421">
        <f t="shared" si="415"/>
        <v>102.86564483600804</v>
      </c>
      <c r="K1187" s="421">
        <f t="shared" si="415"/>
        <v>101.89804462574412</v>
      </c>
      <c r="L1187" s="421">
        <f t="shared" si="415"/>
        <v>101.54229187801415</v>
      </c>
      <c r="M1187" s="421">
        <f t="shared" si="415"/>
        <v>101.4794509415449</v>
      </c>
      <c r="N1187" s="421">
        <f t="shared" si="415"/>
        <v>101.16013627913418</v>
      </c>
      <c r="O1187" s="421">
        <f t="shared" si="415"/>
        <v>100.94434471771874</v>
      </c>
      <c r="P1187" s="421">
        <f t="shared" si="415"/>
        <v>100.78067422689114</v>
      </c>
      <c r="Q1187" s="421">
        <f t="shared" si="415"/>
        <v>100.64990266617764</v>
      </c>
      <c r="R1187" s="421">
        <f t="shared" si="415"/>
        <v>100.5257849565445</v>
      </c>
      <c r="S1187" s="421">
        <f t="shared" si="415"/>
        <v>100.42487736737151</v>
      </c>
      <c r="T1187" s="421">
        <f>T1146/T1167*100</f>
        <v>100.42487736737151</v>
      </c>
      <c r="U1187" s="422"/>
      <c r="V1187" s="422"/>
      <c r="W1187" s="460"/>
    </row>
    <row r="1188" spans="1:29" hidden="1">
      <c r="A1188" s="229"/>
      <c r="B1188" s="229"/>
      <c r="C1188" s="418"/>
      <c r="D1188" s="62"/>
      <c r="E1188" s="62"/>
      <c r="F1188" s="62"/>
      <c r="G1188" s="62"/>
      <c r="H1188" s="496"/>
      <c r="I1188" s="496"/>
      <c r="J1188" s="496"/>
      <c r="K1188" s="496"/>
      <c r="L1188" s="496"/>
      <c r="M1188" s="496"/>
      <c r="N1188" s="496"/>
      <c r="O1188" s="497"/>
      <c r="P1188" s="225"/>
      <c r="Q1188" s="225"/>
      <c r="R1188" s="225"/>
      <c r="S1188" s="225"/>
      <c r="T1188" s="490"/>
      <c r="U1188" s="490"/>
      <c r="V1188" s="490"/>
    </row>
    <row r="1189" spans="1:29" hidden="1">
      <c r="A1189" s="229">
        <v>27</v>
      </c>
      <c r="B1189" s="229" t="s">
        <v>99</v>
      </c>
      <c r="C1189" s="60" t="s">
        <v>721</v>
      </c>
      <c r="D1189" s="62" t="s">
        <v>160</v>
      </c>
      <c r="E1189" s="238">
        <f>[6]HeatingValue!$G$16/1000</f>
        <v>39.770000000000003</v>
      </c>
      <c r="F1189" s="238">
        <f>[6]HeatingValue!$H$16</f>
        <v>0.98550000000000004</v>
      </c>
      <c r="G1189" s="498">
        <f>'[2]Price&amp;Heating-Value'!$I$16*'[2]Price&amp;Heating-Value'!$T$16/1000</f>
        <v>22.335056640000001</v>
      </c>
      <c r="H1189" s="225">
        <f>386.06*1000/F1189</f>
        <v>391740.233384069</v>
      </c>
      <c r="I1189" s="225">
        <f>67.75*1000/F1189</f>
        <v>68746.829020801626</v>
      </c>
      <c r="J1189" s="225">
        <v>0</v>
      </c>
      <c r="K1189" s="225"/>
      <c r="L1189" s="225"/>
      <c r="M1189" s="225"/>
      <c r="N1189" s="225"/>
      <c r="O1189" s="225"/>
      <c r="P1189" s="225"/>
      <c r="Q1189" s="225"/>
      <c r="R1189" s="225"/>
      <c r="S1189" s="225"/>
      <c r="T1189" s="225">
        <f>SUM(E1189:S1189)</f>
        <v>460550.15296151064</v>
      </c>
      <c r="U1189" s="225">
        <f>T1189*E1189</f>
        <v>18316079.583279278</v>
      </c>
      <c r="V1189" s="225">
        <f>F1189*G1189*T1189</f>
        <v>10137260.752552643</v>
      </c>
      <c r="W1189" s="843">
        <f>'[2]Price&amp;Heating-Value'!D$16*'[2]Price&amp;Heating-Value'!$T$16/1000</f>
        <v>16.779635460000002</v>
      </c>
      <c r="X1189" s="486">
        <f>'[2]Price&amp;Heating-Value'!E$16*'[2]Price&amp;Heating-Value'!$T$16/1000</f>
        <v>16.47036585</v>
      </c>
      <c r="Y1189" s="486">
        <f>'[2]Price&amp;Heating-Value'!F$16*'[2]Price&amp;Heating-Value'!$T$16/1000</f>
        <v>16.780118354999999</v>
      </c>
      <c r="Z1189" s="486">
        <f>'[2]Price&amp;Heating-Value'!G$16*'[2]Price&amp;Heating-Value'!$T$16/1000</f>
        <v>18.287135100000004</v>
      </c>
      <c r="AA1189" s="486">
        <f>'[2]Price&amp;Heating-Value'!H$16*'[2]Price&amp;Heating-Value'!$T$16/1000</f>
        <v>20.715278985000001</v>
      </c>
      <c r="AB1189" s="486">
        <f>'[2]Price&amp;Heating-Value'!I$16*'[2]Price&amp;Heating-Value'!$T$16/1000</f>
        <v>22.335056640000001</v>
      </c>
      <c r="AC1189" s="486">
        <f>'[2]Price&amp;Heating-Value'!J$16*'[2]Price&amp;Heating-Value'!$T$16/1000</f>
        <v>25.718475240000004</v>
      </c>
    </row>
    <row r="1190" spans="1:29" hidden="1">
      <c r="A1190" s="62"/>
      <c r="B1190" s="62"/>
      <c r="C1190" s="60" t="s">
        <v>161</v>
      </c>
      <c r="D1190" s="62" t="s">
        <v>160</v>
      </c>
      <c r="E1190" s="62">
        <f>'[7]Price&amp;Heating-Value'!$F$18/'[7]Price&amp;Heating-Value'!$H$18/1000</f>
        <v>36.42</v>
      </c>
      <c r="F1190" s="238">
        <f>'[7]Price&amp;Heating-Value'!$H$18</f>
        <v>0.83069999999999999</v>
      </c>
      <c r="G1190" s="498">
        <f>'[2]Price&amp;Heating-Value'!$I$18*'[2]Price&amp;Heating-Value'!$T$18/1000</f>
        <v>34.244001792000006</v>
      </c>
      <c r="H1190" s="225"/>
      <c r="I1190" s="225"/>
      <c r="J1190" s="225"/>
      <c r="K1190" s="225"/>
      <c r="L1190" s="225"/>
      <c r="M1190" s="225"/>
      <c r="N1190" s="225"/>
      <c r="O1190" s="225"/>
      <c r="P1190" s="225"/>
      <c r="Q1190" s="225"/>
      <c r="R1190" s="225"/>
      <c r="S1190" s="225"/>
      <c r="T1190" s="225">
        <f>SUM(E1190:S1190)</f>
        <v>71.494701792000001</v>
      </c>
      <c r="U1190" s="225">
        <f>T1190*E1190</f>
        <v>2603.8370392646402</v>
      </c>
      <c r="V1190" s="225">
        <f>F1190*G1190*T1190</f>
        <v>2033.7734832029146</v>
      </c>
      <c r="W1190" s="843">
        <f>'[2]Price&amp;Heating-Value'!D$18*'[2]Price&amp;Heating-Value'!$T$18/1000</f>
        <v>22.986641664000004</v>
      </c>
      <c r="X1190" s="486">
        <f>'[2]Price&amp;Heating-Value'!E$18*'[2]Price&amp;Heating-Value'!$T$18/1000</f>
        <v>22.963013856000003</v>
      </c>
      <c r="Y1190" s="486">
        <f>'[2]Price&amp;Heating-Value'!F$18*'[2]Price&amp;Heating-Value'!$T$18/1000</f>
        <v>24.774545952</v>
      </c>
      <c r="Z1190" s="486">
        <f>'[2]Price&amp;Heating-Value'!G$18*'[2]Price&amp;Heating-Value'!$T$18/1000</f>
        <v>27.366797952000002</v>
      </c>
      <c r="AA1190" s="486">
        <f>'[2]Price&amp;Heating-Value'!H$18*'[2]Price&amp;Heating-Value'!$T$18/1000</f>
        <v>31.132931903999999</v>
      </c>
      <c r="AB1190" s="486">
        <f>'[2]Price&amp;Heating-Value'!I$18*'[2]Price&amp;Heating-Value'!$T$18/1000</f>
        <v>34.244001792000006</v>
      </c>
      <c r="AC1190" s="486">
        <f>'[2]Price&amp;Heating-Value'!J$18*'[2]Price&amp;Heating-Value'!$T$18/1000</f>
        <v>35.755738848000007</v>
      </c>
    </row>
    <row r="1191" spans="1:29" hidden="1">
      <c r="A1191" s="253"/>
      <c r="B1191" s="253"/>
      <c r="C1191" s="60" t="s">
        <v>722</v>
      </c>
      <c r="D1191" s="62" t="s">
        <v>147</v>
      </c>
      <c r="E1191" s="844">
        <v>42461.269560000001</v>
      </c>
      <c r="F1191" s="253"/>
      <c r="G1191" s="845">
        <f>'[2]Price&amp;Heating-Value'!$I$24</f>
        <v>26707.550000000003</v>
      </c>
      <c r="H1191" s="277"/>
      <c r="I1191" s="332"/>
      <c r="J1191" s="332"/>
      <c r="K1191" s="277"/>
      <c r="L1191" s="277"/>
      <c r="M1191" s="277"/>
      <c r="N1191" s="277"/>
      <c r="O1191" s="277"/>
      <c r="P1191" s="277"/>
      <c r="Q1191" s="277"/>
      <c r="R1191" s="277"/>
      <c r="S1191" s="277"/>
      <c r="T1191" s="225">
        <f>SUM(E1191:S1191)</f>
        <v>69168.819560000004</v>
      </c>
      <c r="U1191" s="225">
        <f>T1191*E1191</f>
        <v>2936995892.4841609</v>
      </c>
      <c r="V1191" s="225">
        <f>G1191*T1191</f>
        <v>1847329706.8396783</v>
      </c>
      <c r="W1191" s="846">
        <f>'[2]Price&amp;Heating-Value'!D$24</f>
        <v>28388.639999999999</v>
      </c>
      <c r="X1191" s="847">
        <f>'[2]Price&amp;Heating-Value'!E$24</f>
        <v>26707.550000000003</v>
      </c>
      <c r="Y1191" s="847">
        <f>'[2]Price&amp;Heating-Value'!F$24</f>
        <v>26219.7</v>
      </c>
      <c r="Z1191" s="847">
        <f>'[2]Price&amp;Heating-Value'!G$24</f>
        <v>28008.76</v>
      </c>
      <c r="AA1191" s="847">
        <f>'[2]Price&amp;Heating-Value'!H$24</f>
        <v>11556.21</v>
      </c>
      <c r="AB1191" s="847">
        <f>'[2]Price&amp;Heating-Value'!I$24</f>
        <v>26707.550000000003</v>
      </c>
      <c r="AC1191" s="847">
        <f>'[2]Price&amp;Heating-Value'!J$24</f>
        <v>12073.17</v>
      </c>
    </row>
    <row r="1192" spans="1:29" hidden="1">
      <c r="A1192" s="253"/>
      <c r="B1192" s="253"/>
      <c r="C1192" s="60" t="s">
        <v>723</v>
      </c>
      <c r="D1192" s="253"/>
      <c r="E1192" s="844"/>
      <c r="F1192" s="253"/>
      <c r="G1192" s="845"/>
      <c r="H1192" s="277"/>
      <c r="I1192" s="332"/>
      <c r="J1192" s="332"/>
      <c r="K1192" s="277"/>
      <c r="L1192" s="277"/>
      <c r="M1192" s="277"/>
      <c r="N1192" s="277"/>
      <c r="O1192" s="277"/>
      <c r="P1192" s="277"/>
      <c r="Q1192" s="277"/>
      <c r="R1192" s="277"/>
      <c r="S1192" s="277"/>
      <c r="T1192" s="277"/>
      <c r="U1192" s="277"/>
      <c r="V1192" s="277"/>
      <c r="W1192" s="846"/>
      <c r="X1192" s="847"/>
      <c r="Y1192" s="847"/>
      <c r="Z1192" s="847"/>
      <c r="AA1192" s="847"/>
      <c r="AB1192" s="847"/>
      <c r="AC1192" s="847"/>
    </row>
    <row r="1193" spans="1:29" hidden="1">
      <c r="A1193" s="253"/>
      <c r="B1193" s="253"/>
      <c r="C1193" s="60" t="s">
        <v>724</v>
      </c>
      <c r="D1193" s="253"/>
      <c r="E1193" s="844"/>
      <c r="F1193" s="253"/>
      <c r="G1193" s="845"/>
      <c r="H1193" s="277">
        <v>921600</v>
      </c>
      <c r="I1193" s="332">
        <v>2140800</v>
      </c>
      <c r="J1193" s="332">
        <v>218400</v>
      </c>
      <c r="K1193" s="277"/>
      <c r="L1193" s="277"/>
      <c r="M1193" s="277"/>
      <c r="N1193" s="277"/>
      <c r="O1193" s="277"/>
      <c r="P1193" s="277"/>
      <c r="Q1193" s="277"/>
      <c r="R1193" s="277"/>
      <c r="S1193" s="277"/>
      <c r="T1193" s="277"/>
      <c r="U1193" s="277"/>
      <c r="V1193" s="277"/>
      <c r="W1193" s="846"/>
      <c r="X1193" s="847"/>
      <c r="Y1193" s="847"/>
      <c r="Z1193" s="847"/>
      <c r="AA1193" s="847"/>
      <c r="AB1193" s="847"/>
      <c r="AC1193" s="847"/>
    </row>
    <row r="1194" spans="1:29" hidden="1">
      <c r="A1194" s="253"/>
      <c r="B1194" s="253"/>
      <c r="C1194" s="60" t="s">
        <v>725</v>
      </c>
      <c r="D1194" s="253"/>
      <c r="E1194" s="844"/>
      <c r="F1194" s="253"/>
      <c r="G1194" s="845"/>
      <c r="H1194" s="277">
        <v>4055970</v>
      </c>
      <c r="I1194" s="332">
        <v>1086720</v>
      </c>
      <c r="J1194" s="332">
        <v>2862690</v>
      </c>
      <c r="K1194" s="277"/>
      <c r="L1194" s="277"/>
      <c r="M1194" s="277"/>
      <c r="N1194" s="277"/>
      <c r="O1194" s="277"/>
      <c r="P1194" s="277"/>
      <c r="Q1194" s="277"/>
      <c r="R1194" s="277"/>
      <c r="S1194" s="277"/>
      <c r="T1194" s="277"/>
      <c r="U1194" s="277"/>
      <c r="V1194" s="277"/>
      <c r="W1194" s="846"/>
      <c r="X1194" s="847"/>
      <c r="Y1194" s="847"/>
      <c r="Z1194" s="847"/>
      <c r="AA1194" s="847"/>
      <c r="AB1194" s="847"/>
      <c r="AC1194" s="847"/>
    </row>
    <row r="1195" spans="1:29" hidden="1">
      <c r="A1195" s="303"/>
      <c r="B1195" s="303"/>
      <c r="C1195" s="382" t="s">
        <v>726</v>
      </c>
      <c r="D1195" s="303" t="s">
        <v>147</v>
      </c>
      <c r="E1195" s="848">
        <v>25499.28672</v>
      </c>
      <c r="F1195" s="303"/>
      <c r="G1195" s="499">
        <f>'[2]Price&amp;Heating-Value'!$I$15</f>
        <v>3545.56</v>
      </c>
      <c r="H1195" s="310">
        <v>15002.99</v>
      </c>
      <c r="I1195" s="310">
        <v>15438.62</v>
      </c>
      <c r="J1195" s="310">
        <v>17665.78</v>
      </c>
      <c r="K1195" s="310"/>
      <c r="L1195" s="310"/>
      <c r="M1195" s="310"/>
      <c r="N1195" s="310"/>
      <c r="O1195" s="310"/>
      <c r="P1195" s="310"/>
      <c r="Q1195" s="310"/>
      <c r="R1195" s="310"/>
      <c r="S1195" s="310"/>
      <c r="T1195" s="310">
        <f>SUM(E1195:S1195)</f>
        <v>77152.236720000001</v>
      </c>
      <c r="U1195" s="310">
        <f>T1195*E1195</f>
        <v>1967327005.2125924</v>
      </c>
      <c r="V1195" s="310">
        <f>G1195*T1195</f>
        <v>273547884.42496318</v>
      </c>
      <c r="W1195" s="849">
        <f>'[2]Price&amp;Heating-Value'!D$15</f>
        <v>3545.56</v>
      </c>
      <c r="X1195" s="491">
        <f>'[2]Price&amp;Heating-Value'!E$15</f>
        <v>3545.56</v>
      </c>
      <c r="Y1195" s="491">
        <f>'[2]Price&amp;Heating-Value'!F$15</f>
        <v>3545.56</v>
      </c>
      <c r="Z1195" s="491">
        <f>'[2]Price&amp;Heating-Value'!G$15</f>
        <v>3545.56</v>
      </c>
      <c r="AA1195" s="491">
        <f>'[2]Price&amp;Heating-Value'!H$15</f>
        <v>3545.56</v>
      </c>
      <c r="AB1195" s="491">
        <f>'[2]Price&amp;Heating-Value'!I$15</f>
        <v>3545.56</v>
      </c>
      <c r="AC1195" s="491">
        <f>'[2]Price&amp;Heating-Value'!J$15</f>
        <v>3546.56</v>
      </c>
    </row>
    <row r="1196" spans="1:29" ht="23.25" hidden="1">
      <c r="A1196" s="306"/>
      <c r="B1196" s="307"/>
      <c r="C1196" s="237"/>
      <c r="D1196" s="307"/>
      <c r="E1196" s="850"/>
      <c r="F1196" s="307"/>
      <c r="G1196" s="307"/>
      <c r="H1196" s="270"/>
      <c r="I1196" s="270"/>
      <c r="J1196" s="270"/>
      <c r="K1196" s="270"/>
      <c r="L1196" s="270"/>
      <c r="M1196" s="270"/>
      <c r="N1196" s="270"/>
      <c r="O1196" s="270"/>
      <c r="P1196" s="270"/>
      <c r="Q1196" s="270"/>
      <c r="R1196" s="270"/>
      <c r="S1196" s="270"/>
      <c r="T1196" s="851"/>
      <c r="U1196" s="493"/>
      <c r="V1196" s="493">
        <f>SUM(V1189:V1195)</f>
        <v>2131016885.7906773</v>
      </c>
    </row>
    <row r="1197" spans="1:29" hidden="1">
      <c r="A1197" s="342"/>
      <c r="B1197" s="420"/>
      <c r="C1197" s="500" t="s">
        <v>97</v>
      </c>
      <c r="D1197" s="233"/>
      <c r="E1197" s="420"/>
      <c r="F1197" s="420"/>
      <c r="G1197" s="342"/>
      <c r="H1197" s="421"/>
      <c r="I1197" s="421"/>
      <c r="J1197" s="421"/>
      <c r="K1197" s="421"/>
      <c r="L1197" s="421"/>
      <c r="M1197" s="421"/>
      <c r="N1197" s="421"/>
      <c r="O1197" s="421"/>
      <c r="P1197" s="421"/>
      <c r="Q1197" s="421"/>
      <c r="R1197" s="421"/>
      <c r="S1197" s="421"/>
      <c r="T1197" s="236"/>
      <c r="U1197" s="422"/>
      <c r="V1197" s="852" t="e">
        <f>V1196/T1200</f>
        <v>#DIV/0!</v>
      </c>
    </row>
    <row r="1198" spans="1:29" hidden="1">
      <c r="A1198" s="342"/>
      <c r="B1198" s="420"/>
      <c r="C1198" s="423" t="s">
        <v>117</v>
      </c>
      <c r="D1198" s="233" t="s">
        <v>90</v>
      </c>
      <c r="E1198" s="420"/>
      <c r="F1198" s="420"/>
      <c r="G1198" s="342"/>
      <c r="H1198" s="422"/>
      <c r="I1198" s="422"/>
      <c r="J1198" s="422"/>
      <c r="K1198" s="422"/>
      <c r="L1198" s="422"/>
      <c r="M1198" s="422"/>
      <c r="N1198" s="422"/>
      <c r="O1198" s="422"/>
      <c r="P1198" s="422"/>
      <c r="Q1198" s="422"/>
      <c r="R1198" s="422"/>
      <c r="S1198" s="422"/>
      <c r="T1198" s="236">
        <f>SUM(H1198:S1198)</f>
        <v>0</v>
      </c>
      <c r="U1198" s="422">
        <v>403394638</v>
      </c>
      <c r="V1198" s="833" t="s">
        <v>716</v>
      </c>
    </row>
    <row r="1199" spans="1:29" hidden="1">
      <c r="A1199" s="342"/>
      <c r="B1199" s="420"/>
      <c r="C1199" s="423" t="s">
        <v>120</v>
      </c>
      <c r="D1199" s="233" t="s">
        <v>121</v>
      </c>
      <c r="E1199" s="420"/>
      <c r="F1199" s="420"/>
      <c r="G1199" s="342"/>
      <c r="H1199" s="422"/>
      <c r="I1199" s="422"/>
      <c r="J1199" s="422"/>
      <c r="K1199" s="422"/>
      <c r="L1199" s="422"/>
      <c r="M1199" s="422"/>
      <c r="N1199" s="422"/>
      <c r="O1199" s="422"/>
      <c r="P1199" s="422"/>
      <c r="Q1199" s="422"/>
      <c r="R1199" s="422"/>
      <c r="S1199" s="422"/>
      <c r="T1199" s="236">
        <f>SUM(H1199:S1199)</f>
        <v>0</v>
      </c>
      <c r="U1199" s="422">
        <v>1683663.6</v>
      </c>
      <c r="V1199" s="833"/>
    </row>
    <row r="1200" spans="1:29" hidden="1">
      <c r="A1200" s="342"/>
      <c r="B1200" s="420"/>
      <c r="C1200" s="423" t="s">
        <v>727</v>
      </c>
      <c r="D1200" s="233" t="s">
        <v>173</v>
      </c>
      <c r="E1200" s="420"/>
      <c r="F1200" s="420"/>
      <c r="G1200" s="342"/>
      <c r="H1200" s="421">
        <f>H1209</f>
        <v>0</v>
      </c>
      <c r="I1200" s="421">
        <f t="shared" ref="I1200:S1200" si="416">I1209</f>
        <v>0</v>
      </c>
      <c r="J1200" s="421">
        <f t="shared" si="416"/>
        <v>0</v>
      </c>
      <c r="K1200" s="421">
        <f t="shared" si="416"/>
        <v>0</v>
      </c>
      <c r="L1200" s="421">
        <f t="shared" si="416"/>
        <v>0</v>
      </c>
      <c r="M1200" s="421">
        <f t="shared" si="416"/>
        <v>0</v>
      </c>
      <c r="N1200" s="421">
        <f t="shared" si="416"/>
        <v>0</v>
      </c>
      <c r="O1200" s="421">
        <f t="shared" si="416"/>
        <v>0</v>
      </c>
      <c r="P1200" s="421">
        <f t="shared" si="416"/>
        <v>0</v>
      </c>
      <c r="Q1200" s="421">
        <f t="shared" si="416"/>
        <v>0</v>
      </c>
      <c r="R1200" s="421">
        <f t="shared" si="416"/>
        <v>0</v>
      </c>
      <c r="S1200" s="421">
        <f t="shared" si="416"/>
        <v>0</v>
      </c>
      <c r="T1200" s="236">
        <f>SUM(H1200:S1200)</f>
        <v>0</v>
      </c>
      <c r="U1200" s="422"/>
      <c r="V1200" s="833"/>
    </row>
    <row r="1201" spans="1:23" s="495" customFormat="1" hidden="1">
      <c r="A1201" s="503"/>
      <c r="B1201" s="503"/>
      <c r="C1201" s="418"/>
      <c r="D1201" s="503"/>
      <c r="E1201" s="503"/>
      <c r="F1201" s="503"/>
      <c r="G1201" s="503"/>
      <c r="H1201" s="490"/>
      <c r="I1201" s="490"/>
      <c r="J1201" s="490"/>
      <c r="K1201" s="490"/>
      <c r="L1201" s="490"/>
      <c r="M1201" s="490"/>
      <c r="N1201" s="490"/>
      <c r="O1201" s="490"/>
      <c r="P1201" s="490"/>
      <c r="Q1201" s="490"/>
      <c r="R1201" s="490"/>
      <c r="S1201" s="490"/>
      <c r="T1201" s="490"/>
      <c r="U1201" s="490"/>
      <c r="V1201" s="490"/>
      <c r="W1201" s="494"/>
    </row>
    <row r="1202" spans="1:23" hidden="1">
      <c r="A1202" s="253"/>
      <c r="B1202" s="392"/>
      <c r="C1202" s="393" t="s">
        <v>534</v>
      </c>
      <c r="D1202" s="392"/>
      <c r="E1202" s="392"/>
      <c r="F1202" s="392"/>
      <c r="G1202" s="392"/>
      <c r="H1202" s="394"/>
      <c r="I1202" s="394"/>
      <c r="J1202" s="394"/>
      <c r="K1202" s="394"/>
      <c r="L1202" s="394"/>
      <c r="M1202" s="394"/>
      <c r="N1202" s="394"/>
      <c r="O1202" s="394"/>
      <c r="P1202" s="394"/>
      <c r="Q1202" s="394"/>
      <c r="R1202" s="394"/>
      <c r="S1202" s="394"/>
      <c r="T1202" s="395"/>
      <c r="U1202" s="395"/>
      <c r="V1202" s="823"/>
    </row>
    <row r="1203" spans="1:23" hidden="1">
      <c r="A1203" s="253"/>
      <c r="B1203" s="392"/>
      <c r="C1203" s="396" t="s">
        <v>138</v>
      </c>
      <c r="D1203" s="504" t="s">
        <v>90</v>
      </c>
      <c r="E1203" s="839">
        <v>3.6</v>
      </c>
      <c r="F1203" s="504"/>
      <c r="G1203" s="256">
        <f>'[2]Price&amp;Heating-Value'!$P$6</f>
        <v>2.7124999999999999</v>
      </c>
      <c r="H1203" s="424">
        <f>H1198</f>
        <v>0</v>
      </c>
      <c r="I1203" s="424">
        <f t="shared" ref="I1203:S1204" si="417">I1198</f>
        <v>0</v>
      </c>
      <c r="J1203" s="424">
        <f t="shared" si="417"/>
        <v>0</v>
      </c>
      <c r="K1203" s="424">
        <f t="shared" si="417"/>
        <v>0</v>
      </c>
      <c r="L1203" s="424">
        <f t="shared" si="417"/>
        <v>0</v>
      </c>
      <c r="M1203" s="424">
        <f t="shared" si="417"/>
        <v>0</v>
      </c>
      <c r="N1203" s="424">
        <f t="shared" si="417"/>
        <v>0</v>
      </c>
      <c r="O1203" s="424">
        <f t="shared" si="417"/>
        <v>0</v>
      </c>
      <c r="P1203" s="424">
        <f t="shared" si="417"/>
        <v>0</v>
      </c>
      <c r="Q1203" s="424">
        <f t="shared" si="417"/>
        <v>0</v>
      </c>
      <c r="R1203" s="424">
        <f t="shared" si="417"/>
        <v>0</v>
      </c>
      <c r="S1203" s="424">
        <f t="shared" si="417"/>
        <v>0</v>
      </c>
      <c r="T1203" s="425">
        <f>SUM(H1203:S1203)</f>
        <v>0</v>
      </c>
      <c r="U1203" s="853">
        <f>T1203*E1203</f>
        <v>0</v>
      </c>
      <c r="V1203" s="853">
        <f>T1203*G1203</f>
        <v>0</v>
      </c>
    </row>
    <row r="1204" spans="1:23" hidden="1">
      <c r="A1204" s="253"/>
      <c r="B1204" s="392"/>
      <c r="C1204" s="396" t="s">
        <v>415</v>
      </c>
      <c r="D1204" s="392" t="s">
        <v>121</v>
      </c>
      <c r="E1204" s="834">
        <f>[6]HeatingValue!$C$39</f>
        <v>3387.2929024789019</v>
      </c>
      <c r="F1204" s="392"/>
      <c r="G1204" s="397">
        <f>[6]TransferPrice2007!$AB$10</f>
        <v>994.16666666666663</v>
      </c>
      <c r="H1204" s="425">
        <f>H1199</f>
        <v>0</v>
      </c>
      <c r="I1204" s="425">
        <f t="shared" si="417"/>
        <v>0</v>
      </c>
      <c r="J1204" s="425">
        <f t="shared" si="417"/>
        <v>0</v>
      </c>
      <c r="K1204" s="425">
        <f t="shared" si="417"/>
        <v>0</v>
      </c>
      <c r="L1204" s="425">
        <f t="shared" si="417"/>
        <v>0</v>
      </c>
      <c r="M1204" s="425">
        <f t="shared" si="417"/>
        <v>0</v>
      </c>
      <c r="N1204" s="425">
        <f t="shared" si="417"/>
        <v>0</v>
      </c>
      <c r="O1204" s="425">
        <f t="shared" si="417"/>
        <v>0</v>
      </c>
      <c r="P1204" s="425">
        <f t="shared" si="417"/>
        <v>0</v>
      </c>
      <c r="Q1204" s="425">
        <f t="shared" si="417"/>
        <v>0</v>
      </c>
      <c r="R1204" s="425">
        <f t="shared" si="417"/>
        <v>0</v>
      </c>
      <c r="S1204" s="425">
        <f t="shared" si="417"/>
        <v>0</v>
      </c>
      <c r="T1204" s="425">
        <f>SUM(H1204:S1204)</f>
        <v>0</v>
      </c>
      <c r="U1204" s="853">
        <f>T1204*E1204</f>
        <v>0</v>
      </c>
      <c r="V1204" s="853">
        <f>T1204*G1204</f>
        <v>0</v>
      </c>
    </row>
    <row r="1205" spans="1:23" hidden="1">
      <c r="A1205" s="253"/>
      <c r="B1205" s="392"/>
      <c r="C1205" s="396"/>
      <c r="D1205" s="392"/>
      <c r="E1205" s="392"/>
      <c r="F1205" s="392"/>
      <c r="G1205" s="392"/>
      <c r="H1205" s="392"/>
      <c r="I1205" s="392"/>
      <c r="J1205" s="392"/>
      <c r="K1205" s="392"/>
      <c r="L1205" s="392"/>
      <c r="M1205" s="392"/>
      <c r="N1205" s="392"/>
      <c r="O1205" s="392"/>
      <c r="P1205" s="392"/>
      <c r="Q1205" s="392"/>
      <c r="R1205" s="392"/>
      <c r="S1205" s="392"/>
      <c r="T1205" s="395"/>
      <c r="U1205" s="824"/>
      <c r="V1205" s="392"/>
    </row>
    <row r="1206" spans="1:23" hidden="1">
      <c r="A1206" s="253"/>
      <c r="B1206" s="392"/>
      <c r="C1206" s="393" t="s">
        <v>536</v>
      </c>
      <c r="D1206" s="392"/>
      <c r="E1206" s="392"/>
      <c r="F1206" s="392"/>
      <c r="G1206" s="392"/>
      <c r="H1206" s="394"/>
      <c r="I1206" s="394"/>
      <c r="J1206" s="394"/>
      <c r="K1206" s="394"/>
      <c r="L1206" s="394"/>
      <c r="M1206" s="394"/>
      <c r="N1206" s="394"/>
      <c r="O1206" s="394"/>
      <c r="P1206" s="394"/>
      <c r="Q1206" s="394"/>
      <c r="R1206" s="394"/>
      <c r="S1206" s="394"/>
      <c r="T1206" s="395"/>
      <c r="U1206" s="395"/>
      <c r="V1206" s="823"/>
    </row>
    <row r="1207" spans="1:23" hidden="1">
      <c r="A1207" s="253"/>
      <c r="B1207" s="392"/>
      <c r="C1207" s="396" t="s">
        <v>138</v>
      </c>
      <c r="D1207" s="392" t="s">
        <v>173</v>
      </c>
      <c r="E1207" s="392"/>
      <c r="F1207" s="392"/>
      <c r="G1207" s="392"/>
      <c r="H1207" s="394">
        <f>H1203*$E1203/1000</f>
        <v>0</v>
      </c>
      <c r="I1207" s="394">
        <f t="shared" ref="I1207:S1208" si="418">I1203*$E1203/1000</f>
        <v>0</v>
      </c>
      <c r="J1207" s="394">
        <f t="shared" si="418"/>
        <v>0</v>
      </c>
      <c r="K1207" s="394">
        <f t="shared" si="418"/>
        <v>0</v>
      </c>
      <c r="L1207" s="394">
        <f t="shared" si="418"/>
        <v>0</v>
      </c>
      <c r="M1207" s="394">
        <f t="shared" si="418"/>
        <v>0</v>
      </c>
      <c r="N1207" s="394">
        <f t="shared" si="418"/>
        <v>0</v>
      </c>
      <c r="O1207" s="394">
        <f t="shared" si="418"/>
        <v>0</v>
      </c>
      <c r="P1207" s="394">
        <f t="shared" si="418"/>
        <v>0</v>
      </c>
      <c r="Q1207" s="394">
        <f t="shared" si="418"/>
        <v>0</v>
      </c>
      <c r="R1207" s="394">
        <f t="shared" si="418"/>
        <v>0</v>
      </c>
      <c r="S1207" s="394">
        <f t="shared" si="418"/>
        <v>0</v>
      </c>
      <c r="T1207" s="395">
        <f>SUM(H1207:S1207)</f>
        <v>0</v>
      </c>
      <c r="U1207" s="395"/>
      <c r="V1207" s="823"/>
    </row>
    <row r="1208" spans="1:23" hidden="1">
      <c r="A1208" s="253"/>
      <c r="B1208" s="392"/>
      <c r="C1208" s="396" t="s">
        <v>415</v>
      </c>
      <c r="D1208" s="392" t="s">
        <v>173</v>
      </c>
      <c r="E1208" s="392"/>
      <c r="F1208" s="392"/>
      <c r="G1208" s="392"/>
      <c r="H1208" s="394">
        <f>H1204*$E1204/1000</f>
        <v>0</v>
      </c>
      <c r="I1208" s="394">
        <f>I1204*$E1204/1000</f>
        <v>0</v>
      </c>
      <c r="J1208" s="394">
        <f>J1204*$E1204/1000</f>
        <v>0</v>
      </c>
      <c r="K1208" s="394">
        <f t="shared" si="418"/>
        <v>0</v>
      </c>
      <c r="L1208" s="394">
        <f t="shared" si="418"/>
        <v>0</v>
      </c>
      <c r="M1208" s="394">
        <f t="shared" si="418"/>
        <v>0</v>
      </c>
      <c r="N1208" s="394">
        <f t="shared" si="418"/>
        <v>0</v>
      </c>
      <c r="O1208" s="394">
        <f t="shared" si="418"/>
        <v>0</v>
      </c>
      <c r="P1208" s="394">
        <f t="shared" si="418"/>
        <v>0</v>
      </c>
      <c r="Q1208" s="394">
        <f t="shared" si="418"/>
        <v>0</v>
      </c>
      <c r="R1208" s="394">
        <f t="shared" si="418"/>
        <v>0</v>
      </c>
      <c r="S1208" s="394">
        <f t="shared" si="418"/>
        <v>0</v>
      </c>
      <c r="T1208" s="395">
        <f>SUM(H1208:S1208)</f>
        <v>0</v>
      </c>
      <c r="U1208" s="395"/>
      <c r="V1208" s="823"/>
    </row>
    <row r="1209" spans="1:23" hidden="1">
      <c r="A1209" s="253"/>
      <c r="B1209" s="392"/>
      <c r="C1209" s="392" t="s">
        <v>537</v>
      </c>
      <c r="D1209" s="392" t="s">
        <v>173</v>
      </c>
      <c r="E1209" s="392"/>
      <c r="F1209" s="392"/>
      <c r="G1209" s="392"/>
      <c r="H1209" s="394">
        <f t="shared" ref="H1209:S1209" si="419">SUM(H1207:H1208)</f>
        <v>0</v>
      </c>
      <c r="I1209" s="394">
        <f t="shared" si="419"/>
        <v>0</v>
      </c>
      <c r="J1209" s="394">
        <f t="shared" si="419"/>
        <v>0</v>
      </c>
      <c r="K1209" s="394">
        <f t="shared" si="419"/>
        <v>0</v>
      </c>
      <c r="L1209" s="394">
        <f t="shared" si="419"/>
        <v>0</v>
      </c>
      <c r="M1209" s="394">
        <f t="shared" si="419"/>
        <v>0</v>
      </c>
      <c r="N1209" s="394">
        <f t="shared" si="419"/>
        <v>0</v>
      </c>
      <c r="O1209" s="394">
        <f t="shared" si="419"/>
        <v>0</v>
      </c>
      <c r="P1209" s="394">
        <f t="shared" si="419"/>
        <v>0</v>
      </c>
      <c r="Q1209" s="394">
        <f t="shared" si="419"/>
        <v>0</v>
      </c>
      <c r="R1209" s="394">
        <f t="shared" si="419"/>
        <v>0</v>
      </c>
      <c r="S1209" s="394">
        <f t="shared" si="419"/>
        <v>0</v>
      </c>
      <c r="T1209" s="395">
        <f>SUM(H1209:S1209)</f>
        <v>0</v>
      </c>
      <c r="U1209" s="395"/>
      <c r="V1209" s="823"/>
    </row>
    <row r="1210" spans="1:23" s="495" customFormat="1" hidden="1">
      <c r="A1210" s="503"/>
      <c r="B1210" s="503"/>
      <c r="C1210" s="418"/>
      <c r="D1210" s="503"/>
      <c r="E1210" s="503"/>
      <c r="F1210" s="503"/>
      <c r="G1210" s="503"/>
      <c r="H1210" s="490"/>
      <c r="I1210" s="490"/>
      <c r="J1210" s="490"/>
      <c r="K1210" s="490"/>
      <c r="L1210" s="490"/>
      <c r="M1210" s="490"/>
      <c r="N1210" s="490"/>
      <c r="O1210" s="490"/>
      <c r="P1210" s="490"/>
      <c r="Q1210" s="490"/>
      <c r="R1210" s="490"/>
      <c r="S1210" s="490"/>
      <c r="T1210" s="490"/>
      <c r="U1210" s="490"/>
      <c r="V1210" s="490"/>
      <c r="W1210" s="494"/>
    </row>
    <row r="1211" spans="1:23" s="502" customFormat="1" hidden="1">
      <c r="A1211" s="282"/>
      <c r="B1211" s="282"/>
      <c r="C1211" s="278" t="s">
        <v>721</v>
      </c>
      <c r="D1211" s="282" t="s">
        <v>173</v>
      </c>
      <c r="E1211" s="282"/>
      <c r="F1211" s="282"/>
      <c r="G1211" s="282"/>
      <c r="H1211" s="339">
        <f>H1189*$E1189/1000</f>
        <v>15579.509081684426</v>
      </c>
      <c r="I1211" s="339">
        <f t="shared" ref="I1211:S1213" si="420">I1189*$E1189/1000</f>
        <v>2734.061390157281</v>
      </c>
      <c r="J1211" s="339">
        <f t="shared" si="420"/>
        <v>0</v>
      </c>
      <c r="K1211" s="339">
        <f t="shared" si="420"/>
        <v>0</v>
      </c>
      <c r="L1211" s="339">
        <f t="shared" si="420"/>
        <v>0</v>
      </c>
      <c r="M1211" s="339">
        <f t="shared" si="420"/>
        <v>0</v>
      </c>
      <c r="N1211" s="339">
        <f t="shared" si="420"/>
        <v>0</v>
      </c>
      <c r="O1211" s="339">
        <f t="shared" si="420"/>
        <v>0</v>
      </c>
      <c r="P1211" s="339">
        <f t="shared" si="420"/>
        <v>0</v>
      </c>
      <c r="Q1211" s="339">
        <f t="shared" si="420"/>
        <v>0</v>
      </c>
      <c r="R1211" s="339">
        <f t="shared" si="420"/>
        <v>0</v>
      </c>
      <c r="S1211" s="339">
        <f t="shared" si="420"/>
        <v>0</v>
      </c>
      <c r="T1211" s="339">
        <f>SUM(H1211:S1211)</f>
        <v>18313.570471841707</v>
      </c>
      <c r="U1211" s="339"/>
      <c r="V1211" s="339"/>
      <c r="W1211" s="501"/>
    </row>
    <row r="1212" spans="1:23" s="502" customFormat="1" hidden="1">
      <c r="A1212" s="282"/>
      <c r="B1212" s="282"/>
      <c r="C1212" s="278" t="s">
        <v>161</v>
      </c>
      <c r="D1212" s="282" t="s">
        <v>173</v>
      </c>
      <c r="E1212" s="282"/>
      <c r="F1212" s="282"/>
      <c r="G1212" s="282"/>
      <c r="H1212" s="339">
        <f>H1190*$E1190/1000</f>
        <v>0</v>
      </c>
      <c r="I1212" s="339">
        <f t="shared" si="420"/>
        <v>0</v>
      </c>
      <c r="J1212" s="339">
        <f t="shared" si="420"/>
        <v>0</v>
      </c>
      <c r="K1212" s="339">
        <f t="shared" si="420"/>
        <v>0</v>
      </c>
      <c r="L1212" s="339">
        <f t="shared" si="420"/>
        <v>0</v>
      </c>
      <c r="M1212" s="339">
        <f t="shared" si="420"/>
        <v>0</v>
      </c>
      <c r="N1212" s="339">
        <f t="shared" si="420"/>
        <v>0</v>
      </c>
      <c r="O1212" s="339">
        <f t="shared" si="420"/>
        <v>0</v>
      </c>
      <c r="P1212" s="339">
        <f t="shared" si="420"/>
        <v>0</v>
      </c>
      <c r="Q1212" s="339">
        <f t="shared" si="420"/>
        <v>0</v>
      </c>
      <c r="R1212" s="339">
        <f t="shared" si="420"/>
        <v>0</v>
      </c>
      <c r="S1212" s="339">
        <f t="shared" si="420"/>
        <v>0</v>
      </c>
      <c r="T1212" s="339">
        <f>SUM(H1212:S1212)</f>
        <v>0</v>
      </c>
      <c r="U1212" s="339"/>
      <c r="V1212" s="339"/>
      <c r="W1212" s="501"/>
    </row>
    <row r="1213" spans="1:23" s="502" customFormat="1" hidden="1">
      <c r="A1213" s="282"/>
      <c r="B1213" s="282"/>
      <c r="C1213" s="278" t="s">
        <v>722</v>
      </c>
      <c r="D1213" s="282" t="s">
        <v>173</v>
      </c>
      <c r="E1213" s="282"/>
      <c r="F1213" s="282"/>
      <c r="G1213" s="282"/>
      <c r="H1213" s="339">
        <f>H1191*$E1191/1000</f>
        <v>0</v>
      </c>
      <c r="I1213" s="339">
        <f t="shared" si="420"/>
        <v>0</v>
      </c>
      <c r="J1213" s="339">
        <f t="shared" si="420"/>
        <v>0</v>
      </c>
      <c r="K1213" s="339">
        <f t="shared" si="420"/>
        <v>0</v>
      </c>
      <c r="L1213" s="339">
        <f t="shared" si="420"/>
        <v>0</v>
      </c>
      <c r="M1213" s="339">
        <f t="shared" si="420"/>
        <v>0</v>
      </c>
      <c r="N1213" s="339">
        <f t="shared" si="420"/>
        <v>0</v>
      </c>
      <c r="O1213" s="339">
        <f t="shared" si="420"/>
        <v>0</v>
      </c>
      <c r="P1213" s="339">
        <f t="shared" si="420"/>
        <v>0</v>
      </c>
      <c r="Q1213" s="339">
        <f t="shared" si="420"/>
        <v>0</v>
      </c>
      <c r="R1213" s="339">
        <f t="shared" si="420"/>
        <v>0</v>
      </c>
      <c r="S1213" s="339">
        <f t="shared" si="420"/>
        <v>0</v>
      </c>
      <c r="T1213" s="339">
        <f>SUM(H1213:S1213)</f>
        <v>0</v>
      </c>
      <c r="U1213" s="339"/>
      <c r="V1213" s="339"/>
      <c r="W1213" s="501"/>
    </row>
    <row r="1214" spans="1:23" s="502" customFormat="1" hidden="1">
      <c r="A1214" s="282"/>
      <c r="B1214" s="282"/>
      <c r="C1214" s="854" t="s">
        <v>876</v>
      </c>
      <c r="D1214" s="282" t="s">
        <v>173</v>
      </c>
      <c r="E1214" s="282"/>
      <c r="F1214" s="282"/>
      <c r="G1214" s="282"/>
      <c r="H1214" s="339">
        <f t="shared" ref="H1214:S1214" si="421">H1195*$E1195/1000</f>
        <v>382565.54366729275</v>
      </c>
      <c r="I1214" s="339">
        <f t="shared" si="421"/>
        <v>393673.7979411264</v>
      </c>
      <c r="J1214" s="339">
        <f t="shared" si="421"/>
        <v>450464.78935244156</v>
      </c>
      <c r="K1214" s="339">
        <f t="shared" si="421"/>
        <v>0</v>
      </c>
      <c r="L1214" s="339">
        <f t="shared" si="421"/>
        <v>0</v>
      </c>
      <c r="M1214" s="339">
        <f t="shared" si="421"/>
        <v>0</v>
      </c>
      <c r="N1214" s="339">
        <f t="shared" si="421"/>
        <v>0</v>
      </c>
      <c r="O1214" s="339">
        <f t="shared" si="421"/>
        <v>0</v>
      </c>
      <c r="P1214" s="339">
        <f t="shared" si="421"/>
        <v>0</v>
      </c>
      <c r="Q1214" s="339">
        <f t="shared" si="421"/>
        <v>0</v>
      </c>
      <c r="R1214" s="339">
        <f t="shared" si="421"/>
        <v>0</v>
      </c>
      <c r="S1214" s="339">
        <f t="shared" si="421"/>
        <v>0</v>
      </c>
      <c r="T1214" s="339">
        <f>SUM(H1214:S1214)</f>
        <v>1226704.1309608608</v>
      </c>
      <c r="U1214" s="339"/>
      <c r="V1214" s="339"/>
      <c r="W1214" s="501"/>
    </row>
    <row r="1215" spans="1:23" s="495" customFormat="1" hidden="1">
      <c r="A1215" s="503"/>
      <c r="B1215" s="503"/>
      <c r="C1215" s="503" t="s">
        <v>625</v>
      </c>
      <c r="D1215" s="282" t="s">
        <v>173</v>
      </c>
      <c r="E1215" s="503"/>
      <c r="F1215" s="503"/>
      <c r="G1215" s="503"/>
      <c r="H1215" s="490">
        <f>SUM(H1211:H1214)</f>
        <v>398145.05274897715</v>
      </c>
      <c r="I1215" s="490">
        <f t="shared" ref="I1215:S1215" si="422">SUM(I1211:I1214)</f>
        <v>396407.85933128366</v>
      </c>
      <c r="J1215" s="490">
        <f t="shared" si="422"/>
        <v>450464.78935244156</v>
      </c>
      <c r="K1215" s="490">
        <f t="shared" si="422"/>
        <v>0</v>
      </c>
      <c r="L1215" s="490">
        <f t="shared" si="422"/>
        <v>0</v>
      </c>
      <c r="M1215" s="490">
        <f t="shared" si="422"/>
        <v>0</v>
      </c>
      <c r="N1215" s="490">
        <f t="shared" si="422"/>
        <v>0</v>
      </c>
      <c r="O1215" s="490">
        <f t="shared" si="422"/>
        <v>0</v>
      </c>
      <c r="P1215" s="490">
        <f t="shared" si="422"/>
        <v>0</v>
      </c>
      <c r="Q1215" s="490">
        <f t="shared" si="422"/>
        <v>0</v>
      </c>
      <c r="R1215" s="490">
        <f t="shared" si="422"/>
        <v>0</v>
      </c>
      <c r="S1215" s="490">
        <f t="shared" si="422"/>
        <v>0</v>
      </c>
      <c r="T1215" s="257">
        <f>SUM(H1215:S1215)</f>
        <v>1245017.7014327024</v>
      </c>
      <c r="U1215" s="490"/>
      <c r="V1215" s="490">
        <f>V1196/T1215</f>
        <v>1711.6358131602567</v>
      </c>
      <c r="W1215" s="494"/>
    </row>
    <row r="1216" spans="1:23" s="495" customFormat="1" hidden="1">
      <c r="A1216" s="503"/>
      <c r="B1216" s="503"/>
      <c r="C1216" s="503" t="s">
        <v>728</v>
      </c>
      <c r="D1216" s="282" t="s">
        <v>173</v>
      </c>
      <c r="E1216" s="503"/>
      <c r="F1216" s="503"/>
      <c r="G1216" s="503"/>
      <c r="H1216" s="490">
        <f>H1215-H1209</f>
        <v>398145.05274897715</v>
      </c>
      <c r="I1216" s="490">
        <f t="shared" ref="I1216:T1216" si="423">I1215-I1209</f>
        <v>396407.85933128366</v>
      </c>
      <c r="J1216" s="490">
        <f t="shared" si="423"/>
        <v>450464.78935244156</v>
      </c>
      <c r="K1216" s="490">
        <f t="shared" si="423"/>
        <v>0</v>
      </c>
      <c r="L1216" s="490">
        <f t="shared" si="423"/>
        <v>0</v>
      </c>
      <c r="M1216" s="490">
        <f t="shared" si="423"/>
        <v>0</v>
      </c>
      <c r="N1216" s="490">
        <f t="shared" si="423"/>
        <v>0</v>
      </c>
      <c r="O1216" s="490">
        <f t="shared" si="423"/>
        <v>0</v>
      </c>
      <c r="P1216" s="490">
        <f t="shared" si="423"/>
        <v>0</v>
      </c>
      <c r="Q1216" s="490">
        <f t="shared" si="423"/>
        <v>0</v>
      </c>
      <c r="R1216" s="490">
        <f t="shared" si="423"/>
        <v>0</v>
      </c>
      <c r="S1216" s="490">
        <f t="shared" si="423"/>
        <v>0</v>
      </c>
      <c r="T1216" s="490">
        <f t="shared" si="423"/>
        <v>1245017.7014327024</v>
      </c>
      <c r="U1216" s="490"/>
      <c r="V1216" s="490" t="s">
        <v>158</v>
      </c>
      <c r="W1216" s="494"/>
    </row>
    <row r="1217" spans="1:29" s="495" customFormat="1" hidden="1">
      <c r="A1217" s="503"/>
      <c r="B1217" s="503"/>
      <c r="C1217" s="418"/>
      <c r="D1217" s="503"/>
      <c r="E1217" s="503"/>
      <c r="F1217" s="503"/>
      <c r="G1217" s="503"/>
      <c r="H1217" s="490"/>
      <c r="I1217" s="490"/>
      <c r="J1217" s="490"/>
      <c r="K1217" s="490"/>
      <c r="L1217" s="490"/>
      <c r="M1217" s="490"/>
      <c r="N1217" s="490"/>
      <c r="O1217" s="490"/>
      <c r="P1217" s="490"/>
      <c r="Q1217" s="490"/>
      <c r="R1217" s="490"/>
      <c r="S1217" s="490"/>
      <c r="T1217" s="490"/>
      <c r="U1217" s="490"/>
      <c r="V1217" s="490"/>
      <c r="W1217" s="494"/>
    </row>
    <row r="1218" spans="1:29" s="413" customFormat="1" hidden="1">
      <c r="A1218" s="229"/>
      <c r="B1218" s="336"/>
      <c r="C1218" s="429" t="s">
        <v>729</v>
      </c>
      <c r="D1218" s="336"/>
      <c r="E1218" s="336"/>
      <c r="F1218" s="336"/>
      <c r="G1218" s="336"/>
      <c r="H1218" s="366"/>
      <c r="I1218" s="366"/>
      <c r="J1218" s="366"/>
      <c r="K1218" s="366"/>
      <c r="L1218" s="366"/>
      <c r="M1218" s="366"/>
      <c r="N1218" s="366"/>
      <c r="O1218" s="366"/>
      <c r="P1218" s="366"/>
      <c r="Q1218" s="366"/>
      <c r="R1218" s="366"/>
      <c r="S1218" s="366"/>
      <c r="T1218" s="366"/>
      <c r="U1218" s="366"/>
      <c r="V1218" s="366"/>
      <c r="W1218" s="412"/>
    </row>
    <row r="1219" spans="1:29" s="413" customFormat="1" hidden="1">
      <c r="A1219" s="229"/>
      <c r="B1219" s="336"/>
      <c r="C1219" s="430" t="s">
        <v>721</v>
      </c>
      <c r="D1219" s="336" t="s">
        <v>671</v>
      </c>
      <c r="E1219" s="336"/>
      <c r="F1219" s="336"/>
      <c r="G1219" s="336"/>
      <c r="H1219" s="345" t="e">
        <f>H1211/H$1200</f>
        <v>#DIV/0!</v>
      </c>
      <c r="I1219" s="345" t="e">
        <f t="shared" ref="I1219:S1219" si="424">I1211/I$1200</f>
        <v>#DIV/0!</v>
      </c>
      <c r="J1219" s="345" t="e">
        <f t="shared" si="424"/>
        <v>#DIV/0!</v>
      </c>
      <c r="K1219" s="345" t="e">
        <f t="shared" si="424"/>
        <v>#DIV/0!</v>
      </c>
      <c r="L1219" s="345" t="e">
        <f t="shared" si="424"/>
        <v>#DIV/0!</v>
      </c>
      <c r="M1219" s="345" t="e">
        <f t="shared" si="424"/>
        <v>#DIV/0!</v>
      </c>
      <c r="N1219" s="345" t="e">
        <f t="shared" si="424"/>
        <v>#DIV/0!</v>
      </c>
      <c r="O1219" s="345" t="e">
        <f t="shared" si="424"/>
        <v>#DIV/0!</v>
      </c>
      <c r="P1219" s="345" t="e">
        <f t="shared" si="424"/>
        <v>#DIV/0!</v>
      </c>
      <c r="Q1219" s="345" t="e">
        <f t="shared" si="424"/>
        <v>#DIV/0!</v>
      </c>
      <c r="R1219" s="345" t="e">
        <f t="shared" si="424"/>
        <v>#DIV/0!</v>
      </c>
      <c r="S1219" s="345" t="e">
        <f t="shared" si="424"/>
        <v>#DIV/0!</v>
      </c>
      <c r="T1219" s="345" t="e">
        <f>T1211/T$1137</f>
        <v>#VALUE!</v>
      </c>
      <c r="U1219" s="366"/>
      <c r="V1219" s="366"/>
      <c r="W1219" s="412"/>
    </row>
    <row r="1220" spans="1:29" s="413" customFormat="1" hidden="1">
      <c r="A1220" s="229"/>
      <c r="B1220" s="336"/>
      <c r="C1220" s="430" t="s">
        <v>161</v>
      </c>
      <c r="D1220" s="336" t="s">
        <v>671</v>
      </c>
      <c r="E1220" s="336"/>
      <c r="F1220" s="336"/>
      <c r="G1220" s="336"/>
      <c r="H1220" s="345" t="e">
        <f t="shared" ref="H1220:S1224" si="425">H1212/H$1200</f>
        <v>#DIV/0!</v>
      </c>
      <c r="I1220" s="345" t="e">
        <f t="shared" si="425"/>
        <v>#DIV/0!</v>
      </c>
      <c r="J1220" s="345" t="e">
        <f t="shared" si="425"/>
        <v>#DIV/0!</v>
      </c>
      <c r="K1220" s="345" t="e">
        <f t="shared" si="425"/>
        <v>#DIV/0!</v>
      </c>
      <c r="L1220" s="345" t="e">
        <f t="shared" si="425"/>
        <v>#DIV/0!</v>
      </c>
      <c r="M1220" s="345" t="e">
        <f t="shared" si="425"/>
        <v>#DIV/0!</v>
      </c>
      <c r="N1220" s="345" t="e">
        <f t="shared" si="425"/>
        <v>#DIV/0!</v>
      </c>
      <c r="O1220" s="345" t="e">
        <f t="shared" si="425"/>
        <v>#DIV/0!</v>
      </c>
      <c r="P1220" s="345" t="e">
        <f t="shared" si="425"/>
        <v>#DIV/0!</v>
      </c>
      <c r="Q1220" s="345" t="e">
        <f t="shared" si="425"/>
        <v>#DIV/0!</v>
      </c>
      <c r="R1220" s="345" t="e">
        <f t="shared" si="425"/>
        <v>#DIV/0!</v>
      </c>
      <c r="S1220" s="345" t="e">
        <f t="shared" si="425"/>
        <v>#DIV/0!</v>
      </c>
      <c r="T1220" s="345" t="e">
        <f>T1212/T$1137</f>
        <v>#VALUE!</v>
      </c>
      <c r="U1220" s="366"/>
      <c r="V1220" s="366"/>
      <c r="W1220" s="412"/>
    </row>
    <row r="1221" spans="1:29" s="413" customFormat="1" hidden="1">
      <c r="A1221" s="229"/>
      <c r="B1221" s="336"/>
      <c r="C1221" s="430" t="s">
        <v>722</v>
      </c>
      <c r="D1221" s="336" t="s">
        <v>671</v>
      </c>
      <c r="E1221" s="336"/>
      <c r="F1221" s="336"/>
      <c r="G1221" s="336"/>
      <c r="H1221" s="345" t="e">
        <f t="shared" si="425"/>
        <v>#DIV/0!</v>
      </c>
      <c r="I1221" s="345" t="e">
        <f t="shared" si="425"/>
        <v>#DIV/0!</v>
      </c>
      <c r="J1221" s="345" t="e">
        <f t="shared" si="425"/>
        <v>#DIV/0!</v>
      </c>
      <c r="K1221" s="345" t="e">
        <f t="shared" si="425"/>
        <v>#DIV/0!</v>
      </c>
      <c r="L1221" s="345" t="e">
        <f t="shared" si="425"/>
        <v>#DIV/0!</v>
      </c>
      <c r="M1221" s="345" t="e">
        <f t="shared" si="425"/>
        <v>#DIV/0!</v>
      </c>
      <c r="N1221" s="345" t="e">
        <f t="shared" si="425"/>
        <v>#DIV/0!</v>
      </c>
      <c r="O1221" s="345" t="e">
        <f t="shared" si="425"/>
        <v>#DIV/0!</v>
      </c>
      <c r="P1221" s="345" t="e">
        <f t="shared" si="425"/>
        <v>#DIV/0!</v>
      </c>
      <c r="Q1221" s="345" t="e">
        <f t="shared" si="425"/>
        <v>#DIV/0!</v>
      </c>
      <c r="R1221" s="345" t="e">
        <f t="shared" si="425"/>
        <v>#DIV/0!</v>
      </c>
      <c r="S1221" s="345" t="e">
        <f t="shared" si="425"/>
        <v>#DIV/0!</v>
      </c>
      <c r="T1221" s="345" t="e">
        <f>T1213/T$1137</f>
        <v>#VALUE!</v>
      </c>
      <c r="U1221" s="366"/>
      <c r="V1221" s="366"/>
      <c r="W1221" s="412"/>
    </row>
    <row r="1222" spans="1:29" s="413" customFormat="1" hidden="1">
      <c r="A1222" s="229"/>
      <c r="B1222" s="336"/>
      <c r="C1222" s="430" t="s">
        <v>876</v>
      </c>
      <c r="D1222" s="336" t="s">
        <v>671</v>
      </c>
      <c r="E1222" s="336"/>
      <c r="F1222" s="336"/>
      <c r="G1222" s="336"/>
      <c r="H1222" s="345" t="e">
        <f t="shared" si="425"/>
        <v>#DIV/0!</v>
      </c>
      <c r="I1222" s="345" t="e">
        <f t="shared" si="425"/>
        <v>#DIV/0!</v>
      </c>
      <c r="J1222" s="345" t="e">
        <f t="shared" si="425"/>
        <v>#DIV/0!</v>
      </c>
      <c r="K1222" s="345" t="e">
        <f t="shared" si="425"/>
        <v>#DIV/0!</v>
      </c>
      <c r="L1222" s="345" t="e">
        <f t="shared" si="425"/>
        <v>#DIV/0!</v>
      </c>
      <c r="M1222" s="345" t="e">
        <f t="shared" si="425"/>
        <v>#DIV/0!</v>
      </c>
      <c r="N1222" s="345" t="e">
        <f t="shared" si="425"/>
        <v>#DIV/0!</v>
      </c>
      <c r="O1222" s="345" t="e">
        <f t="shared" si="425"/>
        <v>#DIV/0!</v>
      </c>
      <c r="P1222" s="345" t="e">
        <f t="shared" si="425"/>
        <v>#DIV/0!</v>
      </c>
      <c r="Q1222" s="345" t="e">
        <f t="shared" si="425"/>
        <v>#DIV/0!</v>
      </c>
      <c r="R1222" s="345" t="e">
        <f t="shared" si="425"/>
        <v>#DIV/0!</v>
      </c>
      <c r="S1222" s="345" t="e">
        <f t="shared" si="425"/>
        <v>#DIV/0!</v>
      </c>
      <c r="T1222" s="345" t="e">
        <f>T1214/T$1137</f>
        <v>#VALUE!</v>
      </c>
      <c r="U1222" s="366"/>
      <c r="V1222" s="366"/>
      <c r="W1222" s="412"/>
    </row>
    <row r="1223" spans="1:29" s="413" customFormat="1" ht="23.25" hidden="1">
      <c r="A1223" s="229"/>
      <c r="B1223" s="336"/>
      <c r="C1223" s="431" t="s">
        <v>628</v>
      </c>
      <c r="D1223" s="336" t="s">
        <v>671</v>
      </c>
      <c r="E1223" s="336"/>
      <c r="F1223" s="336"/>
      <c r="G1223" s="336"/>
      <c r="H1223" s="345" t="e">
        <f t="shared" si="425"/>
        <v>#DIV/0!</v>
      </c>
      <c r="I1223" s="345" t="e">
        <f t="shared" si="425"/>
        <v>#DIV/0!</v>
      </c>
      <c r="J1223" s="345" t="e">
        <f t="shared" si="425"/>
        <v>#DIV/0!</v>
      </c>
      <c r="K1223" s="345" t="e">
        <f t="shared" si="425"/>
        <v>#DIV/0!</v>
      </c>
      <c r="L1223" s="345" t="e">
        <f t="shared" si="425"/>
        <v>#DIV/0!</v>
      </c>
      <c r="M1223" s="345" t="e">
        <f t="shared" si="425"/>
        <v>#DIV/0!</v>
      </c>
      <c r="N1223" s="345" t="e">
        <f t="shared" si="425"/>
        <v>#DIV/0!</v>
      </c>
      <c r="O1223" s="345" t="e">
        <f t="shared" si="425"/>
        <v>#DIV/0!</v>
      </c>
      <c r="P1223" s="345" t="e">
        <f t="shared" si="425"/>
        <v>#DIV/0!</v>
      </c>
      <c r="Q1223" s="345" t="e">
        <f t="shared" si="425"/>
        <v>#DIV/0!</v>
      </c>
      <c r="R1223" s="345" t="e">
        <f t="shared" si="425"/>
        <v>#DIV/0!</v>
      </c>
      <c r="S1223" s="345" t="e">
        <f t="shared" si="425"/>
        <v>#DIV/0!</v>
      </c>
      <c r="T1223" s="433" t="e">
        <f>T1215/T1200</f>
        <v>#DIV/0!</v>
      </c>
      <c r="U1223" s="366"/>
      <c r="V1223" s="366"/>
      <c r="W1223" s="412"/>
    </row>
    <row r="1224" spans="1:29" s="495" customFormat="1" ht="23.25" hidden="1">
      <c r="A1224" s="503"/>
      <c r="B1224" s="336"/>
      <c r="C1224" s="431" t="s">
        <v>629</v>
      </c>
      <c r="D1224" s="336" t="s">
        <v>671</v>
      </c>
      <c r="E1224" s="336"/>
      <c r="F1224" s="336"/>
      <c r="G1224" s="336"/>
      <c r="H1224" s="345" t="e">
        <f t="shared" si="425"/>
        <v>#DIV/0!</v>
      </c>
      <c r="I1224" s="345" t="e">
        <f t="shared" si="425"/>
        <v>#DIV/0!</v>
      </c>
      <c r="J1224" s="345" t="e">
        <f t="shared" si="425"/>
        <v>#DIV/0!</v>
      </c>
      <c r="K1224" s="345" t="e">
        <f t="shared" si="425"/>
        <v>#DIV/0!</v>
      </c>
      <c r="L1224" s="345" t="e">
        <f t="shared" si="425"/>
        <v>#DIV/0!</v>
      </c>
      <c r="M1224" s="345" t="e">
        <f t="shared" si="425"/>
        <v>#DIV/0!</v>
      </c>
      <c r="N1224" s="345" t="e">
        <f t="shared" si="425"/>
        <v>#DIV/0!</v>
      </c>
      <c r="O1224" s="345" t="e">
        <f t="shared" si="425"/>
        <v>#DIV/0!</v>
      </c>
      <c r="P1224" s="345" t="e">
        <f t="shared" si="425"/>
        <v>#DIV/0!</v>
      </c>
      <c r="Q1224" s="345" t="e">
        <f t="shared" si="425"/>
        <v>#DIV/0!</v>
      </c>
      <c r="R1224" s="345" t="e">
        <f t="shared" si="425"/>
        <v>#DIV/0!</v>
      </c>
      <c r="S1224" s="345" t="e">
        <f t="shared" si="425"/>
        <v>#DIV/0!</v>
      </c>
      <c r="T1224" s="433" t="e">
        <f>T1216/T1200</f>
        <v>#DIV/0!</v>
      </c>
      <c r="U1224" s="366"/>
      <c r="V1224" s="366"/>
      <c r="W1224" s="494"/>
    </row>
    <row r="1225" spans="1:29" s="495" customFormat="1" hidden="1">
      <c r="A1225" s="503"/>
      <c r="B1225" s="503"/>
      <c r="C1225" s="418"/>
      <c r="D1225" s="503"/>
      <c r="E1225" s="503"/>
      <c r="F1225" s="503"/>
      <c r="G1225" s="503"/>
      <c r="H1225" s="490"/>
      <c r="I1225" s="490"/>
      <c r="J1225" s="490"/>
      <c r="K1225" s="490"/>
      <c r="L1225" s="490"/>
      <c r="M1225" s="490"/>
      <c r="N1225" s="490"/>
      <c r="O1225" s="490"/>
      <c r="P1225" s="490"/>
      <c r="Q1225" s="490"/>
      <c r="R1225" s="490"/>
      <c r="S1225" s="490"/>
      <c r="T1225" s="490"/>
      <c r="U1225" s="490"/>
      <c r="V1225" s="490"/>
      <c r="W1225" s="494"/>
    </row>
    <row r="1226" spans="1:29" s="495" customFormat="1" hidden="1">
      <c r="A1226" s="503"/>
      <c r="B1226" s="503"/>
      <c r="C1226" s="418"/>
      <c r="D1226" s="503"/>
      <c r="E1226" s="503"/>
      <c r="F1226" s="503"/>
      <c r="G1226" s="503"/>
      <c r="H1226" s="490"/>
      <c r="I1226" s="490"/>
      <c r="J1226" s="490"/>
      <c r="K1226" s="490"/>
      <c r="L1226" s="490"/>
      <c r="M1226" s="490"/>
      <c r="N1226" s="490"/>
      <c r="O1226" s="490"/>
      <c r="P1226" s="490"/>
      <c r="Q1226" s="490"/>
      <c r="R1226" s="490"/>
      <c r="S1226" s="490"/>
      <c r="T1226" s="490"/>
      <c r="U1226" s="490"/>
      <c r="V1226" s="490"/>
      <c r="W1226" s="494"/>
    </row>
    <row r="1227" spans="1:29" s="495" customFormat="1" hidden="1">
      <c r="A1227" s="515"/>
      <c r="C1227" s="514"/>
      <c r="H1227" s="494"/>
      <c r="I1227" s="494"/>
      <c r="J1227" s="494"/>
      <c r="K1227" s="494"/>
      <c r="L1227" s="494"/>
      <c r="M1227" s="494"/>
      <c r="N1227" s="494"/>
      <c r="O1227" s="494"/>
      <c r="P1227" s="494"/>
      <c r="Q1227" s="494"/>
      <c r="R1227" s="494"/>
      <c r="S1227" s="494"/>
      <c r="T1227" s="509"/>
      <c r="U1227" s="509"/>
      <c r="V1227" s="509"/>
      <c r="W1227" s="494"/>
    </row>
    <row r="1228" spans="1:29" s="495" customFormat="1" hidden="1">
      <c r="A1228" s="62">
        <v>28</v>
      </c>
      <c r="B1228" s="495" t="s">
        <v>167</v>
      </c>
      <c r="D1228" s="516"/>
      <c r="E1228" s="517"/>
      <c r="H1228" s="494"/>
      <c r="I1228" s="494"/>
      <c r="J1228" s="494"/>
      <c r="K1228" s="494"/>
      <c r="L1228" s="494"/>
      <c r="M1228" s="494"/>
      <c r="N1228" s="494"/>
      <c r="O1228" s="494"/>
      <c r="P1228" s="494"/>
      <c r="Q1228" s="494"/>
      <c r="R1228" s="494"/>
      <c r="S1228" s="494"/>
      <c r="T1228" s="509"/>
      <c r="U1228" s="509"/>
      <c r="V1228" s="509"/>
      <c r="W1228" s="494"/>
    </row>
    <row r="1229" spans="1:29" s="506" customFormat="1" ht="11.25" hidden="1">
      <c r="A1229" s="855"/>
      <c r="B1229" s="856" t="s">
        <v>156</v>
      </c>
      <c r="C1229" s="857" t="s">
        <v>730</v>
      </c>
      <c r="D1229" s="858" t="s">
        <v>90</v>
      </c>
      <c r="E1229" s="859">
        <f>'[8]Price&amp;Heating-Value'!$R$6</f>
        <v>3.6</v>
      </c>
      <c r="F1229" s="858"/>
      <c r="G1229" s="860">
        <f>'[8]Price&amp;Heating-Value'!$P$6</f>
        <v>2.7124999999999999</v>
      </c>
      <c r="H1229" s="861">
        <v>11630</v>
      </c>
      <c r="I1229" s="861">
        <v>6813</v>
      </c>
      <c r="J1229" s="861">
        <v>10830</v>
      </c>
      <c r="K1229" s="861">
        <v>9931</v>
      </c>
      <c r="L1229" s="861">
        <v>10690</v>
      </c>
      <c r="M1229" s="861">
        <v>11371</v>
      </c>
      <c r="N1229" s="861">
        <v>11490</v>
      </c>
      <c r="O1229" s="861">
        <v>9170</v>
      </c>
      <c r="P1229" s="861">
        <v>10571</v>
      </c>
      <c r="Q1229" s="861">
        <v>9590</v>
      </c>
      <c r="R1229" s="861">
        <v>6111</v>
      </c>
      <c r="S1229" s="861">
        <v>11066</v>
      </c>
      <c r="T1229" s="862"/>
      <c r="U1229" s="510"/>
      <c r="V1229" s="510"/>
      <c r="W1229" s="505"/>
      <c r="X1229" s="505"/>
      <c r="Y1229" s="505"/>
      <c r="Z1229" s="505"/>
      <c r="AA1229" s="505"/>
      <c r="AB1229" s="505"/>
      <c r="AC1229" s="505"/>
    </row>
    <row r="1230" spans="1:29" s="64" customFormat="1" ht="11.25" hidden="1">
      <c r="A1230" s="863"/>
      <c r="B1230" s="864"/>
      <c r="C1230" s="865" t="s">
        <v>731</v>
      </c>
      <c r="D1230" s="866" t="s">
        <v>176</v>
      </c>
      <c r="E1230" s="866">
        <f>'[8]Price&amp;Heating-Value'!$R$18/'[8]Price&amp;Heating-Value'!$T$18/1000</f>
        <v>36.42</v>
      </c>
      <c r="F1230" s="867">
        <f>'[8]Price&amp;Heating-Value'!$T$18</f>
        <v>0.83520000000000005</v>
      </c>
      <c r="G1230" s="867">
        <f>'[8]Price&amp;Heating-Value'!$P$18*'[8]Price&amp;Heating-Value'!$T$18/1000</f>
        <v>25.160039938320001</v>
      </c>
      <c r="H1230" s="868">
        <v>643</v>
      </c>
      <c r="I1230" s="868">
        <v>433</v>
      </c>
      <c r="J1230" s="868">
        <v>617</v>
      </c>
      <c r="K1230" s="868">
        <v>863</v>
      </c>
      <c r="L1230" s="868">
        <v>728</v>
      </c>
      <c r="M1230" s="868">
        <v>920</v>
      </c>
      <c r="N1230" s="868">
        <v>821</v>
      </c>
      <c r="O1230" s="868">
        <v>895</v>
      </c>
      <c r="P1230" s="868">
        <v>649</v>
      </c>
      <c r="Q1230" s="868">
        <v>571</v>
      </c>
      <c r="R1230" s="868">
        <v>791</v>
      </c>
      <c r="S1230" s="868">
        <v>561</v>
      </c>
      <c r="T1230" s="512"/>
      <c r="U1230" s="511"/>
      <c r="V1230" s="511"/>
      <c r="W1230" s="507"/>
      <c r="X1230" s="507"/>
      <c r="Y1230" s="507"/>
      <c r="Z1230" s="507"/>
      <c r="AA1230" s="507"/>
      <c r="AB1230" s="507"/>
      <c r="AC1230" s="507"/>
    </row>
    <row r="1231" spans="1:29" s="64" customFormat="1" ht="11.25" hidden="1">
      <c r="A1231" s="863"/>
      <c r="B1231" s="864"/>
      <c r="C1231" s="869"/>
      <c r="D1231" s="863"/>
      <c r="E1231" s="863"/>
      <c r="F1231" s="863"/>
      <c r="G1231" s="863"/>
      <c r="H1231" s="511"/>
      <c r="I1231" s="511"/>
      <c r="J1231" s="511"/>
      <c r="K1231" s="511"/>
      <c r="L1231" s="511"/>
      <c r="M1231" s="511"/>
      <c r="N1231" s="511"/>
      <c r="O1231" s="511"/>
      <c r="P1231" s="511"/>
      <c r="Q1231" s="511"/>
      <c r="R1231" s="511"/>
      <c r="S1231" s="511"/>
      <c r="T1231" s="512"/>
      <c r="U1231" s="511"/>
      <c r="V1231" s="511"/>
      <c r="W1231" s="508"/>
    </row>
    <row r="1232" spans="1:29" s="64" customFormat="1" ht="11.25" hidden="1">
      <c r="A1232" s="863"/>
      <c r="B1232" s="870"/>
      <c r="C1232" s="871" t="s">
        <v>732</v>
      </c>
      <c r="D1232" s="870" t="s">
        <v>733</v>
      </c>
      <c r="E1232" s="870"/>
      <c r="F1232" s="870"/>
      <c r="G1232" s="864"/>
      <c r="H1232" s="872">
        <v>40275.360000000001</v>
      </c>
      <c r="I1232" s="872">
        <v>25901.64</v>
      </c>
      <c r="J1232" s="872">
        <v>33065.279999999999</v>
      </c>
      <c r="K1232" s="872">
        <v>40862.879999999997</v>
      </c>
      <c r="L1232" s="872">
        <v>38193.120000000003</v>
      </c>
      <c r="M1232" s="872">
        <v>40604.76</v>
      </c>
      <c r="N1232" s="872">
        <v>44263.8</v>
      </c>
      <c r="O1232" s="872">
        <v>42460.2</v>
      </c>
      <c r="P1232" s="872">
        <v>36340.92</v>
      </c>
      <c r="Q1232" s="872">
        <v>32320.080000000002</v>
      </c>
      <c r="R1232" s="872">
        <v>44979.839999999997</v>
      </c>
      <c r="S1232" s="872">
        <v>42960.24</v>
      </c>
      <c r="T1232" s="512">
        <f t="shared" ref="T1232:T1237" si="426">SUM(H1232:S1232)</f>
        <v>462228.12</v>
      </c>
      <c r="U1232" s="512"/>
      <c r="V1232" s="873">
        <f>V1231/T1232</f>
        <v>0</v>
      </c>
      <c r="W1232" s="508"/>
    </row>
    <row r="1233" spans="1:29" s="64" customFormat="1" ht="11.25" hidden="1">
      <c r="A1233" s="863"/>
      <c r="B1233" s="870"/>
      <c r="C1233" s="871" t="s">
        <v>734</v>
      </c>
      <c r="D1233" s="870" t="s">
        <v>733</v>
      </c>
      <c r="E1233" s="870"/>
      <c r="F1233" s="870"/>
      <c r="G1233" s="864"/>
      <c r="H1233" s="872">
        <v>5388.12</v>
      </c>
      <c r="I1233" s="872">
        <v>3316.68</v>
      </c>
      <c r="J1233" s="872">
        <v>4887</v>
      </c>
      <c r="K1233" s="872">
        <v>10942.56</v>
      </c>
      <c r="L1233" s="872">
        <v>9874.2000000000007</v>
      </c>
      <c r="M1233" s="872">
        <v>6592.32</v>
      </c>
      <c r="N1233" s="872">
        <v>6370.1</v>
      </c>
      <c r="O1233" s="872">
        <v>6835.4</v>
      </c>
      <c r="P1233" s="872">
        <v>3650.9</v>
      </c>
      <c r="Q1233" s="872">
        <v>2407.9</v>
      </c>
      <c r="R1233" s="872">
        <v>3595.9</v>
      </c>
      <c r="S1233" s="872">
        <v>3964.4</v>
      </c>
      <c r="T1233" s="512">
        <f t="shared" si="426"/>
        <v>67825.48</v>
      </c>
      <c r="U1233" s="511"/>
      <c r="V1233" s="512" t="s">
        <v>137</v>
      </c>
      <c r="W1233" s="508"/>
    </row>
    <row r="1234" spans="1:29" s="64" customFormat="1" ht="11.25" hidden="1">
      <c r="A1234" s="863"/>
      <c r="B1234" s="864"/>
      <c r="C1234" s="874" t="s">
        <v>138</v>
      </c>
      <c r="D1234" s="863" t="s">
        <v>173</v>
      </c>
      <c r="E1234" s="875"/>
      <c r="F1234" s="875"/>
      <c r="G1234" s="863"/>
      <c r="H1234" s="876">
        <f>H1229*$E1229/1000</f>
        <v>41.868000000000002</v>
      </c>
      <c r="I1234" s="876">
        <f t="shared" ref="I1234:S1235" si="427">I1229*$E1229/1000</f>
        <v>24.526799999999998</v>
      </c>
      <c r="J1234" s="876">
        <f t="shared" si="427"/>
        <v>38.988</v>
      </c>
      <c r="K1234" s="876">
        <f t="shared" si="427"/>
        <v>35.751599999999996</v>
      </c>
      <c r="L1234" s="876">
        <f t="shared" si="427"/>
        <v>38.484000000000002</v>
      </c>
      <c r="M1234" s="876">
        <f t="shared" si="427"/>
        <v>40.935600000000001</v>
      </c>
      <c r="N1234" s="876">
        <f t="shared" si="427"/>
        <v>41.363999999999997</v>
      </c>
      <c r="O1234" s="876">
        <f t="shared" si="427"/>
        <v>33.012</v>
      </c>
      <c r="P1234" s="876">
        <f t="shared" si="427"/>
        <v>38.055599999999998</v>
      </c>
      <c r="Q1234" s="876">
        <f t="shared" si="427"/>
        <v>34.524000000000001</v>
      </c>
      <c r="R1234" s="876">
        <f t="shared" si="427"/>
        <v>21.999600000000001</v>
      </c>
      <c r="S1234" s="876">
        <f t="shared" si="427"/>
        <v>39.837600000000002</v>
      </c>
      <c r="T1234" s="511">
        <f t="shared" si="426"/>
        <v>429.34679999999997</v>
      </c>
      <c r="U1234" s="511"/>
      <c r="V1234" s="511"/>
      <c r="W1234" s="508"/>
    </row>
    <row r="1235" spans="1:29" s="64" customFormat="1" ht="11.25" hidden="1">
      <c r="A1235" s="863"/>
      <c r="B1235" s="864"/>
      <c r="C1235" s="874" t="s">
        <v>731</v>
      </c>
      <c r="D1235" s="863" t="s">
        <v>173</v>
      </c>
      <c r="E1235" s="875"/>
      <c r="F1235" s="875"/>
      <c r="G1235" s="863"/>
      <c r="H1235" s="876">
        <f>H1230*$E1230/1000</f>
        <v>23.418060000000001</v>
      </c>
      <c r="I1235" s="876">
        <f t="shared" si="427"/>
        <v>15.769860000000001</v>
      </c>
      <c r="J1235" s="876">
        <f t="shared" si="427"/>
        <v>22.471139999999998</v>
      </c>
      <c r="K1235" s="876">
        <f t="shared" si="427"/>
        <v>31.430460000000004</v>
      </c>
      <c r="L1235" s="876">
        <f t="shared" si="427"/>
        <v>26.513760000000001</v>
      </c>
      <c r="M1235" s="876">
        <f t="shared" si="427"/>
        <v>33.506399999999999</v>
      </c>
      <c r="N1235" s="876">
        <f t="shared" si="427"/>
        <v>29.90082</v>
      </c>
      <c r="O1235" s="876">
        <f t="shared" si="427"/>
        <v>32.5959</v>
      </c>
      <c r="P1235" s="876">
        <f t="shared" si="427"/>
        <v>23.636580000000002</v>
      </c>
      <c r="Q1235" s="876">
        <f t="shared" si="427"/>
        <v>20.795819999999999</v>
      </c>
      <c r="R1235" s="876">
        <f t="shared" si="427"/>
        <v>28.808220000000002</v>
      </c>
      <c r="S1235" s="876">
        <f t="shared" si="427"/>
        <v>20.431620000000002</v>
      </c>
      <c r="T1235" s="511">
        <f t="shared" si="426"/>
        <v>309.27864000000005</v>
      </c>
      <c r="U1235" s="511"/>
      <c r="V1235" s="511"/>
      <c r="W1235" s="508"/>
    </row>
    <row r="1236" spans="1:29" s="64" customFormat="1" ht="11.25" hidden="1">
      <c r="A1236" s="863"/>
      <c r="B1236" s="870"/>
      <c r="C1236" s="877" t="s">
        <v>735</v>
      </c>
      <c r="D1236" s="875" t="s">
        <v>173</v>
      </c>
      <c r="E1236" s="875">
        <v>1.4016985411608009</v>
      </c>
      <c r="F1236" s="875" t="s">
        <v>736</v>
      </c>
      <c r="G1236" s="863"/>
      <c r="H1236" s="876">
        <f>$E1236*H1232/1000</f>
        <v>56.453913356726076</v>
      </c>
      <c r="I1236" s="876">
        <f t="shared" ref="I1236:S1237" si="428">$E1236*I1232/1000</f>
        <v>36.306291001672243</v>
      </c>
      <c r="J1236" s="876">
        <f t="shared" si="428"/>
        <v>46.347554739073409</v>
      </c>
      <c r="K1236" s="876">
        <f t="shared" si="428"/>
        <v>57.277439283628865</v>
      </c>
      <c r="L1236" s="876">
        <f t="shared" si="428"/>
        <v>53.535240586379409</v>
      </c>
      <c r="M1236" s="876">
        <f t="shared" si="428"/>
        <v>56.915632856184452</v>
      </c>
      <c r="N1236" s="876">
        <f t="shared" si="428"/>
        <v>62.044503886233464</v>
      </c>
      <c r="O1236" s="876">
        <f t="shared" si="428"/>
        <v>59.516400397395842</v>
      </c>
      <c r="P1236" s="876">
        <f t="shared" si="428"/>
        <v>50.939014548441371</v>
      </c>
      <c r="Q1236" s="876">
        <f t="shared" si="428"/>
        <v>45.303008986200382</v>
      </c>
      <c r="R1236" s="876">
        <f t="shared" si="428"/>
        <v>63.048176109646235</v>
      </c>
      <c r="S1236" s="876">
        <f t="shared" si="428"/>
        <v>60.217305735917883</v>
      </c>
      <c r="T1236" s="511">
        <f t="shared" si="426"/>
        <v>647.90448148749954</v>
      </c>
      <c r="U1236" s="511"/>
      <c r="V1236" s="873"/>
      <c r="W1236" s="508"/>
    </row>
    <row r="1237" spans="1:29" s="64" customFormat="1" ht="11.25" hidden="1">
      <c r="A1237" s="863"/>
      <c r="B1237" s="870"/>
      <c r="C1237" s="877" t="s">
        <v>737</v>
      </c>
      <c r="D1237" s="875" t="s">
        <v>173</v>
      </c>
      <c r="E1237" s="875">
        <v>3.4675739070163263</v>
      </c>
      <c r="F1237" s="875" t="s">
        <v>736</v>
      </c>
      <c r="G1237" s="863"/>
      <c r="H1237" s="878">
        <f>$E1237*H1233/1000</f>
        <v>18.683704319872806</v>
      </c>
      <c r="I1237" s="878">
        <f t="shared" si="428"/>
        <v>11.500833025922908</v>
      </c>
      <c r="J1237" s="878">
        <f t="shared" si="428"/>
        <v>16.946033683588787</v>
      </c>
      <c r="K1237" s="878">
        <f t="shared" si="428"/>
        <v>37.944135531960569</v>
      </c>
      <c r="L1237" s="878">
        <f t="shared" si="428"/>
        <v>34.239518272660618</v>
      </c>
      <c r="M1237" s="878">
        <f t="shared" si="428"/>
        <v>22.859356818701869</v>
      </c>
      <c r="N1237" s="878">
        <f t="shared" si="428"/>
        <v>22.088792545084701</v>
      </c>
      <c r="O1237" s="878">
        <f t="shared" si="428"/>
        <v>23.702254684019394</v>
      </c>
      <c r="P1237" s="878">
        <f t="shared" si="428"/>
        <v>12.659765577125905</v>
      </c>
      <c r="Q1237" s="878">
        <f t="shared" si="428"/>
        <v>8.3495712107046121</v>
      </c>
      <c r="R1237" s="878">
        <f t="shared" si="428"/>
        <v>12.469049012240008</v>
      </c>
      <c r="S1237" s="878">
        <f t="shared" si="428"/>
        <v>13.746849996975525</v>
      </c>
      <c r="T1237" s="511">
        <f t="shared" si="426"/>
        <v>235.18986467885776</v>
      </c>
      <c r="U1237" s="512"/>
      <c r="V1237" s="512" t="s">
        <v>158</v>
      </c>
      <c r="W1237" s="508"/>
    </row>
    <row r="1238" spans="1:29" s="64" customFormat="1" ht="11.25" hidden="1">
      <c r="A1238" s="863"/>
      <c r="B1238" s="879" t="s">
        <v>174</v>
      </c>
      <c r="C1238" s="880" t="s">
        <v>138</v>
      </c>
      <c r="D1238" s="879" t="s">
        <v>347</v>
      </c>
      <c r="E1238" s="879"/>
      <c r="F1238" s="879"/>
      <c r="G1238" s="881"/>
      <c r="H1238" s="882">
        <f>H1234/H1232</f>
        <v>1.0395437806142516E-3</v>
      </c>
      <c r="I1238" s="882">
        <f t="shared" ref="I1238:T1239" si="429">I1234/I1232</f>
        <v>9.4692073552099401E-4</v>
      </c>
      <c r="J1238" s="882">
        <f t="shared" si="429"/>
        <v>1.1791220276979359E-3</v>
      </c>
      <c r="K1238" s="882">
        <f t="shared" si="429"/>
        <v>8.74916305458646E-4</v>
      </c>
      <c r="L1238" s="882">
        <f t="shared" si="429"/>
        <v>1.0076160313690005E-3</v>
      </c>
      <c r="M1238" s="882">
        <f t="shared" si="429"/>
        <v>1.008147813212047E-3</v>
      </c>
      <c r="N1238" s="882">
        <f t="shared" si="429"/>
        <v>9.3448822740026824E-4</v>
      </c>
      <c r="O1238" s="882">
        <f t="shared" si="429"/>
        <v>7.7748102929331474E-4</v>
      </c>
      <c r="P1238" s="882">
        <f t="shared" si="429"/>
        <v>1.0471831753296283E-3</v>
      </c>
      <c r="Q1238" s="882">
        <f t="shared" si="429"/>
        <v>1.0681904252712246E-3</v>
      </c>
      <c r="R1238" s="882">
        <f t="shared" si="429"/>
        <v>4.8909911640414912E-4</v>
      </c>
      <c r="S1238" s="882">
        <f t="shared" si="429"/>
        <v>9.2731325523321112E-4</v>
      </c>
      <c r="T1238" s="882">
        <f t="shared" si="429"/>
        <v>9.2886343652134353E-4</v>
      </c>
      <c r="U1238" s="512"/>
      <c r="V1238" s="512"/>
      <c r="W1238" s="508"/>
    </row>
    <row r="1239" spans="1:29" s="64" customFormat="1" ht="11.25" hidden="1">
      <c r="A1239" s="863"/>
      <c r="B1239" s="879"/>
      <c r="C1239" s="880" t="s">
        <v>731</v>
      </c>
      <c r="D1239" s="879" t="s">
        <v>347</v>
      </c>
      <c r="E1239" s="879"/>
      <c r="F1239" s="879"/>
      <c r="G1239" s="881"/>
      <c r="H1239" s="882">
        <f>H1235/H1233</f>
        <v>4.3462395046880917E-3</v>
      </c>
      <c r="I1239" s="882">
        <f t="shared" si="429"/>
        <v>4.7547125438691714E-3</v>
      </c>
      <c r="J1239" s="882">
        <f t="shared" si="429"/>
        <v>4.5981461019030077E-3</v>
      </c>
      <c r="K1239" s="882">
        <f t="shared" si="429"/>
        <v>2.8723132429705669E-3</v>
      </c>
      <c r="L1239" s="882">
        <f t="shared" si="429"/>
        <v>2.6851552530837942E-3</v>
      </c>
      <c r="M1239" s="882">
        <f t="shared" si="429"/>
        <v>5.0826416193388672E-3</v>
      </c>
      <c r="N1239" s="882">
        <f t="shared" si="429"/>
        <v>4.693932591325097E-3</v>
      </c>
      <c r="O1239" s="882">
        <f t="shared" si="429"/>
        <v>4.7686894695262898E-3</v>
      </c>
      <c r="P1239" s="882">
        <f t="shared" si="429"/>
        <v>6.4741789695691478E-3</v>
      </c>
      <c r="Q1239" s="882">
        <f t="shared" si="429"/>
        <v>8.6364965322480169E-3</v>
      </c>
      <c r="R1239" s="882">
        <f t="shared" si="429"/>
        <v>8.0114074362468372E-3</v>
      </c>
      <c r="S1239" s="882">
        <f t="shared" si="429"/>
        <v>5.1537735849056607E-3</v>
      </c>
      <c r="T1239" s="882">
        <f t="shared" si="429"/>
        <v>4.5599181900371375E-3</v>
      </c>
      <c r="U1239" s="512"/>
      <c r="V1239" s="512"/>
      <c r="W1239" s="508"/>
    </row>
    <row r="1240" spans="1:29" s="64" customFormat="1" ht="11.25" hidden="1">
      <c r="A1240" s="863"/>
      <c r="B1240" s="879"/>
      <c r="C1240" s="883" t="s">
        <v>738</v>
      </c>
      <c r="D1240" s="879" t="s">
        <v>401</v>
      </c>
      <c r="E1240" s="879"/>
      <c r="F1240" s="879"/>
      <c r="G1240" s="881"/>
      <c r="H1240" s="884">
        <f>(H1234+H1235)/(H1236+H1237)*100</f>
        <v>86.888647815530788</v>
      </c>
      <c r="I1240" s="884">
        <f t="shared" ref="I1240:T1240" si="430">(I1234+I1235)/(I1236+I1237)*100</f>
        <v>84.290073539541993</v>
      </c>
      <c r="J1240" s="884">
        <f t="shared" si="430"/>
        <v>97.101683648567828</v>
      </c>
      <c r="K1240" s="884">
        <f t="shared" si="430"/>
        <v>70.55340150602207</v>
      </c>
      <c r="L1240" s="884">
        <f t="shared" si="430"/>
        <v>74.050627817026253</v>
      </c>
      <c r="M1240" s="884">
        <f t="shared" si="430"/>
        <v>93.314960369634278</v>
      </c>
      <c r="N1240" s="884">
        <f t="shared" si="430"/>
        <v>84.704656803952417</v>
      </c>
      <c r="O1240" s="884">
        <f t="shared" si="430"/>
        <v>78.837972009778184</v>
      </c>
      <c r="P1240" s="884">
        <f t="shared" si="430"/>
        <v>97.002143560296361</v>
      </c>
      <c r="Q1240" s="884">
        <f t="shared" si="430"/>
        <v>103.10747367037381</v>
      </c>
      <c r="R1240" s="884">
        <f t="shared" si="430"/>
        <v>67.279776127890315</v>
      </c>
      <c r="S1240" s="884">
        <f t="shared" si="430"/>
        <v>81.484361448875461</v>
      </c>
      <c r="T1240" s="878">
        <f t="shared" si="430"/>
        <v>83.640603431160201</v>
      </c>
      <c r="U1240" s="512"/>
      <c r="V1240" s="512"/>
      <c r="W1240" s="508"/>
    </row>
    <row r="1241" spans="1:29" s="64" customFormat="1" ht="11.25" hidden="1">
      <c r="A1241" s="875"/>
      <c r="B1241" s="885" t="s">
        <v>157</v>
      </c>
      <c r="C1241" s="865" t="s">
        <v>730</v>
      </c>
      <c r="D1241" s="866" t="s">
        <v>90</v>
      </c>
      <c r="E1241" s="867">
        <f>'[8]Price&amp;Heating-Value'!$R$6</f>
        <v>3.6</v>
      </c>
      <c r="F1241" s="866"/>
      <c r="G1241" s="886">
        <f>'[8]Price&amp;Heating-Value'!$P$6</f>
        <v>2.7124999999999999</v>
      </c>
      <c r="H1241" s="887">
        <v>25363</v>
      </c>
      <c r="I1241" s="887">
        <v>21263</v>
      </c>
      <c r="J1241" s="887">
        <v>23200</v>
      </c>
      <c r="K1241" s="887">
        <v>22594</v>
      </c>
      <c r="L1241" s="887">
        <v>23790</v>
      </c>
      <c r="M1241" s="887">
        <v>19949</v>
      </c>
      <c r="N1241" s="887">
        <v>18282</v>
      </c>
      <c r="O1241" s="887">
        <v>18948</v>
      </c>
      <c r="P1241" s="887">
        <v>18173</v>
      </c>
      <c r="Q1241" s="887">
        <v>20188</v>
      </c>
      <c r="R1241" s="887">
        <v>26105</v>
      </c>
      <c r="S1241" s="887">
        <v>22040</v>
      </c>
      <c r="T1241" s="512">
        <f>SUM(H1241:S1241)</f>
        <v>259895</v>
      </c>
      <c r="U1241" s="512">
        <f>T1241*E1241</f>
        <v>935622</v>
      </c>
      <c r="V1241" s="512">
        <f>G1241*T1241</f>
        <v>704965.1875</v>
      </c>
      <c r="W1241" s="513"/>
      <c r="X1241" s="513"/>
      <c r="Y1241" s="513"/>
      <c r="Z1241" s="513"/>
      <c r="AA1241" s="513"/>
      <c r="AB1241" s="513"/>
      <c r="AC1241" s="513"/>
    </row>
    <row r="1242" spans="1:29" s="64" customFormat="1" ht="11.25" hidden="1">
      <c r="A1242" s="863"/>
      <c r="B1242" s="864"/>
      <c r="C1242" s="865" t="s">
        <v>731</v>
      </c>
      <c r="D1242" s="866" t="s">
        <v>176</v>
      </c>
      <c r="E1242" s="866">
        <f>'[8]Price&amp;Heating-Value'!$R$18/'[8]Price&amp;Heating-Value'!$T$18/1000</f>
        <v>36.42</v>
      </c>
      <c r="F1242" s="867">
        <f>'[8]Price&amp;Heating-Value'!$T$18</f>
        <v>0.83520000000000005</v>
      </c>
      <c r="G1242" s="867">
        <f>'[8]Price&amp;Heating-Value'!$P$18*'[8]Price&amp;Heating-Value'!$T$18/1000</f>
        <v>25.160039938320001</v>
      </c>
      <c r="H1242" s="868">
        <v>1100</v>
      </c>
      <c r="I1242" s="868">
        <v>850</v>
      </c>
      <c r="J1242" s="868">
        <v>700</v>
      </c>
      <c r="K1242" s="868">
        <v>860</v>
      </c>
      <c r="L1242" s="868">
        <v>1010</v>
      </c>
      <c r="M1242" s="868">
        <v>840</v>
      </c>
      <c r="N1242" s="868">
        <v>740</v>
      </c>
      <c r="O1242" s="868">
        <v>880</v>
      </c>
      <c r="P1242" s="868">
        <v>940</v>
      </c>
      <c r="Q1242" s="868">
        <v>1020</v>
      </c>
      <c r="R1242" s="868">
        <v>660</v>
      </c>
      <c r="S1242" s="868">
        <v>1430</v>
      </c>
      <c r="T1242" s="512">
        <f>SUM(H1242:S1242)</f>
        <v>11030</v>
      </c>
      <c r="U1242" s="511"/>
      <c r="V1242" s="511"/>
      <c r="W1242" s="507"/>
      <c r="X1242" s="507"/>
      <c r="Y1242" s="507"/>
      <c r="Z1242" s="507"/>
      <c r="AA1242" s="507"/>
      <c r="AB1242" s="507"/>
      <c r="AC1242" s="507"/>
    </row>
    <row r="1243" spans="1:29" s="64" customFormat="1" ht="11.25" hidden="1">
      <c r="A1243" s="863"/>
      <c r="B1243" s="864"/>
      <c r="C1243" s="869"/>
      <c r="D1243" s="863"/>
      <c r="E1243" s="863"/>
      <c r="F1243" s="863"/>
      <c r="G1243" s="863"/>
      <c r="H1243" s="511"/>
      <c r="I1243" s="511"/>
      <c r="J1243" s="511"/>
      <c r="K1243" s="511"/>
      <c r="L1243" s="511"/>
      <c r="M1243" s="511"/>
      <c r="N1243" s="511"/>
      <c r="O1243" s="511"/>
      <c r="P1243" s="511"/>
      <c r="Q1243" s="511"/>
      <c r="R1243" s="511"/>
      <c r="S1243" s="511"/>
      <c r="T1243" s="512"/>
      <c r="U1243" s="511">
        <f>SUM(U1241:U1241)</f>
        <v>935622</v>
      </c>
      <c r="V1243" s="511">
        <f>SUM(V1241:V1241)</f>
        <v>704965.1875</v>
      </c>
      <c r="W1243" s="508"/>
    </row>
    <row r="1244" spans="1:29" s="64" customFormat="1" ht="11.25" hidden="1">
      <c r="A1244" s="863"/>
      <c r="B1244" s="870"/>
      <c r="C1244" s="871" t="s">
        <v>732</v>
      </c>
      <c r="D1244" s="870" t="s">
        <v>147</v>
      </c>
      <c r="E1244" s="870"/>
      <c r="F1244" s="870"/>
      <c r="G1244" s="864"/>
      <c r="H1244" s="888">
        <v>28898.22</v>
      </c>
      <c r="I1244" s="888">
        <v>20631.669999999998</v>
      </c>
      <c r="J1244" s="888">
        <v>24150.53</v>
      </c>
      <c r="K1244" s="888">
        <v>23223.919999999998</v>
      </c>
      <c r="L1244" s="888">
        <v>26044.31</v>
      </c>
      <c r="M1244" s="888">
        <v>21480.34</v>
      </c>
      <c r="N1244" s="888">
        <v>15098.83</v>
      </c>
      <c r="O1244" s="888">
        <v>21123.64</v>
      </c>
      <c r="P1244" s="888">
        <v>20522.84</v>
      </c>
      <c r="Q1244" s="888">
        <v>27813.08</v>
      </c>
      <c r="R1244" s="888">
        <v>19211.02</v>
      </c>
      <c r="S1244" s="888">
        <v>27906.15</v>
      </c>
      <c r="T1244" s="512">
        <f t="shared" ref="T1244:T1250" si="431">SUM(H1244:S1244)</f>
        <v>276104.54999999993</v>
      </c>
      <c r="U1244" s="512"/>
      <c r="V1244" s="873"/>
      <c r="W1244" s="508"/>
    </row>
    <row r="1245" spans="1:29" s="64" customFormat="1" ht="11.25" hidden="1">
      <c r="A1245" s="863"/>
      <c r="B1245" s="870"/>
      <c r="C1245" s="871" t="s">
        <v>734</v>
      </c>
      <c r="D1245" s="870" t="s">
        <v>147</v>
      </c>
      <c r="E1245" s="870"/>
      <c r="F1245" s="870"/>
      <c r="G1245" s="864"/>
      <c r="H1245" s="888">
        <v>14163.61</v>
      </c>
      <c r="I1245" s="888">
        <v>9798.4</v>
      </c>
      <c r="J1245" s="888">
        <v>10347.6</v>
      </c>
      <c r="K1245" s="888">
        <v>11135.63</v>
      </c>
      <c r="L1245" s="888">
        <v>12045.1</v>
      </c>
      <c r="M1245" s="888">
        <v>9681.2000000000007</v>
      </c>
      <c r="N1245" s="888">
        <v>8855.4</v>
      </c>
      <c r="O1245" s="888">
        <v>9742.93</v>
      </c>
      <c r="P1245" s="888">
        <v>9209.6299999999992</v>
      </c>
      <c r="Q1245" s="888">
        <v>12725.85</v>
      </c>
      <c r="R1245" s="888">
        <v>7397.98</v>
      </c>
      <c r="S1245" s="888">
        <v>12706.03</v>
      </c>
      <c r="T1245" s="512">
        <f t="shared" si="431"/>
        <v>127809.36</v>
      </c>
      <c r="U1245" s="511"/>
      <c r="V1245" s="512" t="s">
        <v>137</v>
      </c>
      <c r="W1245" s="508"/>
    </row>
    <row r="1246" spans="1:29" s="64" customFormat="1" ht="11.25" hidden="1">
      <c r="A1246" s="863"/>
      <c r="B1246" s="870"/>
      <c r="C1246" s="871" t="s">
        <v>739</v>
      </c>
      <c r="D1246" s="870" t="s">
        <v>147</v>
      </c>
      <c r="E1246" s="870"/>
      <c r="F1246" s="870"/>
      <c r="G1246" s="864"/>
      <c r="H1246" s="888">
        <v>1416.3610000000001</v>
      </c>
      <c r="I1246" s="888">
        <v>979.84</v>
      </c>
      <c r="J1246" s="888">
        <v>1034.76</v>
      </c>
      <c r="K1246" s="888">
        <v>1113.5629999999999</v>
      </c>
      <c r="L1246" s="888">
        <v>1204.51</v>
      </c>
      <c r="M1246" s="888">
        <v>968.12</v>
      </c>
      <c r="N1246" s="888">
        <v>885</v>
      </c>
      <c r="O1246" s="888">
        <v>974</v>
      </c>
      <c r="P1246" s="888">
        <v>979.3</v>
      </c>
      <c r="Q1246" s="888">
        <v>1275</v>
      </c>
      <c r="R1246" s="888">
        <v>987</v>
      </c>
      <c r="S1246" s="888">
        <v>1279</v>
      </c>
      <c r="T1246" s="512">
        <f t="shared" si="431"/>
        <v>13096.454</v>
      </c>
      <c r="U1246" s="511"/>
      <c r="V1246" s="512" t="s">
        <v>137</v>
      </c>
      <c r="W1246" s="508"/>
    </row>
    <row r="1247" spans="1:29" s="64" customFormat="1" ht="11.25" hidden="1">
      <c r="A1247" s="863"/>
      <c r="B1247" s="864"/>
      <c r="C1247" s="874" t="s">
        <v>138</v>
      </c>
      <c r="D1247" s="863" t="s">
        <v>173</v>
      </c>
      <c r="E1247" s="875"/>
      <c r="F1247" s="875"/>
      <c r="G1247" s="863"/>
      <c r="H1247" s="511">
        <f t="shared" ref="H1247:S1248" si="432">H1241*$E1241/1000</f>
        <v>91.30680000000001</v>
      </c>
      <c r="I1247" s="511">
        <f t="shared" si="432"/>
        <v>76.546800000000005</v>
      </c>
      <c r="J1247" s="511">
        <f t="shared" si="432"/>
        <v>83.52</v>
      </c>
      <c r="K1247" s="511">
        <f t="shared" si="432"/>
        <v>81.338400000000007</v>
      </c>
      <c r="L1247" s="511">
        <f t="shared" si="432"/>
        <v>85.644000000000005</v>
      </c>
      <c r="M1247" s="511">
        <f t="shared" si="432"/>
        <v>71.816400000000016</v>
      </c>
      <c r="N1247" s="511">
        <f t="shared" si="432"/>
        <v>65.81519999999999</v>
      </c>
      <c r="O1247" s="511">
        <f t="shared" si="432"/>
        <v>68.212800000000001</v>
      </c>
      <c r="P1247" s="511">
        <f t="shared" si="432"/>
        <v>65.422800000000009</v>
      </c>
      <c r="Q1247" s="511">
        <f t="shared" si="432"/>
        <v>72.6768</v>
      </c>
      <c r="R1247" s="511">
        <f t="shared" si="432"/>
        <v>93.977999999999994</v>
      </c>
      <c r="S1247" s="511">
        <f t="shared" si="432"/>
        <v>79.343999999999994</v>
      </c>
      <c r="T1247" s="511">
        <f t="shared" si="431"/>
        <v>935.62200000000007</v>
      </c>
      <c r="U1247" s="511"/>
      <c r="V1247" s="511"/>
      <c r="W1247" s="508"/>
    </row>
    <row r="1248" spans="1:29" s="64" customFormat="1" ht="11.25" hidden="1">
      <c r="A1248" s="863"/>
      <c r="B1248" s="864"/>
      <c r="C1248" s="874" t="s">
        <v>731</v>
      </c>
      <c r="D1248" s="863" t="s">
        <v>173</v>
      </c>
      <c r="E1248" s="875"/>
      <c r="F1248" s="875"/>
      <c r="G1248" s="863"/>
      <c r="H1248" s="511">
        <f t="shared" si="432"/>
        <v>40.061999999999998</v>
      </c>
      <c r="I1248" s="511">
        <f t="shared" si="432"/>
        <v>30.957000000000001</v>
      </c>
      <c r="J1248" s="511">
        <f t="shared" si="432"/>
        <v>25.494</v>
      </c>
      <c r="K1248" s="511">
        <f t="shared" si="432"/>
        <v>31.321200000000001</v>
      </c>
      <c r="L1248" s="511">
        <f t="shared" si="432"/>
        <v>36.784200000000006</v>
      </c>
      <c r="M1248" s="511">
        <f t="shared" si="432"/>
        <v>30.592800000000004</v>
      </c>
      <c r="N1248" s="511">
        <f t="shared" si="432"/>
        <v>26.950800000000005</v>
      </c>
      <c r="O1248" s="511">
        <f t="shared" si="432"/>
        <v>32.049600000000005</v>
      </c>
      <c r="P1248" s="511">
        <f t="shared" si="432"/>
        <v>34.2348</v>
      </c>
      <c r="Q1248" s="511">
        <f t="shared" si="432"/>
        <v>37.148400000000002</v>
      </c>
      <c r="R1248" s="511">
        <f t="shared" si="432"/>
        <v>24.037200000000002</v>
      </c>
      <c r="S1248" s="511">
        <f t="shared" si="432"/>
        <v>52.080600000000004</v>
      </c>
      <c r="T1248" s="511">
        <f t="shared" si="431"/>
        <v>401.71260000000001</v>
      </c>
      <c r="U1248" s="511"/>
      <c r="V1248" s="511"/>
      <c r="W1248" s="508"/>
    </row>
    <row r="1249" spans="1:29" s="64" customFormat="1" ht="11.25" hidden="1">
      <c r="A1249" s="863"/>
      <c r="B1249" s="870"/>
      <c r="C1249" s="877" t="s">
        <v>740</v>
      </c>
      <c r="D1249" s="875" t="s">
        <v>347</v>
      </c>
      <c r="E1249" s="875">
        <v>3.9396829220138203</v>
      </c>
      <c r="F1249" s="875" t="s">
        <v>736</v>
      </c>
      <c r="G1249" s="863"/>
      <c r="H1249" s="876">
        <f>$E1249*H1244/1000</f>
        <v>113.84982381059822</v>
      </c>
      <c r="I1249" s="876">
        <f t="shared" ref="I1249:S1249" si="433">$E1249*I1244/1000</f>
        <v>81.282237951624865</v>
      </c>
      <c r="J1249" s="876">
        <f t="shared" si="433"/>
        <v>95.145430598582422</v>
      </c>
      <c r="K1249" s="876">
        <f t="shared" si="433"/>
        <v>91.494881006215195</v>
      </c>
      <c r="L1249" s="876">
        <f t="shared" si="433"/>
        <v>102.60632332263376</v>
      </c>
      <c r="M1249" s="876">
        <f t="shared" si="433"/>
        <v>84.625728657050345</v>
      </c>
      <c r="N1249" s="876">
        <f t="shared" si="433"/>
        <v>59.484602693389931</v>
      </c>
      <c r="O1249" s="876">
        <f t="shared" si="433"/>
        <v>83.220443758768013</v>
      </c>
      <c r="P1249" s="876">
        <f t="shared" si="433"/>
        <v>80.853482259222119</v>
      </c>
      <c r="Q1249" s="876">
        <f t="shared" si="433"/>
        <v>109.57471628460415</v>
      </c>
      <c r="R1249" s="876">
        <f t="shared" si="433"/>
        <v>75.685327408465952</v>
      </c>
      <c r="S1249" s="876">
        <f t="shared" si="433"/>
        <v>109.94138257415597</v>
      </c>
      <c r="T1249" s="512">
        <f t="shared" si="431"/>
        <v>1087.7643803253109</v>
      </c>
      <c r="U1249" s="511"/>
      <c r="V1249" s="873"/>
      <c r="W1249" s="508"/>
    </row>
    <row r="1250" spans="1:29" s="64" customFormat="1" ht="11.25" hidden="1">
      <c r="A1250" s="863"/>
      <c r="B1250" s="870"/>
      <c r="C1250" s="877" t="s">
        <v>741</v>
      </c>
      <c r="D1250" s="875" t="s">
        <v>347</v>
      </c>
      <c r="E1250" s="875">
        <v>3.2507743519841377</v>
      </c>
      <c r="F1250" s="875" t="s">
        <v>736</v>
      </c>
      <c r="G1250" s="863"/>
      <c r="H1250" s="878">
        <f>$E1250*(H1245+H1246)/1000</f>
        <v>50.646970131456662</v>
      </c>
      <c r="I1250" s="878">
        <f t="shared" ref="I1250:S1250" si="434">$E1250*(I1245+I1246)/1000</f>
        <v>35.037626151529508</v>
      </c>
      <c r="J1250" s="878">
        <f t="shared" si="434"/>
        <v>37.001483953050169</v>
      </c>
      <c r="K1250" s="878">
        <f t="shared" si="434"/>
        <v>39.819362436903631</v>
      </c>
      <c r="L1250" s="878">
        <f t="shared" si="434"/>
        <v>43.071492361792551</v>
      </c>
      <c r="M1250" s="878">
        <f t="shared" si="434"/>
        <v>34.618536322071719</v>
      </c>
      <c r="N1250" s="878">
        <f t="shared" si="434"/>
        <v>31.663842498066295</v>
      </c>
      <c r="O1250" s="878">
        <f t="shared" si="434"/>
        <v>34.838321176009359</v>
      </c>
      <c r="P1250" s="878">
        <f t="shared" si="434"/>
        <v>33.121912318161733</v>
      </c>
      <c r="Q1250" s="878">
        <f t="shared" si="434"/>
        <v>45.513604085977114</v>
      </c>
      <c r="R1250" s="878">
        <f t="shared" si="434"/>
        <v>27.257677925899952</v>
      </c>
      <c r="S1250" s="878">
        <f t="shared" si="434"/>
        <v>45.462176835728727</v>
      </c>
      <c r="T1250" s="512">
        <f t="shared" si="431"/>
        <v>458.0530061966474</v>
      </c>
      <c r="U1250" s="512"/>
      <c r="V1250" s="512" t="s">
        <v>158</v>
      </c>
      <c r="W1250" s="508"/>
    </row>
    <row r="1251" spans="1:29" s="64" customFormat="1" ht="11.25" hidden="1">
      <c r="A1251" s="863"/>
      <c r="B1251" s="879" t="s">
        <v>174</v>
      </c>
      <c r="C1251" s="880" t="s">
        <v>138</v>
      </c>
      <c r="D1251" s="879" t="s">
        <v>347</v>
      </c>
      <c r="E1251" s="879"/>
      <c r="F1251" s="879"/>
      <c r="G1251" s="881"/>
      <c r="H1251" s="882">
        <f>H1247/H1244</f>
        <v>3.1595994493778513E-3</v>
      </c>
      <c r="I1251" s="882">
        <f t="shared" ref="I1251:S1251" si="435">I1247/I1244</f>
        <v>3.7101601566911458E-3</v>
      </c>
      <c r="J1251" s="882">
        <f t="shared" si="435"/>
        <v>3.4583091965269498E-3</v>
      </c>
      <c r="K1251" s="882">
        <f t="shared" si="435"/>
        <v>3.5023544690129839E-3</v>
      </c>
      <c r="L1251" s="882">
        <f t="shared" si="435"/>
        <v>3.2883958146712276E-3</v>
      </c>
      <c r="M1251" s="882">
        <f t="shared" si="435"/>
        <v>3.3433549003414292E-3</v>
      </c>
      <c r="N1251" s="882">
        <f t="shared" si="435"/>
        <v>4.3589602638085196E-3</v>
      </c>
      <c r="O1251" s="882">
        <f t="shared" si="435"/>
        <v>3.2292161767574152E-3</v>
      </c>
      <c r="P1251" s="882">
        <f t="shared" si="435"/>
        <v>3.1878044169325499E-3</v>
      </c>
      <c r="Q1251" s="882">
        <f t="shared" si="435"/>
        <v>2.6130439347242375E-3</v>
      </c>
      <c r="R1251" s="882">
        <f t="shared" si="435"/>
        <v>4.8918797648433033E-3</v>
      </c>
      <c r="S1251" s="882">
        <f t="shared" si="435"/>
        <v>2.8432442311103461E-3</v>
      </c>
      <c r="T1251" s="873"/>
      <c r="U1251" s="512"/>
      <c r="V1251" s="512"/>
      <c r="W1251" s="508"/>
    </row>
    <row r="1252" spans="1:29" s="64" customFormat="1" ht="11.25" hidden="1">
      <c r="A1252" s="863"/>
      <c r="B1252" s="879"/>
      <c r="C1252" s="880" t="s">
        <v>731</v>
      </c>
      <c r="D1252" s="879" t="s">
        <v>347</v>
      </c>
      <c r="E1252" s="879"/>
      <c r="F1252" s="879"/>
      <c r="G1252" s="881"/>
      <c r="H1252" s="882">
        <f>H1248/(H1245+H1246)</f>
        <v>2.5713783421034606E-3</v>
      </c>
      <c r="I1252" s="882">
        <f t="shared" ref="I1252:S1252" si="436">I1248/(I1245+I1246)</f>
        <v>2.8721757912237994E-3</v>
      </c>
      <c r="J1252" s="882">
        <f t="shared" si="436"/>
        <v>2.2397815567246158E-3</v>
      </c>
      <c r="K1252" s="882">
        <f t="shared" si="436"/>
        <v>2.5570011020317829E-3</v>
      </c>
      <c r="L1252" s="882">
        <f t="shared" si="436"/>
        <v>2.7762477537074679E-3</v>
      </c>
      <c r="M1252" s="882">
        <f t="shared" si="436"/>
        <v>2.8727468044908032E-3</v>
      </c>
      <c r="N1252" s="882">
        <f t="shared" si="436"/>
        <v>2.7669089565110268E-3</v>
      </c>
      <c r="O1252" s="882">
        <f t="shared" si="436"/>
        <v>2.9905579303028018E-3</v>
      </c>
      <c r="P1252" s="882">
        <f t="shared" si="436"/>
        <v>3.3599995289004835E-3</v>
      </c>
      <c r="Q1252" s="882">
        <f t="shared" si="436"/>
        <v>2.653296049882686E-3</v>
      </c>
      <c r="R1252" s="882">
        <f t="shared" si="436"/>
        <v>2.8666973564635818E-3</v>
      </c>
      <c r="S1252" s="882">
        <f t="shared" si="436"/>
        <v>3.7240249037721052E-3</v>
      </c>
      <c r="T1252" s="873"/>
      <c r="U1252" s="512"/>
      <c r="V1252" s="512"/>
      <c r="W1252" s="508"/>
    </row>
    <row r="1253" spans="1:29" s="64" customFormat="1" ht="11.25" hidden="1">
      <c r="A1253" s="863"/>
      <c r="B1253" s="879"/>
      <c r="C1253" s="883" t="s">
        <v>743</v>
      </c>
      <c r="D1253" s="879" t="s">
        <v>401</v>
      </c>
      <c r="E1253" s="879"/>
      <c r="F1253" s="879"/>
      <c r="G1253" s="881"/>
      <c r="H1253" s="884">
        <f>(H1247+H1248)/(H1249+H1250)*100</f>
        <v>79.861009355766271</v>
      </c>
      <c r="I1253" s="884">
        <f t="shared" ref="I1253:T1253" si="437">(I1247+I1248)/(I1249+I1250)*100</f>
        <v>92.420843876385433</v>
      </c>
      <c r="J1253" s="884">
        <f t="shared" si="437"/>
        <v>82.494548109487582</v>
      </c>
      <c r="K1253" s="884">
        <f t="shared" si="437"/>
        <v>85.793891847536401</v>
      </c>
      <c r="L1253" s="884">
        <f t="shared" si="437"/>
        <v>84.040386948970564</v>
      </c>
      <c r="M1253" s="884">
        <f t="shared" si="437"/>
        <v>85.881866115683124</v>
      </c>
      <c r="N1253" s="884">
        <f t="shared" si="437"/>
        <v>101.77463785053722</v>
      </c>
      <c r="O1253" s="884">
        <f t="shared" si="437"/>
        <v>84.925841851209341</v>
      </c>
      <c r="P1253" s="884">
        <f t="shared" si="437"/>
        <v>87.437819688649782</v>
      </c>
      <c r="Q1253" s="884">
        <f t="shared" si="437"/>
        <v>70.814616947023652</v>
      </c>
      <c r="R1253" s="884">
        <f t="shared" si="437"/>
        <v>114.64130041344585</v>
      </c>
      <c r="S1253" s="884">
        <f t="shared" si="437"/>
        <v>84.569877613524298</v>
      </c>
      <c r="T1253" s="878">
        <f t="shared" si="437"/>
        <v>86.51310378963727</v>
      </c>
      <c r="U1253" s="512"/>
      <c r="V1253" s="512"/>
      <c r="W1253" s="508"/>
    </row>
    <row r="1254" spans="1:29" s="64" customFormat="1" ht="11.25" hidden="1">
      <c r="A1254" s="889"/>
      <c r="B1254" s="890"/>
      <c r="C1254" s="891" t="s">
        <v>370</v>
      </c>
      <c r="D1254" s="890" t="s">
        <v>173</v>
      </c>
      <c r="E1254" s="890"/>
      <c r="F1254" s="890"/>
      <c r="G1254" s="889"/>
      <c r="H1254" s="892">
        <f>H1234+H1235+H1247+H1248</f>
        <v>196.65486000000004</v>
      </c>
      <c r="I1254" s="892">
        <f t="shared" ref="I1254:S1254" si="438">I1234+I1235+I1247+I1248</f>
        <v>147.80046000000002</v>
      </c>
      <c r="J1254" s="892">
        <f t="shared" si="438"/>
        <v>170.47314</v>
      </c>
      <c r="K1254" s="892">
        <f t="shared" si="438"/>
        <v>179.84166000000002</v>
      </c>
      <c r="L1254" s="892">
        <f t="shared" si="438"/>
        <v>187.42596</v>
      </c>
      <c r="M1254" s="892">
        <f t="shared" si="438"/>
        <v>176.85120000000003</v>
      </c>
      <c r="N1254" s="892">
        <f t="shared" si="438"/>
        <v>164.03082000000001</v>
      </c>
      <c r="O1254" s="892">
        <f t="shared" si="438"/>
        <v>165.87029999999999</v>
      </c>
      <c r="P1254" s="892">
        <f t="shared" si="438"/>
        <v>161.34978000000001</v>
      </c>
      <c r="Q1254" s="892">
        <f t="shared" si="438"/>
        <v>165.14502000000002</v>
      </c>
      <c r="R1254" s="892">
        <f t="shared" si="438"/>
        <v>168.82302000000001</v>
      </c>
      <c r="S1254" s="892">
        <f t="shared" si="438"/>
        <v>191.69382000000002</v>
      </c>
      <c r="T1254" s="892"/>
      <c r="U1254" s="522"/>
      <c r="V1254" s="522"/>
      <c r="W1254" s="508"/>
    </row>
    <row r="1255" spans="1:29" s="506" customFormat="1" ht="11.25" hidden="1">
      <c r="A1255" s="893"/>
      <c r="B1255" s="893"/>
      <c r="C1255" s="894" t="s">
        <v>744</v>
      </c>
      <c r="D1255" s="893" t="s">
        <v>173</v>
      </c>
      <c r="E1255" s="893"/>
      <c r="F1255" s="893"/>
      <c r="G1255" s="893"/>
      <c r="H1255" s="895">
        <f>H1236+H1237+H1249+H1250</f>
        <v>239.63441161865376</v>
      </c>
      <c r="I1255" s="895">
        <f t="shared" ref="I1255:S1255" si="439">I1236+I1237+I1249+I1250</f>
        <v>164.12698813074954</v>
      </c>
      <c r="J1255" s="895">
        <f t="shared" si="439"/>
        <v>195.44050297429482</v>
      </c>
      <c r="K1255" s="895">
        <f t="shared" si="439"/>
        <v>226.53581825870828</v>
      </c>
      <c r="L1255" s="895">
        <f t="shared" si="439"/>
        <v>233.45257454346631</v>
      </c>
      <c r="M1255" s="895">
        <f t="shared" si="439"/>
        <v>199.01925465400839</v>
      </c>
      <c r="N1255" s="895">
        <f t="shared" si="439"/>
        <v>175.2817416227744</v>
      </c>
      <c r="O1255" s="895">
        <f t="shared" si="439"/>
        <v>201.27742001619259</v>
      </c>
      <c r="P1255" s="895">
        <f t="shared" si="439"/>
        <v>177.5741747029511</v>
      </c>
      <c r="Q1255" s="895">
        <f t="shared" si="439"/>
        <v>208.74090056748625</v>
      </c>
      <c r="R1255" s="895">
        <f t="shared" si="439"/>
        <v>178.46023045625213</v>
      </c>
      <c r="S1255" s="895">
        <f t="shared" si="439"/>
        <v>229.36771514277808</v>
      </c>
      <c r="T1255" s="895"/>
      <c r="U1255" s="523"/>
      <c r="V1255" s="523"/>
      <c r="W1255" s="63"/>
    </row>
    <row r="1256" spans="1:29" s="520" customFormat="1" ht="11.25" hidden="1">
      <c r="A1256" s="896"/>
      <c r="B1256" s="897"/>
      <c r="C1256" s="897" t="s">
        <v>745</v>
      </c>
      <c r="D1256" s="897"/>
      <c r="E1256" s="897"/>
      <c r="F1256" s="897"/>
      <c r="G1256" s="897"/>
      <c r="H1256" s="898">
        <f>H1254/H1255*100</f>
        <v>82.064532665262632</v>
      </c>
      <c r="I1256" s="898">
        <f t="shared" ref="I1256:M1256" si="440">I1254/I1255*100</f>
        <v>90.052502445397209</v>
      </c>
      <c r="J1256" s="898">
        <f t="shared" si="440"/>
        <v>87.225082521621104</v>
      </c>
      <c r="K1256" s="898">
        <f t="shared" si="440"/>
        <v>79.387737172148803</v>
      </c>
      <c r="L1256" s="898">
        <f t="shared" si="440"/>
        <v>80.284383398437669</v>
      </c>
      <c r="M1256" s="898">
        <f t="shared" si="440"/>
        <v>88.861351786013302</v>
      </c>
      <c r="N1256" s="898">
        <f t="shared" ref="N1256:S1256" si="441">(N1234+N1235+N1247+N1248)/(N1236+N1237+N1249+N1250)*100</f>
        <v>93.581235832886904</v>
      </c>
      <c r="O1256" s="899">
        <f t="shared" si="441"/>
        <v>82.40879676749428</v>
      </c>
      <c r="P1256" s="898">
        <f t="shared" si="441"/>
        <v>90.863314031957913</v>
      </c>
      <c r="Q1256" s="899">
        <f t="shared" si="441"/>
        <v>79.114835449609629</v>
      </c>
      <c r="R1256" s="900">
        <f t="shared" si="441"/>
        <v>94.599799388573246</v>
      </c>
      <c r="S1256" s="898">
        <f t="shared" si="441"/>
        <v>83.574891906942256</v>
      </c>
      <c r="T1256" s="898">
        <f>(T1234+T1235+T1247+T1248)/(T1236+T1237+T1249+T1250)*100</f>
        <v>85.468731204255448</v>
      </c>
      <c r="U1256" s="524"/>
      <c r="V1256" s="524"/>
      <c r="W1256" s="519"/>
    </row>
    <row r="1257" spans="1:29" s="521" customFormat="1" ht="11.25" hidden="1">
      <c r="E1257" s="528"/>
      <c r="F1257" s="528"/>
      <c r="G1257" s="528"/>
    </row>
    <row r="1258" spans="1:29" s="521" customFormat="1" hidden="1">
      <c r="A1258" s="533"/>
      <c r="B1258" s="530"/>
      <c r="C1258" s="530" t="s">
        <v>745</v>
      </c>
      <c r="D1258" s="530"/>
      <c r="E1258" s="530"/>
      <c r="F1258" s="530"/>
      <c r="G1258" s="530"/>
      <c r="H1258" s="531"/>
      <c r="I1258" s="531"/>
      <c r="J1258" s="531"/>
      <c r="K1258" s="531"/>
      <c r="L1258" s="531"/>
      <c r="M1258" s="531"/>
      <c r="N1258" s="531"/>
      <c r="O1258" s="531"/>
      <c r="P1258" s="531"/>
      <c r="Q1258" s="531"/>
      <c r="R1258" s="531"/>
      <c r="S1258" s="531"/>
      <c r="T1258" s="531"/>
    </row>
    <row r="1259" spans="1:29" s="413" customFormat="1" hidden="1">
      <c r="A1259" s="311"/>
      <c r="B1259" s="312"/>
      <c r="C1259" s="313"/>
      <c r="D1259" s="312"/>
      <c r="E1259" s="312"/>
      <c r="F1259" s="312"/>
      <c r="G1259" s="312"/>
      <c r="H1259" s="315"/>
      <c r="I1259" s="315"/>
      <c r="J1259" s="315"/>
      <c r="K1259" s="315"/>
      <c r="L1259" s="315"/>
      <c r="M1259" s="315"/>
      <c r="N1259" s="315"/>
      <c r="O1259" s="315"/>
      <c r="P1259" s="315"/>
      <c r="Q1259" s="315"/>
      <c r="R1259" s="315"/>
      <c r="S1259" s="315"/>
      <c r="T1259" s="218"/>
      <c r="U1259" s="218" t="e">
        <f>U172+#REF!+U791+#REF!+#REF!</f>
        <v>#REF!</v>
      </c>
      <c r="V1259" s="218" t="e">
        <f>V172+#REF!+V791+#REF!+#REF!</f>
        <v>#REF!</v>
      </c>
      <c r="W1259" s="412"/>
    </row>
    <row r="1260" spans="1:29" s="495" customFormat="1" hidden="1">
      <c r="A1260" s="62">
        <v>29</v>
      </c>
      <c r="B1260" s="495" t="s">
        <v>168</v>
      </c>
      <c r="D1260" s="516"/>
      <c r="E1260" s="517"/>
      <c r="H1260" s="494"/>
      <c r="I1260" s="494"/>
      <c r="J1260" s="494"/>
      <c r="K1260" s="494"/>
      <c r="L1260" s="494"/>
      <c r="M1260" s="494"/>
      <c r="N1260" s="494"/>
      <c r="O1260" s="494"/>
      <c r="P1260" s="494"/>
      <c r="Q1260" s="494"/>
      <c r="R1260" s="494"/>
      <c r="S1260" s="494"/>
      <c r="T1260" s="509"/>
      <c r="U1260" s="509"/>
      <c r="V1260" s="509"/>
      <c r="W1260" s="494"/>
    </row>
    <row r="1261" spans="1:29" hidden="1">
      <c r="A1261" s="534"/>
      <c r="B1261" s="534" t="s">
        <v>148</v>
      </c>
      <c r="C1261" s="535" t="s">
        <v>89</v>
      </c>
      <c r="D1261" s="534" t="s">
        <v>90</v>
      </c>
      <c r="E1261" s="536">
        <v>3.6</v>
      </c>
      <c r="F1261" s="534"/>
      <c r="G1261" s="537">
        <v>3.15</v>
      </c>
      <c r="H1261" s="525">
        <v>74322.880000000005</v>
      </c>
      <c r="I1261" s="525">
        <v>59437.700000000004</v>
      </c>
      <c r="J1261" s="525">
        <v>69867.13</v>
      </c>
      <c r="K1261" s="525">
        <v>65020</v>
      </c>
      <c r="L1261" s="525">
        <v>71871.09</v>
      </c>
      <c r="M1261" s="525">
        <v>74963</v>
      </c>
      <c r="N1261" s="525">
        <v>75942</v>
      </c>
      <c r="O1261" s="525">
        <v>71700</v>
      </c>
      <c r="P1261" s="525">
        <v>78269</v>
      </c>
      <c r="Q1261" s="525">
        <v>77889</v>
      </c>
      <c r="R1261" s="525">
        <v>79944</v>
      </c>
      <c r="S1261" s="525">
        <v>93917</v>
      </c>
      <c r="T1261" s="525">
        <f>SUM(H1261:S1261)</f>
        <v>893142.8</v>
      </c>
      <c r="U1261" s="525">
        <f>T1261*E1261</f>
        <v>3215314.08</v>
      </c>
      <c r="V1261" s="525">
        <f>G1261*T1261</f>
        <v>2813399.8200000003</v>
      </c>
      <c r="W1261" s="227"/>
      <c r="X1261" s="227"/>
      <c r="Y1261" s="227"/>
      <c r="Z1261" s="227"/>
      <c r="AA1261" s="227"/>
      <c r="AB1261" s="227"/>
      <c r="AC1261" s="227"/>
    </row>
    <row r="1262" spans="1:29" hidden="1">
      <c r="A1262" s="538"/>
      <c r="B1262" s="538"/>
      <c r="C1262" s="374" t="s">
        <v>161</v>
      </c>
      <c r="D1262" s="538" t="s">
        <v>176</v>
      </c>
      <c r="E1262" s="538">
        <v>36.42</v>
      </c>
      <c r="F1262" s="538"/>
      <c r="G1262" s="539">
        <v>30</v>
      </c>
      <c r="H1262" s="526">
        <v>12291</v>
      </c>
      <c r="I1262" s="526">
        <v>9935</v>
      </c>
      <c r="J1262" s="526">
        <v>12246</v>
      </c>
      <c r="K1262" s="526">
        <v>11585</v>
      </c>
      <c r="L1262" s="526">
        <v>10555</v>
      </c>
      <c r="M1262" s="526">
        <v>12237</v>
      </c>
      <c r="N1262" s="526">
        <v>13122</v>
      </c>
      <c r="O1262" s="526">
        <v>13243</v>
      </c>
      <c r="P1262" s="526">
        <v>13101</v>
      </c>
      <c r="Q1262" s="526">
        <v>14012</v>
      </c>
      <c r="R1262" s="526">
        <v>14117</v>
      </c>
      <c r="S1262" s="526">
        <v>13873</v>
      </c>
      <c r="T1262" s="526">
        <f>SUM(H1262:S1262)</f>
        <v>150317</v>
      </c>
      <c r="U1262" s="526">
        <f>T1262*E1262</f>
        <v>5474545.1400000006</v>
      </c>
      <c r="V1262" s="526">
        <f>G1262*T1262</f>
        <v>4509510</v>
      </c>
      <c r="W1262" s="227"/>
      <c r="X1262" s="227"/>
      <c r="Y1262" s="227"/>
      <c r="Z1262" s="227"/>
      <c r="AA1262" s="227"/>
      <c r="AB1262" s="227"/>
      <c r="AC1262" s="227"/>
    </row>
    <row r="1263" spans="1:29" hidden="1">
      <c r="A1263" s="538"/>
      <c r="B1263" s="538"/>
      <c r="C1263" s="540"/>
      <c r="D1263" s="538"/>
      <c r="E1263" s="538"/>
      <c r="F1263" s="538"/>
      <c r="G1263" s="541"/>
      <c r="H1263" s="527"/>
      <c r="I1263" s="527"/>
      <c r="J1263" s="527"/>
      <c r="K1263" s="527"/>
      <c r="L1263" s="527"/>
      <c r="M1263" s="527"/>
      <c r="N1263" s="527"/>
      <c r="O1263" s="527"/>
      <c r="P1263" s="527"/>
      <c r="Q1263" s="527"/>
      <c r="R1263" s="527"/>
      <c r="S1263" s="527"/>
      <c r="T1263" s="527"/>
      <c r="U1263" s="527">
        <f>SUM(U1261:U1262)</f>
        <v>8689859.2200000007</v>
      </c>
      <c r="V1263" s="901">
        <f>SUM(V1261:V1262)</f>
        <v>7322909.8200000003</v>
      </c>
      <c r="W1263" s="232"/>
      <c r="X1263" s="232"/>
      <c r="Y1263" s="232"/>
      <c r="Z1263" s="232"/>
      <c r="AA1263" s="232"/>
      <c r="AB1263" s="232"/>
      <c r="AC1263" s="232"/>
    </row>
    <row r="1264" spans="1:29" hidden="1">
      <c r="A1264" s="538"/>
      <c r="B1264" s="538"/>
      <c r="C1264" s="902" t="s">
        <v>746</v>
      </c>
      <c r="D1264" s="538" t="s">
        <v>121</v>
      </c>
      <c r="E1264" s="538"/>
      <c r="F1264" s="538"/>
      <c r="G1264" s="541"/>
      <c r="H1264" s="526">
        <v>99566.577999999994</v>
      </c>
      <c r="I1264" s="526">
        <v>84063.62</v>
      </c>
      <c r="J1264" s="526">
        <v>102884.88099999998</v>
      </c>
      <c r="K1264" s="526">
        <v>83448.235000000001</v>
      </c>
      <c r="L1264" s="526">
        <v>90098.555999999982</v>
      </c>
      <c r="M1264" s="526">
        <v>102714.446</v>
      </c>
      <c r="N1264" s="526">
        <v>110308.397</v>
      </c>
      <c r="O1264" s="526">
        <v>112343.798</v>
      </c>
      <c r="P1264" s="526">
        <v>112364.878</v>
      </c>
      <c r="Q1264" s="526">
        <v>112813</v>
      </c>
      <c r="R1264" s="526">
        <v>137577</v>
      </c>
      <c r="S1264" s="526">
        <v>138561</v>
      </c>
      <c r="T1264" s="525">
        <f>SUM(H1264:S1264)</f>
        <v>1286744.389</v>
      </c>
      <c r="U1264" s="526"/>
      <c r="V1264" s="903">
        <f>V1263/T1264</f>
        <v>5.6910369165790868</v>
      </c>
      <c r="W1264" s="232"/>
      <c r="X1264" s="232"/>
      <c r="Y1264" s="232"/>
      <c r="Z1264" s="232"/>
      <c r="AA1264" s="232"/>
      <c r="AB1264" s="232"/>
      <c r="AC1264" s="232"/>
    </row>
    <row r="1265" spans="1:29" hidden="1">
      <c r="A1265" s="538"/>
      <c r="B1265" s="538"/>
      <c r="C1265" s="540"/>
      <c r="D1265" s="538"/>
      <c r="E1265" s="538"/>
      <c r="F1265" s="538"/>
      <c r="G1265" s="541"/>
      <c r="H1265" s="527"/>
      <c r="I1265" s="527"/>
      <c r="J1265" s="527"/>
      <c r="K1265" s="527"/>
      <c r="L1265" s="527"/>
      <c r="M1265" s="527"/>
      <c r="N1265" s="527"/>
      <c r="O1265" s="527"/>
      <c r="P1265" s="527"/>
      <c r="Q1265" s="527"/>
      <c r="R1265" s="527"/>
      <c r="S1265" s="526"/>
      <c r="T1265" s="526"/>
      <c r="U1265" s="526"/>
      <c r="V1265" s="527" t="s">
        <v>137</v>
      </c>
      <c r="W1265" s="232"/>
      <c r="X1265" s="232"/>
      <c r="Y1265" s="232"/>
      <c r="Z1265" s="232"/>
      <c r="AA1265" s="232"/>
      <c r="AB1265" s="232"/>
      <c r="AC1265" s="232"/>
    </row>
    <row r="1266" spans="1:29" hidden="1">
      <c r="A1266" s="538"/>
      <c r="B1266" s="538"/>
      <c r="C1266" s="374" t="s">
        <v>89</v>
      </c>
      <c r="D1266" s="538" t="s">
        <v>173</v>
      </c>
      <c r="E1266" s="538"/>
      <c r="F1266" s="538"/>
      <c r="G1266" s="541"/>
      <c r="H1266" s="526">
        <f>$E1261*H1261/1000</f>
        <v>267.56236799999999</v>
      </c>
      <c r="I1266" s="526">
        <f t="shared" ref="I1266:S1266" si="442">$E1261*I1261/1000</f>
        <v>213.97572000000002</v>
      </c>
      <c r="J1266" s="526">
        <f t="shared" si="442"/>
        <v>251.52166800000003</v>
      </c>
      <c r="K1266" s="526">
        <f t="shared" si="442"/>
        <v>234.072</v>
      </c>
      <c r="L1266" s="526">
        <f t="shared" si="442"/>
        <v>258.73592400000001</v>
      </c>
      <c r="M1266" s="526">
        <f t="shared" si="442"/>
        <v>269.86680000000001</v>
      </c>
      <c r="N1266" s="526">
        <f t="shared" si="442"/>
        <v>273.39120000000003</v>
      </c>
      <c r="O1266" s="526">
        <f t="shared" si="442"/>
        <v>258.12</v>
      </c>
      <c r="P1266" s="526">
        <f t="shared" si="442"/>
        <v>281.76840000000004</v>
      </c>
      <c r="Q1266" s="526">
        <f t="shared" si="442"/>
        <v>280.40040000000005</v>
      </c>
      <c r="R1266" s="526">
        <f t="shared" si="442"/>
        <v>287.79840000000002</v>
      </c>
      <c r="S1266" s="526">
        <f t="shared" si="442"/>
        <v>338.10120000000001</v>
      </c>
      <c r="T1266" s="526">
        <f>SUM(H1266:S1266)</f>
        <v>3215.3140800000001</v>
      </c>
      <c r="U1266" s="526"/>
      <c r="V1266" s="526"/>
      <c r="W1266" s="232"/>
      <c r="X1266" s="232"/>
      <c r="Y1266" s="232"/>
      <c r="Z1266" s="232"/>
      <c r="AA1266" s="232"/>
      <c r="AB1266" s="232"/>
      <c r="AC1266" s="232"/>
    </row>
    <row r="1267" spans="1:29" hidden="1">
      <c r="A1267" s="538"/>
      <c r="B1267" s="538"/>
      <c r="C1267" s="374" t="s">
        <v>161</v>
      </c>
      <c r="D1267" s="538" t="s">
        <v>173</v>
      </c>
      <c r="E1267" s="538"/>
      <c r="F1267" s="538"/>
      <c r="G1267" s="541"/>
      <c r="H1267" s="526">
        <f>H1262*$E1262/1000</f>
        <v>447.63822000000005</v>
      </c>
      <c r="I1267" s="526">
        <f t="shared" ref="I1267:S1267" si="443">I1262*$E1262/1000</f>
        <v>361.83269999999999</v>
      </c>
      <c r="J1267" s="526">
        <f t="shared" si="443"/>
        <v>445.99932000000001</v>
      </c>
      <c r="K1267" s="526">
        <f t="shared" si="443"/>
        <v>421.92570000000001</v>
      </c>
      <c r="L1267" s="526">
        <f t="shared" si="443"/>
        <v>384.41310000000004</v>
      </c>
      <c r="M1267" s="526">
        <f t="shared" si="443"/>
        <v>445.67154000000005</v>
      </c>
      <c r="N1267" s="526">
        <f t="shared" si="443"/>
        <v>477.90324000000004</v>
      </c>
      <c r="O1267" s="526">
        <f t="shared" si="443"/>
        <v>482.31006000000002</v>
      </c>
      <c r="P1267" s="526">
        <f t="shared" si="443"/>
        <v>477.13842000000005</v>
      </c>
      <c r="Q1267" s="526">
        <f t="shared" si="443"/>
        <v>510.31704000000002</v>
      </c>
      <c r="R1267" s="526">
        <f t="shared" si="443"/>
        <v>514.14114000000006</v>
      </c>
      <c r="S1267" s="526">
        <f t="shared" si="443"/>
        <v>505.25466000000006</v>
      </c>
      <c r="T1267" s="526">
        <f>SUM(H1267:S1267)</f>
        <v>5474.5451400000002</v>
      </c>
      <c r="U1267" s="526"/>
      <c r="V1267" s="526"/>
      <c r="W1267" s="232"/>
      <c r="X1267" s="232"/>
      <c r="Y1267" s="232"/>
      <c r="Z1267" s="232"/>
      <c r="AA1267" s="232"/>
      <c r="AB1267" s="232"/>
      <c r="AC1267" s="232"/>
    </row>
    <row r="1268" spans="1:29" hidden="1">
      <c r="A1268" s="538"/>
      <c r="B1268" s="538"/>
      <c r="C1268" s="540" t="s">
        <v>747</v>
      </c>
      <c r="D1268" s="538"/>
      <c r="E1268" s="538"/>
      <c r="F1268" s="538"/>
      <c r="G1268" s="541"/>
      <c r="H1268" s="526">
        <f t="shared" ref="H1268:S1268" si="444">SUM(H1266:H1267)</f>
        <v>715.20058800000004</v>
      </c>
      <c r="I1268" s="526">
        <f t="shared" si="444"/>
        <v>575.80842000000007</v>
      </c>
      <c r="J1268" s="526">
        <f t="shared" si="444"/>
        <v>697.52098799999999</v>
      </c>
      <c r="K1268" s="526">
        <f t="shared" si="444"/>
        <v>655.99770000000001</v>
      </c>
      <c r="L1268" s="526">
        <f t="shared" si="444"/>
        <v>643.14902400000005</v>
      </c>
      <c r="M1268" s="526">
        <f t="shared" si="444"/>
        <v>715.53834000000006</v>
      </c>
      <c r="N1268" s="526">
        <f t="shared" si="444"/>
        <v>751.29444000000012</v>
      </c>
      <c r="O1268" s="526">
        <f t="shared" si="444"/>
        <v>740.43006000000003</v>
      </c>
      <c r="P1268" s="526">
        <f t="shared" si="444"/>
        <v>758.90682000000015</v>
      </c>
      <c r="Q1268" s="526">
        <f t="shared" si="444"/>
        <v>790.71744000000012</v>
      </c>
      <c r="R1268" s="526">
        <f t="shared" si="444"/>
        <v>801.93954000000008</v>
      </c>
      <c r="S1268" s="526">
        <f t="shared" si="444"/>
        <v>843.35586000000012</v>
      </c>
      <c r="T1268" s="526">
        <f>SUM(H1268:S1268)</f>
        <v>8689.8592200000003</v>
      </c>
      <c r="U1268" s="526"/>
      <c r="V1268" s="903">
        <f>V1263/T1268</f>
        <v>842.69602471189398</v>
      </c>
    </row>
    <row r="1269" spans="1:29" hidden="1">
      <c r="A1269" s="538"/>
      <c r="B1269" s="538"/>
      <c r="C1269" s="540" t="s">
        <v>345</v>
      </c>
      <c r="D1269" s="538" t="s">
        <v>173</v>
      </c>
      <c r="E1269" s="540" t="s">
        <v>174</v>
      </c>
      <c r="F1269" s="538">
        <v>7.1461621455392512</v>
      </c>
      <c r="G1269" s="541" t="s">
        <v>394</v>
      </c>
      <c r="H1269" s="526">
        <f>$F$1269*H1264/1000</f>
        <v>711.51891066448115</v>
      </c>
      <c r="I1269" s="526">
        <f t="shared" ref="I1269:S1269" si="445">$F$1269*I1264/1000</f>
        <v>600.73225906099628</v>
      </c>
      <c r="J1269" s="526">
        <f t="shared" si="445"/>
        <v>735.23204195051039</v>
      </c>
      <c r="K1269" s="526">
        <f t="shared" si="445"/>
        <v>596.33461806906359</v>
      </c>
      <c r="L1269" s="526">
        <f t="shared" si="445"/>
        <v>643.85889025494828</v>
      </c>
      <c r="M1269" s="526">
        <f t="shared" si="445"/>
        <v>734.0140858052356</v>
      </c>
      <c r="N1269" s="526">
        <f t="shared" si="445"/>
        <v>788.28169097651551</v>
      </c>
      <c r="O1269" s="526">
        <f t="shared" si="445"/>
        <v>802.82699655370823</v>
      </c>
      <c r="P1269" s="526">
        <f t="shared" si="445"/>
        <v>802.97763765173613</v>
      </c>
      <c r="Q1269" s="526">
        <f t="shared" si="445"/>
        <v>806.17999012471955</v>
      </c>
      <c r="R1269" s="526">
        <f t="shared" si="445"/>
        <v>983.14754949685357</v>
      </c>
      <c r="S1269" s="526">
        <f t="shared" si="445"/>
        <v>990.17937304806424</v>
      </c>
      <c r="T1269" s="526">
        <f>SUM(H1269:S1269)</f>
        <v>9195.2840436568331</v>
      </c>
      <c r="U1269" s="526"/>
      <c r="V1269" s="527" t="s">
        <v>742</v>
      </c>
    </row>
    <row r="1270" spans="1:29" hidden="1">
      <c r="A1270" s="538"/>
      <c r="B1270" s="538" t="s">
        <v>174</v>
      </c>
      <c r="C1270" s="374" t="s">
        <v>89</v>
      </c>
      <c r="D1270" s="538" t="s">
        <v>347</v>
      </c>
      <c r="E1270" s="538"/>
      <c r="F1270" s="538"/>
      <c r="G1270" s="541"/>
      <c r="H1270" s="542">
        <f>H1266/H1264</f>
        <v>2.6872709032944773E-3</v>
      </c>
      <c r="I1270" s="542">
        <f>I1266/I1264</f>
        <v>2.5454021608871951E-3</v>
      </c>
      <c r="J1270" s="542">
        <f t="shared" ref="J1270:R1270" si="446">J1266/J1264</f>
        <v>2.444690274754753E-3</v>
      </c>
      <c r="K1270" s="542">
        <f t="shared" si="446"/>
        <v>2.8049964148432857E-3</v>
      </c>
      <c r="L1270" s="542">
        <f t="shared" si="446"/>
        <v>2.8716988982598131E-3</v>
      </c>
      <c r="M1270" s="542">
        <f t="shared" si="446"/>
        <v>2.6273500029392167E-3</v>
      </c>
      <c r="N1270" s="542">
        <f t="shared" si="446"/>
        <v>2.4784260077680216E-3</v>
      </c>
      <c r="O1270" s="542">
        <f t="shared" si="446"/>
        <v>2.2975901170797165E-3</v>
      </c>
      <c r="P1270" s="542">
        <f t="shared" si="446"/>
        <v>2.5076198632102823E-3</v>
      </c>
      <c r="Q1270" s="542">
        <f t="shared" si="446"/>
        <v>2.4855326956999641E-3</v>
      </c>
      <c r="R1270" s="542">
        <f t="shared" si="446"/>
        <v>2.0919078043568329E-3</v>
      </c>
      <c r="S1270" s="542">
        <f>S1266/S1264</f>
        <v>2.4400892025894733E-3</v>
      </c>
      <c r="T1270" s="542">
        <f>T1266/T1264</f>
        <v>2.4987978245615649E-3</v>
      </c>
      <c r="U1270" s="526"/>
      <c r="V1270" s="526"/>
    </row>
    <row r="1271" spans="1:29" hidden="1">
      <c r="A1271" s="538"/>
      <c r="B1271" s="538"/>
      <c r="C1271" s="374" t="s">
        <v>161</v>
      </c>
      <c r="D1271" s="538" t="s">
        <v>347</v>
      </c>
      <c r="E1271" s="538"/>
      <c r="F1271" s="538"/>
      <c r="G1271" s="541"/>
      <c r="H1271" s="542">
        <f>H1267/H1264</f>
        <v>4.4958682822261913E-3</v>
      </c>
      <c r="I1271" s="542">
        <f>I1267/I1264</f>
        <v>4.304272169102401E-3</v>
      </c>
      <c r="J1271" s="542">
        <f t="shared" ref="J1271:Q1271" si="447">J1267/J1264</f>
        <v>4.3349354702563155E-3</v>
      </c>
      <c r="K1271" s="542">
        <f t="shared" si="447"/>
        <v>5.0561368973232332E-3</v>
      </c>
      <c r="L1271" s="542">
        <f t="shared" si="447"/>
        <v>4.2665844722306109E-3</v>
      </c>
      <c r="M1271" s="542">
        <f t="shared" si="447"/>
        <v>4.3389372902814475E-3</v>
      </c>
      <c r="N1271" s="542">
        <f t="shared" si="447"/>
        <v>4.3324284732376272E-3</v>
      </c>
      <c r="O1271" s="542">
        <f t="shared" si="447"/>
        <v>4.2931614257869406E-3</v>
      </c>
      <c r="P1271" s="542">
        <f t="shared" si="447"/>
        <v>4.2463306016315887E-3</v>
      </c>
      <c r="Q1271" s="542">
        <f t="shared" si="447"/>
        <v>4.5235659010929592E-3</v>
      </c>
      <c r="R1271" s="542">
        <f>R1267/R1264</f>
        <v>3.7371155062256049E-3</v>
      </c>
      <c r="S1271" s="542">
        <f>S1267/S1264</f>
        <v>3.6464420724446277E-3</v>
      </c>
      <c r="T1271" s="542">
        <f>T1267/T1264</f>
        <v>4.2545708275864881E-3</v>
      </c>
      <c r="U1271" s="526"/>
      <c r="V1271" s="526"/>
    </row>
    <row r="1272" spans="1:29" ht="23.25" hidden="1">
      <c r="A1272" s="538"/>
      <c r="B1272" s="538"/>
      <c r="C1272" s="540" t="s">
        <v>748</v>
      </c>
      <c r="D1272" s="538" t="s">
        <v>347</v>
      </c>
      <c r="E1272" s="538"/>
      <c r="F1272" s="538"/>
      <c r="G1272" s="541"/>
      <c r="H1272" s="542">
        <f t="shared" ref="H1272:T1272" si="448">H1268/H1264</f>
        <v>7.1831391855206681E-3</v>
      </c>
      <c r="I1272" s="542">
        <f t="shared" si="448"/>
        <v>6.8496743299895973E-3</v>
      </c>
      <c r="J1272" s="542">
        <f t="shared" si="448"/>
        <v>6.7796257450110685E-3</v>
      </c>
      <c r="K1272" s="542">
        <f t="shared" si="448"/>
        <v>7.8611333121665194E-3</v>
      </c>
      <c r="L1272" s="542">
        <f t="shared" si="448"/>
        <v>7.1382833704904235E-3</v>
      </c>
      <c r="M1272" s="542">
        <f t="shared" si="448"/>
        <v>6.9662872932206646E-3</v>
      </c>
      <c r="N1272" s="542">
        <f t="shared" si="448"/>
        <v>6.8108544810056492E-3</v>
      </c>
      <c r="O1272" s="542">
        <f t="shared" si="448"/>
        <v>6.5907515428666567E-3</v>
      </c>
      <c r="P1272" s="542">
        <f t="shared" si="448"/>
        <v>6.7539504648418715E-3</v>
      </c>
      <c r="Q1272" s="542">
        <f t="shared" si="448"/>
        <v>7.0090985967929242E-3</v>
      </c>
      <c r="R1272" s="542">
        <f t="shared" si="448"/>
        <v>5.8290233105824383E-3</v>
      </c>
      <c r="S1272" s="542">
        <f t="shared" si="448"/>
        <v>6.0865312750341015E-3</v>
      </c>
      <c r="T1272" s="543">
        <f t="shared" si="448"/>
        <v>6.7533686521480535E-3</v>
      </c>
      <c r="U1272" s="526"/>
      <c r="V1272" s="526"/>
    </row>
    <row r="1273" spans="1:29" hidden="1">
      <c r="A1273" s="538"/>
      <c r="B1273" s="538"/>
      <c r="C1273" s="540" t="s">
        <v>749</v>
      </c>
      <c r="D1273" s="538"/>
      <c r="E1273" s="538"/>
      <c r="F1273" s="538"/>
      <c r="G1273" s="538"/>
      <c r="H1273" s="544">
        <f>H1268/H1269*100</f>
        <v>100.51743914045525</v>
      </c>
      <c r="I1273" s="544">
        <f t="shared" ref="I1273:T1273" si="449">I1268/I1269*100</f>
        <v>95.85109028438815</v>
      </c>
      <c r="J1273" s="544">
        <f t="shared" si="449"/>
        <v>94.870863645922441</v>
      </c>
      <c r="K1273" s="544">
        <f t="shared" si="449"/>
        <v>110.0049670307798</v>
      </c>
      <c r="L1273" s="544">
        <f t="shared" si="449"/>
        <v>99.889748162882839</v>
      </c>
      <c r="M1273" s="544">
        <f t="shared" si="449"/>
        <v>97.482916722917238</v>
      </c>
      <c r="N1273" s="544">
        <f t="shared" si="449"/>
        <v>95.307863749734452</v>
      </c>
      <c r="O1273" s="544">
        <f t="shared" si="449"/>
        <v>92.227847740352615</v>
      </c>
      <c r="P1273" s="544">
        <f t="shared" si="449"/>
        <v>94.51157596609805</v>
      </c>
      <c r="Q1273" s="544">
        <f t="shared" si="449"/>
        <v>98.081997777899787</v>
      </c>
      <c r="R1273" s="544">
        <f>R1268/R1269*100</f>
        <v>81.568584533461888</v>
      </c>
      <c r="S1273" s="544">
        <f t="shared" si="449"/>
        <v>85.172028720806608</v>
      </c>
      <c r="T1273" s="544">
        <f t="shared" si="449"/>
        <v>94.503434355510862</v>
      </c>
      <c r="U1273" s="526"/>
      <c r="V1273" s="526"/>
    </row>
    <row r="1274" spans="1:29" hidden="1">
      <c r="A1274" s="545"/>
      <c r="B1274" s="538"/>
      <c r="C1274" s="540"/>
      <c r="D1274" s="538"/>
      <c r="E1274" s="538"/>
      <c r="F1274" s="538"/>
      <c r="G1274" s="545"/>
      <c r="H1274" s="544"/>
      <c r="I1274" s="544"/>
      <c r="J1274" s="544"/>
      <c r="K1274" s="544"/>
      <c r="L1274" s="544"/>
      <c r="M1274" s="544"/>
      <c r="N1274" s="544"/>
      <c r="O1274" s="544"/>
      <c r="P1274" s="544"/>
      <c r="Q1274" s="544"/>
      <c r="R1274" s="544"/>
      <c r="S1274" s="544"/>
      <c r="T1274" s="544"/>
      <c r="U1274" s="526"/>
      <c r="V1274" s="526"/>
    </row>
    <row r="1275" spans="1:29" hidden="1">
      <c r="A1275" s="253"/>
      <c r="B1275" s="249" t="s">
        <v>153</v>
      </c>
      <c r="C1275" s="249" t="s">
        <v>117</v>
      </c>
      <c r="D1275" s="243" t="s">
        <v>751</v>
      </c>
      <c r="E1275" s="243"/>
      <c r="F1275" s="546"/>
      <c r="G1275" s="253"/>
      <c r="H1275" s="251">
        <v>10386.219999999999</v>
      </c>
      <c r="I1275" s="251">
        <v>10386.219999999999</v>
      </c>
      <c r="J1275" s="251">
        <v>10386.219999999999</v>
      </c>
      <c r="K1275" s="251">
        <v>10386.219999999999</v>
      </c>
      <c r="L1275" s="251">
        <v>10386.219999999999</v>
      </c>
      <c r="M1275" s="251">
        <v>10386.219999999999</v>
      </c>
      <c r="N1275" s="251">
        <v>10386.219999999999</v>
      </c>
      <c r="O1275" s="251">
        <v>10386.219999999999</v>
      </c>
      <c r="P1275" s="251">
        <v>10386.219999999999</v>
      </c>
      <c r="Q1275" s="251">
        <v>10386.219999999999</v>
      </c>
      <c r="R1275" s="251">
        <v>10386.219999999999</v>
      </c>
      <c r="S1275" s="251">
        <v>10386.219999999999</v>
      </c>
      <c r="T1275" s="251"/>
      <c r="U1275" s="246"/>
      <c r="V1275" s="246"/>
    </row>
    <row r="1276" spans="1:29" hidden="1">
      <c r="A1276" s="253"/>
      <c r="B1276" s="243"/>
      <c r="C1276" s="249"/>
      <c r="D1276" s="243"/>
      <c r="E1276" s="243"/>
      <c r="F1276" s="546"/>
      <c r="G1276" s="253"/>
      <c r="H1276" s="251"/>
      <c r="I1276" s="251"/>
      <c r="J1276" s="251"/>
      <c r="K1276" s="251"/>
      <c r="L1276" s="251"/>
      <c r="M1276" s="251"/>
      <c r="N1276" s="251"/>
      <c r="O1276" s="251"/>
      <c r="P1276" s="251"/>
      <c r="Q1276" s="251"/>
      <c r="R1276" s="251"/>
      <c r="S1276" s="251"/>
      <c r="T1276" s="251"/>
      <c r="U1276" s="246"/>
      <c r="V1276" s="246"/>
    </row>
    <row r="1277" spans="1:29" hidden="1">
      <c r="A1277" s="253"/>
      <c r="B1277" s="243"/>
      <c r="C1277" s="249" t="s">
        <v>398</v>
      </c>
      <c r="D1277" s="243" t="s">
        <v>173</v>
      </c>
      <c r="E1277" s="243">
        <v>3.6</v>
      </c>
      <c r="F1277" s="546"/>
      <c r="G1277" s="253"/>
      <c r="H1277" s="251">
        <f>$E1277*H1275/1000</f>
        <v>37.390391999999999</v>
      </c>
      <c r="I1277" s="251">
        <f t="shared" ref="I1277:S1277" si="450">$E1277*I1275/1000</f>
        <v>37.390391999999999</v>
      </c>
      <c r="J1277" s="251">
        <f t="shared" si="450"/>
        <v>37.390391999999999</v>
      </c>
      <c r="K1277" s="251">
        <f t="shared" si="450"/>
        <v>37.390391999999999</v>
      </c>
      <c r="L1277" s="251">
        <f t="shared" si="450"/>
        <v>37.390391999999999</v>
      </c>
      <c r="M1277" s="251">
        <f t="shared" si="450"/>
        <v>37.390391999999999</v>
      </c>
      <c r="N1277" s="251">
        <f t="shared" si="450"/>
        <v>37.390391999999999</v>
      </c>
      <c r="O1277" s="251">
        <f t="shared" si="450"/>
        <v>37.390391999999999</v>
      </c>
      <c r="P1277" s="251">
        <f t="shared" si="450"/>
        <v>37.390391999999999</v>
      </c>
      <c r="Q1277" s="251">
        <f t="shared" si="450"/>
        <v>37.390391999999999</v>
      </c>
      <c r="R1277" s="251">
        <f t="shared" si="450"/>
        <v>37.390391999999999</v>
      </c>
      <c r="S1277" s="251">
        <f t="shared" si="450"/>
        <v>37.390391999999999</v>
      </c>
      <c r="T1277" s="251"/>
      <c r="U1277" s="246"/>
      <c r="V1277" s="246"/>
    </row>
    <row r="1278" spans="1:29" hidden="1">
      <c r="A1278" s="253"/>
      <c r="B1278" s="243"/>
      <c r="C1278" s="249" t="s">
        <v>752</v>
      </c>
      <c r="D1278" s="243" t="s">
        <v>173</v>
      </c>
      <c r="E1278" s="243"/>
      <c r="F1278" s="546"/>
      <c r="G1278" s="253"/>
      <c r="H1278" s="251">
        <f>H1277</f>
        <v>37.390391999999999</v>
      </c>
      <c r="I1278" s="251">
        <f t="shared" ref="I1278:S1278" si="451">I1277</f>
        <v>37.390391999999999</v>
      </c>
      <c r="J1278" s="251">
        <f t="shared" si="451"/>
        <v>37.390391999999999</v>
      </c>
      <c r="K1278" s="251">
        <f t="shared" si="451"/>
        <v>37.390391999999999</v>
      </c>
      <c r="L1278" s="251">
        <f t="shared" si="451"/>
        <v>37.390391999999999</v>
      </c>
      <c r="M1278" s="251">
        <f t="shared" si="451"/>
        <v>37.390391999999999</v>
      </c>
      <c r="N1278" s="251">
        <f t="shared" si="451"/>
        <v>37.390391999999999</v>
      </c>
      <c r="O1278" s="251">
        <f t="shared" si="451"/>
        <v>37.390391999999999</v>
      </c>
      <c r="P1278" s="251">
        <f t="shared" si="451"/>
        <v>37.390391999999999</v>
      </c>
      <c r="Q1278" s="251">
        <f t="shared" si="451"/>
        <v>37.390391999999999</v>
      </c>
      <c r="R1278" s="251">
        <f t="shared" si="451"/>
        <v>37.390391999999999</v>
      </c>
      <c r="S1278" s="251">
        <f t="shared" si="451"/>
        <v>37.390391999999999</v>
      </c>
      <c r="T1278" s="251"/>
      <c r="U1278" s="246"/>
      <c r="V1278" s="246"/>
    </row>
    <row r="1279" spans="1:29" hidden="1">
      <c r="A1279" s="253"/>
      <c r="B1279" s="243"/>
      <c r="C1279" s="249"/>
      <c r="D1279" s="243"/>
      <c r="E1279" s="243"/>
      <c r="F1279" s="546"/>
      <c r="G1279" s="253"/>
      <c r="H1279" s="251"/>
      <c r="I1279" s="251"/>
      <c r="J1279" s="251"/>
      <c r="K1279" s="251"/>
      <c r="L1279" s="251"/>
      <c r="M1279" s="251"/>
      <c r="N1279" s="251"/>
      <c r="O1279" s="251"/>
      <c r="P1279" s="251"/>
      <c r="Q1279" s="251"/>
      <c r="R1279" s="251"/>
      <c r="S1279" s="251"/>
      <c r="T1279" s="251"/>
      <c r="U1279" s="246"/>
      <c r="V1279" s="246"/>
    </row>
    <row r="1280" spans="1:29" hidden="1">
      <c r="A1280" s="253"/>
      <c r="B1280" s="243"/>
      <c r="C1280" s="249" t="s">
        <v>497</v>
      </c>
      <c r="D1280" s="243"/>
      <c r="E1280" s="243"/>
      <c r="F1280" s="546"/>
      <c r="G1280" s="253"/>
      <c r="H1280" s="251">
        <f>H1277/H1278*100</f>
        <v>100</v>
      </c>
      <c r="I1280" s="251">
        <f t="shared" ref="I1280:S1280" si="452">I1277/I1278*100</f>
        <v>100</v>
      </c>
      <c r="J1280" s="251">
        <f t="shared" si="452"/>
        <v>100</v>
      </c>
      <c r="K1280" s="251">
        <f t="shared" si="452"/>
        <v>100</v>
      </c>
      <c r="L1280" s="251">
        <f t="shared" si="452"/>
        <v>100</v>
      </c>
      <c r="M1280" s="251">
        <f t="shared" si="452"/>
        <v>100</v>
      </c>
      <c r="N1280" s="251">
        <f t="shared" si="452"/>
        <v>100</v>
      </c>
      <c r="O1280" s="251">
        <f t="shared" si="452"/>
        <v>100</v>
      </c>
      <c r="P1280" s="251">
        <f t="shared" si="452"/>
        <v>100</v>
      </c>
      <c r="Q1280" s="251">
        <f t="shared" si="452"/>
        <v>100</v>
      </c>
      <c r="R1280" s="251">
        <f t="shared" si="452"/>
        <v>100</v>
      </c>
      <c r="S1280" s="251">
        <f t="shared" si="452"/>
        <v>100</v>
      </c>
      <c r="T1280" s="251"/>
      <c r="U1280" s="246"/>
      <c r="V1280" s="246"/>
    </row>
    <row r="1281" spans="1:23" s="258" customFormat="1" hidden="1">
      <c r="A1281" s="547"/>
      <c r="B1281" s="547"/>
      <c r="C1281" s="548"/>
      <c r="D1281" s="547"/>
      <c r="E1281" s="547"/>
      <c r="F1281" s="547"/>
      <c r="G1281" s="547"/>
      <c r="H1281" s="529"/>
      <c r="I1281" s="529"/>
      <c r="J1281" s="529"/>
      <c r="K1281" s="529"/>
      <c r="L1281" s="529"/>
      <c r="M1281" s="529"/>
      <c r="N1281" s="529"/>
      <c r="O1281" s="529"/>
      <c r="P1281" s="529"/>
      <c r="Q1281" s="529"/>
      <c r="R1281" s="529"/>
      <c r="S1281" s="529"/>
      <c r="T1281" s="529"/>
      <c r="U1281" s="529"/>
      <c r="V1281" s="529"/>
      <c r="W1281" s="346"/>
    </row>
    <row r="1282" spans="1:23" s="293" customFormat="1" hidden="1">
      <c r="A1282" s="549"/>
      <c r="B1282" s="549"/>
      <c r="C1282" s="375" t="s">
        <v>753</v>
      </c>
      <c r="D1282" s="549"/>
      <c r="E1282" s="549"/>
      <c r="F1282" s="549"/>
      <c r="G1282" s="549"/>
      <c r="H1282" s="532">
        <f t="shared" ref="H1282:T1283" si="453">H1268+H1254+H1277</f>
        <v>949.24584000000004</v>
      </c>
      <c r="I1282" s="532">
        <f t="shared" si="453"/>
        <v>760.99927200000013</v>
      </c>
      <c r="J1282" s="532">
        <f t="shared" si="453"/>
        <v>905.38452000000007</v>
      </c>
      <c r="K1282" s="532">
        <f t="shared" si="453"/>
        <v>873.22975200000008</v>
      </c>
      <c r="L1282" s="532">
        <f t="shared" si="453"/>
        <v>867.96537600000011</v>
      </c>
      <c r="M1282" s="532">
        <f t="shared" si="453"/>
        <v>929.77993200000014</v>
      </c>
      <c r="N1282" s="532">
        <f t="shared" si="453"/>
        <v>952.71565200000009</v>
      </c>
      <c r="O1282" s="532">
        <f t="shared" si="453"/>
        <v>943.69075199999997</v>
      </c>
      <c r="P1282" s="532">
        <f t="shared" si="453"/>
        <v>957.64699200000018</v>
      </c>
      <c r="Q1282" s="532">
        <f t="shared" si="453"/>
        <v>993.25285200000019</v>
      </c>
      <c r="R1282" s="532">
        <f t="shared" si="453"/>
        <v>1008.1529520000001</v>
      </c>
      <c r="S1282" s="532">
        <f t="shared" si="453"/>
        <v>1072.4400720000001</v>
      </c>
      <c r="T1282" s="532">
        <f t="shared" si="453"/>
        <v>8689.8592200000003</v>
      </c>
      <c r="U1282" s="532"/>
      <c r="V1282" s="532"/>
      <c r="W1282" s="292"/>
    </row>
    <row r="1283" spans="1:23" s="293" customFormat="1" hidden="1">
      <c r="A1283" s="549"/>
      <c r="B1283" s="549"/>
      <c r="C1283" s="375" t="s">
        <v>754</v>
      </c>
      <c r="D1283" s="549"/>
      <c r="E1283" s="549"/>
      <c r="F1283" s="549"/>
      <c r="G1283" s="549"/>
      <c r="H1283" s="532">
        <f t="shared" si="453"/>
        <v>988.54371428313493</v>
      </c>
      <c r="I1283" s="532">
        <f t="shared" si="453"/>
        <v>802.24963919174581</v>
      </c>
      <c r="J1283" s="532">
        <f t="shared" si="453"/>
        <v>968.06293692480517</v>
      </c>
      <c r="K1283" s="532">
        <f t="shared" si="453"/>
        <v>860.26082832777183</v>
      </c>
      <c r="L1283" s="532">
        <f t="shared" si="453"/>
        <v>914.70185679841461</v>
      </c>
      <c r="M1283" s="532">
        <f t="shared" si="453"/>
        <v>970.42373245924398</v>
      </c>
      <c r="N1283" s="532">
        <f t="shared" si="453"/>
        <v>1000.9538245992899</v>
      </c>
      <c r="O1283" s="532">
        <f t="shared" si="453"/>
        <v>1041.4948085699009</v>
      </c>
      <c r="P1283" s="532">
        <f t="shared" si="453"/>
        <v>1017.9422043546872</v>
      </c>
      <c r="Q1283" s="532">
        <f t="shared" si="453"/>
        <v>1052.3112826922059</v>
      </c>
      <c r="R1283" s="532">
        <f t="shared" si="453"/>
        <v>1198.9981719531058</v>
      </c>
      <c r="S1283" s="532">
        <f t="shared" si="453"/>
        <v>1256.9374801908423</v>
      </c>
      <c r="T1283" s="532">
        <f t="shared" si="453"/>
        <v>9195.2840436568331</v>
      </c>
      <c r="U1283" s="532"/>
      <c r="V1283" s="532"/>
      <c r="W1283" s="292"/>
    </row>
    <row r="1284" spans="1:23" s="293" customFormat="1" hidden="1">
      <c r="A1284" s="549"/>
      <c r="B1284" s="549"/>
      <c r="C1284" s="375" t="s">
        <v>755</v>
      </c>
      <c r="D1284" s="549"/>
      <c r="E1284" s="549"/>
      <c r="F1284" s="549"/>
      <c r="G1284" s="549"/>
      <c r="H1284" s="532">
        <f>H1282/H1283*100</f>
        <v>96.024670056029578</v>
      </c>
      <c r="I1284" s="532">
        <f t="shared" ref="I1284:T1284" si="454">I1282/I1283*100</f>
        <v>94.858163198015916</v>
      </c>
      <c r="J1284" s="532">
        <f t="shared" si="454"/>
        <v>93.525377892896884</v>
      </c>
      <c r="K1284" s="532">
        <f t="shared" si="454"/>
        <v>101.5075571553616</v>
      </c>
      <c r="L1284" s="532">
        <f t="shared" si="454"/>
        <v>94.890523021129667</v>
      </c>
      <c r="M1284" s="532">
        <f t="shared" si="454"/>
        <v>95.811747064733837</v>
      </c>
      <c r="N1284" s="532">
        <f t="shared" si="454"/>
        <v>95.180779431198943</v>
      </c>
      <c r="O1284" s="532">
        <f t="shared" si="454"/>
        <v>90.609261249780232</v>
      </c>
      <c r="P1284" s="532">
        <f t="shared" si="454"/>
        <v>94.076754839641367</v>
      </c>
      <c r="Q1284" s="532">
        <f t="shared" si="454"/>
        <v>94.387741378091832</v>
      </c>
      <c r="R1284" s="532">
        <f t="shared" si="454"/>
        <v>84.082943208976815</v>
      </c>
      <c r="S1284" s="532">
        <f t="shared" si="454"/>
        <v>85.321671833444753</v>
      </c>
      <c r="T1284" s="532">
        <f t="shared" si="454"/>
        <v>94.503434355510862</v>
      </c>
      <c r="U1284" s="532"/>
      <c r="V1284" s="532"/>
      <c r="W1284" s="292"/>
    </row>
    <row r="1285" spans="1:23" s="413" customFormat="1" hidden="1">
      <c r="A1285" s="316"/>
      <c r="B1285" s="316"/>
      <c r="C1285" s="417"/>
      <c r="D1285" s="316"/>
      <c r="E1285" s="316"/>
      <c r="F1285" s="316"/>
      <c r="G1285" s="316"/>
      <c r="H1285" s="213"/>
      <c r="I1285" s="213"/>
      <c r="J1285" s="213"/>
      <c r="K1285" s="213"/>
      <c r="L1285" s="213"/>
      <c r="M1285" s="213"/>
      <c r="N1285" s="213"/>
      <c r="O1285" s="213"/>
      <c r="P1285" s="213"/>
      <c r="Q1285" s="213"/>
      <c r="R1285" s="213"/>
      <c r="S1285" s="213"/>
      <c r="T1285" s="213"/>
      <c r="U1285" s="213"/>
      <c r="V1285" s="213"/>
      <c r="W1285" s="412"/>
    </row>
    <row r="1286" spans="1:23" s="495" customFormat="1" hidden="1">
      <c r="A1286" s="62">
        <v>30</v>
      </c>
      <c r="B1286" s="495" t="s">
        <v>169</v>
      </c>
      <c r="D1286" s="516"/>
      <c r="E1286" s="517"/>
      <c r="H1286" s="494"/>
      <c r="I1286" s="494"/>
      <c r="J1286" s="494"/>
      <c r="K1286" s="494"/>
      <c r="L1286" s="494"/>
      <c r="M1286" s="494"/>
      <c r="N1286" s="494"/>
      <c r="O1286" s="494"/>
      <c r="P1286" s="494"/>
      <c r="Q1286" s="494"/>
      <c r="R1286" s="494"/>
      <c r="S1286" s="494"/>
      <c r="T1286" s="509"/>
      <c r="U1286" s="509"/>
      <c r="V1286" s="509"/>
      <c r="W1286" s="494"/>
    </row>
    <row r="1287" spans="1:23" hidden="1">
      <c r="A1287" s="222">
        <v>1</v>
      </c>
      <c r="B1287" s="222" t="s">
        <v>145</v>
      </c>
      <c r="C1287" s="221" t="s">
        <v>89</v>
      </c>
      <c r="D1287" s="222" t="s">
        <v>90</v>
      </c>
      <c r="E1287" s="223">
        <v>3.6</v>
      </c>
      <c r="F1287" s="222"/>
      <c r="G1287" s="224">
        <v>2.67</v>
      </c>
      <c r="H1287" s="359">
        <v>63382.630000000005</v>
      </c>
      <c r="I1287" s="360">
        <v>52080.63</v>
      </c>
      <c r="J1287" s="226">
        <v>66155.63</v>
      </c>
      <c r="K1287" s="226">
        <v>51611.63</v>
      </c>
      <c r="L1287" s="226">
        <v>62006.630000000005</v>
      </c>
      <c r="M1287" s="226">
        <v>55893.43</v>
      </c>
      <c r="N1287" s="226">
        <v>53418.2</v>
      </c>
      <c r="O1287" s="226">
        <v>58935</v>
      </c>
      <c r="P1287" s="226">
        <v>56335</v>
      </c>
      <c r="Q1287" s="226">
        <v>53131</v>
      </c>
      <c r="R1287" s="226">
        <v>64021</v>
      </c>
      <c r="S1287" s="226">
        <v>57403</v>
      </c>
      <c r="T1287" s="226">
        <f t="shared" ref="T1287:T1295" si="455">SUM(H1287:S1287)</f>
        <v>694373.78</v>
      </c>
      <c r="U1287" s="226">
        <f>T1287*E1287</f>
        <v>2499745.608</v>
      </c>
      <c r="V1287" s="226">
        <f>G1287*T1287</f>
        <v>1853977.9926</v>
      </c>
    </row>
    <row r="1288" spans="1:23" hidden="1">
      <c r="A1288" s="62"/>
      <c r="B1288" s="62"/>
      <c r="C1288" s="60" t="s">
        <v>161</v>
      </c>
      <c r="D1288" s="62" t="s">
        <v>176</v>
      </c>
      <c r="E1288" s="62">
        <v>36.42</v>
      </c>
      <c r="F1288" s="62"/>
      <c r="G1288" s="230">
        <v>30</v>
      </c>
      <c r="H1288" s="225"/>
      <c r="I1288" s="225"/>
      <c r="J1288" s="225"/>
      <c r="K1288" s="225"/>
      <c r="L1288" s="225"/>
      <c r="M1288" s="225"/>
      <c r="N1288" s="225"/>
      <c r="O1288" s="225"/>
      <c r="P1288" s="225"/>
      <c r="Q1288" s="254"/>
      <c r="R1288" s="225"/>
      <c r="S1288" s="225"/>
      <c r="T1288" s="225">
        <f t="shared" si="455"/>
        <v>0</v>
      </c>
      <c r="U1288" s="225">
        <f>T1288*E1288</f>
        <v>0</v>
      </c>
      <c r="V1288" s="225">
        <f>G1288*T1288</f>
        <v>0</v>
      </c>
    </row>
    <row r="1289" spans="1:23" hidden="1">
      <c r="A1289" s="62"/>
      <c r="B1289" s="62"/>
      <c r="C1289" s="237"/>
      <c r="D1289" s="62"/>
      <c r="E1289" s="62"/>
      <c r="F1289" s="62"/>
      <c r="G1289" s="238"/>
      <c r="H1289" s="257"/>
      <c r="I1289" s="257"/>
      <c r="J1289" s="257"/>
      <c r="K1289" s="257"/>
      <c r="L1289" s="257"/>
      <c r="M1289" s="257"/>
      <c r="N1289" s="257"/>
      <c r="O1289" s="257"/>
      <c r="P1289" s="257"/>
      <c r="Q1289" s="257"/>
      <c r="R1289" s="257"/>
      <c r="S1289" s="257"/>
      <c r="T1289" s="225">
        <f t="shared" si="455"/>
        <v>0</v>
      </c>
      <c r="U1289" s="257">
        <f>SUM(U1287:U1288)</f>
        <v>2499745.608</v>
      </c>
      <c r="V1289" s="768">
        <f>SUM(V1287:V1288)</f>
        <v>1853977.9926</v>
      </c>
    </row>
    <row r="1290" spans="1:23" hidden="1">
      <c r="A1290" s="62"/>
      <c r="B1290" s="233"/>
      <c r="C1290" s="234" t="s">
        <v>107</v>
      </c>
      <c r="D1290" s="233" t="s">
        <v>756</v>
      </c>
      <c r="E1290" s="233"/>
      <c r="F1290" s="233"/>
      <c r="G1290" s="235"/>
      <c r="H1290" s="360">
        <v>84197.826000000001</v>
      </c>
      <c r="I1290" s="806">
        <v>65557.207999999999</v>
      </c>
      <c r="J1290" s="259">
        <v>79158.45</v>
      </c>
      <c r="K1290" s="259">
        <v>60654.084999999999</v>
      </c>
      <c r="L1290" s="259">
        <v>77402.456999999995</v>
      </c>
      <c r="M1290" s="259">
        <v>56972.572999999997</v>
      </c>
      <c r="N1290" s="259">
        <v>58179.267999999996</v>
      </c>
      <c r="O1290" s="259">
        <v>59279.798999999999</v>
      </c>
      <c r="P1290" s="259">
        <v>52927.06</v>
      </c>
      <c r="Q1290" s="319">
        <v>47389.510999999999</v>
      </c>
      <c r="R1290" s="259">
        <v>70195.163</v>
      </c>
      <c r="S1290" s="259">
        <v>67308.548999999999</v>
      </c>
      <c r="T1290" s="225">
        <f t="shared" si="455"/>
        <v>779221.94899999991</v>
      </c>
      <c r="U1290" s="259"/>
      <c r="V1290" s="904">
        <f>V1289/T1290</f>
        <v>2.379268185372946</v>
      </c>
    </row>
    <row r="1291" spans="1:23" hidden="1">
      <c r="A1291" s="62"/>
      <c r="B1291" s="62"/>
      <c r="C1291" s="237"/>
      <c r="D1291" s="62"/>
      <c r="E1291" s="62"/>
      <c r="F1291" s="62"/>
      <c r="G1291" s="238"/>
      <c r="H1291" s="257"/>
      <c r="I1291" s="257"/>
      <c r="J1291" s="257"/>
      <c r="K1291" s="257"/>
      <c r="L1291" s="257"/>
      <c r="M1291" s="257"/>
      <c r="N1291" s="257"/>
      <c r="O1291" s="257"/>
      <c r="P1291" s="257"/>
      <c r="Q1291" s="257"/>
      <c r="R1291" s="257"/>
      <c r="S1291" s="225"/>
      <c r="T1291" s="225">
        <f t="shared" si="455"/>
        <v>0</v>
      </c>
      <c r="U1291" s="225"/>
      <c r="V1291" s="771" t="s">
        <v>750</v>
      </c>
    </row>
    <row r="1292" spans="1:23" hidden="1">
      <c r="A1292" s="62"/>
      <c r="B1292" s="62"/>
      <c r="C1292" s="60" t="s">
        <v>89</v>
      </c>
      <c r="D1292" s="62" t="s">
        <v>173</v>
      </c>
      <c r="E1292" s="62"/>
      <c r="F1292" s="550"/>
      <c r="G1292" s="238"/>
      <c r="H1292" s="225">
        <f t="shared" ref="H1292:S1292" si="456">$E1287*H1287/1000</f>
        <v>228.17746800000003</v>
      </c>
      <c r="I1292" s="225">
        <f t="shared" si="456"/>
        <v>187.49026799999999</v>
      </c>
      <c r="J1292" s="225">
        <f t="shared" si="456"/>
        <v>238.160268</v>
      </c>
      <c r="K1292" s="225">
        <f t="shared" si="456"/>
        <v>185.80186799999998</v>
      </c>
      <c r="L1292" s="225">
        <f t="shared" si="456"/>
        <v>223.22386800000001</v>
      </c>
      <c r="M1292" s="225">
        <f t="shared" si="456"/>
        <v>201.21634800000001</v>
      </c>
      <c r="N1292" s="225">
        <f t="shared" si="456"/>
        <v>192.30552</v>
      </c>
      <c r="O1292" s="225">
        <f t="shared" si="456"/>
        <v>212.166</v>
      </c>
      <c r="P1292" s="225">
        <f t="shared" si="456"/>
        <v>202.80600000000001</v>
      </c>
      <c r="Q1292" s="225">
        <f t="shared" si="456"/>
        <v>191.27160000000001</v>
      </c>
      <c r="R1292" s="225">
        <f t="shared" si="456"/>
        <v>230.47560000000001</v>
      </c>
      <c r="S1292" s="225">
        <f t="shared" si="456"/>
        <v>206.6508</v>
      </c>
      <c r="T1292" s="225">
        <f t="shared" si="455"/>
        <v>2499.7456079999997</v>
      </c>
      <c r="U1292" s="225"/>
      <c r="V1292" s="225"/>
    </row>
    <row r="1293" spans="1:23" hidden="1">
      <c r="A1293" s="62"/>
      <c r="B1293" s="62"/>
      <c r="C1293" s="60" t="s">
        <v>161</v>
      </c>
      <c r="D1293" s="62" t="s">
        <v>173</v>
      </c>
      <c r="E1293" s="62"/>
      <c r="F1293" s="62"/>
      <c r="G1293" s="238"/>
      <c r="H1293" s="225">
        <f t="shared" ref="H1293:S1293" si="457">H1288*$E1288</f>
        <v>0</v>
      </c>
      <c r="I1293" s="225">
        <f t="shared" si="457"/>
        <v>0</v>
      </c>
      <c r="J1293" s="225">
        <f t="shared" si="457"/>
        <v>0</v>
      </c>
      <c r="K1293" s="225">
        <f t="shared" si="457"/>
        <v>0</v>
      </c>
      <c r="L1293" s="225">
        <f t="shared" si="457"/>
        <v>0</v>
      </c>
      <c r="M1293" s="225">
        <f t="shared" si="457"/>
        <v>0</v>
      </c>
      <c r="N1293" s="225">
        <f t="shared" si="457"/>
        <v>0</v>
      </c>
      <c r="O1293" s="225">
        <f t="shared" si="457"/>
        <v>0</v>
      </c>
      <c r="P1293" s="225">
        <f t="shared" si="457"/>
        <v>0</v>
      </c>
      <c r="Q1293" s="225">
        <f t="shared" si="457"/>
        <v>0</v>
      </c>
      <c r="R1293" s="225">
        <f t="shared" si="457"/>
        <v>0</v>
      </c>
      <c r="S1293" s="225">
        <f t="shared" si="457"/>
        <v>0</v>
      </c>
      <c r="T1293" s="225">
        <f t="shared" si="455"/>
        <v>0</v>
      </c>
      <c r="U1293" s="225"/>
      <c r="V1293" s="225"/>
    </row>
    <row r="1294" spans="1:23" hidden="1">
      <c r="A1294" s="62"/>
      <c r="B1294" s="62"/>
      <c r="C1294" s="237" t="s">
        <v>757</v>
      </c>
      <c r="D1294" s="62" t="s">
        <v>173</v>
      </c>
      <c r="E1294" s="62" t="s">
        <v>758</v>
      </c>
      <c r="F1294" s="257">
        <v>3741.37</v>
      </c>
      <c r="G1294" s="238" t="s">
        <v>759</v>
      </c>
      <c r="H1294" s="225">
        <f t="shared" ref="H1294:M1294" si="458">SUM(H1292:H1293)</f>
        <v>228.17746800000003</v>
      </c>
      <c r="I1294" s="225">
        <f t="shared" si="458"/>
        <v>187.49026799999999</v>
      </c>
      <c r="J1294" s="225">
        <f t="shared" si="458"/>
        <v>238.160268</v>
      </c>
      <c r="K1294" s="225">
        <f t="shared" si="458"/>
        <v>185.80186799999998</v>
      </c>
      <c r="L1294" s="225">
        <f t="shared" si="458"/>
        <v>223.22386800000001</v>
      </c>
      <c r="M1294" s="225">
        <f t="shared" si="458"/>
        <v>201.21634800000001</v>
      </c>
      <c r="N1294" s="225">
        <f t="shared" ref="N1294:S1294" si="459">SUM(N1292:N1293)</f>
        <v>192.30552</v>
      </c>
      <c r="O1294" s="225">
        <f t="shared" si="459"/>
        <v>212.166</v>
      </c>
      <c r="P1294" s="225">
        <f t="shared" si="459"/>
        <v>202.80600000000001</v>
      </c>
      <c r="Q1294" s="225">
        <f t="shared" si="459"/>
        <v>191.27160000000001</v>
      </c>
      <c r="R1294" s="225">
        <f t="shared" si="459"/>
        <v>230.47560000000001</v>
      </c>
      <c r="S1294" s="225">
        <f t="shared" si="459"/>
        <v>206.6508</v>
      </c>
      <c r="T1294" s="242">
        <f t="shared" si="455"/>
        <v>2499.7456079999997</v>
      </c>
      <c r="U1294" s="225"/>
      <c r="V1294" s="905">
        <f>V1289/T1294</f>
        <v>741.66666666666674</v>
      </c>
      <c r="W1294" s="215"/>
    </row>
    <row r="1295" spans="1:23" hidden="1">
      <c r="A1295" s="62"/>
      <c r="B1295" s="62"/>
      <c r="C1295" s="237" t="s">
        <v>345</v>
      </c>
      <c r="D1295" s="62" t="s">
        <v>173</v>
      </c>
      <c r="E1295" s="1771" t="s">
        <v>760</v>
      </c>
      <c r="F1295" s="1772"/>
      <c r="G1295" s="1773"/>
      <c r="H1295" s="231">
        <f>((1.1588*H1290/1000)+131.78)+($F$1294*$E$1287/1000)</f>
        <v>242.8173727688</v>
      </c>
      <c r="I1295" s="231">
        <f>((1.1588*I1290/1000)+131.78)+($F$1294*$E$1287/1000)</f>
        <v>221.21662463040002</v>
      </c>
      <c r="J1295" s="231">
        <f t="shared" ref="J1295:L1295" si="460">((1.1588*J1290/1000)+131.78)+($F$1294*$E$1287/1000)</f>
        <v>236.97774386</v>
      </c>
      <c r="K1295" s="231">
        <f t="shared" si="460"/>
        <v>215.53488569799998</v>
      </c>
      <c r="L1295" s="231">
        <f t="shared" si="460"/>
        <v>234.9428991716</v>
      </c>
      <c r="M1295" s="231">
        <f>((1.1588*M1290/1000)+131.78)+($F$1294*$E$1287/1000)</f>
        <v>211.26874959239998</v>
      </c>
      <c r="N1295" s="231">
        <f>((1.1588*N1290/1000)+131.78)+($F$1294*$E$1287/1000)</f>
        <v>212.66706775839998</v>
      </c>
      <c r="O1295" s="231">
        <f>((1.1588*O1290/1000)+131.78)+($F$1294*$E$1287/1000)</f>
        <v>213.9423630812</v>
      </c>
      <c r="P1295" s="231">
        <f>((1.1588*P1290/1000)+131.78)+($F$1294*$E$1287/1000)</f>
        <v>206.580809128</v>
      </c>
      <c r="Q1295" s="231">
        <f>((1.1588*Q1290/1000)+131.78)+($F$1294*$E$1287/1000)</f>
        <v>200.16389734680001</v>
      </c>
      <c r="R1295" s="231">
        <f t="shared" ref="R1295:S1295" si="461">((1.1588*R1290/1000)+131.78)+($F$1293*$E$1286/1000)</f>
        <v>213.1221548844</v>
      </c>
      <c r="S1295" s="231">
        <f t="shared" si="461"/>
        <v>209.77714658120001</v>
      </c>
      <c r="T1295" s="242">
        <f t="shared" si="455"/>
        <v>2619.0117145012005</v>
      </c>
      <c r="U1295" s="225"/>
      <c r="V1295" s="271" t="s">
        <v>742</v>
      </c>
      <c r="W1295" s="215"/>
    </row>
    <row r="1296" spans="1:23" hidden="1">
      <c r="A1296" s="62"/>
      <c r="B1296" s="243" t="s">
        <v>174</v>
      </c>
      <c r="C1296" s="244" t="s">
        <v>89</v>
      </c>
      <c r="D1296" s="243" t="s">
        <v>761</v>
      </c>
      <c r="E1296" s="243"/>
      <c r="F1296" s="243"/>
      <c r="G1296" s="248"/>
      <c r="H1296" s="245">
        <f>H1292/H1290</f>
        <v>2.7100161469727261E-3</v>
      </c>
      <c r="I1296" s="245">
        <f>I1292/I1290</f>
        <v>2.859948947185182E-3</v>
      </c>
      <c r="J1296" s="245">
        <f t="shared" ref="J1296:T1296" si="462">J1292/J1290</f>
        <v>3.0086524938272544E-3</v>
      </c>
      <c r="K1296" s="245">
        <f t="shared" si="462"/>
        <v>3.0633034526858331E-3</v>
      </c>
      <c r="L1296" s="245">
        <f t="shared" si="462"/>
        <v>2.8839377540689701E-3</v>
      </c>
      <c r="M1296" s="245">
        <f t="shared" si="462"/>
        <v>3.5318107890265028E-3</v>
      </c>
      <c r="N1296" s="245">
        <f t="shared" si="462"/>
        <v>3.3053960046386284E-3</v>
      </c>
      <c r="O1296" s="245">
        <f t="shared" si="462"/>
        <v>3.5790607184751082E-3</v>
      </c>
      <c r="P1296" s="245">
        <f t="shared" si="462"/>
        <v>3.8318017286431555E-3</v>
      </c>
      <c r="Q1296" s="245">
        <f t="shared" si="462"/>
        <v>4.036158971971667E-3</v>
      </c>
      <c r="R1296" s="245">
        <f t="shared" si="462"/>
        <v>3.2833544385387353E-3</v>
      </c>
      <c r="S1296" s="245">
        <f>S1292/S1290</f>
        <v>3.0702013796196975E-3</v>
      </c>
      <c r="T1296" s="245">
        <f t="shared" si="462"/>
        <v>3.2080020476938594E-3</v>
      </c>
      <c r="U1296" s="246"/>
      <c r="V1296" s="246"/>
      <c r="W1296" s="215"/>
    </row>
    <row r="1297" spans="1:23" hidden="1">
      <c r="A1297" s="62"/>
      <c r="B1297" s="243"/>
      <c r="C1297" s="244" t="s">
        <v>161</v>
      </c>
      <c r="D1297" s="243" t="s">
        <v>761</v>
      </c>
      <c r="E1297" s="243"/>
      <c r="F1297" s="243"/>
      <c r="G1297" s="248"/>
      <c r="H1297" s="245">
        <f>H1293/H1290</f>
        <v>0</v>
      </c>
      <c r="I1297" s="245">
        <f>I1293/I1290</f>
        <v>0</v>
      </c>
      <c r="J1297" s="245">
        <f t="shared" ref="J1297:Q1297" si="463">J1293/J1290</f>
        <v>0</v>
      </c>
      <c r="K1297" s="245">
        <f t="shared" si="463"/>
        <v>0</v>
      </c>
      <c r="L1297" s="245">
        <f t="shared" si="463"/>
        <v>0</v>
      </c>
      <c r="M1297" s="245">
        <f t="shared" si="463"/>
        <v>0</v>
      </c>
      <c r="N1297" s="245">
        <f t="shared" si="463"/>
        <v>0</v>
      </c>
      <c r="O1297" s="245">
        <f t="shared" si="463"/>
        <v>0</v>
      </c>
      <c r="P1297" s="245">
        <f t="shared" si="463"/>
        <v>0</v>
      </c>
      <c r="Q1297" s="245">
        <f t="shared" si="463"/>
        <v>0</v>
      </c>
      <c r="R1297" s="245">
        <f>R1293/R1290</f>
        <v>0</v>
      </c>
      <c r="S1297" s="245">
        <f>S1293/S1290</f>
        <v>0</v>
      </c>
      <c r="T1297" s="245">
        <f>T1293/T1290</f>
        <v>0</v>
      </c>
      <c r="U1297" s="246"/>
      <c r="V1297" s="246"/>
      <c r="W1297" s="215"/>
    </row>
    <row r="1298" spans="1:23" ht="23.25" hidden="1">
      <c r="A1298" s="62"/>
      <c r="B1298" s="243"/>
      <c r="C1298" s="249" t="s">
        <v>762</v>
      </c>
      <c r="D1298" s="243" t="s">
        <v>761</v>
      </c>
      <c r="E1298" s="243"/>
      <c r="F1298" s="243"/>
      <c r="G1298" s="248"/>
      <c r="H1298" s="906">
        <f>H1294*1000/H1290</f>
        <v>2.710016146972726</v>
      </c>
      <c r="I1298" s="907">
        <f>I1294*1000/I1290</f>
        <v>2.859948947185182</v>
      </c>
      <c r="J1298" s="245">
        <f t="shared" ref="J1298:S1298" si="464">J1294*1000/J1290</f>
        <v>3.0086524938272543</v>
      </c>
      <c r="K1298" s="245">
        <f t="shared" si="464"/>
        <v>3.0633034526858332</v>
      </c>
      <c r="L1298" s="245">
        <f t="shared" si="464"/>
        <v>2.8839377540689699</v>
      </c>
      <c r="M1298" s="245">
        <f t="shared" si="464"/>
        <v>3.5318107890265025</v>
      </c>
      <c r="N1298" s="245">
        <f t="shared" si="464"/>
        <v>3.3053960046386281</v>
      </c>
      <c r="O1298" s="245">
        <f t="shared" si="464"/>
        <v>3.5790607184751084</v>
      </c>
      <c r="P1298" s="245">
        <f t="shared" si="464"/>
        <v>3.8318017286431556</v>
      </c>
      <c r="Q1298" s="245">
        <f t="shared" si="464"/>
        <v>4.0361589719716671</v>
      </c>
      <c r="R1298" s="245">
        <f t="shared" si="464"/>
        <v>3.2833544385387352</v>
      </c>
      <c r="S1298" s="245">
        <f t="shared" si="464"/>
        <v>3.0702013796196979</v>
      </c>
      <c r="T1298" s="250">
        <f t="shared" ref="T1298" si="465">T1294/T1290</f>
        <v>3.2080020476938594E-3</v>
      </c>
      <c r="U1298" s="246"/>
      <c r="V1298" s="246"/>
      <c r="W1298" s="215"/>
    </row>
    <row r="1299" spans="1:23" ht="23.25" hidden="1">
      <c r="A1299" s="62"/>
      <c r="B1299" s="243"/>
      <c r="C1299" s="249"/>
      <c r="D1299" s="243"/>
      <c r="E1299" s="243"/>
      <c r="F1299" s="243"/>
      <c r="G1299" s="248"/>
      <c r="H1299" s="906">
        <f>H1295*1000/H1290</f>
        <v>2.8838912392916178</v>
      </c>
      <c r="I1299" s="906">
        <f>I1295*1000/I1290</f>
        <v>3.3744058262883923</v>
      </c>
      <c r="J1299" s="245"/>
      <c r="K1299" s="245"/>
      <c r="L1299" s="245"/>
      <c r="M1299" s="245"/>
      <c r="N1299" s="245"/>
      <c r="O1299" s="245"/>
      <c r="P1299" s="245"/>
      <c r="Q1299" s="245"/>
      <c r="R1299" s="245"/>
      <c r="S1299" s="245"/>
      <c r="T1299" s="250"/>
      <c r="U1299" s="246"/>
      <c r="V1299" s="246"/>
      <c r="W1299" s="215"/>
    </row>
    <row r="1300" spans="1:23" hidden="1">
      <c r="A1300" s="62"/>
      <c r="B1300" s="243"/>
      <c r="C1300" s="249" t="s">
        <v>763</v>
      </c>
      <c r="D1300" s="243"/>
      <c r="E1300" s="243"/>
      <c r="F1300" s="243"/>
      <c r="G1300" s="243"/>
      <c r="H1300" s="251">
        <f>H1294/H1295*100</f>
        <v>93.970816584553262</v>
      </c>
      <c r="I1300" s="251">
        <f>I1294/I1295*100</f>
        <v>84.754149157302848</v>
      </c>
      <c r="J1300" s="251">
        <f t="shared" ref="J1300:T1300" si="466">J1294/J1295*100</f>
        <v>100.49900219351342</v>
      </c>
      <c r="K1300" s="251">
        <f t="shared" si="466"/>
        <v>86.205009179042662</v>
      </c>
      <c r="L1300" s="251">
        <f t="shared" si="466"/>
        <v>95.011966221187848</v>
      </c>
      <c r="M1300" s="251">
        <f t="shared" si="466"/>
        <v>95.241889010185361</v>
      </c>
      <c r="N1300" s="251">
        <f t="shared" si="466"/>
        <v>90.425622559703655</v>
      </c>
      <c r="O1300" s="251">
        <f t="shared" si="466"/>
        <v>99.169700168018721</v>
      </c>
      <c r="P1300" s="251">
        <f t="shared" si="466"/>
        <v>98.172720329669602</v>
      </c>
      <c r="Q1300" s="251">
        <f t="shared" si="466"/>
        <v>95.557491903051144</v>
      </c>
      <c r="R1300" s="251">
        <f t="shared" si="466"/>
        <v>108.14248763814007</v>
      </c>
      <c r="S1300" s="251">
        <f t="shared" si="466"/>
        <v>98.509681997228483</v>
      </c>
      <c r="T1300" s="251">
        <f t="shared" si="466"/>
        <v>95.4461407774224</v>
      </c>
      <c r="U1300" s="246"/>
      <c r="V1300" s="246"/>
      <c r="W1300" s="215"/>
    </row>
    <row r="1301" spans="1:23" hidden="1">
      <c r="A1301" s="222">
        <v>2</v>
      </c>
      <c r="B1301" s="222" t="s">
        <v>144</v>
      </c>
      <c r="C1301" s="221" t="s">
        <v>89</v>
      </c>
      <c r="D1301" s="222" t="s">
        <v>90</v>
      </c>
      <c r="E1301" s="223">
        <v>3.6</v>
      </c>
      <c r="F1301" s="222"/>
      <c r="G1301" s="224">
        <v>2.67</v>
      </c>
      <c r="H1301" s="551">
        <v>101091</v>
      </c>
      <c r="I1301" s="551">
        <v>96970</v>
      </c>
      <c r="J1301" s="226">
        <v>109058</v>
      </c>
      <c r="K1301" s="226">
        <v>100788</v>
      </c>
      <c r="L1301" s="226">
        <v>103660</v>
      </c>
      <c r="M1301" s="226">
        <v>91052</v>
      </c>
      <c r="N1301" s="226">
        <v>94127</v>
      </c>
      <c r="O1301" s="226">
        <v>93094</v>
      </c>
      <c r="P1301" s="226">
        <v>89162</v>
      </c>
      <c r="Q1301" s="226"/>
      <c r="R1301" s="226">
        <v>95546</v>
      </c>
      <c r="S1301" s="226">
        <v>88884</v>
      </c>
      <c r="T1301" s="226">
        <f>SUM(H1301:S1301)</f>
        <v>1063432</v>
      </c>
      <c r="U1301" s="226">
        <f>T1301*E1301</f>
        <v>3828355.2</v>
      </c>
      <c r="V1301" s="226">
        <f>G1301*T1301</f>
        <v>2839363.44</v>
      </c>
      <c r="W1301" s="215"/>
    </row>
    <row r="1302" spans="1:23" hidden="1">
      <c r="A1302" s="62"/>
      <c r="B1302" s="62"/>
      <c r="C1302" s="60" t="s">
        <v>161</v>
      </c>
      <c r="D1302" s="62" t="s">
        <v>176</v>
      </c>
      <c r="E1302" s="62">
        <v>36.42</v>
      </c>
      <c r="F1302" s="62"/>
      <c r="G1302" s="230">
        <v>30</v>
      </c>
      <c r="H1302" s="351"/>
      <c r="I1302" s="351"/>
      <c r="J1302" s="225"/>
      <c r="K1302" s="225"/>
      <c r="L1302" s="225"/>
      <c r="M1302" s="225"/>
      <c r="N1302" s="225"/>
      <c r="O1302" s="225"/>
      <c r="P1302" s="225"/>
      <c r="Q1302" s="254"/>
      <c r="R1302" s="225"/>
      <c r="S1302" s="225"/>
      <c r="T1302" s="226">
        <f>SUM(H1302:S1302)</f>
        <v>0</v>
      </c>
      <c r="U1302" s="225">
        <f>T1302*E1302</f>
        <v>0</v>
      </c>
      <c r="V1302" s="225">
        <f>G1302*T1302</f>
        <v>0</v>
      </c>
      <c r="W1302" s="215"/>
    </row>
    <row r="1303" spans="1:23" hidden="1">
      <c r="A1303" s="62"/>
      <c r="B1303" s="62"/>
      <c r="C1303" s="237"/>
      <c r="D1303" s="62"/>
      <c r="E1303" s="62"/>
      <c r="F1303" s="62"/>
      <c r="G1303" s="238"/>
      <c r="H1303" s="908"/>
      <c r="I1303" s="908"/>
      <c r="J1303" s="257"/>
      <c r="K1303" s="257">
        <v>2491</v>
      </c>
      <c r="L1303" s="257">
        <v>2491</v>
      </c>
      <c r="M1303" s="257">
        <v>2491</v>
      </c>
      <c r="N1303" s="257">
        <v>2491</v>
      </c>
      <c r="O1303" s="257">
        <v>2491</v>
      </c>
      <c r="P1303" s="257">
        <v>2491</v>
      </c>
      <c r="Q1303" s="257"/>
      <c r="R1303" s="257">
        <v>2491</v>
      </c>
      <c r="S1303" s="257">
        <v>2491</v>
      </c>
      <c r="T1303" s="257"/>
      <c r="U1303" s="257">
        <f>SUM(U1301:U1302)</f>
        <v>3828355.2</v>
      </c>
      <c r="V1303" s="768">
        <f>SUM(V1301:V1302)</f>
        <v>2839363.44</v>
      </c>
      <c r="W1303" s="215"/>
    </row>
    <row r="1304" spans="1:23" hidden="1">
      <c r="A1304" s="62"/>
      <c r="B1304" s="233"/>
      <c r="C1304" s="234" t="s">
        <v>107</v>
      </c>
      <c r="D1304" s="233" t="s">
        <v>160</v>
      </c>
      <c r="E1304" s="233"/>
      <c r="F1304" s="233"/>
      <c r="G1304" s="235"/>
      <c r="H1304" s="553">
        <v>136409.54667000001</v>
      </c>
      <c r="I1304" s="553">
        <v>129163.36557999998</v>
      </c>
      <c r="J1304" s="553">
        <v>141185.74455</v>
      </c>
      <c r="K1304" s="259">
        <v>102071.891</v>
      </c>
      <c r="L1304" s="259">
        <v>127337.535</v>
      </c>
      <c r="M1304" s="259">
        <v>105851.048</v>
      </c>
      <c r="N1304" s="259">
        <v>109853.15</v>
      </c>
      <c r="O1304" s="259">
        <v>110091.893</v>
      </c>
      <c r="P1304" s="259">
        <v>92702.620999999999</v>
      </c>
      <c r="Q1304" s="259"/>
      <c r="R1304" s="259">
        <v>108116.798</v>
      </c>
      <c r="S1304" s="259">
        <v>115797.64599999999</v>
      </c>
      <c r="T1304" s="226">
        <f>SUM(H1304:S1304)</f>
        <v>1278581.2387999999</v>
      </c>
      <c r="U1304" s="259"/>
      <c r="V1304" s="904">
        <f>V1303/T1304</f>
        <v>2.2207141430175037</v>
      </c>
      <c r="W1304" s="215"/>
    </row>
    <row r="1305" spans="1:23" hidden="1">
      <c r="A1305" s="62"/>
      <c r="B1305" s="62"/>
      <c r="C1305" s="237"/>
      <c r="D1305" s="62"/>
      <c r="E1305" s="62"/>
      <c r="F1305" s="62"/>
      <c r="G1305" s="238"/>
      <c r="H1305" s="257"/>
      <c r="I1305" s="257"/>
      <c r="J1305" s="257"/>
      <c r="K1305" s="257"/>
      <c r="L1305" s="257"/>
      <c r="M1305" s="257"/>
      <c r="N1305" s="257"/>
      <c r="O1305" s="257"/>
      <c r="P1305" s="257"/>
      <c r="Q1305" s="257"/>
      <c r="R1305" s="257"/>
      <c r="S1305" s="225"/>
      <c r="T1305" s="225"/>
      <c r="U1305" s="225"/>
      <c r="V1305" s="771" t="s">
        <v>750</v>
      </c>
      <c r="W1305" s="215"/>
    </row>
    <row r="1306" spans="1:23" hidden="1">
      <c r="A1306" s="62"/>
      <c r="B1306" s="62"/>
      <c r="C1306" s="60" t="s">
        <v>89</v>
      </c>
      <c r="D1306" s="62" t="s">
        <v>173</v>
      </c>
      <c r="E1306" s="62"/>
      <c r="F1306" s="62"/>
      <c r="G1306" s="238"/>
      <c r="H1306" s="225">
        <f t="shared" ref="H1306:P1306" si="467">$E1301*H1301/1000</f>
        <v>363.92760000000004</v>
      </c>
      <c r="I1306" s="225">
        <f t="shared" si="467"/>
        <v>349.09199999999998</v>
      </c>
      <c r="J1306" s="225">
        <f t="shared" si="467"/>
        <v>392.60879999999997</v>
      </c>
      <c r="K1306" s="225">
        <f>$E1301*K1301/1000</f>
        <v>362.83679999999998</v>
      </c>
      <c r="L1306" s="225">
        <f t="shared" si="467"/>
        <v>373.17599999999999</v>
      </c>
      <c r="M1306" s="225">
        <f t="shared" si="467"/>
        <v>327.78719999999998</v>
      </c>
      <c r="N1306" s="225">
        <f t="shared" si="467"/>
        <v>338.85720000000003</v>
      </c>
      <c r="O1306" s="225">
        <f t="shared" si="467"/>
        <v>335.13840000000005</v>
      </c>
      <c r="P1306" s="225">
        <f t="shared" si="467"/>
        <v>320.98320000000001</v>
      </c>
      <c r="Q1306" s="225"/>
      <c r="R1306" s="225">
        <f t="shared" ref="R1306:S1306" si="468">$E1301*R1301/1000</f>
        <v>343.96560000000005</v>
      </c>
      <c r="S1306" s="225">
        <f t="shared" si="468"/>
        <v>319.98240000000004</v>
      </c>
      <c r="T1306" s="225">
        <f>SUM(H1306:S1306)</f>
        <v>3828.3552</v>
      </c>
      <c r="U1306" s="225"/>
      <c r="V1306" s="225"/>
      <c r="W1306" s="215"/>
    </row>
    <row r="1307" spans="1:23" hidden="1">
      <c r="A1307" s="62"/>
      <c r="B1307" s="62"/>
      <c r="C1307" s="60" t="s">
        <v>161</v>
      </c>
      <c r="D1307" s="62" t="s">
        <v>173</v>
      </c>
      <c r="E1307" s="62"/>
      <c r="F1307" s="62"/>
      <c r="G1307" s="238"/>
      <c r="H1307" s="225">
        <f t="shared" ref="H1307:P1307" si="469">H1302*$E1302</f>
        <v>0</v>
      </c>
      <c r="I1307" s="225">
        <f t="shared" si="469"/>
        <v>0</v>
      </c>
      <c r="J1307" s="225">
        <f t="shared" si="469"/>
        <v>0</v>
      </c>
      <c r="K1307" s="225">
        <f t="shared" si="469"/>
        <v>0</v>
      </c>
      <c r="L1307" s="225">
        <f t="shared" si="469"/>
        <v>0</v>
      </c>
      <c r="M1307" s="225">
        <f t="shared" si="469"/>
        <v>0</v>
      </c>
      <c r="N1307" s="225">
        <f t="shared" si="469"/>
        <v>0</v>
      </c>
      <c r="O1307" s="225">
        <f t="shared" si="469"/>
        <v>0</v>
      </c>
      <c r="P1307" s="225">
        <f t="shared" si="469"/>
        <v>0</v>
      </c>
      <c r="Q1307" s="225"/>
      <c r="R1307" s="225">
        <f t="shared" ref="R1307:S1307" si="470">R1302*$E1302</f>
        <v>0</v>
      </c>
      <c r="S1307" s="225">
        <f t="shared" si="470"/>
        <v>0</v>
      </c>
      <c r="T1307" s="225">
        <f>SUM(H1307:S1307)</f>
        <v>0</v>
      </c>
      <c r="U1307" s="225"/>
      <c r="V1307" s="225"/>
      <c r="W1307" s="215"/>
    </row>
    <row r="1308" spans="1:23" hidden="1">
      <c r="A1308" s="62"/>
      <c r="B1308" s="62"/>
      <c r="C1308" s="237" t="s">
        <v>764</v>
      </c>
      <c r="D1308" s="62" t="s">
        <v>173</v>
      </c>
      <c r="E1308" s="62"/>
      <c r="F1308" s="62"/>
      <c r="G1308" s="238"/>
      <c r="H1308" s="225">
        <f t="shared" ref="H1308:P1308" si="471">SUM(H1306:H1307)</f>
        <v>363.92760000000004</v>
      </c>
      <c r="I1308" s="225">
        <f t="shared" si="471"/>
        <v>349.09199999999998</v>
      </c>
      <c r="J1308" s="225">
        <f t="shared" si="471"/>
        <v>392.60879999999997</v>
      </c>
      <c r="K1308" s="225">
        <f t="shared" si="471"/>
        <v>362.83679999999998</v>
      </c>
      <c r="L1308" s="225">
        <f t="shared" si="471"/>
        <v>373.17599999999999</v>
      </c>
      <c r="M1308" s="225">
        <f t="shared" si="471"/>
        <v>327.78719999999998</v>
      </c>
      <c r="N1308" s="225">
        <f t="shared" si="471"/>
        <v>338.85720000000003</v>
      </c>
      <c r="O1308" s="225">
        <f t="shared" si="471"/>
        <v>335.13840000000005</v>
      </c>
      <c r="P1308" s="225">
        <f t="shared" si="471"/>
        <v>320.98320000000001</v>
      </c>
      <c r="Q1308" s="225"/>
      <c r="R1308" s="225">
        <f t="shared" ref="R1308:S1308" si="472">SUM(R1306:R1307)</f>
        <v>343.96560000000005</v>
      </c>
      <c r="S1308" s="225">
        <f t="shared" si="472"/>
        <v>319.98240000000004</v>
      </c>
      <c r="T1308" s="242">
        <f>SUM(H1308:S1308)</f>
        <v>3828.3552</v>
      </c>
      <c r="U1308" s="225"/>
      <c r="V1308" s="905">
        <f>V1303/T1308</f>
        <v>741.66666666666663</v>
      </c>
      <c r="W1308" s="215"/>
    </row>
    <row r="1309" spans="1:23" hidden="1">
      <c r="A1309" s="62"/>
      <c r="B1309" s="62"/>
      <c r="C1309" s="237" t="s">
        <v>345</v>
      </c>
      <c r="D1309" s="62" t="s">
        <v>173</v>
      </c>
      <c r="E1309" s="1798" t="s">
        <v>765</v>
      </c>
      <c r="F1309" s="1799"/>
      <c r="G1309" s="1800"/>
      <c r="H1309" s="231">
        <f>(H1304*1.1764/1000)+210.32</f>
        <v>370.79219070258796</v>
      </c>
      <c r="I1309" s="231">
        <f t="shared" ref="I1309:J1309" si="473">(I1304*1.1764/1000)+210.32</f>
        <v>362.26778326831197</v>
      </c>
      <c r="J1309" s="231">
        <f t="shared" si="473"/>
        <v>376.41090988861998</v>
      </c>
      <c r="K1309" s="231">
        <f>(K1304*1.1764/1000)+210.32+(K1303*3.6/1000)</f>
        <v>339.36497257240001</v>
      </c>
      <c r="L1309" s="231">
        <f t="shared" ref="L1309:P1309" si="474">(L1304*1.1764/1000)+210.32+(L1303*3.6/1000)</f>
        <v>369.08747617399996</v>
      </c>
      <c r="M1309" s="231">
        <f t="shared" si="474"/>
        <v>343.8107728672</v>
      </c>
      <c r="N1309" s="231">
        <f t="shared" si="474"/>
        <v>348.51884565999995</v>
      </c>
      <c r="O1309" s="231">
        <f t="shared" si="474"/>
        <v>348.79970292519999</v>
      </c>
      <c r="P1309" s="231">
        <f t="shared" si="474"/>
        <v>328.3429633444</v>
      </c>
      <c r="Q1309" s="231"/>
      <c r="R1309" s="231">
        <f t="shared" ref="R1309:S1309" si="475">(R1304*1.1764/1000)+210.32+(R1303*3.6/1000)</f>
        <v>346.47620116719997</v>
      </c>
      <c r="S1309" s="231">
        <f t="shared" si="475"/>
        <v>355.51195075439995</v>
      </c>
      <c r="T1309" s="242">
        <f>SUM(H1309:S1309)</f>
        <v>3889.3837693243199</v>
      </c>
      <c r="U1309" s="225"/>
      <c r="V1309" s="271" t="s">
        <v>742</v>
      </c>
      <c r="W1309" s="215"/>
    </row>
    <row r="1310" spans="1:23" hidden="1">
      <c r="A1310" s="62"/>
      <c r="B1310" s="243" t="s">
        <v>174</v>
      </c>
      <c r="C1310" s="244" t="s">
        <v>89</v>
      </c>
      <c r="D1310" s="243" t="s">
        <v>761</v>
      </c>
      <c r="E1310" s="243"/>
      <c r="F1310" s="243"/>
      <c r="G1310" s="248"/>
      <c r="H1310" s="245">
        <f>H1306/H1304</f>
        <v>2.6679041818122042E-3</v>
      </c>
      <c r="I1310" s="245">
        <f>I1306/I1304</f>
        <v>2.7027168147285749E-3</v>
      </c>
      <c r="J1310" s="245">
        <f t="shared" ref="J1310:P1310" si="476">J1306/J1304</f>
        <v>2.7807963279250203E-3</v>
      </c>
      <c r="K1310" s="245">
        <f t="shared" si="476"/>
        <v>3.5547181152938566E-3</v>
      </c>
      <c r="L1310" s="245">
        <f t="shared" si="476"/>
        <v>2.9306048683917117E-3</v>
      </c>
      <c r="M1310" s="245">
        <f t="shared" si="476"/>
        <v>3.0966835585794104E-3</v>
      </c>
      <c r="N1310" s="245">
        <f t="shared" si="476"/>
        <v>3.0846379917189451E-3</v>
      </c>
      <c r="O1310" s="245">
        <f t="shared" si="476"/>
        <v>3.0441696556166953E-3</v>
      </c>
      <c r="P1310" s="245">
        <f t="shared" si="476"/>
        <v>3.4625040429007935E-3</v>
      </c>
      <c r="Q1310" s="245"/>
      <c r="R1310" s="245">
        <f t="shared" ref="R1310" si="477">R1306/R1304</f>
        <v>3.1814260722001779E-3</v>
      </c>
      <c r="S1310" s="245">
        <f>S1306/S1304</f>
        <v>2.7632893331873088E-3</v>
      </c>
      <c r="T1310" s="245">
        <f>T1306/T1304</f>
        <v>2.9942213164280947E-3</v>
      </c>
      <c r="U1310" s="246"/>
      <c r="V1310" s="246"/>
      <c r="W1310" s="215"/>
    </row>
    <row r="1311" spans="1:23" hidden="1">
      <c r="A1311" s="62"/>
      <c r="B1311" s="243"/>
      <c r="C1311" s="244" t="s">
        <v>161</v>
      </c>
      <c r="D1311" s="243" t="s">
        <v>761</v>
      </c>
      <c r="E1311" s="243"/>
      <c r="F1311" s="243"/>
      <c r="G1311" s="248"/>
      <c r="H1311" s="245">
        <f>H1307/H1304</f>
        <v>0</v>
      </c>
      <c r="I1311" s="245">
        <f>I1307/I1304</f>
        <v>0</v>
      </c>
      <c r="J1311" s="245">
        <f t="shared" ref="J1311:P1311" si="478">J1307/J1304</f>
        <v>0</v>
      </c>
      <c r="K1311" s="245">
        <f t="shared" si="478"/>
        <v>0</v>
      </c>
      <c r="L1311" s="245">
        <f t="shared" si="478"/>
        <v>0</v>
      </c>
      <c r="M1311" s="245">
        <f t="shared" si="478"/>
        <v>0</v>
      </c>
      <c r="N1311" s="245">
        <f t="shared" si="478"/>
        <v>0</v>
      </c>
      <c r="O1311" s="245">
        <f t="shared" si="478"/>
        <v>0</v>
      </c>
      <c r="P1311" s="245">
        <f t="shared" si="478"/>
        <v>0</v>
      </c>
      <c r="Q1311" s="245"/>
      <c r="R1311" s="245">
        <f>R1307/R1304</f>
        <v>0</v>
      </c>
      <c r="S1311" s="245">
        <f>S1307/S1304</f>
        <v>0</v>
      </c>
      <c r="T1311" s="245">
        <f>T1307/T1304</f>
        <v>0</v>
      </c>
      <c r="U1311" s="246"/>
      <c r="V1311" s="246"/>
      <c r="W1311" s="215"/>
    </row>
    <row r="1312" spans="1:23" ht="23.25" hidden="1">
      <c r="A1312" s="62"/>
      <c r="B1312" s="243"/>
      <c r="C1312" s="249" t="s">
        <v>766</v>
      </c>
      <c r="D1312" s="243" t="s">
        <v>761</v>
      </c>
      <c r="E1312" s="243"/>
      <c r="F1312" s="243"/>
      <c r="G1312" s="248"/>
      <c r="H1312" s="245">
        <f>H1308/H1304</f>
        <v>2.6679041818122042E-3</v>
      </c>
      <c r="I1312" s="245">
        <f>I1308/I1304</f>
        <v>2.7027168147285749E-3</v>
      </c>
      <c r="J1312" s="245">
        <f t="shared" ref="J1312:T1312" si="479">J1308/J1304</f>
        <v>2.7807963279250203E-3</v>
      </c>
      <c r="K1312" s="245">
        <f t="shared" si="479"/>
        <v>3.5547181152938566E-3</v>
      </c>
      <c r="L1312" s="245">
        <f t="shared" si="479"/>
        <v>2.9306048683917117E-3</v>
      </c>
      <c r="M1312" s="245">
        <f t="shared" si="479"/>
        <v>3.0966835585794104E-3</v>
      </c>
      <c r="N1312" s="245">
        <f t="shared" si="479"/>
        <v>3.0846379917189451E-3</v>
      </c>
      <c r="O1312" s="245">
        <f t="shared" si="479"/>
        <v>3.0441696556166953E-3</v>
      </c>
      <c r="P1312" s="245">
        <f t="shared" si="479"/>
        <v>3.4625040429007935E-3</v>
      </c>
      <c r="Q1312" s="245"/>
      <c r="R1312" s="245">
        <f t="shared" ref="R1312:S1312" si="480">R1308/R1304</f>
        <v>3.1814260722001779E-3</v>
      </c>
      <c r="S1312" s="245">
        <f t="shared" si="480"/>
        <v>2.7632893331873088E-3</v>
      </c>
      <c r="T1312" s="250">
        <f t="shared" si="479"/>
        <v>2.9942213164280947E-3</v>
      </c>
      <c r="U1312" s="246"/>
      <c r="V1312" s="246"/>
      <c r="W1312" s="215"/>
    </row>
    <row r="1313" spans="1:23" hidden="1">
      <c r="A1313" s="62"/>
      <c r="B1313" s="243"/>
      <c r="C1313" s="249" t="s">
        <v>767</v>
      </c>
      <c r="D1313" s="243"/>
      <c r="E1313" s="1801"/>
      <c r="F1313" s="1802"/>
      <c r="G1313" s="1803"/>
      <c r="H1313" s="251">
        <f>H1308/H1309*100</f>
        <v>98.148669018735077</v>
      </c>
      <c r="I1313" s="251">
        <f>I1308/I1309*100</f>
        <v>96.362971294482065</v>
      </c>
      <c r="J1313" s="251">
        <f t="shared" ref="J1313:T1313" si="481">J1308/J1309*100</f>
        <v>104.30324671412232</v>
      </c>
      <c r="K1313" s="251">
        <f t="shared" si="481"/>
        <v>106.91639660088741</v>
      </c>
      <c r="L1313" s="251">
        <f t="shared" si="481"/>
        <v>101.10773843327931</v>
      </c>
      <c r="M1313" s="251">
        <f t="shared" si="481"/>
        <v>95.339420945547488</v>
      </c>
      <c r="N1313" s="251">
        <f t="shared" si="481"/>
        <v>97.227798215128544</v>
      </c>
      <c r="O1313" s="251">
        <f t="shared" si="481"/>
        <v>96.08333871542041</v>
      </c>
      <c r="P1313" s="251">
        <f t="shared" si="481"/>
        <v>97.758513455127613</v>
      </c>
      <c r="Q1313" s="251"/>
      <c r="R1313" s="251">
        <f t="shared" ref="R1313:S1313" si="482">R1308/R1309*100</f>
        <v>99.275390009835519</v>
      </c>
      <c r="S1313" s="251">
        <f t="shared" si="482"/>
        <v>90.00608821194173</v>
      </c>
      <c r="T1313" s="251">
        <f t="shared" si="481"/>
        <v>98.430893608245768</v>
      </c>
      <c r="U1313" s="246"/>
      <c r="V1313" s="246"/>
      <c r="W1313" s="215"/>
    </row>
    <row r="1314" spans="1:23" hidden="1">
      <c r="A1314" s="222">
        <v>3</v>
      </c>
      <c r="B1314" s="222" t="s">
        <v>143</v>
      </c>
      <c r="C1314" s="221" t="s">
        <v>89</v>
      </c>
      <c r="D1314" s="222" t="s">
        <v>90</v>
      </c>
      <c r="E1314" s="223">
        <v>3.6</v>
      </c>
      <c r="F1314" s="222"/>
      <c r="G1314" s="224">
        <v>2.67</v>
      </c>
      <c r="H1314" s="226">
        <v>183268</v>
      </c>
      <c r="I1314" s="226">
        <v>176683</v>
      </c>
      <c r="J1314" s="226">
        <v>201263</v>
      </c>
      <c r="K1314" s="226">
        <v>168341</v>
      </c>
      <c r="L1314" s="226">
        <v>189824</v>
      </c>
      <c r="M1314" s="226">
        <v>193784</v>
      </c>
      <c r="N1314" s="226">
        <v>169323</v>
      </c>
      <c r="O1314" s="226">
        <v>178261</v>
      </c>
      <c r="P1314" s="226">
        <v>159808</v>
      </c>
      <c r="Q1314" s="226">
        <v>172807</v>
      </c>
      <c r="R1314" s="226">
        <v>170847</v>
      </c>
      <c r="S1314" s="226">
        <v>151797</v>
      </c>
      <c r="T1314" s="226">
        <f>SUM(H1314:S1314)</f>
        <v>2116006</v>
      </c>
      <c r="U1314" s="226">
        <f>T1314*E1314</f>
        <v>7617621.6000000006</v>
      </c>
      <c r="V1314" s="226">
        <f>G1314*T1314</f>
        <v>5649736.0199999996</v>
      </c>
      <c r="W1314" s="215"/>
    </row>
    <row r="1315" spans="1:23" hidden="1">
      <c r="A1315" s="62"/>
      <c r="B1315" s="62"/>
      <c r="C1315" s="60" t="s">
        <v>161</v>
      </c>
      <c r="D1315" s="253" t="s">
        <v>176</v>
      </c>
      <c r="E1315" s="62">
        <v>36.42</v>
      </c>
      <c r="F1315" s="62"/>
      <c r="G1315" s="230">
        <v>30</v>
      </c>
      <c r="H1315" s="225"/>
      <c r="I1315" s="225"/>
      <c r="J1315" s="225"/>
      <c r="K1315" s="225"/>
      <c r="L1315" s="225"/>
      <c r="M1315" s="225"/>
      <c r="N1315" s="225"/>
      <c r="O1315" s="225"/>
      <c r="P1315" s="225"/>
      <c r="Q1315" s="254"/>
      <c r="R1315" s="225"/>
      <c r="S1315" s="225"/>
      <c r="T1315" s="225">
        <f>SUM(H1315:S1315)</f>
        <v>0</v>
      </c>
      <c r="U1315" s="225">
        <f>T1315*E1315</f>
        <v>0</v>
      </c>
      <c r="V1315" s="225">
        <f>G1315*T1315</f>
        <v>0</v>
      </c>
      <c r="W1315" s="215"/>
    </row>
    <row r="1316" spans="1:23" hidden="1">
      <c r="A1316" s="62"/>
      <c r="B1316" s="62"/>
      <c r="C1316" s="237" t="s">
        <v>768</v>
      </c>
      <c r="D1316" s="62" t="s">
        <v>90</v>
      </c>
      <c r="E1316" s="62"/>
      <c r="F1316" s="62"/>
      <c r="G1316" s="238"/>
      <c r="H1316" s="339">
        <v>14421.520166666667</v>
      </c>
      <c r="I1316" s="339">
        <v>14421.520166666667</v>
      </c>
      <c r="J1316" s="339">
        <v>14421.520166666667</v>
      </c>
      <c r="K1316" s="339">
        <v>14421.520166666667</v>
      </c>
      <c r="L1316" s="339">
        <v>14421.520166666667</v>
      </c>
      <c r="M1316" s="339">
        <v>14421.520166666667</v>
      </c>
      <c r="N1316" s="339">
        <v>14421.520166666667</v>
      </c>
      <c r="O1316" s="339">
        <v>14421.520166666667</v>
      </c>
      <c r="P1316" s="339">
        <v>14421.5201666667</v>
      </c>
      <c r="Q1316" s="339">
        <v>14421.5201666667</v>
      </c>
      <c r="R1316" s="339">
        <v>14421.5201666667</v>
      </c>
      <c r="S1316" s="339">
        <v>14421.5201666667</v>
      </c>
      <c r="T1316" s="257"/>
      <c r="U1316" s="257">
        <f>SUM(U1314:U1315)</f>
        <v>7617621.6000000006</v>
      </c>
      <c r="V1316" s="768">
        <f>SUM(V1314:V1315)</f>
        <v>5649736.0199999996</v>
      </c>
      <c r="W1316" s="215"/>
    </row>
    <row r="1317" spans="1:23" hidden="1">
      <c r="A1317" s="62"/>
      <c r="B1317" s="233"/>
      <c r="C1317" s="234" t="s">
        <v>107</v>
      </c>
      <c r="D1317" s="233" t="s">
        <v>756</v>
      </c>
      <c r="E1317" s="233"/>
      <c r="F1317" s="233"/>
      <c r="G1317" s="235"/>
      <c r="H1317" s="259">
        <f>128719200/1000</f>
        <v>128719.2</v>
      </c>
      <c r="I1317" s="259">
        <f>138178200/1000</f>
        <v>138178.20000000001</v>
      </c>
      <c r="J1317" s="259">
        <f>164631329/1000</f>
        <v>164631.329</v>
      </c>
      <c r="K1317" s="259">
        <f>132255300/1000</f>
        <v>132255.29999999999</v>
      </c>
      <c r="L1317" s="259">
        <f>127686200/1000</f>
        <v>127686.2</v>
      </c>
      <c r="M1317" s="259">
        <f>136304078/1000</f>
        <v>136304.07800000001</v>
      </c>
      <c r="N1317" s="259">
        <f>120699276/1000</f>
        <v>120699.276</v>
      </c>
      <c r="O1317" s="259">
        <f>119897719/1000</f>
        <v>119897.719</v>
      </c>
      <c r="P1317" s="259">
        <v>119955.395</v>
      </c>
      <c r="Q1317" s="319">
        <f>165234438/1000</f>
        <v>165234.43799999999</v>
      </c>
      <c r="R1317" s="259">
        <v>159905.26199999999</v>
      </c>
      <c r="S1317" s="259">
        <v>145118.01199999999</v>
      </c>
      <c r="T1317" s="225">
        <f>SUM(H1317:S1317)</f>
        <v>1658584.409</v>
      </c>
      <c r="U1317" s="259"/>
      <c r="V1317" s="904">
        <f>V1316/T1317</f>
        <v>3.4063602607999672</v>
      </c>
      <c r="W1317" s="215"/>
    </row>
    <row r="1318" spans="1:23" hidden="1">
      <c r="A1318" s="62"/>
      <c r="B1318" s="62"/>
      <c r="C1318" s="237"/>
      <c r="D1318" s="62"/>
      <c r="E1318" s="62"/>
      <c r="F1318" s="62"/>
      <c r="G1318" s="238"/>
      <c r="H1318" s="257"/>
      <c r="I1318" s="257"/>
      <c r="J1318" s="257"/>
      <c r="K1318" s="257"/>
      <c r="L1318" s="257"/>
      <c r="M1318" s="257"/>
      <c r="N1318" s="257"/>
      <c r="O1318" s="257"/>
      <c r="P1318" s="257"/>
      <c r="Q1318" s="257"/>
      <c r="R1318" s="257"/>
      <c r="S1318" s="225"/>
      <c r="T1318" s="225"/>
      <c r="U1318" s="225"/>
      <c r="V1318" s="771" t="s">
        <v>750</v>
      </c>
      <c r="W1318" s="215"/>
    </row>
    <row r="1319" spans="1:23" hidden="1">
      <c r="A1319" s="62"/>
      <c r="B1319" s="62"/>
      <c r="C1319" s="60" t="s">
        <v>89</v>
      </c>
      <c r="D1319" s="62" t="s">
        <v>173</v>
      </c>
      <c r="E1319" s="62"/>
      <c r="F1319" s="62"/>
      <c r="G1319" s="238"/>
      <c r="H1319" s="225">
        <f>$E1314*(H1314-H1316)/1000</f>
        <v>607.84732740000004</v>
      </c>
      <c r="I1319" s="225">
        <f t="shared" ref="I1319:S1319" si="483">$E1314*(I1314-I1316)/1000</f>
        <v>584.14132740000002</v>
      </c>
      <c r="J1319" s="225">
        <f t="shared" si="483"/>
        <v>672.62932740000008</v>
      </c>
      <c r="K1319" s="225">
        <f t="shared" si="483"/>
        <v>554.11012740000012</v>
      </c>
      <c r="L1319" s="225">
        <f t="shared" si="483"/>
        <v>631.4489274</v>
      </c>
      <c r="M1319" s="225">
        <f t="shared" si="483"/>
        <v>645.70492740000009</v>
      </c>
      <c r="N1319" s="225">
        <f t="shared" si="483"/>
        <v>557.64532740000004</v>
      </c>
      <c r="O1319" s="225">
        <f t="shared" si="483"/>
        <v>589.82212740000011</v>
      </c>
      <c r="P1319" s="225">
        <f t="shared" si="483"/>
        <v>523.3913273999998</v>
      </c>
      <c r="Q1319" s="225">
        <f t="shared" si="483"/>
        <v>570.18772739999986</v>
      </c>
      <c r="R1319" s="225">
        <f t="shared" si="483"/>
        <v>563.13172739999982</v>
      </c>
      <c r="S1319" s="225">
        <f t="shared" si="483"/>
        <v>494.55172739999983</v>
      </c>
      <c r="T1319" s="225">
        <f>SUM(H1319:S1319)</f>
        <v>6994.6119287999991</v>
      </c>
      <c r="U1319" s="225"/>
      <c r="V1319" s="225"/>
      <c r="W1319" s="215"/>
    </row>
    <row r="1320" spans="1:23" hidden="1">
      <c r="A1320" s="62"/>
      <c r="B1320" s="62"/>
      <c r="C1320" s="60" t="s">
        <v>161</v>
      </c>
      <c r="D1320" s="62" t="s">
        <v>173</v>
      </c>
      <c r="E1320" s="62"/>
      <c r="F1320" s="62"/>
      <c r="G1320" s="238"/>
      <c r="H1320" s="225">
        <f t="shared" ref="H1320:S1320" si="484">H1315*$E1315</f>
        <v>0</v>
      </c>
      <c r="I1320" s="225">
        <f t="shared" si="484"/>
        <v>0</v>
      </c>
      <c r="J1320" s="225">
        <f t="shared" si="484"/>
        <v>0</v>
      </c>
      <c r="K1320" s="225">
        <f t="shared" si="484"/>
        <v>0</v>
      </c>
      <c r="L1320" s="225">
        <f t="shared" si="484"/>
        <v>0</v>
      </c>
      <c r="M1320" s="225">
        <f t="shared" si="484"/>
        <v>0</v>
      </c>
      <c r="N1320" s="225">
        <f t="shared" si="484"/>
        <v>0</v>
      </c>
      <c r="O1320" s="225">
        <f t="shared" si="484"/>
        <v>0</v>
      </c>
      <c r="P1320" s="225">
        <f t="shared" si="484"/>
        <v>0</v>
      </c>
      <c r="Q1320" s="225">
        <f t="shared" si="484"/>
        <v>0</v>
      </c>
      <c r="R1320" s="225">
        <f t="shared" si="484"/>
        <v>0</v>
      </c>
      <c r="S1320" s="225">
        <f t="shared" si="484"/>
        <v>0</v>
      </c>
      <c r="T1320" s="225">
        <f>SUM(H1320:S1320)</f>
        <v>0</v>
      </c>
      <c r="U1320" s="225"/>
      <c r="V1320" s="225"/>
      <c r="W1320" s="215"/>
    </row>
    <row r="1321" spans="1:23" hidden="1">
      <c r="A1321" s="62"/>
      <c r="B1321" s="62"/>
      <c r="C1321" s="237" t="s">
        <v>769</v>
      </c>
      <c r="D1321" s="62"/>
      <c r="E1321" s="62"/>
      <c r="F1321" s="62">
        <v>94.033147482925401</v>
      </c>
      <c r="G1321" s="238"/>
      <c r="H1321" s="225">
        <f t="shared" ref="H1321:S1321" si="485">SUM(H1319:H1320)</f>
        <v>607.84732740000004</v>
      </c>
      <c r="I1321" s="225">
        <f t="shared" si="485"/>
        <v>584.14132740000002</v>
      </c>
      <c r="J1321" s="225">
        <f t="shared" si="485"/>
        <v>672.62932740000008</v>
      </c>
      <c r="K1321" s="225">
        <f t="shared" si="485"/>
        <v>554.11012740000012</v>
      </c>
      <c r="L1321" s="225">
        <f t="shared" si="485"/>
        <v>631.4489274</v>
      </c>
      <c r="M1321" s="225">
        <f t="shared" si="485"/>
        <v>645.70492740000009</v>
      </c>
      <c r="N1321" s="225">
        <f t="shared" si="485"/>
        <v>557.64532740000004</v>
      </c>
      <c r="O1321" s="225">
        <f t="shared" si="485"/>
        <v>589.82212740000011</v>
      </c>
      <c r="P1321" s="225">
        <f t="shared" si="485"/>
        <v>523.3913273999998</v>
      </c>
      <c r="Q1321" s="225">
        <f t="shared" si="485"/>
        <v>570.18772739999986</v>
      </c>
      <c r="R1321" s="225">
        <f t="shared" si="485"/>
        <v>563.13172739999982</v>
      </c>
      <c r="S1321" s="225">
        <f t="shared" si="485"/>
        <v>494.55172739999983</v>
      </c>
      <c r="T1321" s="242">
        <f>SUM(H1321:S1321)</f>
        <v>6994.6119287999991</v>
      </c>
      <c r="U1321" s="225"/>
      <c r="V1321" s="905">
        <f>V1316/T1321</f>
        <v>807.72687284300457</v>
      </c>
      <c r="W1321" s="215"/>
    </row>
    <row r="1322" spans="1:23" hidden="1">
      <c r="A1322" s="62"/>
      <c r="B1322" s="62"/>
      <c r="C1322" s="237" t="s">
        <v>345</v>
      </c>
      <c r="D1322" s="62" t="s">
        <v>173</v>
      </c>
      <c r="E1322" s="1771" t="s">
        <v>770</v>
      </c>
      <c r="F1322" s="1772"/>
      <c r="G1322" s="1773"/>
      <c r="H1322" s="231">
        <f>(0.7051*H1317/1000)+543.24</f>
        <v>633.99990792000006</v>
      </c>
      <c r="I1322" s="231">
        <f t="shared" ref="I1322:S1322" si="486">(0.7051*I1317/1000)+543.24</f>
        <v>640.66944882000007</v>
      </c>
      <c r="J1322" s="231">
        <f t="shared" si="486"/>
        <v>659.32155007790004</v>
      </c>
      <c r="K1322" s="231">
        <f t="shared" si="486"/>
        <v>636.49321203</v>
      </c>
      <c r="L1322" s="231">
        <f t="shared" si="486"/>
        <v>633.27153962</v>
      </c>
      <c r="M1322" s="231">
        <f t="shared" si="486"/>
        <v>639.34800539779997</v>
      </c>
      <c r="N1322" s="231">
        <f t="shared" si="486"/>
        <v>628.34505950760001</v>
      </c>
      <c r="O1322" s="231">
        <f t="shared" si="486"/>
        <v>627.7798816669</v>
      </c>
      <c r="P1322" s="231">
        <f t="shared" si="486"/>
        <v>627.82054901449999</v>
      </c>
      <c r="Q1322" s="231">
        <f t="shared" si="486"/>
        <v>659.74680223380005</v>
      </c>
      <c r="R1322" s="231">
        <f t="shared" si="486"/>
        <v>655.98920023619996</v>
      </c>
      <c r="S1322" s="231">
        <f t="shared" si="486"/>
        <v>645.56271026119998</v>
      </c>
      <c r="T1322" s="242">
        <f>SUM(H1322:S1322)</f>
        <v>7688.3478667859008</v>
      </c>
      <c r="U1322" s="225"/>
      <c r="V1322" s="271" t="s">
        <v>742</v>
      </c>
      <c r="W1322" s="215"/>
    </row>
    <row r="1323" spans="1:23" hidden="1">
      <c r="A1323" s="62"/>
      <c r="B1323" s="243" t="s">
        <v>174</v>
      </c>
      <c r="C1323" s="244" t="s">
        <v>89</v>
      </c>
      <c r="D1323" s="243" t="s">
        <v>761</v>
      </c>
      <c r="E1323" s="243"/>
      <c r="F1323" s="243"/>
      <c r="G1323" s="248"/>
      <c r="H1323" s="245">
        <f>H1319/H1317</f>
        <v>4.7222739684522593E-3</v>
      </c>
      <c r="I1323" s="245">
        <f>I1319/I1317</f>
        <v>4.2274492459736775E-3</v>
      </c>
      <c r="J1323" s="245">
        <f t="shared" ref="J1323:R1323" si="487">J1319/J1317</f>
        <v>4.0856702760384087E-3</v>
      </c>
      <c r="K1323" s="245">
        <f t="shared" si="487"/>
        <v>4.1897007333543549E-3</v>
      </c>
      <c r="L1323" s="245">
        <f t="shared" si="487"/>
        <v>4.9453185027042859E-3</v>
      </c>
      <c r="M1323" s="245">
        <f>M1319/M1317</f>
        <v>4.7372385102080368E-3</v>
      </c>
      <c r="N1323" s="245">
        <f t="shared" si="487"/>
        <v>4.6201215606297428E-3</v>
      </c>
      <c r="O1323" s="245">
        <f t="shared" si="487"/>
        <v>4.919377385319567E-3</v>
      </c>
      <c r="P1323" s="245">
        <f t="shared" si="487"/>
        <v>4.3632162388361085E-3</v>
      </c>
      <c r="Q1323" s="245">
        <f t="shared" si="487"/>
        <v>3.4507802023691931E-3</v>
      </c>
      <c r="R1323" s="245">
        <f t="shared" si="487"/>
        <v>3.5216585142770341E-3</v>
      </c>
      <c r="S1323" s="245">
        <f>S1319/S1317</f>
        <v>3.4079279379874627E-3</v>
      </c>
      <c r="T1323" s="245">
        <f>T1319/T1317</f>
        <v>4.217217942508707E-3</v>
      </c>
      <c r="U1323" s="246"/>
      <c r="V1323" s="246"/>
      <c r="W1323" s="215"/>
    </row>
    <row r="1324" spans="1:23" hidden="1">
      <c r="A1324" s="62"/>
      <c r="B1324" s="243"/>
      <c r="C1324" s="244" t="s">
        <v>161</v>
      </c>
      <c r="D1324" s="243" t="s">
        <v>761</v>
      </c>
      <c r="E1324" s="243"/>
      <c r="F1324" s="243"/>
      <c r="G1324" s="248"/>
      <c r="H1324" s="245">
        <f>H1320/H1317</f>
        <v>0</v>
      </c>
      <c r="I1324" s="245">
        <f>I1320/I1317</f>
        <v>0</v>
      </c>
      <c r="J1324" s="245">
        <f t="shared" ref="J1324:Q1324" si="488">J1320/J1317</f>
        <v>0</v>
      </c>
      <c r="K1324" s="245">
        <f t="shared" si="488"/>
        <v>0</v>
      </c>
      <c r="L1324" s="245">
        <f t="shared" si="488"/>
        <v>0</v>
      </c>
      <c r="M1324" s="245">
        <f t="shared" si="488"/>
        <v>0</v>
      </c>
      <c r="N1324" s="245">
        <f t="shared" si="488"/>
        <v>0</v>
      </c>
      <c r="O1324" s="245">
        <f t="shared" si="488"/>
        <v>0</v>
      </c>
      <c r="P1324" s="245">
        <f t="shared" si="488"/>
        <v>0</v>
      </c>
      <c r="Q1324" s="245">
        <f t="shared" si="488"/>
        <v>0</v>
      </c>
      <c r="R1324" s="245">
        <f>R1320/R1317</f>
        <v>0</v>
      </c>
      <c r="S1324" s="245">
        <f>S1320/S1317</f>
        <v>0</v>
      </c>
      <c r="T1324" s="245">
        <f>T1320/T1317</f>
        <v>0</v>
      </c>
      <c r="U1324" s="246"/>
      <c r="V1324" s="246"/>
      <c r="W1324" s="215"/>
    </row>
    <row r="1325" spans="1:23" ht="23.25" hidden="1">
      <c r="A1325" s="62"/>
      <c r="B1325" s="243"/>
      <c r="C1325" s="249" t="s">
        <v>771</v>
      </c>
      <c r="D1325" s="243" t="s">
        <v>761</v>
      </c>
      <c r="E1325" s="243"/>
      <c r="F1325" s="243"/>
      <c r="G1325" s="248"/>
      <c r="H1325" s="245">
        <f>H1321/H1317</f>
        <v>4.7222739684522593E-3</v>
      </c>
      <c r="I1325" s="245">
        <f>I1321/I1317</f>
        <v>4.2274492459736775E-3</v>
      </c>
      <c r="J1325" s="245">
        <f t="shared" ref="J1325:T1325" si="489">J1321/J1317</f>
        <v>4.0856702760384087E-3</v>
      </c>
      <c r="K1325" s="245">
        <f t="shared" si="489"/>
        <v>4.1897007333543549E-3</v>
      </c>
      <c r="L1325" s="245">
        <f t="shared" si="489"/>
        <v>4.9453185027042859E-3</v>
      </c>
      <c r="M1325" s="245">
        <f t="shared" si="489"/>
        <v>4.7372385102080368E-3</v>
      </c>
      <c r="N1325" s="245">
        <f t="shared" si="489"/>
        <v>4.6201215606297428E-3</v>
      </c>
      <c r="O1325" s="245">
        <f t="shared" si="489"/>
        <v>4.919377385319567E-3</v>
      </c>
      <c r="P1325" s="245">
        <f t="shared" si="489"/>
        <v>4.3632162388361085E-3</v>
      </c>
      <c r="Q1325" s="245">
        <f t="shared" si="489"/>
        <v>3.4507802023691931E-3</v>
      </c>
      <c r="R1325" s="245">
        <f t="shared" si="489"/>
        <v>3.5216585142770341E-3</v>
      </c>
      <c r="S1325" s="245">
        <f t="shared" si="489"/>
        <v>3.4079279379874627E-3</v>
      </c>
      <c r="T1325" s="250">
        <f t="shared" si="489"/>
        <v>4.217217942508707E-3</v>
      </c>
      <c r="U1325" s="246"/>
      <c r="V1325" s="246"/>
      <c r="W1325" s="215"/>
    </row>
    <row r="1326" spans="1:23" hidden="1">
      <c r="A1326" s="62"/>
      <c r="B1326" s="243"/>
      <c r="C1326" s="249" t="s">
        <v>772</v>
      </c>
      <c r="D1326" s="243"/>
      <c r="E1326" s="243"/>
      <c r="F1326" s="243"/>
      <c r="G1326" s="243"/>
      <c r="H1326" s="251">
        <f>H1321/H1322*100</f>
        <v>95.874986700581672</v>
      </c>
      <c r="I1326" s="251">
        <f t="shared" ref="I1326:T1326" si="490">I1321/I1322*100</f>
        <v>91.176710310735913</v>
      </c>
      <c r="J1326" s="251">
        <f t="shared" si="490"/>
        <v>102.01840472536165</v>
      </c>
      <c r="K1326" s="251">
        <f t="shared" si="490"/>
        <v>87.056722197044124</v>
      </c>
      <c r="L1326" s="251">
        <f t="shared" si="490"/>
        <v>99.71219104191961</v>
      </c>
      <c r="M1326" s="251">
        <f t="shared" si="490"/>
        <v>100.99428197922427</v>
      </c>
      <c r="N1326" s="251">
        <f t="shared" si="490"/>
        <v>88.74826322928304</v>
      </c>
      <c r="O1326" s="251">
        <f t="shared" si="490"/>
        <v>93.95365232697273</v>
      </c>
      <c r="P1326" s="251">
        <f t="shared" si="490"/>
        <v>83.366390001342822</v>
      </c>
      <c r="Q1326" s="251">
        <f t="shared" si="490"/>
        <v>86.425235479646574</v>
      </c>
      <c r="R1326" s="251">
        <f t="shared" si="490"/>
        <v>85.84466439344348</v>
      </c>
      <c r="S1326" s="251">
        <f t="shared" si="490"/>
        <v>76.607852271996961</v>
      </c>
      <c r="T1326" s="251">
        <f t="shared" si="490"/>
        <v>90.976787861240254</v>
      </c>
      <c r="U1326" s="246"/>
      <c r="V1326" s="246"/>
      <c r="W1326" s="215"/>
    </row>
    <row r="1327" spans="1:23" hidden="1">
      <c r="A1327" s="222">
        <v>4</v>
      </c>
      <c r="B1327" s="222" t="s">
        <v>151</v>
      </c>
      <c r="C1327" s="221" t="s">
        <v>89</v>
      </c>
      <c r="D1327" s="222" t="s">
        <v>90</v>
      </c>
      <c r="E1327" s="223">
        <v>3.6</v>
      </c>
      <c r="F1327" s="222"/>
      <c r="G1327" s="224">
        <v>2.67</v>
      </c>
      <c r="H1327" s="359">
        <v>12422</v>
      </c>
      <c r="I1327" s="359">
        <v>12177</v>
      </c>
      <c r="J1327" s="226">
        <v>13283</v>
      </c>
      <c r="K1327" s="226">
        <v>13249</v>
      </c>
      <c r="L1327" s="226">
        <v>13577</v>
      </c>
      <c r="M1327" s="226">
        <v>11180</v>
      </c>
      <c r="N1327" s="226">
        <v>11509</v>
      </c>
      <c r="O1327" s="226">
        <v>11957</v>
      </c>
      <c r="P1327" s="226">
        <v>12207</v>
      </c>
      <c r="Q1327" s="226">
        <v>12531</v>
      </c>
      <c r="R1327" s="226">
        <v>12069</v>
      </c>
      <c r="S1327" s="226">
        <v>11686</v>
      </c>
      <c r="T1327" s="226">
        <f>SUM(H1327:S1327)</f>
        <v>147847</v>
      </c>
      <c r="U1327" s="226">
        <f>T1327*E1327</f>
        <v>532249.20000000007</v>
      </c>
      <c r="V1327" s="226">
        <f>G1327*T1327</f>
        <v>394751.49</v>
      </c>
      <c r="W1327" s="215"/>
    </row>
    <row r="1328" spans="1:23" hidden="1">
      <c r="A1328" s="62"/>
      <c r="B1328" s="62"/>
      <c r="C1328" s="60" t="s">
        <v>161</v>
      </c>
      <c r="D1328" s="62" t="s">
        <v>176</v>
      </c>
      <c r="E1328" s="62">
        <v>36.42</v>
      </c>
      <c r="F1328" s="62"/>
      <c r="G1328" s="230">
        <v>30</v>
      </c>
      <c r="H1328" s="225"/>
      <c r="I1328" s="225"/>
      <c r="J1328" s="225"/>
      <c r="K1328" s="225"/>
      <c r="L1328" s="225"/>
      <c r="M1328" s="225"/>
      <c r="N1328" s="225"/>
      <c r="O1328" s="225"/>
      <c r="P1328" s="225"/>
      <c r="Q1328" s="254"/>
      <c r="R1328" s="225"/>
      <c r="S1328" s="225"/>
      <c r="T1328" s="225">
        <f>SUM(H1328:S1328)</f>
        <v>0</v>
      </c>
      <c r="U1328" s="225">
        <f>T1328*E1328</f>
        <v>0</v>
      </c>
      <c r="V1328" s="225">
        <f>G1328*T1328</f>
        <v>0</v>
      </c>
      <c r="W1328" s="215"/>
    </row>
    <row r="1329" spans="1:23" hidden="1">
      <c r="A1329" s="62"/>
      <c r="B1329" s="62"/>
      <c r="C1329" s="237"/>
      <c r="D1329" s="62"/>
      <c r="E1329" s="62"/>
      <c r="F1329" s="62"/>
      <c r="G1329" s="238"/>
      <c r="H1329" s="257"/>
      <c r="I1329" s="257"/>
      <c r="J1329" s="257"/>
      <c r="K1329" s="257"/>
      <c r="L1329" s="257"/>
      <c r="M1329" s="257"/>
      <c r="N1329" s="257"/>
      <c r="O1329" s="257"/>
      <c r="P1329" s="257"/>
      <c r="Q1329" s="257"/>
      <c r="R1329" s="257"/>
      <c r="S1329" s="257"/>
      <c r="T1329" s="257"/>
      <c r="U1329" s="257">
        <f>SUM(U1327:U1328)</f>
        <v>532249.20000000007</v>
      </c>
      <c r="V1329" s="768">
        <f>SUM(V1327:V1328)</f>
        <v>394751.49</v>
      </c>
      <c r="W1329" s="215"/>
    </row>
    <row r="1330" spans="1:23" hidden="1">
      <c r="A1330" s="62"/>
      <c r="B1330" s="233"/>
      <c r="C1330" s="234" t="s">
        <v>107</v>
      </c>
      <c r="D1330" s="233" t="s">
        <v>756</v>
      </c>
      <c r="E1330" s="233"/>
      <c r="F1330" s="233"/>
      <c r="G1330" s="235"/>
      <c r="H1330" s="259">
        <f>16220243/1000</f>
        <v>16220.243</v>
      </c>
      <c r="I1330" s="259">
        <v>15622.386</v>
      </c>
      <c r="J1330" s="259">
        <f>16254959/1000</f>
        <v>16254.959000000001</v>
      </c>
      <c r="K1330" s="259">
        <f>18705616/1000</f>
        <v>18705.616000000002</v>
      </c>
      <c r="L1330" s="259">
        <f>23122413/1000</f>
        <v>23122.413</v>
      </c>
      <c r="M1330" s="259">
        <f>17261000/1000</f>
        <v>17261</v>
      </c>
      <c r="N1330" s="259">
        <v>18036.054</v>
      </c>
      <c r="O1330" s="259">
        <f>20812500/1000</f>
        <v>20812.5</v>
      </c>
      <c r="P1330" s="259">
        <v>19285.591</v>
      </c>
      <c r="Q1330" s="319">
        <v>19005.394</v>
      </c>
      <c r="R1330" s="259">
        <v>17843.291000000001</v>
      </c>
      <c r="S1330" s="259">
        <v>16089.349</v>
      </c>
      <c r="T1330" s="226">
        <f>SUM(H1330:S1330)</f>
        <v>218258.79599999997</v>
      </c>
      <c r="U1330" s="259"/>
      <c r="V1330" s="904">
        <f>V1329/T1330</f>
        <v>1.8086395473381061</v>
      </c>
      <c r="W1330" s="215"/>
    </row>
    <row r="1331" spans="1:23" hidden="1">
      <c r="A1331" s="62"/>
      <c r="B1331" s="62"/>
      <c r="C1331" s="237"/>
      <c r="D1331" s="62"/>
      <c r="E1331" s="62"/>
      <c r="F1331" s="62"/>
      <c r="G1331" s="238"/>
      <c r="H1331" s="257"/>
      <c r="I1331" s="257"/>
      <c r="J1331" s="257"/>
      <c r="K1331" s="257"/>
      <c r="L1331" s="257"/>
      <c r="M1331" s="257"/>
      <c r="N1331" s="257"/>
      <c r="O1331" s="257"/>
      <c r="P1331" s="257"/>
      <c r="Q1331" s="257"/>
      <c r="R1331" s="257"/>
      <c r="S1331" s="225"/>
      <c r="T1331" s="225"/>
      <c r="U1331" s="225"/>
      <c r="V1331" s="771" t="s">
        <v>750</v>
      </c>
      <c r="W1331" s="215"/>
    </row>
    <row r="1332" spans="1:23" hidden="1">
      <c r="A1332" s="62"/>
      <c r="B1332" s="62"/>
      <c r="C1332" s="60" t="s">
        <v>89</v>
      </c>
      <c r="D1332" s="62" t="s">
        <v>173</v>
      </c>
      <c r="E1332" s="62"/>
      <c r="F1332" s="62"/>
      <c r="G1332" s="238"/>
      <c r="H1332" s="225">
        <f t="shared" ref="H1332:S1332" si="491">$E1327*H1327/1000</f>
        <v>44.719200000000008</v>
      </c>
      <c r="I1332" s="225">
        <f t="shared" si="491"/>
        <v>43.837200000000003</v>
      </c>
      <c r="J1332" s="225">
        <f t="shared" si="491"/>
        <v>47.818800000000003</v>
      </c>
      <c r="K1332" s="225">
        <f t="shared" si="491"/>
        <v>47.696400000000004</v>
      </c>
      <c r="L1332" s="225">
        <f t="shared" si="491"/>
        <v>48.877200000000002</v>
      </c>
      <c r="M1332" s="225">
        <f t="shared" si="491"/>
        <v>40.247999999999998</v>
      </c>
      <c r="N1332" s="225">
        <f t="shared" si="491"/>
        <v>41.432400000000001</v>
      </c>
      <c r="O1332" s="225">
        <f t="shared" si="491"/>
        <v>43.045200000000001</v>
      </c>
      <c r="P1332" s="225">
        <f t="shared" si="491"/>
        <v>43.945200000000007</v>
      </c>
      <c r="Q1332" s="225">
        <f t="shared" si="491"/>
        <v>45.111599999999996</v>
      </c>
      <c r="R1332" s="225">
        <f t="shared" si="491"/>
        <v>43.448399999999999</v>
      </c>
      <c r="S1332" s="225">
        <f t="shared" si="491"/>
        <v>42.069600000000001</v>
      </c>
      <c r="T1332" s="225">
        <f>SUM(H1332:S1332)</f>
        <v>532.24919999999997</v>
      </c>
      <c r="U1332" s="225"/>
      <c r="V1332" s="225"/>
      <c r="W1332" s="215"/>
    </row>
    <row r="1333" spans="1:23" hidden="1">
      <c r="A1333" s="62"/>
      <c r="B1333" s="62"/>
      <c r="C1333" s="60" t="s">
        <v>161</v>
      </c>
      <c r="D1333" s="62" t="s">
        <v>173</v>
      </c>
      <c r="E1333" s="62"/>
      <c r="F1333" s="62"/>
      <c r="G1333" s="238"/>
      <c r="H1333" s="225">
        <f t="shared" ref="H1333:S1333" si="492">H1328*$E1328</f>
        <v>0</v>
      </c>
      <c r="I1333" s="225">
        <f t="shared" si="492"/>
        <v>0</v>
      </c>
      <c r="J1333" s="225">
        <f t="shared" si="492"/>
        <v>0</v>
      </c>
      <c r="K1333" s="225">
        <f t="shared" si="492"/>
        <v>0</v>
      </c>
      <c r="L1333" s="225">
        <f t="shared" si="492"/>
        <v>0</v>
      </c>
      <c r="M1333" s="225">
        <f t="shared" si="492"/>
        <v>0</v>
      </c>
      <c r="N1333" s="225">
        <f t="shared" si="492"/>
        <v>0</v>
      </c>
      <c r="O1333" s="225">
        <f t="shared" si="492"/>
        <v>0</v>
      </c>
      <c r="P1333" s="225">
        <f t="shared" si="492"/>
        <v>0</v>
      </c>
      <c r="Q1333" s="225">
        <f t="shared" si="492"/>
        <v>0</v>
      </c>
      <c r="R1333" s="225">
        <f t="shared" si="492"/>
        <v>0</v>
      </c>
      <c r="S1333" s="225">
        <f t="shared" si="492"/>
        <v>0</v>
      </c>
      <c r="T1333" s="225">
        <f>SUM(H1333:S1333)</f>
        <v>0</v>
      </c>
      <c r="U1333" s="225"/>
      <c r="V1333" s="225"/>
      <c r="W1333" s="215"/>
    </row>
    <row r="1334" spans="1:23" hidden="1">
      <c r="A1334" s="62"/>
      <c r="B1334" s="62"/>
      <c r="C1334" s="237" t="s">
        <v>773</v>
      </c>
      <c r="D1334" s="62"/>
      <c r="E1334" s="62"/>
      <c r="F1334" s="62"/>
      <c r="G1334" s="238"/>
      <c r="H1334" s="225">
        <f t="shared" ref="H1334:S1334" si="493">SUM(H1332:H1333)</f>
        <v>44.719200000000008</v>
      </c>
      <c r="I1334" s="225">
        <f t="shared" si="493"/>
        <v>43.837200000000003</v>
      </c>
      <c r="J1334" s="225">
        <f t="shared" si="493"/>
        <v>47.818800000000003</v>
      </c>
      <c r="K1334" s="225">
        <f t="shared" si="493"/>
        <v>47.696400000000004</v>
      </c>
      <c r="L1334" s="225">
        <f t="shared" si="493"/>
        <v>48.877200000000002</v>
      </c>
      <c r="M1334" s="225">
        <f t="shared" si="493"/>
        <v>40.247999999999998</v>
      </c>
      <c r="N1334" s="225">
        <f t="shared" si="493"/>
        <v>41.432400000000001</v>
      </c>
      <c r="O1334" s="225">
        <f t="shared" si="493"/>
        <v>43.045200000000001</v>
      </c>
      <c r="P1334" s="225">
        <f t="shared" si="493"/>
        <v>43.945200000000007</v>
      </c>
      <c r="Q1334" s="225">
        <f t="shared" si="493"/>
        <v>45.111599999999996</v>
      </c>
      <c r="R1334" s="225">
        <f t="shared" si="493"/>
        <v>43.448399999999999</v>
      </c>
      <c r="S1334" s="225">
        <f t="shared" si="493"/>
        <v>42.069600000000001</v>
      </c>
      <c r="T1334" s="242">
        <f>SUM(H1334:S1334)</f>
        <v>532.24919999999997</v>
      </c>
      <c r="U1334" s="225"/>
      <c r="V1334" s="905">
        <f>V1329/T1334</f>
        <v>741.66666666666674</v>
      </c>
      <c r="W1334" s="215"/>
    </row>
    <row r="1335" spans="1:23" hidden="1">
      <c r="A1335" s="62"/>
      <c r="B1335" s="62"/>
      <c r="C1335" s="237" t="s">
        <v>345</v>
      </c>
      <c r="D1335" s="62" t="s">
        <v>173</v>
      </c>
      <c r="E1335" s="1771" t="s">
        <v>877</v>
      </c>
      <c r="F1335" s="1772"/>
      <c r="G1335" s="1773"/>
      <c r="H1335" s="231">
        <f>(H1330*1.7383/1000)+9.0148</f>
        <v>37.210448406899999</v>
      </c>
      <c r="I1335" s="231">
        <f t="shared" ref="I1335:S1335" si="494">(I1330*1.7383/1000)+9.0148</f>
        <v>36.171193583799997</v>
      </c>
      <c r="J1335" s="231">
        <f t="shared" si="494"/>
        <v>37.270795229699999</v>
      </c>
      <c r="K1335" s="231">
        <f t="shared" si="494"/>
        <v>41.530772292800002</v>
      </c>
      <c r="L1335" s="231">
        <f t="shared" si="494"/>
        <v>49.208490517900003</v>
      </c>
      <c r="M1335" s="231">
        <f t="shared" si="494"/>
        <v>39.019596299999996</v>
      </c>
      <c r="N1335" s="231">
        <f t="shared" si="494"/>
        <v>40.366872668199996</v>
      </c>
      <c r="O1335" s="231">
        <f t="shared" si="494"/>
        <v>45.193168750000005</v>
      </c>
      <c r="P1335" s="231">
        <f t="shared" si="494"/>
        <v>42.538942835299999</v>
      </c>
      <c r="Q1335" s="231">
        <f t="shared" si="494"/>
        <v>42.0518763902</v>
      </c>
      <c r="R1335" s="231">
        <f t="shared" si="494"/>
        <v>40.031792745300002</v>
      </c>
      <c r="S1335" s="231">
        <f t="shared" si="494"/>
        <v>36.982915366699999</v>
      </c>
      <c r="T1335" s="242">
        <f>SUM(H1335:S1335)</f>
        <v>487.57686508679996</v>
      </c>
      <c r="U1335" s="225"/>
      <c r="V1335" s="271" t="s">
        <v>742</v>
      </c>
      <c r="W1335" s="215"/>
    </row>
    <row r="1336" spans="1:23" hidden="1">
      <c r="A1336" s="62"/>
      <c r="B1336" s="243" t="s">
        <v>174</v>
      </c>
      <c r="C1336" s="244" t="s">
        <v>89</v>
      </c>
      <c r="D1336" s="243" t="s">
        <v>761</v>
      </c>
      <c r="E1336" s="243"/>
      <c r="F1336" s="243"/>
      <c r="G1336" s="248"/>
      <c r="H1336" s="245">
        <f>H1332/H1330</f>
        <v>2.7569993865073418E-3</v>
      </c>
      <c r="I1336" s="245">
        <f>I1332/I1330</f>
        <v>2.8060502409811153E-3</v>
      </c>
      <c r="J1336" s="245">
        <f t="shared" ref="J1336:R1336" si="495">J1332/J1330</f>
        <v>2.9417976384929672E-3</v>
      </c>
      <c r="K1336" s="245">
        <f t="shared" si="495"/>
        <v>2.5498438543804171E-3</v>
      </c>
      <c r="L1336" s="245">
        <f t="shared" si="495"/>
        <v>2.1138451250741004E-3</v>
      </c>
      <c r="M1336" s="245">
        <f t="shared" si="495"/>
        <v>2.3317304907015815E-3</v>
      </c>
      <c r="N1336" s="245">
        <f t="shared" si="495"/>
        <v>2.2971987109819034E-3</v>
      </c>
      <c r="O1336" s="245">
        <f t="shared" si="495"/>
        <v>2.0682378378378379E-3</v>
      </c>
      <c r="P1336" s="245">
        <f t="shared" si="495"/>
        <v>2.2786545665103033E-3</v>
      </c>
      <c r="Q1336" s="245">
        <f t="shared" si="495"/>
        <v>2.373620878367478E-3</v>
      </c>
      <c r="R1336" s="245">
        <f t="shared" si="495"/>
        <v>2.4349992386494173E-3</v>
      </c>
      <c r="S1336" s="245">
        <f>S1332/S1330</f>
        <v>2.6147484276710015E-3</v>
      </c>
      <c r="T1336" s="245">
        <f>T1332/T1330</f>
        <v>2.4386151200064352E-3</v>
      </c>
      <c r="U1336" s="246"/>
      <c r="V1336" s="246"/>
      <c r="W1336" s="215"/>
    </row>
    <row r="1337" spans="1:23" hidden="1">
      <c r="A1337" s="62"/>
      <c r="B1337" s="243"/>
      <c r="C1337" s="244" t="s">
        <v>161</v>
      </c>
      <c r="D1337" s="243" t="s">
        <v>761</v>
      </c>
      <c r="E1337" s="243"/>
      <c r="F1337" s="243"/>
      <c r="G1337" s="248"/>
      <c r="H1337" s="245">
        <f>H1333/H1330</f>
        <v>0</v>
      </c>
      <c r="I1337" s="245">
        <f>I1333/I1330</f>
        <v>0</v>
      </c>
      <c r="J1337" s="245">
        <f t="shared" ref="J1337:Q1337" si="496">J1333/J1330</f>
        <v>0</v>
      </c>
      <c r="K1337" s="245">
        <f t="shared" si="496"/>
        <v>0</v>
      </c>
      <c r="L1337" s="245">
        <f t="shared" si="496"/>
        <v>0</v>
      </c>
      <c r="M1337" s="245">
        <f t="shared" si="496"/>
        <v>0</v>
      </c>
      <c r="N1337" s="245">
        <f t="shared" si="496"/>
        <v>0</v>
      </c>
      <c r="O1337" s="245">
        <f t="shared" si="496"/>
        <v>0</v>
      </c>
      <c r="P1337" s="245">
        <f t="shared" si="496"/>
        <v>0</v>
      </c>
      <c r="Q1337" s="245">
        <f t="shared" si="496"/>
        <v>0</v>
      </c>
      <c r="R1337" s="245">
        <f>R1333/R1330</f>
        <v>0</v>
      </c>
      <c r="S1337" s="245">
        <f>S1333/S1330</f>
        <v>0</v>
      </c>
      <c r="T1337" s="245">
        <f>T1333/T1330</f>
        <v>0</v>
      </c>
      <c r="U1337" s="246"/>
      <c r="V1337" s="246"/>
      <c r="W1337" s="215"/>
    </row>
    <row r="1338" spans="1:23" ht="23.25" hidden="1">
      <c r="A1338" s="62"/>
      <c r="B1338" s="243"/>
      <c r="C1338" s="249" t="s">
        <v>774</v>
      </c>
      <c r="D1338" s="243" t="s">
        <v>761</v>
      </c>
      <c r="E1338" s="243"/>
      <c r="F1338" s="243"/>
      <c r="G1338" s="248"/>
      <c r="H1338" s="245">
        <f>H1334*1000/H1330</f>
        <v>2.7569993865073417</v>
      </c>
      <c r="I1338" s="245">
        <f>I1334*1000/I1330</f>
        <v>2.8060502409811154</v>
      </c>
      <c r="J1338" s="245">
        <f t="shared" ref="J1338:T1338" si="497">J1334/J1330</f>
        <v>2.9417976384929672E-3</v>
      </c>
      <c r="K1338" s="245">
        <f t="shared" si="497"/>
        <v>2.5498438543804171E-3</v>
      </c>
      <c r="L1338" s="245">
        <f t="shared" si="497"/>
        <v>2.1138451250741004E-3</v>
      </c>
      <c r="M1338" s="245">
        <f t="shared" si="497"/>
        <v>2.3317304907015815E-3</v>
      </c>
      <c r="N1338" s="245">
        <f t="shared" si="497"/>
        <v>2.2971987109819034E-3</v>
      </c>
      <c r="O1338" s="245">
        <f t="shared" si="497"/>
        <v>2.0682378378378379E-3</v>
      </c>
      <c r="P1338" s="245">
        <f t="shared" si="497"/>
        <v>2.2786545665103033E-3</v>
      </c>
      <c r="Q1338" s="245">
        <f t="shared" si="497"/>
        <v>2.373620878367478E-3</v>
      </c>
      <c r="R1338" s="245">
        <f t="shared" si="497"/>
        <v>2.4349992386494173E-3</v>
      </c>
      <c r="S1338" s="245">
        <f t="shared" si="497"/>
        <v>2.6147484276710015E-3</v>
      </c>
      <c r="T1338" s="250">
        <f t="shared" si="497"/>
        <v>2.4386151200064352E-3</v>
      </c>
      <c r="U1338" s="246"/>
      <c r="V1338" s="246"/>
      <c r="W1338" s="215"/>
    </row>
    <row r="1339" spans="1:23" ht="23.25" hidden="1">
      <c r="A1339" s="62"/>
      <c r="B1339" s="243"/>
      <c r="C1339" s="249"/>
      <c r="D1339" s="243"/>
      <c r="E1339" s="243"/>
      <c r="F1339" s="243"/>
      <c r="G1339" s="248"/>
      <c r="H1339" s="245"/>
      <c r="I1339" s="245"/>
      <c r="J1339" s="245"/>
      <c r="K1339" s="245"/>
      <c r="L1339" s="245"/>
      <c r="M1339" s="245"/>
      <c r="N1339" s="245"/>
      <c r="O1339" s="245"/>
      <c r="P1339" s="245"/>
      <c r="Q1339" s="245"/>
      <c r="R1339" s="245"/>
      <c r="S1339" s="245"/>
      <c r="T1339" s="250"/>
      <c r="U1339" s="246"/>
      <c r="V1339" s="246"/>
      <c r="W1339" s="215"/>
    </row>
    <row r="1340" spans="1:23" hidden="1">
      <c r="A1340" s="62"/>
      <c r="B1340" s="243"/>
      <c r="C1340" s="249" t="s">
        <v>775</v>
      </c>
      <c r="D1340" s="243"/>
      <c r="E1340" s="243"/>
      <c r="F1340" s="243"/>
      <c r="G1340" s="243"/>
      <c r="H1340" s="251">
        <f>H1334/H1335*100</f>
        <v>120.17914836981014</v>
      </c>
      <c r="I1340" s="251">
        <f>I1334/I1335*100</f>
        <v>121.19367832980048</v>
      </c>
      <c r="J1340" s="251">
        <f t="shared" ref="J1340:T1340" si="498">J1334/J1335*100</f>
        <v>128.30099198391832</v>
      </c>
      <c r="K1340" s="251">
        <f t="shared" si="498"/>
        <v>114.84592596480299</v>
      </c>
      <c r="L1340" s="251">
        <f t="shared" si="498"/>
        <v>99.326761470605391</v>
      </c>
      <c r="M1340" s="251">
        <f t="shared" si="498"/>
        <v>103.14817121775297</v>
      </c>
      <c r="N1340" s="251">
        <f t="shared" si="498"/>
        <v>102.63960832576313</v>
      </c>
      <c r="O1340" s="251">
        <f t="shared" si="498"/>
        <v>95.247138429522039</v>
      </c>
      <c r="P1340" s="251">
        <f t="shared" si="498"/>
        <v>103.3058112660314</v>
      </c>
      <c r="Q1340" s="251">
        <f t="shared" si="498"/>
        <v>107.27606916135863</v>
      </c>
      <c r="R1340" s="251">
        <f t="shared" si="498"/>
        <v>108.53473457068976</v>
      </c>
      <c r="S1340" s="251">
        <f t="shared" si="498"/>
        <v>113.75414724032311</v>
      </c>
      <c r="T1340" s="251">
        <f t="shared" si="498"/>
        <v>109.16211127147047</v>
      </c>
      <c r="U1340" s="246"/>
      <c r="V1340" s="246"/>
      <c r="W1340" s="215"/>
    </row>
    <row r="1341" spans="1:23" hidden="1">
      <c r="A1341" s="62"/>
      <c r="B1341" s="62"/>
      <c r="C1341" s="60"/>
      <c r="D1341" s="62"/>
      <c r="E1341" s="253"/>
      <c r="F1341" s="253"/>
      <c r="G1341" s="253"/>
      <c r="H1341" s="254"/>
      <c r="I1341" s="254"/>
      <c r="J1341" s="254"/>
      <c r="K1341" s="254"/>
      <c r="L1341" s="254"/>
      <c r="M1341" s="254"/>
      <c r="N1341" s="225"/>
      <c r="O1341" s="225"/>
      <c r="P1341" s="225"/>
      <c r="Q1341" s="225"/>
      <c r="R1341" s="225"/>
      <c r="S1341" s="225"/>
      <c r="T1341" s="225"/>
      <c r="U1341" s="225"/>
      <c r="V1341" s="225"/>
      <c r="W1341" s="215"/>
    </row>
    <row r="1342" spans="1:23" hidden="1">
      <c r="A1342" s="222">
        <v>5</v>
      </c>
      <c r="B1342" s="222" t="s">
        <v>149</v>
      </c>
      <c r="C1342" s="221" t="s">
        <v>89</v>
      </c>
      <c r="D1342" s="222" t="s">
        <v>90</v>
      </c>
      <c r="E1342" s="223">
        <v>3.6</v>
      </c>
      <c r="F1342" s="222"/>
      <c r="G1342" s="224">
        <v>2.67</v>
      </c>
      <c r="H1342" s="909">
        <v>17000</v>
      </c>
      <c r="I1342" s="909">
        <v>19000</v>
      </c>
      <c r="J1342" s="910">
        <v>19000</v>
      </c>
      <c r="K1342" s="910">
        <v>18000</v>
      </c>
      <c r="L1342" s="910">
        <v>21000</v>
      </c>
      <c r="M1342" s="226">
        <v>20000</v>
      </c>
      <c r="N1342" s="226">
        <v>19000</v>
      </c>
      <c r="O1342" s="226">
        <v>21000</v>
      </c>
      <c r="P1342" s="226">
        <v>22000</v>
      </c>
      <c r="Q1342" s="226">
        <v>23000</v>
      </c>
      <c r="R1342" s="226">
        <v>28000</v>
      </c>
      <c r="S1342" s="226">
        <v>27100</v>
      </c>
      <c r="T1342" s="226">
        <f>SUM(H1342:S1342)</f>
        <v>254100</v>
      </c>
      <c r="U1342" s="226">
        <f>T1342*E1342</f>
        <v>914760</v>
      </c>
      <c r="V1342" s="226">
        <f>G1342*T1342</f>
        <v>678447</v>
      </c>
      <c r="W1342" s="215"/>
    </row>
    <row r="1343" spans="1:23" ht="21.75" hidden="1">
      <c r="A1343" s="62"/>
      <c r="B1343" s="62"/>
      <c r="C1343" s="60" t="s">
        <v>533</v>
      </c>
      <c r="D1343" s="62" t="s">
        <v>176</v>
      </c>
      <c r="E1343" s="62">
        <v>39.770000000000003</v>
      </c>
      <c r="F1343" s="62"/>
      <c r="G1343" s="230">
        <v>30</v>
      </c>
      <c r="H1343" s="911">
        <v>3300</v>
      </c>
      <c r="I1343" s="911">
        <v>2900</v>
      </c>
      <c r="J1343" s="912">
        <v>4100</v>
      </c>
      <c r="K1343" s="912">
        <v>2650</v>
      </c>
      <c r="L1343" s="912">
        <v>3800</v>
      </c>
      <c r="M1343" s="225">
        <v>2950</v>
      </c>
      <c r="N1343" s="225">
        <v>3600</v>
      </c>
      <c r="O1343" s="225">
        <v>2330</v>
      </c>
      <c r="P1343" s="225">
        <v>2550</v>
      </c>
      <c r="Q1343" s="225">
        <v>2150</v>
      </c>
      <c r="R1343" s="225">
        <v>2490</v>
      </c>
      <c r="S1343" s="225">
        <v>2310</v>
      </c>
      <c r="T1343" s="225">
        <f>SUM(H1343:S1343)</f>
        <v>35130</v>
      </c>
      <c r="U1343" s="225">
        <f>T1343*E1343</f>
        <v>1397120.1</v>
      </c>
      <c r="V1343" s="225">
        <f>G1343*T1343</f>
        <v>1053900</v>
      </c>
      <c r="W1343" s="215"/>
    </row>
    <row r="1344" spans="1:23" hidden="1">
      <c r="A1344" s="62"/>
      <c r="B1344" s="62"/>
      <c r="C1344" s="237"/>
      <c r="D1344" s="62"/>
      <c r="E1344" s="62"/>
      <c r="F1344" s="62"/>
      <c r="G1344" s="238"/>
      <c r="H1344" s="257"/>
      <c r="I1344" s="257"/>
      <c r="J1344" s="257"/>
      <c r="K1344" s="257"/>
      <c r="L1344" s="257"/>
      <c r="M1344" s="257"/>
      <c r="N1344" s="257"/>
      <c r="O1344" s="257"/>
      <c r="P1344" s="257"/>
      <c r="Q1344" s="257"/>
      <c r="R1344" s="257"/>
      <c r="S1344" s="257"/>
      <c r="T1344" s="257"/>
      <c r="U1344" s="257">
        <f>SUM(U1342:U1343)</f>
        <v>2311880.1</v>
      </c>
      <c r="V1344" s="768">
        <f>SUM(V1342:V1343)</f>
        <v>1732347</v>
      </c>
      <c r="W1344" s="215"/>
    </row>
    <row r="1345" spans="1:23" ht="21.75" hidden="1">
      <c r="A1345" s="62"/>
      <c r="B1345" s="233"/>
      <c r="C1345" s="234" t="s">
        <v>107</v>
      </c>
      <c r="D1345" s="233" t="s">
        <v>756</v>
      </c>
      <c r="E1345" s="233"/>
      <c r="F1345" s="233"/>
      <c r="G1345" s="235"/>
      <c r="H1345" s="913">
        <v>1877.8820000000001</v>
      </c>
      <c r="I1345" s="914">
        <v>2289.3560000000002</v>
      </c>
      <c r="J1345" s="259">
        <v>2748.3</v>
      </c>
      <c r="K1345" s="259">
        <v>1826.2819999999999</v>
      </c>
      <c r="L1345" s="259">
        <v>1995.4269999999999</v>
      </c>
      <c r="M1345" s="259">
        <v>2199.9830000000002</v>
      </c>
      <c r="N1345" s="259">
        <v>2325.1999999999998</v>
      </c>
      <c r="O1345" s="259">
        <v>1619.5450000000001</v>
      </c>
      <c r="P1345" s="259">
        <v>1759.393</v>
      </c>
      <c r="Q1345" s="259">
        <v>2110.0050000000001</v>
      </c>
      <c r="R1345" s="259">
        <v>2185.817</v>
      </c>
      <c r="S1345" s="259">
        <v>1859.5139999999999</v>
      </c>
      <c r="T1345" s="225">
        <f>SUM(H1345:S1345)</f>
        <v>24796.703999999998</v>
      </c>
      <c r="U1345" s="259"/>
      <c r="V1345" s="904">
        <f>V1344/T1345</f>
        <v>69.861986496269836</v>
      </c>
      <c r="W1345" s="215"/>
    </row>
    <row r="1346" spans="1:23" hidden="1">
      <c r="A1346" s="62"/>
      <c r="B1346" s="62"/>
      <c r="C1346" s="237"/>
      <c r="D1346" s="62"/>
      <c r="E1346" s="62"/>
      <c r="F1346" s="62"/>
      <c r="G1346" s="238"/>
      <c r="H1346" s="257"/>
      <c r="I1346" s="257"/>
      <c r="J1346" s="257"/>
      <c r="K1346" s="257"/>
      <c r="L1346" s="257"/>
      <c r="M1346" s="257"/>
      <c r="N1346" s="257"/>
      <c r="O1346" s="257"/>
      <c r="P1346" s="257"/>
      <c r="Q1346" s="257"/>
      <c r="R1346" s="257"/>
      <c r="S1346" s="225"/>
      <c r="T1346" s="225"/>
      <c r="U1346" s="225"/>
      <c r="V1346" s="771" t="s">
        <v>750</v>
      </c>
      <c r="W1346" s="215"/>
    </row>
    <row r="1347" spans="1:23" hidden="1">
      <c r="A1347" s="62"/>
      <c r="B1347" s="62"/>
      <c r="C1347" s="60" t="s">
        <v>89</v>
      </c>
      <c r="D1347" s="62" t="s">
        <v>173</v>
      </c>
      <c r="E1347" s="62"/>
      <c r="F1347" s="62"/>
      <c r="G1347" s="238">
        <f>H1347/(H1347+H1348)</f>
        <v>0.31801954884873801</v>
      </c>
      <c r="H1347" s="225">
        <f t="shared" ref="H1347:S1347" si="499">$E1342*H1342/1000</f>
        <v>61.2</v>
      </c>
      <c r="I1347" s="225">
        <f t="shared" si="499"/>
        <v>68.400000000000006</v>
      </c>
      <c r="J1347" s="225">
        <f t="shared" si="499"/>
        <v>68.400000000000006</v>
      </c>
      <c r="K1347" s="225">
        <f t="shared" si="499"/>
        <v>64.8</v>
      </c>
      <c r="L1347" s="225">
        <f t="shared" si="499"/>
        <v>75.599999999999994</v>
      </c>
      <c r="M1347" s="225">
        <f t="shared" si="499"/>
        <v>72</v>
      </c>
      <c r="N1347" s="225">
        <f t="shared" si="499"/>
        <v>68.400000000000006</v>
      </c>
      <c r="O1347" s="225">
        <f t="shared" si="499"/>
        <v>75.599999999999994</v>
      </c>
      <c r="P1347" s="225">
        <f t="shared" si="499"/>
        <v>79.2</v>
      </c>
      <c r="Q1347" s="225">
        <f t="shared" si="499"/>
        <v>82.8</v>
      </c>
      <c r="R1347" s="225">
        <f t="shared" si="499"/>
        <v>100.8</v>
      </c>
      <c r="S1347" s="225">
        <f t="shared" si="499"/>
        <v>97.56</v>
      </c>
      <c r="T1347" s="225">
        <f>SUM(H1347:S1347)</f>
        <v>914.76</v>
      </c>
      <c r="U1347" s="225"/>
      <c r="V1347" s="225"/>
      <c r="W1347" s="215"/>
    </row>
    <row r="1348" spans="1:23" hidden="1">
      <c r="A1348" s="62"/>
      <c r="B1348" s="62"/>
      <c r="C1348" s="60" t="s">
        <v>533</v>
      </c>
      <c r="D1348" s="62" t="s">
        <v>173</v>
      </c>
      <c r="E1348" s="62"/>
      <c r="F1348" s="62"/>
      <c r="G1348" s="238"/>
      <c r="H1348" s="225">
        <f t="shared" ref="H1348:S1348" si="500">H1343*$E1343/1000</f>
        <v>131.24100000000001</v>
      </c>
      <c r="I1348" s="225">
        <f t="shared" si="500"/>
        <v>115.33300000000001</v>
      </c>
      <c r="J1348" s="225">
        <f t="shared" si="500"/>
        <v>163.05699999999999</v>
      </c>
      <c r="K1348" s="225">
        <f t="shared" si="500"/>
        <v>105.39050000000002</v>
      </c>
      <c r="L1348" s="225">
        <f t="shared" si="500"/>
        <v>151.126</v>
      </c>
      <c r="M1348" s="225">
        <f t="shared" si="500"/>
        <v>117.32150000000001</v>
      </c>
      <c r="N1348" s="225">
        <f t="shared" si="500"/>
        <v>143.172</v>
      </c>
      <c r="O1348" s="225">
        <f t="shared" si="500"/>
        <v>92.664100000000005</v>
      </c>
      <c r="P1348" s="225">
        <f t="shared" si="500"/>
        <v>101.41350000000001</v>
      </c>
      <c r="Q1348" s="225">
        <f t="shared" si="500"/>
        <v>85.505499999999998</v>
      </c>
      <c r="R1348" s="225">
        <f t="shared" si="500"/>
        <v>99.027299999999997</v>
      </c>
      <c r="S1348" s="225">
        <f t="shared" si="500"/>
        <v>91.868700000000018</v>
      </c>
      <c r="T1348" s="225">
        <f>SUM(H1348:S1348)</f>
        <v>1397.1200999999999</v>
      </c>
      <c r="U1348" s="225"/>
      <c r="V1348" s="225"/>
      <c r="W1348" s="215"/>
    </row>
    <row r="1349" spans="1:23" hidden="1">
      <c r="A1349" s="62"/>
      <c r="B1349" s="62"/>
      <c r="C1349" s="237" t="s">
        <v>776</v>
      </c>
      <c r="D1349" s="62"/>
      <c r="E1349" s="62"/>
      <c r="F1349" s="62"/>
      <c r="G1349" s="238"/>
      <c r="H1349" s="225">
        <f t="shared" ref="H1349:S1349" si="501">SUM(H1347:H1348)</f>
        <v>192.44100000000003</v>
      </c>
      <c r="I1349" s="225">
        <f t="shared" si="501"/>
        <v>183.733</v>
      </c>
      <c r="J1349" s="225">
        <f t="shared" si="501"/>
        <v>231.45699999999999</v>
      </c>
      <c r="K1349" s="225">
        <f t="shared" si="501"/>
        <v>170.19050000000001</v>
      </c>
      <c r="L1349" s="225">
        <f t="shared" si="501"/>
        <v>226.726</v>
      </c>
      <c r="M1349" s="225">
        <f t="shared" si="501"/>
        <v>189.32150000000001</v>
      </c>
      <c r="N1349" s="225">
        <f t="shared" si="501"/>
        <v>211.572</v>
      </c>
      <c r="O1349" s="225">
        <f t="shared" si="501"/>
        <v>168.26409999999998</v>
      </c>
      <c r="P1349" s="225">
        <f t="shared" si="501"/>
        <v>180.61350000000002</v>
      </c>
      <c r="Q1349" s="225">
        <f t="shared" si="501"/>
        <v>168.30549999999999</v>
      </c>
      <c r="R1349" s="225">
        <f t="shared" si="501"/>
        <v>199.82729999999998</v>
      </c>
      <c r="S1349" s="225">
        <f t="shared" si="501"/>
        <v>189.42870000000002</v>
      </c>
      <c r="T1349" s="242">
        <f>SUM(H1349:S1349)</f>
        <v>2311.8800999999999</v>
      </c>
      <c r="U1349" s="225"/>
      <c r="V1349" s="905">
        <f>V1344/T1349</f>
        <v>749.32389443552893</v>
      </c>
      <c r="W1349" s="215"/>
    </row>
    <row r="1350" spans="1:23" hidden="1">
      <c r="A1350" s="62"/>
      <c r="B1350" s="62"/>
      <c r="C1350" s="237" t="s">
        <v>345</v>
      </c>
      <c r="D1350" s="62" t="s">
        <v>173</v>
      </c>
      <c r="E1350" s="1771" t="s">
        <v>878</v>
      </c>
      <c r="F1350" s="1773"/>
      <c r="G1350" s="238"/>
      <c r="H1350" s="915">
        <f t="shared" ref="H1350:S1350" si="502">((0.0612*H1345)+65.968)</f>
        <v>180.89437839999999</v>
      </c>
      <c r="I1350" s="916">
        <f t="shared" si="502"/>
        <v>206.07658720000001</v>
      </c>
      <c r="J1350" s="916">
        <f t="shared" si="502"/>
        <v>234.16396000000003</v>
      </c>
      <c r="K1350" s="916">
        <f t="shared" si="502"/>
        <v>177.7364584</v>
      </c>
      <c r="L1350" s="916">
        <f t="shared" si="502"/>
        <v>188.08813240000001</v>
      </c>
      <c r="M1350" s="916">
        <f t="shared" si="502"/>
        <v>200.60695959999998</v>
      </c>
      <c r="N1350" s="916">
        <f t="shared" si="502"/>
        <v>208.27024</v>
      </c>
      <c r="O1350" s="916">
        <f t="shared" si="502"/>
        <v>165.08415400000001</v>
      </c>
      <c r="P1350" s="916">
        <f t="shared" si="502"/>
        <v>173.6428516</v>
      </c>
      <c r="Q1350" s="916">
        <f t="shared" si="502"/>
        <v>195.10030599999999</v>
      </c>
      <c r="R1350" s="916">
        <f t="shared" si="502"/>
        <v>199.74000039999999</v>
      </c>
      <c r="S1350" s="916">
        <f t="shared" si="502"/>
        <v>179.7702568</v>
      </c>
      <c r="T1350" s="242">
        <f>SUM(H1350:S1350)</f>
        <v>2309.1742847999999</v>
      </c>
      <c r="U1350" s="225"/>
      <c r="V1350" s="271" t="s">
        <v>742</v>
      </c>
      <c r="W1350" s="215"/>
    </row>
    <row r="1351" spans="1:23" hidden="1">
      <c r="A1351" s="62"/>
      <c r="B1351" s="243" t="s">
        <v>174</v>
      </c>
      <c r="C1351" s="244" t="s">
        <v>89</v>
      </c>
      <c r="D1351" s="243" t="s">
        <v>761</v>
      </c>
      <c r="E1351" s="243"/>
      <c r="F1351" s="243"/>
      <c r="G1351" s="248"/>
      <c r="H1351" s="245">
        <f>H1347/H1345</f>
        <v>3.2589907140065245E-2</v>
      </c>
      <c r="I1351" s="245">
        <f>I1347/I1345</f>
        <v>2.9877397835897955E-2</v>
      </c>
      <c r="J1351" s="245">
        <f t="shared" ref="J1351:R1351" si="503">J1347/J1345</f>
        <v>2.4888112651457264E-2</v>
      </c>
      <c r="K1351" s="245">
        <f t="shared" si="503"/>
        <v>3.5481924478256918E-2</v>
      </c>
      <c r="L1351" s="245">
        <f t="shared" si="503"/>
        <v>3.7886627774406177E-2</v>
      </c>
      <c r="M1351" s="245">
        <f t="shared" si="503"/>
        <v>3.2727525621788892E-2</v>
      </c>
      <c r="N1351" s="245">
        <f t="shared" si="503"/>
        <v>2.9416824359194911E-2</v>
      </c>
      <c r="O1351" s="245">
        <f t="shared" si="503"/>
        <v>4.6679777344871547E-2</v>
      </c>
      <c r="P1351" s="245">
        <f t="shared" si="503"/>
        <v>4.5015525240807486E-2</v>
      </c>
      <c r="Q1351" s="245">
        <f t="shared" si="503"/>
        <v>3.9241613171532769E-2</v>
      </c>
      <c r="R1351" s="245">
        <f t="shared" si="503"/>
        <v>4.6115479932675056E-2</v>
      </c>
      <c r="S1351" s="245">
        <f>S1347/S1345</f>
        <v>5.2465321584026801E-2</v>
      </c>
      <c r="T1351" s="245">
        <f>T1347/T1345</f>
        <v>3.6890386722364395E-2</v>
      </c>
      <c r="U1351" s="246"/>
      <c r="V1351" s="246"/>
      <c r="W1351" s="215"/>
    </row>
    <row r="1352" spans="1:23" hidden="1">
      <c r="A1352" s="62"/>
      <c r="B1352" s="243"/>
      <c r="C1352" s="244" t="s">
        <v>533</v>
      </c>
      <c r="D1352" s="243" t="s">
        <v>761</v>
      </c>
      <c r="E1352" s="243"/>
      <c r="F1352" s="243"/>
      <c r="G1352" s="248"/>
      <c r="H1352" s="245">
        <f>H1348/H1345</f>
        <v>6.9887777826295794E-2</v>
      </c>
      <c r="I1352" s="245">
        <f>I1348/I1345</f>
        <v>5.0377922874380393E-2</v>
      </c>
      <c r="J1352" s="245">
        <f t="shared" ref="J1352:Q1352" si="504">J1348/J1345</f>
        <v>5.9330131353927874E-2</v>
      </c>
      <c r="K1352" s="245">
        <f t="shared" si="504"/>
        <v>5.7707681508113215E-2</v>
      </c>
      <c r="L1352" s="245">
        <f t="shared" si="504"/>
        <v>7.573617075443001E-2</v>
      </c>
      <c r="M1352" s="245">
        <f t="shared" si="504"/>
        <v>5.3328366628287584E-2</v>
      </c>
      <c r="N1352" s="245">
        <f t="shared" si="504"/>
        <v>6.1574058145535869E-2</v>
      </c>
      <c r="O1352" s="245">
        <f t="shared" si="504"/>
        <v>5.7216131691308361E-2</v>
      </c>
      <c r="P1352" s="245">
        <f t="shared" si="504"/>
        <v>5.7641186477381694E-2</v>
      </c>
      <c r="Q1352" s="245">
        <f t="shared" si="504"/>
        <v>4.052383762123786E-2</v>
      </c>
      <c r="R1352" s="245">
        <f>R1348/R1345</f>
        <v>4.5304478828740009E-2</v>
      </c>
      <c r="S1352" s="245">
        <f>S1348/S1345</f>
        <v>4.9404683159148047E-2</v>
      </c>
      <c r="T1352" s="245">
        <f>T1348/T1345</f>
        <v>5.6342976066496582E-2</v>
      </c>
      <c r="U1352" s="246"/>
      <c r="V1352" s="246"/>
      <c r="W1352" s="215"/>
    </row>
    <row r="1353" spans="1:23" ht="23.25" hidden="1">
      <c r="A1353" s="62"/>
      <c r="B1353" s="243"/>
      <c r="C1353" s="249" t="s">
        <v>777</v>
      </c>
      <c r="D1353" s="243" t="s">
        <v>761</v>
      </c>
      <c r="E1353" s="243"/>
      <c r="F1353" s="243"/>
      <c r="G1353" s="248"/>
      <c r="H1353" s="245">
        <f>H1349/H1345</f>
        <v>0.10247768496636105</v>
      </c>
      <c r="I1353" s="245">
        <f>I1349/I1345</f>
        <v>8.0255320710278341E-2</v>
      </c>
      <c r="J1353" s="245">
        <f t="shared" ref="J1353:T1353" si="505">J1349/J1345</f>
        <v>8.4218244005385134E-2</v>
      </c>
      <c r="K1353" s="245">
        <f t="shared" si="505"/>
        <v>9.3189605986370133E-2</v>
      </c>
      <c r="L1353" s="245">
        <f t="shared" si="505"/>
        <v>0.11362279852883619</v>
      </c>
      <c r="M1353" s="245">
        <f t="shared" si="505"/>
        <v>8.6055892250076482E-2</v>
      </c>
      <c r="N1353" s="245">
        <f t="shared" si="505"/>
        <v>9.099088250473078E-2</v>
      </c>
      <c r="O1353" s="245">
        <f t="shared" si="505"/>
        <v>0.1038959090361799</v>
      </c>
      <c r="P1353" s="245">
        <f t="shared" si="505"/>
        <v>0.10265671171818917</v>
      </c>
      <c r="Q1353" s="245">
        <f t="shared" si="505"/>
        <v>7.9765450792770629E-2</v>
      </c>
      <c r="R1353" s="245">
        <f t="shared" si="505"/>
        <v>9.1419958761415065E-2</v>
      </c>
      <c r="S1353" s="245">
        <f t="shared" si="505"/>
        <v>0.10187000474317484</v>
      </c>
      <c r="T1353" s="250">
        <f t="shared" si="505"/>
        <v>9.3233362788860977E-2</v>
      </c>
      <c r="U1353" s="246"/>
      <c r="V1353" s="246"/>
      <c r="W1353" s="215"/>
    </row>
    <row r="1354" spans="1:23" hidden="1">
      <c r="A1354" s="62"/>
      <c r="B1354" s="243"/>
      <c r="C1354" s="249" t="s">
        <v>778</v>
      </c>
      <c r="D1354" s="243"/>
      <c r="E1354" s="243"/>
      <c r="F1354" s="243"/>
      <c r="G1354" s="243"/>
      <c r="H1354" s="251">
        <f t="shared" ref="H1354:T1354" si="506">H1349/H1350*100</f>
        <v>106.38307375946627</v>
      </c>
      <c r="I1354" s="251">
        <f t="shared" si="506"/>
        <v>89.157629450493928</v>
      </c>
      <c r="J1354" s="251">
        <f t="shared" si="506"/>
        <v>98.843989484974529</v>
      </c>
      <c r="K1354" s="251">
        <f t="shared" si="506"/>
        <v>95.754411633983594</v>
      </c>
      <c r="L1354" s="251">
        <f t="shared" si="506"/>
        <v>120.54242716272512</v>
      </c>
      <c r="M1354" s="251">
        <f t="shared" si="506"/>
        <v>94.374342932816191</v>
      </c>
      <c r="N1354" s="251">
        <f t="shared" si="506"/>
        <v>101.58532491247909</v>
      </c>
      <c r="O1354" s="251">
        <f t="shared" si="506"/>
        <v>101.92625756194624</v>
      </c>
      <c r="P1354" s="251">
        <f t="shared" si="506"/>
        <v>104.01435955224775</v>
      </c>
      <c r="Q1354" s="251">
        <f t="shared" si="506"/>
        <v>86.266138403698861</v>
      </c>
      <c r="R1354" s="251">
        <f t="shared" si="506"/>
        <v>100.04370661851665</v>
      </c>
      <c r="S1354" s="251">
        <f t="shared" si="506"/>
        <v>105.37265917728836</v>
      </c>
      <c r="T1354" s="251">
        <f t="shared" si="506"/>
        <v>100.11717674225851</v>
      </c>
      <c r="U1354" s="246"/>
      <c r="V1354" s="246"/>
      <c r="W1354" s="215"/>
    </row>
    <row r="1355" spans="1:23" ht="21.75" hidden="1">
      <c r="A1355" s="222">
        <v>6</v>
      </c>
      <c r="B1355" s="222" t="s">
        <v>142</v>
      </c>
      <c r="C1355" s="221" t="s">
        <v>89</v>
      </c>
      <c r="D1355" s="222" t="s">
        <v>90</v>
      </c>
      <c r="E1355" s="223">
        <v>3.6</v>
      </c>
      <c r="F1355" s="222"/>
      <c r="G1355" s="224">
        <v>2.67</v>
      </c>
      <c r="H1355" s="917">
        <v>15336</v>
      </c>
      <c r="I1355" s="917">
        <v>18058</v>
      </c>
      <c r="J1355" s="226">
        <v>19343</v>
      </c>
      <c r="K1355" s="226">
        <v>15247</v>
      </c>
      <c r="L1355" s="226">
        <v>17252</v>
      </c>
      <c r="M1355" s="226">
        <v>13305</v>
      </c>
      <c r="N1355" s="226">
        <v>16342</v>
      </c>
      <c r="O1355" s="225">
        <v>12685</v>
      </c>
      <c r="P1355" s="226">
        <v>11345</v>
      </c>
      <c r="Q1355" s="226"/>
      <c r="R1355" s="226">
        <v>11479</v>
      </c>
      <c r="S1355" s="226">
        <v>13717</v>
      </c>
      <c r="T1355" s="226">
        <f>SUM(H1355:S1355)</f>
        <v>164109</v>
      </c>
      <c r="U1355" s="226">
        <f>T1355*E1355</f>
        <v>590792.4</v>
      </c>
      <c r="V1355" s="226">
        <f>G1355*T1355</f>
        <v>438171.02999999997</v>
      </c>
      <c r="W1355" s="215"/>
    </row>
    <row r="1356" spans="1:23" ht="21.75" hidden="1">
      <c r="A1356" s="62"/>
      <c r="B1356" s="62"/>
      <c r="C1356" s="60" t="s">
        <v>161</v>
      </c>
      <c r="D1356" s="62" t="s">
        <v>176</v>
      </c>
      <c r="E1356" s="62">
        <v>36.42</v>
      </c>
      <c r="F1356" s="62"/>
      <c r="G1356" s="230">
        <v>30</v>
      </c>
      <c r="H1356" s="917">
        <v>97999</v>
      </c>
      <c r="I1356" s="917">
        <v>84164</v>
      </c>
      <c r="J1356" s="225">
        <v>94873</v>
      </c>
      <c r="K1356" s="225">
        <v>85316</v>
      </c>
      <c r="L1356" s="225">
        <v>94249</v>
      </c>
      <c r="M1356" s="225">
        <v>72836</v>
      </c>
      <c r="N1356" s="225">
        <v>72893</v>
      </c>
      <c r="O1356" s="226">
        <v>75033</v>
      </c>
      <c r="P1356" s="225">
        <v>58293</v>
      </c>
      <c r="Q1356" s="254"/>
      <c r="R1356" s="225">
        <v>65167</v>
      </c>
      <c r="S1356" s="225">
        <v>65526</v>
      </c>
      <c r="T1356" s="225">
        <f>SUM(H1356:S1356)</f>
        <v>866349</v>
      </c>
      <c r="U1356" s="225">
        <f>T1356*E1356</f>
        <v>31552430.580000002</v>
      </c>
      <c r="V1356" s="225">
        <f>G1356*T1356</f>
        <v>25990470</v>
      </c>
      <c r="W1356" s="215"/>
    </row>
    <row r="1357" spans="1:23" hidden="1">
      <c r="A1357" s="62"/>
      <c r="B1357" s="62"/>
      <c r="C1357" s="237"/>
      <c r="D1357" s="62"/>
      <c r="E1357" s="62"/>
      <c r="F1357" s="62"/>
      <c r="G1357" s="238"/>
      <c r="H1357" s="257"/>
      <c r="I1357" s="257"/>
      <c r="J1357" s="257"/>
      <c r="K1357" s="257"/>
      <c r="L1357" s="257"/>
      <c r="M1357" s="257"/>
      <c r="N1357" s="257"/>
      <c r="O1357" s="257"/>
      <c r="P1357" s="257"/>
      <c r="Q1357" s="257"/>
      <c r="R1357" s="257"/>
      <c r="S1357" s="257"/>
      <c r="T1357" s="257"/>
      <c r="U1357" s="257">
        <f>SUM(U1355:U1356)</f>
        <v>32143222.98</v>
      </c>
      <c r="V1357" s="768">
        <f>SUM(V1355:V1356)</f>
        <v>26428641.030000001</v>
      </c>
      <c r="W1357" s="215"/>
    </row>
    <row r="1358" spans="1:23" ht="21.75" hidden="1">
      <c r="A1358" s="62"/>
      <c r="B1358" s="233"/>
      <c r="C1358" s="234" t="s">
        <v>107</v>
      </c>
      <c r="D1358" s="233" t="s">
        <v>756</v>
      </c>
      <c r="E1358" s="233"/>
      <c r="F1358" s="233"/>
      <c r="G1358" s="235"/>
      <c r="H1358" s="918">
        <v>81514739</v>
      </c>
      <c r="I1358" s="918">
        <v>67316687</v>
      </c>
      <c r="J1358" s="259">
        <v>77382095</v>
      </c>
      <c r="K1358" s="259">
        <v>66007363</v>
      </c>
      <c r="L1358" s="259">
        <v>72254368</v>
      </c>
      <c r="M1358" s="259">
        <v>56505417</v>
      </c>
      <c r="N1358" s="259">
        <f>60679.993*1000</f>
        <v>60679993</v>
      </c>
      <c r="O1358" s="259">
        <v>59778004</v>
      </c>
      <c r="P1358" s="259">
        <v>45945341</v>
      </c>
      <c r="Q1358" s="259"/>
      <c r="R1358" s="259">
        <v>50037843</v>
      </c>
      <c r="S1358" s="259">
        <v>51531233</v>
      </c>
      <c r="T1358" s="225">
        <f>SUM(H1358:S1358)</f>
        <v>688953083</v>
      </c>
      <c r="U1358" s="259"/>
      <c r="V1358" s="904">
        <f>V1357/T1358</f>
        <v>3.8360581703064972E-2</v>
      </c>
      <c r="W1358" s="215"/>
    </row>
    <row r="1359" spans="1:23" hidden="1">
      <c r="A1359" s="62"/>
      <c r="B1359" s="62"/>
      <c r="C1359" s="237"/>
      <c r="D1359" s="62"/>
      <c r="E1359" s="62"/>
      <c r="F1359" s="62"/>
      <c r="G1359" s="238"/>
      <c r="H1359" s="257"/>
      <c r="I1359" s="257"/>
      <c r="J1359" s="257"/>
      <c r="K1359" s="257"/>
      <c r="L1359" s="257"/>
      <c r="M1359" s="257"/>
      <c r="N1359" s="257"/>
      <c r="O1359" s="257"/>
      <c r="P1359" s="257"/>
      <c r="Q1359" s="257"/>
      <c r="R1359" s="257"/>
      <c r="S1359" s="225"/>
      <c r="T1359" s="225"/>
      <c r="U1359" s="225"/>
      <c r="V1359" s="771" t="s">
        <v>750</v>
      </c>
      <c r="W1359" s="215"/>
    </row>
    <row r="1360" spans="1:23" hidden="1">
      <c r="A1360" s="62"/>
      <c r="B1360" s="62"/>
      <c r="C1360" s="60" t="s">
        <v>89</v>
      </c>
      <c r="D1360" s="62" t="s">
        <v>173</v>
      </c>
      <c r="E1360" s="62"/>
      <c r="F1360" s="62"/>
      <c r="G1360" s="238"/>
      <c r="H1360" s="225">
        <f t="shared" ref="H1360:P1360" si="507">$E1355*H1355/1000</f>
        <v>55.209600000000002</v>
      </c>
      <c r="I1360" s="225">
        <f t="shared" si="507"/>
        <v>65.008800000000008</v>
      </c>
      <c r="J1360" s="225">
        <f t="shared" si="507"/>
        <v>69.634799999999998</v>
      </c>
      <c r="K1360" s="225">
        <f t="shared" si="507"/>
        <v>54.889200000000002</v>
      </c>
      <c r="L1360" s="225">
        <f t="shared" si="507"/>
        <v>62.107200000000006</v>
      </c>
      <c r="M1360" s="225">
        <f t="shared" si="507"/>
        <v>47.898000000000003</v>
      </c>
      <c r="N1360" s="225">
        <f t="shared" si="507"/>
        <v>58.831200000000003</v>
      </c>
      <c r="O1360" s="225">
        <f t="shared" si="507"/>
        <v>45.665999999999997</v>
      </c>
      <c r="P1360" s="225">
        <f t="shared" si="507"/>
        <v>40.841999999999999</v>
      </c>
      <c r="Q1360" s="225"/>
      <c r="R1360" s="225">
        <f t="shared" ref="R1360:S1360" si="508">$E1355*R1355/1000</f>
        <v>41.324400000000004</v>
      </c>
      <c r="S1360" s="225">
        <f t="shared" si="508"/>
        <v>49.381200000000007</v>
      </c>
      <c r="T1360" s="225">
        <f>SUM(H1360:S1360)</f>
        <v>590.79240000000004</v>
      </c>
      <c r="U1360" s="225"/>
      <c r="V1360" s="225"/>
    </row>
    <row r="1361" spans="1:23" hidden="1">
      <c r="A1361" s="62"/>
      <c r="B1361" s="62"/>
      <c r="C1361" s="60" t="s">
        <v>161</v>
      </c>
      <c r="D1361" s="62" t="s">
        <v>173</v>
      </c>
      <c r="E1361" s="62"/>
      <c r="F1361" s="62"/>
      <c r="G1361" s="238"/>
      <c r="H1361" s="225">
        <f t="shared" ref="H1361:P1361" si="509">H1356*$E1356/1000</f>
        <v>3569.1235799999999</v>
      </c>
      <c r="I1361" s="225">
        <f t="shared" si="509"/>
        <v>3065.2528800000005</v>
      </c>
      <c r="J1361" s="225">
        <f t="shared" si="509"/>
        <v>3455.27466</v>
      </c>
      <c r="K1361" s="225">
        <f t="shared" si="509"/>
        <v>3107.2087200000001</v>
      </c>
      <c r="L1361" s="225">
        <f t="shared" si="509"/>
        <v>3432.5485800000001</v>
      </c>
      <c r="M1361" s="225">
        <f t="shared" si="509"/>
        <v>2652.68712</v>
      </c>
      <c r="N1361" s="225">
        <f t="shared" si="509"/>
        <v>2654.7630600000002</v>
      </c>
      <c r="O1361" s="225">
        <f t="shared" si="509"/>
        <v>2732.7018600000001</v>
      </c>
      <c r="P1361" s="225">
        <f t="shared" si="509"/>
        <v>2123.0310600000003</v>
      </c>
      <c r="Q1361" s="225"/>
      <c r="R1361" s="225">
        <f t="shared" ref="R1361:S1361" si="510">R1356*$E1356/1000</f>
        <v>2373.3821400000002</v>
      </c>
      <c r="S1361" s="225">
        <f t="shared" si="510"/>
        <v>2386.4569200000001</v>
      </c>
      <c r="T1361" s="225">
        <f>SUM(H1361:S1361)</f>
        <v>31552.430580000004</v>
      </c>
      <c r="U1361" s="225"/>
      <c r="V1361" s="225"/>
    </row>
    <row r="1362" spans="1:23" hidden="1">
      <c r="A1362" s="62"/>
      <c r="B1362" s="62"/>
      <c r="C1362" s="237" t="s">
        <v>879</v>
      </c>
      <c r="D1362" s="62"/>
      <c r="E1362" s="62"/>
      <c r="F1362" s="62">
        <v>75.405168030929786</v>
      </c>
      <c r="G1362" s="238"/>
      <c r="H1362" s="225">
        <f t="shared" ref="H1362:P1362" si="511">SUM(H1360:H1361)</f>
        <v>3624.3331800000001</v>
      </c>
      <c r="I1362" s="225">
        <f t="shared" si="511"/>
        <v>3130.2616800000005</v>
      </c>
      <c r="J1362" s="225">
        <f t="shared" si="511"/>
        <v>3524.9094599999999</v>
      </c>
      <c r="K1362" s="225">
        <f t="shared" si="511"/>
        <v>3162.0979200000002</v>
      </c>
      <c r="L1362" s="225">
        <f t="shared" si="511"/>
        <v>3494.65578</v>
      </c>
      <c r="M1362" s="225">
        <f t="shared" si="511"/>
        <v>2700.5851200000002</v>
      </c>
      <c r="N1362" s="225">
        <f t="shared" si="511"/>
        <v>2713.5942600000003</v>
      </c>
      <c r="O1362" s="225">
        <f t="shared" si="511"/>
        <v>2778.3678600000003</v>
      </c>
      <c r="P1362" s="225">
        <f t="shared" si="511"/>
        <v>2163.8730600000004</v>
      </c>
      <c r="Q1362" s="225"/>
      <c r="R1362" s="225">
        <f t="shared" ref="R1362:S1362" si="512">SUM(R1360:R1361)</f>
        <v>2414.7065400000001</v>
      </c>
      <c r="S1362" s="225">
        <f t="shared" si="512"/>
        <v>2435.8381199999999</v>
      </c>
      <c r="T1362" s="242">
        <f>SUM(H1362:S1362)</f>
        <v>32143.222980000002</v>
      </c>
      <c r="U1362" s="225"/>
      <c r="V1362" s="905">
        <f>V1357/T1362</f>
        <v>822.21502947742044</v>
      </c>
    </row>
    <row r="1363" spans="1:23" hidden="1">
      <c r="A1363" s="62"/>
      <c r="B1363" s="62"/>
      <c r="C1363" s="237" t="s">
        <v>345</v>
      </c>
      <c r="D1363" s="62" t="s">
        <v>173</v>
      </c>
      <c r="E1363" s="1771" t="s">
        <v>880</v>
      </c>
      <c r="F1363" s="1772"/>
      <c r="G1363" s="1773"/>
      <c r="H1363" s="231">
        <f>(H1358*0.0452/1000)+1.8951</f>
        <v>3686.3613028</v>
      </c>
      <c r="I1363" s="231">
        <f t="shared" ref="I1363:P1363" si="513">(I1358*0.0452/1000)+1.8951</f>
        <v>3044.6093523999998</v>
      </c>
      <c r="J1363" s="231">
        <f t="shared" si="513"/>
        <v>3499.5657939999996</v>
      </c>
      <c r="K1363" s="231">
        <f t="shared" si="513"/>
        <v>2985.4279076000003</v>
      </c>
      <c r="L1363" s="231">
        <f t="shared" si="513"/>
        <v>3267.7925335999998</v>
      </c>
      <c r="M1363" s="231">
        <f t="shared" si="513"/>
        <v>2555.9399484</v>
      </c>
      <c r="N1363" s="231">
        <f t="shared" si="513"/>
        <v>2744.6307835999996</v>
      </c>
      <c r="O1363" s="231">
        <f t="shared" si="513"/>
        <v>2703.8608807999999</v>
      </c>
      <c r="P1363" s="231">
        <f t="shared" si="513"/>
        <v>2078.6245131999999</v>
      </c>
      <c r="Q1363" s="231"/>
      <c r="R1363" s="231">
        <f t="shared" ref="R1363:S1363" si="514">(R1358*0.0452/1000)+1.8951</f>
        <v>2263.6056036</v>
      </c>
      <c r="S1363" s="231">
        <f t="shared" si="514"/>
        <v>2331.1068316000001</v>
      </c>
      <c r="T1363" s="242">
        <f>SUM(H1363:S1363)</f>
        <v>31161.525451599999</v>
      </c>
      <c r="U1363" s="225"/>
      <c r="V1363" s="271" t="s">
        <v>742</v>
      </c>
    </row>
    <row r="1364" spans="1:23" hidden="1">
      <c r="A1364" s="62"/>
      <c r="B1364" s="243" t="s">
        <v>174</v>
      </c>
      <c r="C1364" s="244" t="s">
        <v>89</v>
      </c>
      <c r="D1364" s="243" t="s">
        <v>761</v>
      </c>
      <c r="E1364" s="243"/>
      <c r="F1364" s="243"/>
      <c r="G1364" s="248"/>
      <c r="H1364" s="245">
        <f>H1360/H1358</f>
        <v>6.772959182265185E-7</v>
      </c>
      <c r="I1364" s="245">
        <f>I1360/I1358</f>
        <v>9.6571597470327097E-7</v>
      </c>
      <c r="J1364" s="245">
        <f t="shared" ref="J1364:P1364" si="515">J1360/J1358</f>
        <v>8.9988258911832246E-7</v>
      </c>
      <c r="K1364" s="245">
        <f t="shared" si="515"/>
        <v>8.315617759188472E-7</v>
      </c>
      <c r="L1364" s="245">
        <f t="shared" si="515"/>
        <v>8.5956325851469641E-7</v>
      </c>
      <c r="M1364" s="245">
        <f t="shared" si="515"/>
        <v>8.4767094100022308E-7</v>
      </c>
      <c r="N1364" s="245">
        <f t="shared" si="515"/>
        <v>9.6953208283989088E-7</v>
      </c>
      <c r="O1364" s="245">
        <f t="shared" si="515"/>
        <v>7.6392647703660359E-7</v>
      </c>
      <c r="P1364" s="245">
        <f t="shared" si="515"/>
        <v>8.8892582166274488E-7</v>
      </c>
      <c r="Q1364" s="245"/>
      <c r="R1364" s="245">
        <f t="shared" ref="R1364" si="516">R1360/R1358</f>
        <v>8.2586293737721672E-7</v>
      </c>
      <c r="S1364" s="245">
        <f>S1360/S1358</f>
        <v>9.5827708993495285E-7</v>
      </c>
      <c r="T1364" s="245">
        <f>T1360/T1358</f>
        <v>8.5752196278364004E-7</v>
      </c>
      <c r="U1364" s="246"/>
      <c r="V1364" s="246"/>
    </row>
    <row r="1365" spans="1:23" hidden="1">
      <c r="A1365" s="62"/>
      <c r="B1365" s="243"/>
      <c r="C1365" s="244" t="s">
        <v>161</v>
      </c>
      <c r="D1365" s="243" t="s">
        <v>761</v>
      </c>
      <c r="E1365" s="243"/>
      <c r="F1365" s="243"/>
      <c r="G1365" s="248"/>
      <c r="H1365" s="245">
        <f>H1361/H1358</f>
        <v>4.3785008990828029E-5</v>
      </c>
      <c r="I1365" s="245">
        <f>I1361/I1358</f>
        <v>4.5534814866928912E-5</v>
      </c>
      <c r="J1365" s="245">
        <f t="shared" ref="J1365:P1365" si="517">J1361/J1358</f>
        <v>4.4652120881451969E-5</v>
      </c>
      <c r="K1365" s="245">
        <f t="shared" si="517"/>
        <v>4.7073668433020118E-5</v>
      </c>
      <c r="L1365" s="245">
        <f t="shared" si="517"/>
        <v>4.7506450821077005E-5</v>
      </c>
      <c r="M1365" s="245">
        <f t="shared" si="517"/>
        <v>4.694571354105749E-5</v>
      </c>
      <c r="N1365" s="245">
        <f t="shared" si="517"/>
        <v>4.3750220274415657E-5</v>
      </c>
      <c r="O1365" s="245">
        <f t="shared" si="517"/>
        <v>4.5714170382805022E-5</v>
      </c>
      <c r="P1365" s="245">
        <f t="shared" si="517"/>
        <v>4.6207754993047071E-5</v>
      </c>
      <c r="Q1365" s="245"/>
      <c r="R1365" s="245">
        <f>R1361/R1358</f>
        <v>4.743174361053094E-5</v>
      </c>
      <c r="S1365" s="245">
        <f>S1361/S1358</f>
        <v>4.6310883343311423E-5</v>
      </c>
      <c r="T1365" s="245">
        <f>T1361/T1358</f>
        <v>4.5797647704263198E-5</v>
      </c>
      <c r="U1365" s="246"/>
      <c r="V1365" s="246"/>
    </row>
    <row r="1366" spans="1:23" ht="23.25" hidden="1">
      <c r="A1366" s="62"/>
      <c r="B1366" s="243"/>
      <c r="C1366" s="249" t="s">
        <v>881</v>
      </c>
      <c r="D1366" s="243" t="s">
        <v>761</v>
      </c>
      <c r="E1366" s="243"/>
      <c r="F1366" s="243"/>
      <c r="G1366" s="248"/>
      <c r="H1366" s="245">
        <f>H1362/H1358</f>
        <v>4.4462304909054543E-5</v>
      </c>
      <c r="I1366" s="245">
        <f>I1362/I1358</f>
        <v>4.6500530841632186E-5</v>
      </c>
      <c r="J1366" s="245">
        <f t="shared" ref="J1366:T1366" si="518">J1362/J1358</f>
        <v>4.5552003470570287E-5</v>
      </c>
      <c r="K1366" s="245">
        <f t="shared" si="518"/>
        <v>4.7905230208938964E-5</v>
      </c>
      <c r="L1366" s="245">
        <f t="shared" si="518"/>
        <v>4.8366014079591704E-5</v>
      </c>
      <c r="M1366" s="245">
        <f t="shared" si="518"/>
        <v>4.7793384482057718E-5</v>
      </c>
      <c r="N1366" s="245">
        <f t="shared" si="518"/>
        <v>4.4719752357255553E-5</v>
      </c>
      <c r="O1366" s="245">
        <f>O1362/O1358</f>
        <v>4.6478096859841631E-5</v>
      </c>
      <c r="P1366" s="245">
        <f t="shared" ref="P1366" si="519">P1362/P1358</f>
        <v>4.7096680814709815E-5</v>
      </c>
      <c r="Q1366" s="245"/>
      <c r="R1366" s="245">
        <f t="shared" ref="R1366:S1366" si="520">R1362/R1358</f>
        <v>4.8257606547908154E-5</v>
      </c>
      <c r="S1366" s="245">
        <f t="shared" si="520"/>
        <v>4.7269160433246377E-5</v>
      </c>
      <c r="T1366" s="250">
        <f t="shared" si="518"/>
        <v>4.6655169667046837E-5</v>
      </c>
      <c r="U1366" s="246"/>
      <c r="V1366" s="246"/>
    </row>
    <row r="1367" spans="1:23" hidden="1">
      <c r="A1367" s="62"/>
      <c r="B1367" s="243"/>
      <c r="C1367" s="249" t="s">
        <v>779</v>
      </c>
      <c r="D1367" s="243"/>
      <c r="E1367" s="243"/>
      <c r="F1367" s="243"/>
      <c r="G1367" s="243"/>
      <c r="H1367" s="251">
        <f t="shared" ref="H1367:T1367" si="521">H1362/H1363*100</f>
        <v>98.317361818200339</v>
      </c>
      <c r="I1367" s="251">
        <f t="shared" si="521"/>
        <v>102.81324523727429</v>
      </c>
      <c r="J1367" s="251">
        <f t="shared" si="521"/>
        <v>100.72419458560979</v>
      </c>
      <c r="K1367" s="251">
        <f t="shared" si="521"/>
        <v>105.91774505591816</v>
      </c>
      <c r="L1367" s="251">
        <f t="shared" si="521"/>
        <v>106.94240053697881</v>
      </c>
      <c r="M1367" s="251">
        <f t="shared" si="521"/>
        <v>105.65917723108271</v>
      </c>
      <c r="N1367" s="251">
        <f t="shared" si="521"/>
        <v>98.869191303054237</v>
      </c>
      <c r="O1367" s="251">
        <f t="shared" si="521"/>
        <v>102.7555773941282</v>
      </c>
      <c r="P1367" s="251">
        <f t="shared" si="521"/>
        <v>104.10119991651412</v>
      </c>
      <c r="Q1367" s="251"/>
      <c r="R1367" s="251">
        <f t="shared" ref="R1367:S1367" si="522">R1362/R1363*100</f>
        <v>106.67523247688078</v>
      </c>
      <c r="S1367" s="251">
        <f t="shared" si="522"/>
        <v>104.4927708580441</v>
      </c>
      <c r="T1367" s="251">
        <f t="shared" si="521"/>
        <v>103.15035132001087</v>
      </c>
      <c r="U1367" s="246"/>
      <c r="V1367" s="246"/>
    </row>
    <row r="1368" spans="1:23" s="413" customFormat="1" hidden="1">
      <c r="A1368" s="316"/>
      <c r="B1368" s="316"/>
      <c r="C1368" s="316" t="s">
        <v>780</v>
      </c>
      <c r="D1368" s="316" t="s">
        <v>173</v>
      </c>
      <c r="E1368" s="316"/>
      <c r="F1368" s="316"/>
      <c r="G1368" s="316"/>
      <c r="H1368" s="213">
        <f t="shared" ref="H1368:T1369" si="523">(H1294+H1321+H1334+H1349+H1362+H1308)</f>
        <v>5061.4457754000005</v>
      </c>
      <c r="I1368" s="213">
        <f t="shared" si="523"/>
        <v>4478.5554754000004</v>
      </c>
      <c r="J1368" s="213">
        <f t="shared" si="523"/>
        <v>5107.5836553999998</v>
      </c>
      <c r="K1368" s="213">
        <f t="shared" si="523"/>
        <v>4482.7336154000004</v>
      </c>
      <c r="L1368" s="213">
        <f t="shared" si="523"/>
        <v>4998.1077754000007</v>
      </c>
      <c r="M1368" s="213">
        <f t="shared" si="523"/>
        <v>4104.8630954</v>
      </c>
      <c r="N1368" s="213">
        <f t="shared" si="523"/>
        <v>4055.4067074000004</v>
      </c>
      <c r="O1368" s="213">
        <f t="shared" si="523"/>
        <v>4126.8036874000009</v>
      </c>
      <c r="P1368" s="213">
        <f t="shared" si="523"/>
        <v>3435.6122874000002</v>
      </c>
      <c r="Q1368" s="213">
        <f t="shared" si="523"/>
        <v>974.87642739999978</v>
      </c>
      <c r="R1368" s="213">
        <f t="shared" si="523"/>
        <v>3795.5551673999998</v>
      </c>
      <c r="S1368" s="213">
        <f t="shared" si="523"/>
        <v>3688.5213473999997</v>
      </c>
      <c r="T1368" s="213">
        <f t="shared" si="523"/>
        <v>48310.065016799999</v>
      </c>
      <c r="U1368" s="213"/>
      <c r="V1368" s="213"/>
      <c r="W1368" s="412"/>
    </row>
    <row r="1369" spans="1:23" s="413" customFormat="1" hidden="1">
      <c r="A1369" s="316"/>
      <c r="B1369" s="316"/>
      <c r="C1369" s="237" t="s">
        <v>781</v>
      </c>
      <c r="D1369" s="316" t="s">
        <v>173</v>
      </c>
      <c r="E1369" s="316"/>
      <c r="F1369" s="316"/>
      <c r="G1369" s="316"/>
      <c r="H1369" s="213">
        <f t="shared" si="523"/>
        <v>5152.0756009982888</v>
      </c>
      <c r="I1369" s="213">
        <f t="shared" si="523"/>
        <v>4511.0109899025119</v>
      </c>
      <c r="J1369" s="213">
        <f>(J1295+J1322+J1335+J1350+J1363+J1309)</f>
        <v>5043.7107530562198</v>
      </c>
      <c r="K1369" s="213">
        <f t="shared" si="523"/>
        <v>4396.0882085931999</v>
      </c>
      <c r="L1369" s="213">
        <f t="shared" si="523"/>
        <v>4742.3910714835001</v>
      </c>
      <c r="M1369" s="213">
        <f t="shared" si="523"/>
        <v>3989.9940321573999</v>
      </c>
      <c r="N1369" s="213">
        <f t="shared" si="523"/>
        <v>4182.7988691942001</v>
      </c>
      <c r="O1369" s="213">
        <f t="shared" si="523"/>
        <v>4104.6601512233001</v>
      </c>
      <c r="P1369" s="213">
        <f t="shared" si="523"/>
        <v>3457.5506291222</v>
      </c>
      <c r="Q1369" s="213">
        <f t="shared" si="523"/>
        <v>1097.0628819708002</v>
      </c>
      <c r="R1369" s="213">
        <f t="shared" si="523"/>
        <v>3718.9649530330998</v>
      </c>
      <c r="S1369" s="213">
        <f t="shared" si="523"/>
        <v>3758.7118113635001</v>
      </c>
      <c r="T1369" s="213">
        <f t="shared" si="523"/>
        <v>48155.019952098221</v>
      </c>
      <c r="U1369" s="213"/>
      <c r="V1369" s="213"/>
      <c r="W1369" s="412"/>
    </row>
    <row r="1370" spans="1:23" s="413" customFormat="1" hidden="1">
      <c r="A1370" s="316"/>
      <c r="B1370" s="316"/>
      <c r="C1370" s="316" t="s">
        <v>782</v>
      </c>
      <c r="D1370" s="316"/>
      <c r="E1370" s="316"/>
      <c r="F1370" s="316"/>
      <c r="G1370" s="316"/>
      <c r="H1370" s="415">
        <f>H1368/H1369*100</f>
        <v>98.240906527444452</v>
      </c>
      <c r="I1370" s="415">
        <f>I1368/I1369*100</f>
        <v>99.28052681371959</v>
      </c>
      <c r="J1370" s="415">
        <f t="shared" ref="J1370:S1370" si="524">J1368/J1369*100</f>
        <v>101.26638710011426</v>
      </c>
      <c r="K1370" s="415">
        <f t="shared" si="524"/>
        <v>101.97096606563608</v>
      </c>
      <c r="L1370" s="415">
        <f t="shared" si="524"/>
        <v>105.39214712709276</v>
      </c>
      <c r="M1370" s="415">
        <f t="shared" si="524"/>
        <v>102.87892819680459</v>
      </c>
      <c r="N1370" s="415">
        <f t="shared" si="524"/>
        <v>96.954379931284123</v>
      </c>
      <c r="O1370" s="415">
        <f t="shared" si="524"/>
        <v>100.53947307111653</v>
      </c>
      <c r="P1370" s="415">
        <f t="shared" si="524"/>
        <v>99.365494707802171</v>
      </c>
      <c r="Q1370" s="415">
        <f t="shared" si="524"/>
        <v>88.862401911611428</v>
      </c>
      <c r="R1370" s="415">
        <f t="shared" si="524"/>
        <v>102.0594497483617</v>
      </c>
      <c r="S1370" s="415">
        <f t="shared" si="524"/>
        <v>98.132592561331847</v>
      </c>
      <c r="T1370" s="415">
        <f>T1368/T1369*100</f>
        <v>100.32197072051056</v>
      </c>
      <c r="U1370" s="213"/>
      <c r="V1370" s="213"/>
      <c r="W1370" s="412"/>
    </row>
    <row r="1371" spans="1:23" s="413" customFormat="1" ht="21.75" hidden="1" thickBot="1">
      <c r="A1371" s="316"/>
      <c r="B1371" s="316"/>
      <c r="C1371" s="316" t="s">
        <v>783</v>
      </c>
      <c r="D1371" s="316"/>
      <c r="E1371" s="316"/>
      <c r="F1371" s="316"/>
      <c r="G1371" s="316"/>
      <c r="H1371" s="919">
        <f>H1370</f>
        <v>98.240906527444452</v>
      </c>
      <c r="I1371" s="919">
        <f>(H1368+I1368)/(H1369+I1369)*100</f>
        <v>98.726231634758363</v>
      </c>
      <c r="J1371" s="919">
        <f>(H1368+I1368+J1368)/(H1369+I1369+J1369)*100</f>
        <v>99.597380473993198</v>
      </c>
      <c r="K1371" s="919">
        <f>(H1368+I1368+J1368+K1368)/(H1369+I1369+J1369+K1369)*100</f>
        <v>100.14360641471842</v>
      </c>
      <c r="L1371" s="920">
        <f>(H1368+I1368+J1368+K1368+L1368)/(H1369+I1369+J1369+K1369+L1369)*100</f>
        <v>101.18744553661789</v>
      </c>
      <c r="M1371" s="919">
        <f>(H1368+I1368+J1368+K1368+L1368+M1368)/(H1369+I1369+J1369+K1369+L1369+M1369)*100</f>
        <v>101.42990790757895</v>
      </c>
      <c r="N1371" s="919">
        <f>(H1368+I1368+J1368+K1368+L1368+M1368+N1368)/(H1369+I1369+J1369+K1369+L1369+M1369+N1369)*100</f>
        <v>100.84523076633374</v>
      </c>
      <c r="O1371" s="919">
        <f>(H1368+I1368+J1368+K1368+L1368+M1368+N1368+O1368)/(H1369+I1369+J1369+K1369+L1369+M1369+N1369+O1369)*100</f>
        <v>100.81048722843602</v>
      </c>
      <c r="P1371" s="919">
        <f>(H1368+I1368+J1368+K1368+L1368+M1368+N1368+O1368+P1368)/(H1369+I1369+J1369+K1369+L1369+M1369+N1369+O1369+P1369)*100</f>
        <v>100.68425935030574</v>
      </c>
      <c r="Q1371" s="919">
        <f>(H1368+I1368+J1368+K1368+L1368+N1368+M1368+O1368+P1368+Q1368)/(H1369+I1369+J1369+K1369+L1369+M1369+N1369+O1369+P1369+Q1369)*100</f>
        <v>100.36542532685202</v>
      </c>
      <c r="R1371" s="919">
        <f>(H1368+I1368+J1368+K1368+L1368+M1368+N1368+O1368+P1368+Q1368+R1368)/(H1369+I1369+J1369+K1369+M1369+L1369+N1369+O1369+P1369+Q1369+R1369)*100</f>
        <v>100.50732941115574</v>
      </c>
      <c r="S1371" s="921">
        <f>(H1368+I1368+J1368+K1368+L1368+M1368+N1368+O1368+P1368+Q1368+R1368+S1368)/(H1369+I1369+J1369+K1369+L1369+M1369+N1369+O1369+P1369+Q1369+R1369+S1369)*100</f>
        <v>100.32197072051056</v>
      </c>
      <c r="T1371" s="921"/>
      <c r="U1371" s="213"/>
      <c r="V1371" s="213"/>
      <c r="W1371" s="412"/>
    </row>
    <row r="1372" spans="1:23" s="556" customFormat="1" hidden="1">
      <c r="A1372" s="922"/>
      <c r="B1372" s="922"/>
      <c r="C1372" s="922" t="s">
        <v>784</v>
      </c>
      <c r="D1372" s="922" t="s">
        <v>173</v>
      </c>
      <c r="E1372" s="922"/>
      <c r="F1372" s="922"/>
      <c r="G1372" s="922"/>
      <c r="H1372" s="554">
        <f>(H1294+H1308+H1321+H1334+H1349+H1362+H1282)</f>
        <v>6010.691615400001</v>
      </c>
      <c r="I1372" s="554">
        <f t="shared" ref="I1372:T1373" si="525">(I1294+I1308+I1321+I1334+I1349+I1362+I1282)</f>
        <v>5239.5547474000005</v>
      </c>
      <c r="J1372" s="554">
        <f t="shared" si="525"/>
        <v>6012.9681753999994</v>
      </c>
      <c r="K1372" s="554">
        <f t="shared" si="525"/>
        <v>5355.9633674000006</v>
      </c>
      <c r="L1372" s="554">
        <f t="shared" si="525"/>
        <v>5866.0731513999999</v>
      </c>
      <c r="M1372" s="554">
        <f t="shared" si="525"/>
        <v>5034.6430274000004</v>
      </c>
      <c r="N1372" s="554">
        <f t="shared" si="525"/>
        <v>5008.1223594000003</v>
      </c>
      <c r="O1372" s="554">
        <f t="shared" si="525"/>
        <v>5070.4944394000013</v>
      </c>
      <c r="P1372" s="554">
        <f t="shared" si="525"/>
        <v>4393.2592794000002</v>
      </c>
      <c r="Q1372" s="554">
        <f t="shared" si="525"/>
        <v>1968.1292794000001</v>
      </c>
      <c r="R1372" s="554">
        <f t="shared" si="525"/>
        <v>4803.7081194000002</v>
      </c>
      <c r="S1372" s="554">
        <f t="shared" si="525"/>
        <v>4760.9614193999996</v>
      </c>
      <c r="T1372" s="554">
        <f t="shared" si="525"/>
        <v>56999.924236799998</v>
      </c>
      <c r="U1372" s="554"/>
      <c r="V1372" s="554"/>
      <c r="W1372" s="555"/>
    </row>
    <row r="1373" spans="1:23" s="556" customFormat="1" hidden="1">
      <c r="A1373" s="922"/>
      <c r="B1373" s="922"/>
      <c r="C1373" s="923" t="s">
        <v>785</v>
      </c>
      <c r="D1373" s="922" t="s">
        <v>173</v>
      </c>
      <c r="E1373" s="922"/>
      <c r="F1373" s="922"/>
      <c r="G1373" s="922"/>
      <c r="H1373" s="554">
        <f>(H1295+H1309+H1322+H1335+H1350+H1363+H1283)</f>
        <v>6140.619315281423</v>
      </c>
      <c r="I1373" s="554">
        <f t="shared" si="525"/>
        <v>5313.2606290942576</v>
      </c>
      <c r="J1373" s="554">
        <f t="shared" si="525"/>
        <v>6011.7736899810252</v>
      </c>
      <c r="K1373" s="554">
        <f t="shared" si="525"/>
        <v>5256.3490369209721</v>
      </c>
      <c r="L1373" s="554">
        <f t="shared" si="525"/>
        <v>5657.0929282819143</v>
      </c>
      <c r="M1373" s="554">
        <f t="shared" si="525"/>
        <v>4960.4177646166445</v>
      </c>
      <c r="N1373" s="554">
        <f t="shared" si="525"/>
        <v>5183.752693793489</v>
      </c>
      <c r="O1373" s="554">
        <f t="shared" si="525"/>
        <v>5146.1549597932008</v>
      </c>
      <c r="P1373" s="554">
        <f t="shared" si="525"/>
        <v>4475.4928334768874</v>
      </c>
      <c r="Q1373" s="554">
        <f t="shared" si="525"/>
        <v>2149.374164663006</v>
      </c>
      <c r="R1373" s="554">
        <f t="shared" si="525"/>
        <v>4917.9631249862059</v>
      </c>
      <c r="S1373" s="554">
        <f>(S1295+S1309+S1322+S1335+S1350+S1363+S1283)</f>
        <v>5015.6492915543422</v>
      </c>
      <c r="T1373" s="554">
        <f t="shared" si="525"/>
        <v>57350.30399575505</v>
      </c>
      <c r="U1373" s="554"/>
      <c r="V1373" s="554"/>
      <c r="W1373" s="555"/>
    </row>
    <row r="1374" spans="1:23" s="556" customFormat="1" hidden="1">
      <c r="A1374" s="922"/>
      <c r="B1374" s="922"/>
      <c r="C1374" s="922" t="s">
        <v>786</v>
      </c>
      <c r="D1374" s="922"/>
      <c r="E1374" s="922"/>
      <c r="F1374" s="922"/>
      <c r="G1374" s="922"/>
      <c r="H1374" s="924">
        <f>H1372/H1373*100</f>
        <v>97.884127101673826</v>
      </c>
      <c r="I1374" s="924">
        <f>I1372/I1373*100</f>
        <v>98.612793784467115</v>
      </c>
      <c r="J1374" s="924">
        <f t="shared" ref="J1374:R1374" si="526">J1372/J1373*100</f>
        <v>100.01986910154261</v>
      </c>
      <c r="K1374" s="924">
        <f t="shared" si="526"/>
        <v>101.8951239687344</v>
      </c>
      <c r="L1374" s="924">
        <f t="shared" si="526"/>
        <v>103.69412745675992</v>
      </c>
      <c r="M1374" s="924">
        <f t="shared" si="526"/>
        <v>101.49635103947926</v>
      </c>
      <c r="N1374" s="924">
        <f t="shared" si="526"/>
        <v>96.61190753556258</v>
      </c>
      <c r="O1374" s="924">
        <f t="shared" si="526"/>
        <v>98.529765990640911</v>
      </c>
      <c r="P1374" s="924">
        <f t="shared" si="526"/>
        <v>98.16258103550571</v>
      </c>
      <c r="Q1374" s="924">
        <f t="shared" si="526"/>
        <v>91.567550766973</v>
      </c>
      <c r="R1374" s="924">
        <f t="shared" si="526"/>
        <v>97.67678197899204</v>
      </c>
      <c r="S1374" s="924">
        <f>S1372/S1373*100</f>
        <v>94.922135553153581</v>
      </c>
      <c r="T1374" s="924">
        <f>T1372/T1373*100</f>
        <v>99.389053353612582</v>
      </c>
      <c r="U1374" s="554"/>
      <c r="V1374" s="554"/>
      <c r="W1374" s="555"/>
    </row>
    <row r="1375" spans="1:23" s="556" customFormat="1" ht="21.75" hidden="1" thickBot="1">
      <c r="A1375" s="922"/>
      <c r="B1375" s="922"/>
      <c r="C1375" s="922" t="s">
        <v>787</v>
      </c>
      <c r="D1375" s="922"/>
      <c r="E1375" s="922"/>
      <c r="F1375" s="922"/>
      <c r="G1375" s="922"/>
      <c r="H1375" s="919">
        <f>H1374</f>
        <v>97.884127101673826</v>
      </c>
      <c r="I1375" s="919">
        <f>(H1372+I1372)/(H1373+I1373)*100</f>
        <v>98.222143216407019</v>
      </c>
      <c r="J1375" s="919">
        <f>(H1372+I1372+J1372)/(H1373+I1373+J1373)*100</f>
        <v>98.840930317325842</v>
      </c>
      <c r="K1375" s="919">
        <f>(H1372+I1372+J1372+K1372)/(H1373+I1373+J1373+K1373)*100</f>
        <v>99.547466096341694</v>
      </c>
      <c r="L1375" s="920">
        <f>(H1372+I1372+J1372+K1372+L1372)/(H1373+I1373+J1373+K1373+L1373)*100</f>
        <v>100.3740621580698</v>
      </c>
      <c r="M1375" s="919">
        <f>(H1372+I1372+J1372+K1372+L1372+M1372)/(H1373+I1373+J1373+K1373+L1373+M1373)*100</f>
        <v>100.5410418510115</v>
      </c>
      <c r="N1375" s="919">
        <f>(H1372+I1372+J1372+K1372+L1372+M1372+N1372)/(H1373+I1373+J1373+K1373+L1373+M1373+N1373)*100</f>
        <v>100.01233121257978</v>
      </c>
      <c r="O1375" s="919">
        <f>(H1372+I1372+J1372+K1372+L1372+M1372+N1372+O1372)/(H1373+I1373+J1373+K1373+L1373+M1373+N1373+O1373)*100</f>
        <v>99.837620621225838</v>
      </c>
      <c r="P1375" s="919">
        <f>(H1372+I1372+J1372+K1372+L1372+M1372+N1372+O1372+P1372)/(H1373+I1373+J1373+K1373+L1373+M1373+N1373+O1373+P1373)*100</f>
        <v>99.681910971711389</v>
      </c>
      <c r="Q1375" s="919">
        <f>(H1372+I1372+J1372+K1372+L1372+N1372+M1372+O1372+P1372+Q1372)/(H1373+I1373+J1373+K1373+L1373+M1373+N1373+O1373+P1373+Q1373)*100</f>
        <v>99.335136081860668</v>
      </c>
      <c r="R1375" s="919">
        <f>(H1372+I1372+J1372+K1372+L1372+M1372+N1372+O1372+P1372+Q1372+R1372)/(H1373+I1373+J1373+K1373+M1373+L1373+N1373+O1373+P1373+Q1373+R1373)*100</f>
        <v>99.187420236961216</v>
      </c>
      <c r="S1375" s="921">
        <f>(H1372+I1372+J1372+K1372+L1372+M1372+N1372+O1372+P1372+Q1372+R1372+S1372)/(H1373+I1373+J1373+K1373+L1373+M1373+N1373+O1373+P1373+Q1373+R1373+S1373)*100</f>
        <v>98.832216553136746</v>
      </c>
      <c r="T1375" s="566"/>
      <c r="U1375" s="554"/>
      <c r="V1375" s="554"/>
      <c r="W1375" s="555"/>
    </row>
    <row r="1376" spans="1:23" s="413" customFormat="1" hidden="1">
      <c r="A1376" s="316"/>
      <c r="B1376" s="348" t="s">
        <v>788</v>
      </c>
      <c r="C1376" s="316"/>
      <c r="D1376" s="316"/>
      <c r="E1376" s="316"/>
      <c r="F1376" s="316"/>
      <c r="G1376" s="316"/>
      <c r="H1376" s="213"/>
      <c r="I1376" s="213"/>
      <c r="J1376" s="213"/>
      <c r="K1376" s="213"/>
      <c r="L1376" s="213"/>
      <c r="M1376" s="213"/>
      <c r="N1376" s="213"/>
      <c r="O1376" s="213"/>
      <c r="P1376" s="213"/>
      <c r="Q1376" s="213"/>
      <c r="R1376" s="213"/>
      <c r="S1376" s="213"/>
      <c r="T1376" s="213"/>
      <c r="U1376" s="213"/>
      <c r="V1376" s="213"/>
      <c r="W1376" s="412"/>
    </row>
    <row r="1377" spans="1:29" hidden="1">
      <c r="A1377" s="62"/>
      <c r="B1377" s="348" t="s">
        <v>788</v>
      </c>
      <c r="C1377" s="278"/>
      <c r="D1377" s="62"/>
      <c r="E1377" s="238"/>
      <c r="F1377" s="62"/>
      <c r="G1377" s="256"/>
      <c r="H1377" s="225"/>
      <c r="I1377" s="225"/>
      <c r="J1377" s="225"/>
      <c r="K1377" s="225"/>
      <c r="L1377" s="225"/>
      <c r="M1377" s="225"/>
      <c r="N1377" s="225"/>
      <c r="O1377" s="225"/>
      <c r="P1377" s="225"/>
      <c r="Q1377" s="351"/>
      <c r="R1377" s="225"/>
      <c r="S1377" s="225"/>
      <c r="T1377" s="225"/>
      <c r="U1377" s="225"/>
      <c r="V1377" s="225"/>
      <c r="W1377" s="227"/>
      <c r="X1377" s="227"/>
      <c r="Y1377" s="227"/>
      <c r="Z1377" s="227"/>
      <c r="AA1377" s="227"/>
      <c r="AB1377" s="227"/>
      <c r="AC1377" s="227"/>
    </row>
    <row r="1378" spans="1:29" hidden="1">
      <c r="A1378" s="253"/>
      <c r="B1378" s="347"/>
      <c r="C1378" s="278" t="s">
        <v>789</v>
      </c>
      <c r="D1378" s="62" t="s">
        <v>90</v>
      </c>
      <c r="E1378" s="557">
        <v>3.6</v>
      </c>
      <c r="F1378" s="62"/>
      <c r="G1378" s="256"/>
      <c r="H1378" s="277">
        <v>135390</v>
      </c>
      <c r="I1378" s="277">
        <v>130620</v>
      </c>
      <c r="J1378" s="277">
        <v>145240</v>
      </c>
      <c r="K1378" s="277">
        <v>137420</v>
      </c>
      <c r="L1378" s="277">
        <v>153320</v>
      </c>
      <c r="M1378" s="277">
        <v>126906.47</v>
      </c>
      <c r="N1378" s="277">
        <v>135265.019</v>
      </c>
      <c r="O1378" s="277">
        <v>142415.019</v>
      </c>
      <c r="P1378" s="277">
        <v>120786.47</v>
      </c>
      <c r="Q1378" s="277">
        <v>120547</v>
      </c>
      <c r="R1378" s="277">
        <v>111994</v>
      </c>
      <c r="S1378" s="277">
        <v>119603</v>
      </c>
      <c r="T1378" s="277">
        <f>SUM(H1378:S1378)</f>
        <v>1579506.9779999999</v>
      </c>
      <c r="U1378" s="225"/>
      <c r="V1378" s="225"/>
      <c r="W1378" s="227"/>
      <c r="X1378" s="227"/>
      <c r="Y1378" s="227"/>
      <c r="Z1378" s="227"/>
      <c r="AA1378" s="227"/>
      <c r="AB1378" s="227"/>
      <c r="AC1378" s="227"/>
    </row>
    <row r="1379" spans="1:29" hidden="1">
      <c r="A1379" s="253"/>
      <c r="B1379" s="253"/>
      <c r="C1379" s="558"/>
      <c r="D1379" s="253"/>
      <c r="E1379" s="253"/>
      <c r="F1379" s="253"/>
      <c r="G1379" s="253"/>
      <c r="H1379" s="353"/>
      <c r="I1379" s="353"/>
      <c r="J1379" s="353"/>
      <c r="K1379" s="353"/>
      <c r="L1379" s="353"/>
      <c r="M1379" s="353"/>
      <c r="N1379" s="353"/>
      <c r="O1379" s="353"/>
      <c r="P1379" s="353"/>
      <c r="Q1379" s="561"/>
      <c r="R1379" s="353"/>
      <c r="S1379" s="353"/>
      <c r="T1379" s="277"/>
      <c r="U1379" s="353">
        <f>SUM(U1377:U1378)</f>
        <v>0</v>
      </c>
      <c r="V1379" s="277">
        <f>SUM(V1377:V1378)</f>
        <v>0</v>
      </c>
    </row>
    <row r="1380" spans="1:29" hidden="1">
      <c r="A1380" s="253"/>
      <c r="B1380" s="233"/>
      <c r="C1380" s="234"/>
      <c r="D1380" s="233"/>
      <c r="E1380" s="233"/>
      <c r="F1380" s="233"/>
      <c r="G1380" s="253"/>
      <c r="H1380" s="264">
        <v>153121.31506849316</v>
      </c>
      <c r="I1380" s="264">
        <v>138303.12328767125</v>
      </c>
      <c r="J1380" s="264">
        <v>153121.31506849316</v>
      </c>
      <c r="K1380" s="264">
        <v>148181.91780821918</v>
      </c>
      <c r="L1380" s="264">
        <v>153121</v>
      </c>
      <c r="M1380" s="264">
        <v>148181.91780821918</v>
      </c>
      <c r="N1380" s="264">
        <v>153121.31506849316</v>
      </c>
      <c r="O1380" s="264">
        <v>153121.31506849316</v>
      </c>
      <c r="P1380" s="264">
        <v>148181.91780821918</v>
      </c>
      <c r="Q1380" s="563">
        <v>153121.31506849316</v>
      </c>
      <c r="R1380" s="563">
        <v>148181.91780821918</v>
      </c>
      <c r="S1380" s="264">
        <v>153121.31506849316</v>
      </c>
      <c r="T1380" s="277">
        <f>SUM(H1380:S1380)</f>
        <v>1802879.6849315066</v>
      </c>
      <c r="U1380" s="259"/>
      <c r="V1380" s="785">
        <f>V1379/T1380</f>
        <v>0</v>
      </c>
    </row>
    <row r="1381" spans="1:29" hidden="1">
      <c r="A1381" s="253"/>
      <c r="B1381" s="253"/>
      <c r="C1381" s="276"/>
      <c r="D1381" s="253"/>
      <c r="E1381" s="253"/>
      <c r="F1381" s="253"/>
      <c r="G1381" s="253"/>
      <c r="H1381" s="277"/>
      <c r="I1381" s="277"/>
      <c r="J1381" s="277"/>
      <c r="K1381" s="277"/>
      <c r="L1381" s="277"/>
      <c r="M1381" s="277"/>
      <c r="N1381" s="277"/>
      <c r="O1381" s="277"/>
      <c r="P1381" s="277"/>
      <c r="Q1381" s="340"/>
      <c r="R1381" s="277"/>
      <c r="S1381" s="277"/>
      <c r="T1381" s="277"/>
      <c r="U1381" s="277"/>
      <c r="V1381" s="771" t="s">
        <v>137</v>
      </c>
    </row>
    <row r="1382" spans="1:29" hidden="1">
      <c r="A1382" s="253"/>
      <c r="B1382" s="253"/>
      <c r="C1382" s="278" t="s">
        <v>790</v>
      </c>
      <c r="D1382" s="253" t="s">
        <v>173</v>
      </c>
      <c r="E1382" s="62"/>
      <c r="F1382" s="62"/>
      <c r="G1382" s="253"/>
      <c r="H1382" s="277">
        <f>H1378*$E$1378/1000</f>
        <v>487.404</v>
      </c>
      <c r="I1382" s="277">
        <f t="shared" ref="I1382:S1382" si="527">I1378*$E$1378/1000</f>
        <v>470.23200000000003</v>
      </c>
      <c r="J1382" s="277">
        <f t="shared" si="527"/>
        <v>522.86400000000003</v>
      </c>
      <c r="K1382" s="277">
        <f t="shared" si="527"/>
        <v>494.71199999999999</v>
      </c>
      <c r="L1382" s="277">
        <f t="shared" si="527"/>
        <v>551.952</v>
      </c>
      <c r="M1382" s="277">
        <f t="shared" si="527"/>
        <v>456.863292</v>
      </c>
      <c r="N1382" s="277">
        <f t="shared" si="527"/>
        <v>486.95406839999998</v>
      </c>
      <c r="O1382" s="277">
        <f t="shared" si="527"/>
        <v>512.69406839999999</v>
      </c>
      <c r="P1382" s="277">
        <f t="shared" si="527"/>
        <v>434.83129200000002</v>
      </c>
      <c r="Q1382" s="277">
        <f t="shared" si="527"/>
        <v>433.9692</v>
      </c>
      <c r="R1382" s="277">
        <f t="shared" si="527"/>
        <v>403.17840000000001</v>
      </c>
      <c r="S1382" s="277">
        <f t="shared" si="527"/>
        <v>430.57079999999996</v>
      </c>
      <c r="T1382" s="277">
        <f>SUM(H1382:S1382)</f>
        <v>5686.2251207999998</v>
      </c>
      <c r="U1382" s="277"/>
      <c r="V1382" s="277"/>
    </row>
    <row r="1383" spans="1:29" hidden="1">
      <c r="A1383" s="253"/>
      <c r="B1383" s="62"/>
      <c r="C1383" s="237" t="s">
        <v>791</v>
      </c>
      <c r="D1383" s="62" t="s">
        <v>173</v>
      </c>
      <c r="E1383" s="62"/>
      <c r="F1383" s="62"/>
      <c r="G1383" s="253"/>
      <c r="H1383" s="277">
        <f>153121.315068493*3.6/1000</f>
        <v>551.23673424657477</v>
      </c>
      <c r="I1383" s="277">
        <f>138303.123287671*3.6/1000</f>
        <v>497.89124383561563</v>
      </c>
      <c r="J1383" s="277">
        <f>153121.315068493*3.6/1000</f>
        <v>551.23673424657477</v>
      </c>
      <c r="K1383" s="277">
        <f t="shared" ref="K1383:S1383" si="528">148181.917808219*3.6/1000</f>
        <v>533.45490410958848</v>
      </c>
      <c r="L1383" s="277">
        <f t="shared" si="528"/>
        <v>533.45490410958848</v>
      </c>
      <c r="M1383" s="277">
        <f t="shared" si="528"/>
        <v>533.45490410958848</v>
      </c>
      <c r="N1383" s="277">
        <f t="shared" si="528"/>
        <v>533.45490410958848</v>
      </c>
      <c r="O1383" s="277">
        <f t="shared" si="528"/>
        <v>533.45490410958848</v>
      </c>
      <c r="P1383" s="277">
        <f t="shared" si="528"/>
        <v>533.45490410958848</v>
      </c>
      <c r="Q1383" s="277">
        <f t="shared" si="528"/>
        <v>533.45490410958848</v>
      </c>
      <c r="R1383" s="277">
        <f t="shared" si="528"/>
        <v>533.45490410958848</v>
      </c>
      <c r="S1383" s="277">
        <f t="shared" si="528"/>
        <v>533.45490410958848</v>
      </c>
      <c r="T1383" s="277">
        <f>SUM(H1383:S1383)</f>
        <v>6401.4588493150623</v>
      </c>
      <c r="U1383" s="277"/>
      <c r="V1383" s="786"/>
    </row>
    <row r="1384" spans="1:29" hidden="1">
      <c r="A1384" s="253"/>
      <c r="B1384" s="243" t="s">
        <v>174</v>
      </c>
      <c r="C1384" s="244" t="s">
        <v>790</v>
      </c>
      <c r="D1384" s="243" t="s">
        <v>792</v>
      </c>
      <c r="E1384" s="243"/>
      <c r="F1384" s="243"/>
      <c r="G1384" s="253"/>
      <c r="H1384" s="245">
        <f>H1382</f>
        <v>487.404</v>
      </c>
      <c r="I1384" s="245">
        <f t="shared" ref="I1384:S1384" si="529">I1382</f>
        <v>470.23200000000003</v>
      </c>
      <c r="J1384" s="245">
        <f t="shared" si="529"/>
        <v>522.86400000000003</v>
      </c>
      <c r="K1384" s="245">
        <f t="shared" si="529"/>
        <v>494.71199999999999</v>
      </c>
      <c r="L1384" s="245">
        <f t="shared" si="529"/>
        <v>551.952</v>
      </c>
      <c r="M1384" s="245">
        <f t="shared" si="529"/>
        <v>456.863292</v>
      </c>
      <c r="N1384" s="245">
        <f t="shared" si="529"/>
        <v>486.95406839999998</v>
      </c>
      <c r="O1384" s="245">
        <f t="shared" si="529"/>
        <v>512.69406839999999</v>
      </c>
      <c r="P1384" s="245">
        <f t="shared" si="529"/>
        <v>434.83129200000002</v>
      </c>
      <c r="Q1384" s="245">
        <f t="shared" si="529"/>
        <v>433.9692</v>
      </c>
      <c r="R1384" s="245">
        <f t="shared" si="529"/>
        <v>403.17840000000001</v>
      </c>
      <c r="S1384" s="245">
        <f t="shared" si="529"/>
        <v>430.57079999999996</v>
      </c>
      <c r="T1384" s="245">
        <f>T1382</f>
        <v>5686.2251207999998</v>
      </c>
      <c r="U1384" s="246"/>
      <c r="V1384" s="246"/>
    </row>
    <row r="1385" spans="1:29" ht="23.25" hidden="1">
      <c r="A1385" s="253"/>
      <c r="B1385" s="243"/>
      <c r="C1385" s="249" t="s">
        <v>793</v>
      </c>
      <c r="D1385" s="243" t="s">
        <v>792</v>
      </c>
      <c r="E1385" s="243"/>
      <c r="F1385" s="243"/>
      <c r="G1385" s="253"/>
      <c r="H1385" s="245"/>
      <c r="I1385" s="245"/>
      <c r="J1385" s="245"/>
      <c r="K1385" s="245"/>
      <c r="L1385" s="245"/>
      <c r="M1385" s="245"/>
      <c r="N1385" s="245"/>
      <c r="O1385" s="245"/>
      <c r="P1385" s="245"/>
      <c r="Q1385" s="245"/>
      <c r="R1385" s="245"/>
      <c r="S1385" s="245"/>
      <c r="T1385" s="250"/>
      <c r="U1385" s="246"/>
      <c r="V1385" s="246"/>
    </row>
    <row r="1386" spans="1:29" hidden="1">
      <c r="A1386" s="253"/>
      <c r="B1386" s="243"/>
      <c r="C1386" s="249" t="s">
        <v>794</v>
      </c>
      <c r="D1386" s="243" t="s">
        <v>401</v>
      </c>
      <c r="E1386" s="243"/>
      <c r="F1386" s="243"/>
      <c r="G1386" s="253"/>
      <c r="H1386" s="251">
        <f>H1382/H1383*100</f>
        <v>88.420087000584104</v>
      </c>
      <c r="I1386" s="251">
        <f t="shared" ref="I1386:S1386" si="530">I1382/I1383*100</f>
        <v>94.444721778487917</v>
      </c>
      <c r="J1386" s="251">
        <f t="shared" si="530"/>
        <v>94.852894866421707</v>
      </c>
      <c r="K1386" s="251">
        <f t="shared" si="530"/>
        <v>92.737360963199706</v>
      </c>
      <c r="L1386" s="251">
        <f t="shared" si="530"/>
        <v>103.46741509880499</v>
      </c>
      <c r="M1386" s="251">
        <f t="shared" si="530"/>
        <v>85.642345487960085</v>
      </c>
      <c r="N1386" s="251">
        <f t="shared" si="530"/>
        <v>91.283080284507847</v>
      </c>
      <c r="O1386" s="251">
        <f t="shared" si="530"/>
        <v>96.108230414669961</v>
      </c>
      <c r="P1386" s="251">
        <f t="shared" si="530"/>
        <v>81.512286915010151</v>
      </c>
      <c r="Q1386" s="251">
        <f t="shared" si="530"/>
        <v>81.350681502189175</v>
      </c>
      <c r="R1386" s="251">
        <f t="shared" si="530"/>
        <v>75.578722192640001</v>
      </c>
      <c r="S1386" s="251">
        <f t="shared" si="530"/>
        <v>80.713626715773358</v>
      </c>
      <c r="T1386" s="251">
        <f>T1382/T1383*100</f>
        <v>88.827019819215266</v>
      </c>
      <c r="U1386" s="246"/>
      <c r="V1386" s="246"/>
    </row>
    <row r="1387" spans="1:29" hidden="1">
      <c r="A1387" s="331"/>
      <c r="B1387" s="243"/>
      <c r="C1387" s="249" t="s">
        <v>795</v>
      </c>
      <c r="D1387" s="559"/>
      <c r="E1387" s="559"/>
      <c r="F1387" s="559"/>
      <c r="G1387" s="331"/>
      <c r="H1387" s="560"/>
      <c r="I1387" s="560"/>
      <c r="J1387" s="560"/>
      <c r="K1387" s="560"/>
      <c r="L1387" s="560"/>
      <c r="M1387" s="560"/>
      <c r="N1387" s="560"/>
      <c r="O1387" s="560"/>
      <c r="P1387" s="560"/>
      <c r="Q1387" s="560"/>
      <c r="R1387" s="560"/>
      <c r="S1387" s="560"/>
      <c r="T1387" s="560"/>
      <c r="U1387" s="247"/>
      <c r="V1387" s="247"/>
    </row>
    <row r="1388" spans="1:29" s="413" customFormat="1" hidden="1">
      <c r="A1388" s="316"/>
      <c r="B1388" s="348" t="s">
        <v>796</v>
      </c>
      <c r="C1388" s="316"/>
      <c r="D1388" s="316"/>
      <c r="E1388" s="316"/>
      <c r="F1388" s="316"/>
      <c r="G1388" s="316"/>
      <c r="H1388" s="213"/>
      <c r="I1388" s="213"/>
      <c r="J1388" s="213"/>
      <c r="K1388" s="213"/>
      <c r="L1388" s="213"/>
      <c r="M1388" s="213"/>
      <c r="N1388" s="213"/>
      <c r="O1388" s="213"/>
      <c r="P1388" s="213"/>
      <c r="Q1388" s="213"/>
      <c r="R1388" s="213"/>
      <c r="S1388" s="213"/>
      <c r="T1388" s="213"/>
      <c r="U1388" s="213"/>
      <c r="V1388" s="213"/>
      <c r="W1388" s="412"/>
    </row>
    <row r="1389" spans="1:29" hidden="1">
      <c r="A1389" s="62"/>
      <c r="B1389" s="348" t="s">
        <v>797</v>
      </c>
      <c r="C1389" s="278"/>
      <c r="D1389" s="62"/>
      <c r="E1389" s="238"/>
      <c r="F1389" s="62"/>
      <c r="G1389" s="256"/>
      <c r="H1389" s="225"/>
      <c r="I1389" s="225"/>
      <c r="J1389" s="225"/>
      <c r="K1389" s="225"/>
      <c r="L1389" s="225"/>
      <c r="M1389" s="225"/>
      <c r="N1389" s="225"/>
      <c r="O1389" s="225"/>
      <c r="P1389" s="225"/>
      <c r="Q1389" s="351"/>
      <c r="R1389" s="225"/>
      <c r="S1389" s="225"/>
      <c r="T1389" s="225">
        <f>SUM(H1389:S1389)</f>
        <v>0</v>
      </c>
      <c r="U1389" s="225">
        <f>T1389*E1389</f>
        <v>0</v>
      </c>
      <c r="V1389" s="225">
        <f>G1389*T1389</f>
        <v>0</v>
      </c>
      <c r="W1389" s="227"/>
      <c r="X1389" s="227"/>
      <c r="Y1389" s="227"/>
      <c r="Z1389" s="227"/>
      <c r="AA1389" s="227"/>
      <c r="AB1389" s="227"/>
      <c r="AC1389" s="227"/>
    </row>
    <row r="1390" spans="1:29" hidden="1">
      <c r="A1390" s="253"/>
      <c r="B1390" s="347"/>
      <c r="C1390" s="278" t="s">
        <v>789</v>
      </c>
      <c r="D1390" s="62" t="s">
        <v>90</v>
      </c>
      <c r="E1390" s="557">
        <v>3.6</v>
      </c>
      <c r="F1390" s="62"/>
      <c r="G1390" s="256"/>
      <c r="H1390" s="277">
        <v>219600</v>
      </c>
      <c r="I1390" s="277">
        <v>197040</v>
      </c>
      <c r="J1390" s="277">
        <v>212000</v>
      </c>
      <c r="K1390" s="277">
        <v>204840</v>
      </c>
      <c r="L1390" s="277"/>
      <c r="M1390" s="277"/>
      <c r="N1390" s="277"/>
      <c r="O1390" s="277"/>
      <c r="P1390" s="277"/>
      <c r="Q1390" s="277"/>
      <c r="R1390" s="277"/>
      <c r="S1390" s="277"/>
      <c r="T1390" s="225">
        <f>SUM(H1390:S1390)</f>
        <v>833480</v>
      </c>
      <c r="U1390" s="225"/>
      <c r="V1390" s="225"/>
      <c r="W1390" s="227"/>
      <c r="X1390" s="227"/>
      <c r="Y1390" s="227"/>
      <c r="Z1390" s="227"/>
      <c r="AA1390" s="227"/>
      <c r="AB1390" s="227"/>
      <c r="AC1390" s="227"/>
    </row>
    <row r="1391" spans="1:29" hidden="1">
      <c r="A1391" s="253"/>
      <c r="B1391" s="253"/>
      <c r="C1391" s="558"/>
      <c r="D1391" s="253"/>
      <c r="E1391" s="253" t="s">
        <v>798</v>
      </c>
      <c r="F1391" s="253" t="s">
        <v>799</v>
      </c>
      <c r="G1391" s="253"/>
      <c r="H1391" s="353"/>
      <c r="I1391" s="353"/>
      <c r="J1391" s="353"/>
      <c r="K1391" s="353"/>
      <c r="L1391" s="353"/>
      <c r="M1391" s="353"/>
      <c r="N1391" s="353"/>
      <c r="O1391" s="353"/>
      <c r="P1391" s="353"/>
      <c r="Q1391" s="561"/>
      <c r="R1391" s="353"/>
      <c r="S1391" s="353"/>
      <c r="T1391" s="257"/>
      <c r="U1391" s="353">
        <f>SUM(U1389:U1390)</f>
        <v>0</v>
      </c>
      <c r="V1391" s="277">
        <f>SUM(V1389:V1390)</f>
        <v>0</v>
      </c>
    </row>
    <row r="1392" spans="1:29" hidden="1">
      <c r="A1392" s="253"/>
      <c r="B1392" s="233"/>
      <c r="C1392" s="234" t="s">
        <v>800</v>
      </c>
      <c r="D1392" s="233" t="s">
        <v>801</v>
      </c>
      <c r="E1392" s="233">
        <f>536+100</f>
        <v>636</v>
      </c>
      <c r="F1392" s="233">
        <f>483+90</f>
        <v>573</v>
      </c>
      <c r="G1392" s="253"/>
      <c r="H1392" s="264">
        <f>$E$1392</f>
        <v>636</v>
      </c>
      <c r="I1392" s="264">
        <f>$E$1392</f>
        <v>636</v>
      </c>
      <c r="J1392" s="264">
        <f>$E$1392</f>
        <v>636</v>
      </c>
      <c r="K1392" s="264">
        <f>$E$1392</f>
        <v>636</v>
      </c>
      <c r="L1392" s="264"/>
      <c r="M1392" s="264"/>
      <c r="N1392" s="264"/>
      <c r="O1392" s="264"/>
      <c r="P1392" s="264"/>
      <c r="Q1392" s="264"/>
      <c r="R1392" s="563"/>
      <c r="S1392" s="264"/>
      <c r="T1392" s="236">
        <f>SUM(H1392:S1392)</f>
        <v>2544</v>
      </c>
      <c r="U1392" s="259"/>
      <c r="V1392" s="785">
        <f>V1391/T1392</f>
        <v>0</v>
      </c>
    </row>
    <row r="1393" spans="1:23" hidden="1">
      <c r="A1393" s="253"/>
      <c r="B1393" s="253"/>
      <c r="C1393" s="234" t="s">
        <v>513</v>
      </c>
      <c r="D1393" s="233" t="s">
        <v>514</v>
      </c>
      <c r="E1393" s="793">
        <v>11300</v>
      </c>
      <c r="F1393" s="253"/>
      <c r="G1393" s="253"/>
      <c r="H1393" s="277"/>
      <c r="I1393" s="277"/>
      <c r="J1393" s="277"/>
      <c r="K1393" s="277"/>
      <c r="L1393" s="277"/>
      <c r="M1393" s="277"/>
      <c r="N1393" s="277"/>
      <c r="O1393" s="277"/>
      <c r="P1393" s="277"/>
      <c r="Q1393" s="340"/>
      <c r="R1393" s="277"/>
      <c r="S1393" s="277"/>
      <c r="T1393" s="277"/>
      <c r="U1393" s="277"/>
      <c r="V1393" s="771" t="s">
        <v>137</v>
      </c>
    </row>
    <row r="1394" spans="1:23" hidden="1">
      <c r="A1394" s="253"/>
      <c r="B1394" s="253"/>
      <c r="C1394" s="278" t="s">
        <v>790</v>
      </c>
      <c r="D1394" s="253" t="s">
        <v>173</v>
      </c>
      <c r="E1394" s="62"/>
      <c r="F1394" s="62"/>
      <c r="G1394" s="253"/>
      <c r="H1394" s="277">
        <f>H1390*$E$1390/1000</f>
        <v>790.56</v>
      </c>
      <c r="I1394" s="277">
        <f>I1390*$E$1390/1000</f>
        <v>709.34400000000005</v>
      </c>
      <c r="J1394" s="277">
        <f>J1390*$E$1390/1000</f>
        <v>763.2</v>
      </c>
      <c r="K1394" s="277">
        <f>K1390*$E$1390/1000</f>
        <v>737.42399999999998</v>
      </c>
      <c r="L1394" s="277"/>
      <c r="M1394" s="277"/>
      <c r="N1394" s="277"/>
      <c r="O1394" s="277"/>
      <c r="P1394" s="277"/>
      <c r="Q1394" s="277"/>
      <c r="R1394" s="277"/>
      <c r="S1394" s="277"/>
      <c r="T1394" s="277">
        <f>SUM(H1394:S1394)</f>
        <v>3000.5280000000002</v>
      </c>
      <c r="U1394" s="277"/>
      <c r="V1394" s="277"/>
    </row>
    <row r="1395" spans="1:23" hidden="1">
      <c r="A1395" s="253"/>
      <c r="B1395" s="62"/>
      <c r="C1395" s="237" t="s">
        <v>791</v>
      </c>
      <c r="D1395" s="62" t="s">
        <v>173</v>
      </c>
      <c r="E1395" s="564">
        <f>[2]GA!F30</f>
        <v>35.969533099046117</v>
      </c>
      <c r="F1395" s="546" t="s">
        <v>802</v>
      </c>
      <c r="G1395" s="253"/>
      <c r="H1395" s="277">
        <f>H1392*$E$1395*31/1000</f>
        <v>709.17531458079327</v>
      </c>
      <c r="I1395" s="277">
        <f>I1392*$E$1395*28/1000</f>
        <v>640.54544542781321</v>
      </c>
      <c r="J1395" s="277">
        <f>J1392*$E$1395*31/1000</f>
        <v>709.17531458079327</v>
      </c>
      <c r="K1395" s="277">
        <f>K1392*$E$1395*31/1000</f>
        <v>709.17531458079327</v>
      </c>
      <c r="L1395" s="277"/>
      <c r="M1395" s="277"/>
      <c r="N1395" s="277"/>
      <c r="O1395" s="277"/>
      <c r="P1395" s="277"/>
      <c r="Q1395" s="277"/>
      <c r="R1395" s="277"/>
      <c r="S1395" s="277"/>
      <c r="T1395" s="277">
        <f>SUM(H1395:S1395)</f>
        <v>2768.071389170193</v>
      </c>
      <c r="U1395" s="277"/>
      <c r="V1395" s="786"/>
    </row>
    <row r="1396" spans="1:23" hidden="1">
      <c r="A1396" s="253"/>
      <c r="B1396" s="243" t="s">
        <v>174</v>
      </c>
      <c r="C1396" s="244" t="s">
        <v>790</v>
      </c>
      <c r="D1396" s="243" t="s">
        <v>803</v>
      </c>
      <c r="E1396" s="243"/>
      <c r="F1396" s="243"/>
      <c r="G1396" s="253"/>
      <c r="H1396" s="245">
        <f>H1394/H1392/31</f>
        <v>4.0097382836275106E-2</v>
      </c>
      <c r="I1396" s="245">
        <f>I1394/I1392/28</f>
        <v>3.9832884097035046E-2</v>
      </c>
      <c r="J1396" s="245">
        <f>J1394/J1392/31</f>
        <v>3.8709677419354847E-2</v>
      </c>
      <c r="K1396" s="245">
        <f>K1394/K1392/30</f>
        <v>3.8649056603773588E-2</v>
      </c>
      <c r="L1396" s="245"/>
      <c r="M1396" s="245"/>
      <c r="N1396" s="245"/>
      <c r="O1396" s="245"/>
      <c r="P1396" s="245"/>
      <c r="Q1396" s="245"/>
      <c r="R1396" s="245"/>
      <c r="S1396" s="245"/>
      <c r="T1396" s="245">
        <f>T1394/T1392/31</f>
        <v>3.80468654899574E-2</v>
      </c>
      <c r="U1396" s="246"/>
      <c r="V1396" s="246"/>
    </row>
    <row r="1397" spans="1:23" ht="23.25" hidden="1">
      <c r="A1397" s="253"/>
      <c r="B1397" s="243"/>
      <c r="C1397" s="249"/>
      <c r="D1397" s="243" t="s">
        <v>804</v>
      </c>
      <c r="E1397" s="243"/>
      <c r="F1397" s="243"/>
      <c r="G1397" s="253"/>
      <c r="H1397" s="245">
        <f>H1390/$E$1393</f>
        <v>19.43362831858407</v>
      </c>
      <c r="I1397" s="245">
        <f>I1390/$E$1393</f>
        <v>17.43716814159292</v>
      </c>
      <c r="J1397" s="245">
        <f>J1390/$E$1393</f>
        <v>18.761061946902654</v>
      </c>
      <c r="K1397" s="245">
        <f>K1390/$E$1393</f>
        <v>18.127433628318585</v>
      </c>
      <c r="L1397" s="245"/>
      <c r="M1397" s="245"/>
      <c r="N1397" s="245"/>
      <c r="O1397" s="245"/>
      <c r="P1397" s="245"/>
      <c r="Q1397" s="245"/>
      <c r="R1397" s="245"/>
      <c r="S1397" s="245"/>
      <c r="T1397" s="250"/>
      <c r="U1397" s="246"/>
      <c r="V1397" s="246"/>
    </row>
    <row r="1398" spans="1:23" hidden="1">
      <c r="A1398" s="253"/>
      <c r="B1398" s="243"/>
      <c r="C1398" s="249" t="s">
        <v>805</v>
      </c>
      <c r="D1398" s="243" t="s">
        <v>401</v>
      </c>
      <c r="E1398" s="243"/>
      <c r="F1398" s="243"/>
      <c r="G1398" s="253"/>
      <c r="H1398" s="251">
        <f>H1394/H1395*100</f>
        <v>111.47596140840218</v>
      </c>
      <c r="I1398" s="251">
        <f>I1394/I1395*100</f>
        <v>110.74062036710556</v>
      </c>
      <c r="J1398" s="251">
        <f>J1394/J1395*100</f>
        <v>107.6179591010076</v>
      </c>
      <c r="K1398" s="251">
        <f>K1394/K1395*100</f>
        <v>103.98331482193581</v>
      </c>
      <c r="L1398" s="251"/>
      <c r="M1398" s="251"/>
      <c r="N1398" s="251"/>
      <c r="O1398" s="251"/>
      <c r="P1398" s="251"/>
      <c r="Q1398" s="251"/>
      <c r="R1398" s="251"/>
      <c r="S1398" s="251"/>
      <c r="T1398" s="251">
        <f>T1394/T1395*100</f>
        <v>108.3977823599229</v>
      </c>
      <c r="U1398" s="246"/>
      <c r="V1398" s="246"/>
    </row>
    <row r="1399" spans="1:23" hidden="1">
      <c r="A1399" s="331"/>
      <c r="B1399" s="559"/>
      <c r="C1399" s="249" t="s">
        <v>806</v>
      </c>
      <c r="D1399" s="243"/>
      <c r="E1399" s="243"/>
      <c r="F1399" s="243"/>
      <c r="G1399" s="253"/>
      <c r="H1399" s="565">
        <f t="shared" ref="H1399:K1400" si="531">H1394</f>
        <v>790.56</v>
      </c>
      <c r="I1399" s="565">
        <f t="shared" si="531"/>
        <v>709.34400000000005</v>
      </c>
      <c r="J1399" s="565">
        <f t="shared" si="531"/>
        <v>763.2</v>
      </c>
      <c r="K1399" s="565">
        <f t="shared" si="531"/>
        <v>737.42399999999998</v>
      </c>
      <c r="L1399" s="565"/>
      <c r="M1399" s="565"/>
      <c r="N1399" s="565"/>
      <c r="O1399" s="565"/>
      <c r="P1399" s="565"/>
      <c r="Q1399" s="565"/>
      <c r="R1399" s="565"/>
      <c r="S1399" s="565"/>
      <c r="T1399" s="251"/>
      <c r="U1399" s="247"/>
      <c r="V1399" s="247"/>
    </row>
    <row r="1400" spans="1:23" hidden="1">
      <c r="A1400" s="331"/>
      <c r="B1400" s="559"/>
      <c r="C1400" s="249" t="s">
        <v>736</v>
      </c>
      <c r="D1400" s="243"/>
      <c r="E1400" s="243"/>
      <c r="F1400" s="243"/>
      <c r="G1400" s="253"/>
      <c r="H1400" s="565">
        <f t="shared" si="531"/>
        <v>709.17531458079327</v>
      </c>
      <c r="I1400" s="565">
        <f t="shared" si="531"/>
        <v>640.54544542781321</v>
      </c>
      <c r="J1400" s="565">
        <f t="shared" si="531"/>
        <v>709.17531458079327</v>
      </c>
      <c r="K1400" s="565">
        <f t="shared" si="531"/>
        <v>709.17531458079327</v>
      </c>
      <c r="L1400" s="565"/>
      <c r="M1400" s="565"/>
      <c r="N1400" s="565"/>
      <c r="O1400" s="565"/>
      <c r="P1400" s="565"/>
      <c r="Q1400" s="565"/>
      <c r="R1400" s="565"/>
      <c r="S1400" s="565"/>
      <c r="T1400" s="251"/>
      <c r="U1400" s="247"/>
      <c r="V1400" s="247"/>
    </row>
    <row r="1401" spans="1:23" s="413" customFormat="1" ht="21.75" hidden="1" thickBot="1">
      <c r="A1401" s="316"/>
      <c r="B1401" s="316"/>
      <c r="C1401" s="249" t="s">
        <v>807</v>
      </c>
      <c r="D1401" s="243" t="s">
        <v>401</v>
      </c>
      <c r="E1401" s="243"/>
      <c r="F1401" s="243"/>
      <c r="G1401" s="253"/>
      <c r="H1401" s="566">
        <f>H1399/H1400*100</f>
        <v>111.47596140840218</v>
      </c>
      <c r="I1401" s="566">
        <f>(H1399+I1399)/(H1400+I1400)*100</f>
        <v>111.12698599897328</v>
      </c>
      <c r="J1401" s="566">
        <f>(H1399+I1399+J1399)/(H1400+I1400+J1400)*100</f>
        <v>109.91832117856291</v>
      </c>
      <c r="K1401" s="566">
        <f>(H1399+I1399+J1399+K1399)/(H1400+I1400+J1400+K1400)*100</f>
        <v>108.3977823599229</v>
      </c>
      <c r="L1401" s="925"/>
      <c r="M1401" s="566"/>
      <c r="N1401" s="566"/>
      <c r="O1401" s="566"/>
      <c r="P1401" s="566"/>
      <c r="Q1401" s="566"/>
      <c r="R1401" s="566"/>
      <c r="S1401" s="567"/>
      <c r="T1401" s="251">
        <f>T1394/T1395*100</f>
        <v>108.3977823599229</v>
      </c>
      <c r="U1401" s="213"/>
      <c r="V1401" s="213"/>
      <c r="W1401" s="412"/>
    </row>
    <row r="1402" spans="1:23" s="413" customFormat="1" hidden="1">
      <c r="A1402" s="316"/>
      <c r="B1402" s="316"/>
      <c r="C1402" s="417"/>
      <c r="D1402" s="316"/>
      <c r="E1402" s="316"/>
      <c r="F1402" s="316"/>
      <c r="G1402" s="316"/>
      <c r="H1402" s="213"/>
      <c r="I1402" s="213"/>
      <c r="J1402" s="213"/>
      <c r="K1402" s="213"/>
      <c r="L1402" s="213"/>
      <c r="M1402" s="213"/>
      <c r="N1402" s="213"/>
      <c r="O1402" s="213"/>
      <c r="P1402" s="213"/>
      <c r="Q1402" s="213"/>
      <c r="R1402" s="213"/>
      <c r="S1402" s="213"/>
      <c r="T1402" s="213"/>
      <c r="U1402" s="213"/>
      <c r="V1402" s="213"/>
      <c r="W1402" s="412"/>
    </row>
    <row r="1403" spans="1:23" s="413" customFormat="1" hidden="1">
      <c r="A1403" s="316"/>
      <c r="B1403" s="316"/>
      <c r="C1403" s="417"/>
      <c r="D1403" s="316"/>
      <c r="E1403" s="316"/>
      <c r="F1403" s="316"/>
      <c r="G1403" s="316"/>
      <c r="H1403" s="213"/>
      <c r="I1403" s="213"/>
      <c r="J1403" s="213"/>
      <c r="K1403" s="213"/>
      <c r="L1403" s="213"/>
      <c r="M1403" s="213"/>
      <c r="N1403" s="213"/>
      <c r="O1403" s="213"/>
      <c r="P1403" s="213"/>
      <c r="Q1403" s="213"/>
      <c r="R1403" s="213"/>
      <c r="S1403" s="213"/>
      <c r="T1403" s="213"/>
      <c r="U1403" s="213"/>
      <c r="V1403" s="213"/>
      <c r="W1403" s="412"/>
    </row>
    <row r="1404" spans="1:23" s="413" customFormat="1" hidden="1">
      <c r="A1404" s="316"/>
      <c r="B1404" s="316"/>
      <c r="C1404" s="417"/>
      <c r="D1404" s="316"/>
      <c r="E1404" s="316"/>
      <c r="F1404" s="316"/>
      <c r="G1404" s="316"/>
      <c r="H1404" s="213"/>
      <c r="I1404" s="213"/>
      <c r="J1404" s="213"/>
      <c r="K1404" s="213"/>
      <c r="L1404" s="213"/>
      <c r="M1404" s="213"/>
      <c r="N1404" s="213"/>
      <c r="O1404" s="213"/>
      <c r="P1404" s="213"/>
      <c r="Q1404" s="213"/>
      <c r="R1404" s="213"/>
      <c r="S1404" s="213"/>
      <c r="T1404" s="213"/>
      <c r="U1404" s="213"/>
      <c r="V1404" s="213"/>
      <c r="W1404" s="412"/>
    </row>
    <row r="1405" spans="1:23" s="413" customFormat="1" hidden="1">
      <c r="A1405" s="316"/>
      <c r="B1405" s="316"/>
      <c r="C1405" s="417"/>
      <c r="D1405" s="316"/>
      <c r="E1405" s="316"/>
      <c r="F1405" s="316"/>
      <c r="G1405" s="316"/>
      <c r="H1405" s="213"/>
      <c r="I1405" s="213"/>
      <c r="J1405" s="213"/>
      <c r="K1405" s="213"/>
      <c r="L1405" s="213"/>
      <c r="M1405" s="213"/>
      <c r="N1405" s="213"/>
      <c r="O1405" s="213"/>
      <c r="P1405" s="213"/>
      <c r="Q1405" s="213"/>
      <c r="R1405" s="213"/>
      <c r="S1405" s="213"/>
      <c r="T1405" s="213"/>
      <c r="U1405" s="213"/>
      <c r="V1405" s="213"/>
      <c r="W1405" s="412"/>
    </row>
    <row r="1406" spans="1:23" s="413" customFormat="1" hidden="1">
      <c r="A1406" s="316"/>
      <c r="B1406" s="316"/>
      <c r="C1406" s="417"/>
      <c r="D1406" s="316"/>
      <c r="E1406" s="316"/>
      <c r="F1406" s="316"/>
      <c r="G1406" s="316"/>
      <c r="H1406" s="213"/>
      <c r="I1406" s="213"/>
      <c r="J1406" s="213"/>
      <c r="K1406" s="213"/>
      <c r="L1406" s="213"/>
      <c r="M1406" s="213"/>
      <c r="N1406" s="213"/>
      <c r="O1406" s="213"/>
      <c r="P1406" s="213"/>
      <c r="Q1406" s="213"/>
      <c r="R1406" s="213"/>
      <c r="S1406" s="213"/>
      <c r="T1406" s="213"/>
      <c r="U1406" s="213"/>
      <c r="V1406" s="213"/>
      <c r="W1406" s="412"/>
    </row>
    <row r="1407" spans="1:23" s="413" customFormat="1" hidden="1">
      <c r="A1407" s="316"/>
      <c r="B1407" s="316"/>
      <c r="C1407" s="417"/>
      <c r="D1407" s="316"/>
      <c r="E1407" s="316"/>
      <c r="F1407" s="316"/>
      <c r="G1407" s="316"/>
      <c r="H1407" s="213"/>
      <c r="I1407" s="213"/>
      <c r="J1407" s="213"/>
      <c r="K1407" s="213"/>
      <c r="L1407" s="213"/>
      <c r="M1407" s="213"/>
      <c r="N1407" s="213"/>
      <c r="O1407" s="213"/>
      <c r="P1407" s="213"/>
      <c r="Q1407" s="213"/>
      <c r="R1407" s="213"/>
      <c r="S1407" s="213"/>
      <c r="T1407" s="213"/>
      <c r="U1407" s="213"/>
      <c r="V1407" s="213"/>
      <c r="W1407" s="412"/>
    </row>
    <row r="1408" spans="1:23" s="413" customFormat="1" hidden="1">
      <c r="A1408" s="316"/>
      <c r="B1408" s="316"/>
      <c r="C1408" s="417"/>
      <c r="D1408" s="316"/>
      <c r="E1408" s="316"/>
      <c r="F1408" s="316"/>
      <c r="G1408" s="316"/>
      <c r="H1408" s="213"/>
      <c r="I1408" s="213"/>
      <c r="J1408" s="213"/>
      <c r="K1408" s="213"/>
      <c r="L1408" s="213"/>
      <c r="M1408" s="213"/>
      <c r="N1408" s="213"/>
      <c r="O1408" s="213"/>
      <c r="P1408" s="213"/>
      <c r="Q1408" s="213"/>
      <c r="R1408" s="213"/>
      <c r="S1408" s="213"/>
      <c r="T1408" s="213"/>
      <c r="U1408" s="213"/>
      <c r="V1408" s="213"/>
      <c r="W1408" s="412"/>
    </row>
    <row r="1409" spans="1:23" s="413" customFormat="1" hidden="1">
      <c r="A1409" s="316"/>
      <c r="B1409" s="316"/>
      <c r="C1409" s="417"/>
      <c r="D1409" s="316"/>
      <c r="E1409" s="316"/>
      <c r="F1409" s="316"/>
      <c r="G1409" s="316"/>
      <c r="H1409" s="213"/>
      <c r="I1409" s="213"/>
      <c r="J1409" s="213"/>
      <c r="K1409" s="213"/>
      <c r="L1409" s="213"/>
      <c r="M1409" s="213"/>
      <c r="N1409" s="213"/>
      <c r="O1409" s="213"/>
      <c r="P1409" s="213"/>
      <c r="Q1409" s="213"/>
      <c r="R1409" s="213"/>
      <c r="S1409" s="213"/>
      <c r="T1409" s="213"/>
      <c r="U1409" s="213"/>
      <c r="V1409" s="213"/>
      <c r="W1409" s="412"/>
    </row>
    <row r="1410" spans="1:23" hidden="1"/>
    <row r="1411" spans="1:23" ht="23.25" hidden="1">
      <c r="A1411" s="569" t="s">
        <v>808</v>
      </c>
      <c r="B1411" s="464"/>
      <c r="C1411" s="568"/>
      <c r="D1411" s="464"/>
      <c r="E1411" s="464"/>
      <c r="F1411" s="464"/>
      <c r="G1411" s="464"/>
      <c r="H1411" s="465"/>
      <c r="I1411" s="465"/>
      <c r="J1411" s="465"/>
      <c r="K1411" s="465"/>
      <c r="L1411" s="465"/>
      <c r="M1411" s="465"/>
      <c r="N1411" s="465"/>
      <c r="O1411" s="465"/>
      <c r="P1411" s="465"/>
      <c r="Q1411" s="465"/>
      <c r="R1411" s="465"/>
      <c r="S1411" s="465"/>
      <c r="T1411" s="465"/>
      <c r="U1411" s="465"/>
      <c r="V1411" s="239"/>
    </row>
    <row r="1412" spans="1:23" hidden="1">
      <c r="A1412" s="388"/>
      <c r="B1412" s="570"/>
      <c r="C1412" s="571"/>
      <c r="D1412" s="388"/>
      <c r="E1412" s="388"/>
      <c r="F1412" s="388"/>
      <c r="G1412" s="388"/>
      <c r="H1412" s="572"/>
      <c r="I1412" s="572"/>
      <c r="J1412" s="572"/>
      <c r="K1412" s="572"/>
      <c r="L1412" s="572"/>
      <c r="M1412" s="572"/>
      <c r="N1412" s="572"/>
      <c r="O1412" s="572"/>
      <c r="P1412" s="572"/>
      <c r="Q1412" s="572"/>
      <c r="R1412" s="572"/>
      <c r="S1412" s="572"/>
      <c r="T1412" s="225"/>
      <c r="U1412" s="572"/>
      <c r="V1412" s="572"/>
    </row>
    <row r="1413" spans="1:23" hidden="1">
      <c r="A1413" s="62">
        <v>1</v>
      </c>
      <c r="B1413" s="1796" t="s">
        <v>809</v>
      </c>
      <c r="C1413" s="1797"/>
      <c r="D1413" s="62" t="s">
        <v>90</v>
      </c>
      <c r="E1413" s="926">
        <v>3.6</v>
      </c>
      <c r="F1413" s="62"/>
      <c r="G1413" s="62">
        <v>2.64</v>
      </c>
      <c r="H1413" s="225" t="e">
        <f>H5+#REF!+H47+H60+H68+H81+H92+H103+#REF!+H125+H136+H147+H173+H188+H206+H237+H254+H278+H295+H312+H351+H403+H424+H473+H513+H541+H552+H563+H574+H584+H611+H668+H679+H690+H701+H715+H746+H797+H852+H886+H911+H925+H1004+H1018+H1032+H1046+H1060+H1074+H1090+H1110</f>
        <v>#REF!</v>
      </c>
      <c r="I1413" s="225" t="e">
        <f>I5+#REF!+I47+I60+I68+I81+I92+I103+#REF!+I125+I136+I147+I173+I188+I206+I237+I254+I278+I295+I312+I351+I403+I424+I473+I513+I541+I552+I563+I574+I584+I611+I668+I679+I690+I701+I715+I746+I797+I852+I886+I911+I925+I1004+I1018+I1032+I1046+I1060+I1074+I1090+I1110</f>
        <v>#REF!</v>
      </c>
      <c r="J1413" s="225" t="e">
        <f>J5+#REF!+J47+J60+J68+J81+J92+J103+#REF!+J125+J136+J147+J173+J188+J206+J237+J254+J278+J295+J312+J351+J403+J424+J473+J513+J541+J552+J563+J574+J584+J611+J668+J679+J690+J701+J715+J746+J797+J852+J886+J911+J925+J1004+J1018+J1032+J1046+J1060+J1074+J1090+J1110</f>
        <v>#REF!</v>
      </c>
      <c r="K1413" s="225" t="e">
        <f>K5+#REF!+K47+K60+K68+K81+K92+K103+#REF!+K125+K136+K147+K173+K188+K206+K237+K254+K278+K295+K312+K351+K403+K424+K473+K513+K541+K552+K563+K574+K584+K611+K668+K679+K690+K701+K715+K746+K797+K852+K886+K911+K925+K1004+K1018+K1032+K1046+K1060+K1074+K1090+K1110</f>
        <v>#REF!</v>
      </c>
      <c r="L1413" s="225" t="e">
        <f>L5+#REF!+L47+L60+L68+L81+L92+L103+#REF!+L125+L136+L147+L173+L188+L206+L237+L254+L278+L295+L312+L351+L403+L424+L473+L513+L541+L552+L563+L574+L584+L611+L668+L679+L690+L701+L715+L746+L797+L852+L886+L911+L925+L1004+L1018+L1032+L1046+L1060+L1074+L1090+L1110</f>
        <v>#REF!</v>
      </c>
      <c r="M1413" s="225" t="e">
        <f>M5+#REF!+M47+M60+M68+M81+M92+M103+#REF!+M125+M136+M147+M173+M188+M206+M237+M254+M278+M295+M312+M351+M403+M424+M473+M513+M541+M552+M563+M574+M584+M611+M668+M679+M690+M701+M715+M746+M797+M852+M886+M911+M925+M1004+M1018+M1032+M1046+M1060+M1074+M1090+M1110</f>
        <v>#REF!</v>
      </c>
      <c r="N1413" s="225" t="e">
        <f>N5+#REF!+N47+N60+N68+N81+N92+N103+#REF!+N125+N136+N147+N173+N188+N206+N237+N254+N278+N295+N312+N351+N403+N424+N473+N513+N541+N552+N563+N574+N584+N611+N668+N679+N690+N701+N715+N746+N797+N852+N886+N911+N925+N1004+N1018+N1032+N1046+N1060+N1074+N1090+N1110</f>
        <v>#REF!</v>
      </c>
      <c r="O1413" s="225" t="e">
        <f>O5+#REF!+O47+O60+O68+O81+O92+O103+#REF!+O125+O136+O147+O173+O188+O206+O237+O254+O278+O295+O312+O351+O403+O424+O473+O513+O541+O552+O563+O574+O584+O611+O668+O679+O690+O701+O715+O746+O797+O852+O886+O911+O925+O1004+O1018+O1032+O1046+O1060+O1074+O1090+O1110</f>
        <v>#REF!</v>
      </c>
      <c r="P1413" s="225" t="e">
        <f>P5+#REF!+P47+P60+P68+P81+P92+P103+#REF!+P125+P136+P147+P173+P188+P206+P237+P254+P278+P295+P312+P351+P403+P424+P473+P513+P541+P552+P563+P574+P584+P611+P668+P679+P690+P701+P715+P746+P797+P852+P886+P911+P925+P1004+P1018+P1032+P1046+P1060+P1074+P1090+P1110</f>
        <v>#REF!</v>
      </c>
      <c r="Q1413" s="225" t="e">
        <f>Q5+#REF!+Q47+Q60+Q68+Q81+Q92+Q103+#REF!+Q125+Q136+Q147+Q173+Q188+Q206+Q237+Q254+Q278+Q295+Q312+Q351+Q403+Q424+Q473+Q513+Q541+Q552+Q563+Q574+Q584+Q611+Q668+Q679+Q690+Q701+Q715+Q746+Q797+Q852+Q886+Q911+Q925+Q1004+Q1018+Q1032+Q1046+Q1060+Q1074+Q1090+Q1110</f>
        <v>#REF!</v>
      </c>
      <c r="R1413" s="225" t="e">
        <f>R5+#REF!+R47+R60+R68+R81+R92+R103+#REF!+R125+R136+R147+R173+R188+R206+R237+R254+R278+R295+R312+R351+R403+R424+R473+R513+R541+R552+R563+R574+R584+R611+R668+R679+R690+R701+R715+R746+R797+R852+R886+R911+R925+R1004+R1018+R1032+R1046+R1060+R1074+R1090+R1110</f>
        <v>#REF!</v>
      </c>
      <c r="S1413" s="225" t="e">
        <f>S5+#REF!+S47+S60+S68+S81+S92+S103+#REF!+S125+S136+S147+S173+S188+S206+S237+S254+S278+S295+S312+S351+S403+S424+S473+S513+S541+S552+S563+S574+S584+S611+S668+S679+S690+S701+S715+S746+S797+S852+S886+S911+S925+S1004+S1018+S1032+S1046+S1060+S1074+S1090+S1110</f>
        <v>#REF!</v>
      </c>
      <c r="T1413" s="225" t="e">
        <f>T5+#REF!+T47+T60+T68+#REF!+T147+T173+T188+T206+T237+T254+T278+T295+T312+T351+T403+T424+T473+T513+#REF!+#REF!+T715+T746+#REF!+#REF!</f>
        <v>#REF!</v>
      </c>
      <c r="U1413" s="225" t="e">
        <f>#REF!+#REF!+U746+U715+#REF!+#REF!+U513+U473+U424+U403+U351+U312+U295+U278+U254+U237+U206+U188+U173+U147+#REF!+U68+U60+U47+#REF!+U5</f>
        <v>#REF!</v>
      </c>
      <c r="V1413" s="225" t="e">
        <f>#REF!+#REF!+V746+V715+#REF!+#REF!+V513+V473+V424+V403+V351+V312+V295+V278+V254+V237+V206+V188+V173+V147+#REF!+V68+V60+V47+#REF!+V5</f>
        <v>#REF!</v>
      </c>
    </row>
    <row r="1414" spans="1:23" hidden="1">
      <c r="A1414" s="62"/>
      <c r="B1414" s="573" t="s">
        <v>810</v>
      </c>
      <c r="C1414" s="574"/>
      <c r="D1414" s="62" t="s">
        <v>90</v>
      </c>
      <c r="E1414" s="926">
        <v>3.6</v>
      </c>
      <c r="F1414" s="62"/>
      <c r="G1414" s="62">
        <v>2.64</v>
      </c>
      <c r="H1414" s="225">
        <f>H1415+H1418</f>
        <v>0</v>
      </c>
      <c r="I1414" s="225">
        <f t="shared" ref="I1414:S1414" si="532">I1415+I1418</f>
        <v>0</v>
      </c>
      <c r="J1414" s="225">
        <f t="shared" si="532"/>
        <v>0</v>
      </c>
      <c r="K1414" s="225">
        <f t="shared" si="532"/>
        <v>0</v>
      </c>
      <c r="L1414" s="225">
        <f t="shared" si="532"/>
        <v>0</v>
      </c>
      <c r="M1414" s="225">
        <f t="shared" si="532"/>
        <v>0</v>
      </c>
      <c r="N1414" s="225">
        <f t="shared" si="532"/>
        <v>0</v>
      </c>
      <c r="O1414" s="225">
        <f t="shared" si="532"/>
        <v>0</v>
      </c>
      <c r="P1414" s="225">
        <f t="shared" si="532"/>
        <v>0</v>
      </c>
      <c r="Q1414" s="225">
        <f t="shared" si="532"/>
        <v>0</v>
      </c>
      <c r="R1414" s="225">
        <f t="shared" si="532"/>
        <v>0</v>
      </c>
      <c r="S1414" s="225">
        <f t="shared" si="532"/>
        <v>0</v>
      </c>
      <c r="T1414" s="225">
        <f t="shared" ref="T1414:T1421" si="533">SUM(H1414:S1414)</f>
        <v>0</v>
      </c>
      <c r="U1414" s="225">
        <f t="shared" ref="U1414:U1421" si="534">T1414*E1414</f>
        <v>0</v>
      </c>
      <c r="V1414" s="225">
        <f t="shared" ref="V1414:V1421" si="535">T1414*G1414</f>
        <v>0</v>
      </c>
    </row>
    <row r="1415" spans="1:23" hidden="1">
      <c r="A1415" s="62"/>
      <c r="B1415" s="575" t="s">
        <v>811</v>
      </c>
      <c r="C1415" s="576"/>
      <c r="D1415" s="577" t="s">
        <v>90</v>
      </c>
      <c r="E1415" s="927">
        <v>3.6</v>
      </c>
      <c r="F1415" s="577"/>
      <c r="G1415" s="577">
        <v>2.64</v>
      </c>
      <c r="H1415" s="578">
        <f>H1416+H1417</f>
        <v>0</v>
      </c>
      <c r="I1415" s="578">
        <f t="shared" ref="I1415:S1415" si="536">I1416+I1417</f>
        <v>0</v>
      </c>
      <c r="J1415" s="578">
        <f t="shared" si="536"/>
        <v>0</v>
      </c>
      <c r="K1415" s="578">
        <f t="shared" si="536"/>
        <v>0</v>
      </c>
      <c r="L1415" s="578">
        <f t="shared" si="536"/>
        <v>0</v>
      </c>
      <c r="M1415" s="578">
        <f t="shared" si="536"/>
        <v>0</v>
      </c>
      <c r="N1415" s="578">
        <f t="shared" si="536"/>
        <v>0</v>
      </c>
      <c r="O1415" s="578">
        <f t="shared" si="536"/>
        <v>0</v>
      </c>
      <c r="P1415" s="578">
        <f t="shared" si="536"/>
        <v>0</v>
      </c>
      <c r="Q1415" s="578">
        <f t="shared" si="536"/>
        <v>0</v>
      </c>
      <c r="R1415" s="578">
        <f t="shared" si="536"/>
        <v>0</v>
      </c>
      <c r="S1415" s="578">
        <f t="shared" si="536"/>
        <v>0</v>
      </c>
      <c r="T1415" s="578">
        <f t="shared" si="533"/>
        <v>0</v>
      </c>
      <c r="U1415" s="578">
        <f t="shared" si="534"/>
        <v>0</v>
      </c>
      <c r="V1415" s="578">
        <f t="shared" si="535"/>
        <v>0</v>
      </c>
      <c r="W1415" s="562">
        <f>T1415/12</f>
        <v>0</v>
      </c>
    </row>
    <row r="1416" spans="1:23" hidden="1">
      <c r="A1416" s="62"/>
      <c r="B1416" s="575"/>
      <c r="C1416" s="576" t="s">
        <v>812</v>
      </c>
      <c r="D1416" s="577" t="s">
        <v>90</v>
      </c>
      <c r="E1416" s="927">
        <v>3.6</v>
      </c>
      <c r="F1416" s="577"/>
      <c r="G1416" s="577">
        <v>2.64</v>
      </c>
      <c r="H1416" s="578">
        <f>'[2]ข้อมูลไฟฟ้า 08-11'!D3</f>
        <v>0</v>
      </c>
      <c r="I1416" s="578">
        <f>'[2]ข้อมูลไฟฟ้า 08-11'!E3</f>
        <v>0</v>
      </c>
      <c r="J1416" s="578">
        <f>'[2]ข้อมูลไฟฟ้า 08-11'!F3</f>
        <v>0</v>
      </c>
      <c r="K1416" s="578">
        <f>'[2]ข้อมูลไฟฟ้า 08-11'!G3</f>
        <v>0</v>
      </c>
      <c r="L1416" s="578">
        <f>'[2]ข้อมูลไฟฟ้า 08-11'!H3</f>
        <v>0</v>
      </c>
      <c r="M1416" s="578">
        <f>'[2]ข้อมูลไฟฟ้า 08-11'!I3</f>
        <v>0</v>
      </c>
      <c r="N1416" s="578">
        <f>'[2]ข้อมูลไฟฟ้า 08-11'!J3</f>
        <v>0</v>
      </c>
      <c r="O1416" s="578">
        <f>'[2]ข้อมูลไฟฟ้า 08-11'!K3</f>
        <v>0</v>
      </c>
      <c r="P1416" s="578">
        <f>'[2]ข้อมูลไฟฟ้า 08-11'!L3</f>
        <v>0</v>
      </c>
      <c r="Q1416" s="578">
        <f>'[2]ข้อมูลไฟฟ้า 08-11'!M3</f>
        <v>0</v>
      </c>
      <c r="R1416" s="578">
        <f>'[2]ข้อมูลไฟฟ้า 08-11'!N3</f>
        <v>0</v>
      </c>
      <c r="S1416" s="578">
        <f>'[2]ข้อมูลไฟฟ้า 08-11'!O3</f>
        <v>0</v>
      </c>
      <c r="T1416" s="578">
        <f t="shared" si="533"/>
        <v>0</v>
      </c>
      <c r="U1416" s="578">
        <f t="shared" si="534"/>
        <v>0</v>
      </c>
      <c r="V1416" s="578">
        <f t="shared" si="535"/>
        <v>0</v>
      </c>
      <c r="W1416" s="562"/>
    </row>
    <row r="1417" spans="1:23" hidden="1">
      <c r="A1417" s="62"/>
      <c r="B1417" s="575"/>
      <c r="C1417" s="576" t="s">
        <v>813</v>
      </c>
      <c r="D1417" s="577" t="s">
        <v>90</v>
      </c>
      <c r="E1417" s="927">
        <v>3.6</v>
      </c>
      <c r="F1417" s="577"/>
      <c r="G1417" s="577">
        <v>2.64</v>
      </c>
      <c r="H1417" s="578">
        <f>'[2]ข้อมูลไฟฟ้า 08-11'!D4</f>
        <v>0</v>
      </c>
      <c r="I1417" s="578">
        <f>'[2]ข้อมูลไฟฟ้า 08-11'!E4</f>
        <v>0</v>
      </c>
      <c r="J1417" s="578">
        <f>'[2]ข้อมูลไฟฟ้า 08-11'!F4</f>
        <v>0</v>
      </c>
      <c r="K1417" s="578">
        <f>'[2]ข้อมูลไฟฟ้า 08-11'!G4</f>
        <v>0</v>
      </c>
      <c r="L1417" s="578">
        <f>'[2]ข้อมูลไฟฟ้า 08-11'!H4</f>
        <v>0</v>
      </c>
      <c r="M1417" s="578">
        <f>'[2]ข้อมูลไฟฟ้า 08-11'!I4</f>
        <v>0</v>
      </c>
      <c r="N1417" s="578">
        <f>'[2]ข้อมูลไฟฟ้า 08-11'!J4</f>
        <v>0</v>
      </c>
      <c r="O1417" s="578">
        <f>'[2]ข้อมูลไฟฟ้า 08-11'!K4</f>
        <v>0</v>
      </c>
      <c r="P1417" s="578">
        <f>'[2]ข้อมูลไฟฟ้า 08-11'!L4</f>
        <v>0</v>
      </c>
      <c r="Q1417" s="578">
        <f>'[2]ข้อมูลไฟฟ้า 08-11'!M4</f>
        <v>0</v>
      </c>
      <c r="R1417" s="578">
        <f>'[2]ข้อมูลไฟฟ้า 08-11'!N4</f>
        <v>0</v>
      </c>
      <c r="S1417" s="578">
        <f>'[2]ข้อมูลไฟฟ้า 08-11'!O4</f>
        <v>0</v>
      </c>
      <c r="T1417" s="578">
        <f t="shared" si="533"/>
        <v>0</v>
      </c>
      <c r="U1417" s="578">
        <f t="shared" si="534"/>
        <v>0</v>
      </c>
      <c r="V1417" s="578">
        <f t="shared" si="535"/>
        <v>0</v>
      </c>
      <c r="W1417" s="562"/>
    </row>
    <row r="1418" spans="1:23" hidden="1">
      <c r="A1418" s="62"/>
      <c r="B1418" s="575" t="s">
        <v>814</v>
      </c>
      <c r="C1418" s="576"/>
      <c r="D1418" s="577" t="s">
        <v>90</v>
      </c>
      <c r="E1418" s="927">
        <v>3.6</v>
      </c>
      <c r="F1418" s="577"/>
      <c r="G1418" s="577">
        <v>2.64</v>
      </c>
      <c r="H1418" s="578">
        <f>'[2]ข้อมูลไฟฟ้า 08-11'!D5</f>
        <v>0</v>
      </c>
      <c r="I1418" s="578">
        <f>'[2]ข้อมูลไฟฟ้า 08-11'!E5</f>
        <v>0</v>
      </c>
      <c r="J1418" s="578">
        <f>'[2]ข้อมูลไฟฟ้า 08-11'!F5</f>
        <v>0</v>
      </c>
      <c r="K1418" s="578">
        <f>'[2]ข้อมูลไฟฟ้า 08-11'!G5</f>
        <v>0</v>
      </c>
      <c r="L1418" s="578">
        <f>'[2]ข้อมูลไฟฟ้า 08-11'!H5</f>
        <v>0</v>
      </c>
      <c r="M1418" s="578">
        <f>'[2]ข้อมูลไฟฟ้า 08-11'!I5</f>
        <v>0</v>
      </c>
      <c r="N1418" s="578">
        <f>'[2]ข้อมูลไฟฟ้า 08-11'!J5</f>
        <v>0</v>
      </c>
      <c r="O1418" s="578">
        <f>'[2]ข้อมูลไฟฟ้า 08-11'!K5</f>
        <v>0</v>
      </c>
      <c r="P1418" s="578">
        <f>'[2]ข้อมูลไฟฟ้า 08-11'!L5</f>
        <v>0</v>
      </c>
      <c r="Q1418" s="578">
        <f>'[2]ข้อมูลไฟฟ้า 08-11'!M5</f>
        <v>0</v>
      </c>
      <c r="R1418" s="578">
        <f>'[2]ข้อมูลไฟฟ้า 08-11'!N5</f>
        <v>0</v>
      </c>
      <c r="S1418" s="578">
        <f>'[2]ข้อมูลไฟฟ้า 08-11'!O5</f>
        <v>0</v>
      </c>
      <c r="T1418" s="578">
        <f t="shared" si="533"/>
        <v>0</v>
      </c>
      <c r="U1418" s="578">
        <f t="shared" si="534"/>
        <v>0</v>
      </c>
      <c r="V1418" s="578">
        <f t="shared" si="535"/>
        <v>0</v>
      </c>
      <c r="W1418" s="562">
        <f>T1418/12</f>
        <v>0</v>
      </c>
    </row>
    <row r="1419" spans="1:23" hidden="1">
      <c r="A1419" s="62"/>
      <c r="B1419" s="575"/>
      <c r="C1419" s="576" t="s">
        <v>815</v>
      </c>
      <c r="D1419" s="577" t="s">
        <v>90</v>
      </c>
      <c r="E1419" s="927">
        <v>3.6</v>
      </c>
      <c r="F1419" s="577"/>
      <c r="G1419" s="577">
        <v>2.64</v>
      </c>
      <c r="H1419" s="578"/>
      <c r="I1419" s="578"/>
      <c r="J1419" s="578"/>
      <c r="K1419" s="578"/>
      <c r="L1419" s="578"/>
      <c r="M1419" s="578"/>
      <c r="N1419" s="578"/>
      <c r="O1419" s="578"/>
      <c r="P1419" s="578"/>
      <c r="Q1419" s="578"/>
      <c r="R1419" s="578"/>
      <c r="S1419" s="578"/>
      <c r="T1419" s="578">
        <f t="shared" si="533"/>
        <v>0</v>
      </c>
      <c r="U1419" s="578">
        <f t="shared" si="534"/>
        <v>0</v>
      </c>
      <c r="V1419" s="578">
        <f t="shared" si="535"/>
        <v>0</v>
      </c>
      <c r="W1419" s="562"/>
    </row>
    <row r="1420" spans="1:23" hidden="1">
      <c r="A1420" s="62"/>
      <c r="B1420" s="575"/>
      <c r="C1420" s="576" t="s">
        <v>816</v>
      </c>
      <c r="D1420" s="577" t="s">
        <v>90</v>
      </c>
      <c r="E1420" s="927">
        <v>3.6</v>
      </c>
      <c r="F1420" s="577"/>
      <c r="G1420" s="577">
        <v>2.2000000000000002</v>
      </c>
      <c r="H1420" s="578"/>
      <c r="I1420" s="578"/>
      <c r="J1420" s="578"/>
      <c r="K1420" s="578"/>
      <c r="L1420" s="578"/>
      <c r="M1420" s="578"/>
      <c r="N1420" s="578"/>
      <c r="O1420" s="578"/>
      <c r="P1420" s="578"/>
      <c r="Q1420" s="578"/>
      <c r="R1420" s="578"/>
      <c r="S1420" s="578"/>
      <c r="T1420" s="578">
        <f t="shared" si="533"/>
        <v>0</v>
      </c>
      <c r="U1420" s="578">
        <f t="shared" si="534"/>
        <v>0</v>
      </c>
      <c r="V1420" s="578">
        <f t="shared" si="535"/>
        <v>0</v>
      </c>
      <c r="W1420" s="562"/>
    </row>
    <row r="1421" spans="1:23" hidden="1">
      <c r="A1421" s="62"/>
      <c r="B1421" s="573" t="s">
        <v>882</v>
      </c>
      <c r="C1421" s="574"/>
      <c r="D1421" s="62" t="s">
        <v>90</v>
      </c>
      <c r="E1421" s="926">
        <v>3.6</v>
      </c>
      <c r="F1421" s="62"/>
      <c r="G1421" s="62">
        <v>2.64</v>
      </c>
      <c r="H1421" s="225">
        <f>[9]Sheet1!D9</f>
        <v>30842148</v>
      </c>
      <c r="I1421" s="225">
        <f>[9]Sheet1!E9</f>
        <v>27708442</v>
      </c>
      <c r="J1421" s="225">
        <f>[9]Sheet1!F9</f>
        <v>36488436</v>
      </c>
      <c r="K1421" s="225">
        <f>[9]Sheet1!G9</f>
        <v>36906778.170000002</v>
      </c>
      <c r="L1421" s="225">
        <f>[9]Sheet1!H9</f>
        <v>36402481.909000002</v>
      </c>
      <c r="M1421" s="225">
        <f>[9]Sheet1!I9</f>
        <v>35251640.052000001</v>
      </c>
      <c r="N1421" s="225">
        <f>[9]Sheet1!J9</f>
        <v>39120975.824000001</v>
      </c>
      <c r="O1421" s="225">
        <f>[9]Sheet1!K9</f>
        <v>41424050</v>
      </c>
      <c r="P1421" s="225">
        <f>[9]Sheet1!L9</f>
        <v>34713689.200000003</v>
      </c>
      <c r="Q1421" s="225">
        <f>[9]Sheet1!M9</f>
        <v>39506109</v>
      </c>
      <c r="R1421" s="225" t="e">
        <f>[9]Sheet1!N9</f>
        <v>#REF!</v>
      </c>
      <c r="S1421" s="225" t="e">
        <f>[9]Sheet1!O9</f>
        <v>#REF!</v>
      </c>
      <c r="T1421" s="225" t="e">
        <f t="shared" si="533"/>
        <v>#REF!</v>
      </c>
      <c r="U1421" s="225" t="e">
        <f t="shared" si="534"/>
        <v>#REF!</v>
      </c>
      <c r="V1421" s="225" t="e">
        <f t="shared" si="535"/>
        <v>#REF!</v>
      </c>
    </row>
    <row r="1422" spans="1:23" hidden="1">
      <c r="A1422" s="253"/>
      <c r="B1422" s="573" t="s">
        <v>883</v>
      </c>
      <c r="C1422" s="928"/>
      <c r="D1422" s="62"/>
      <c r="E1422" s="926"/>
      <c r="F1422" s="62"/>
      <c r="G1422" s="62"/>
      <c r="H1422" s="277">
        <f t="shared" ref="H1422:S1422" si="537">H173+H237+H254+H278+H295+H312</f>
        <v>3118358.9299999997</v>
      </c>
      <c r="I1422" s="277">
        <f t="shared" si="537"/>
        <v>3346611.7</v>
      </c>
      <c r="J1422" s="277">
        <f t="shared" si="537"/>
        <v>3585218.2450000001</v>
      </c>
      <c r="K1422" s="277">
        <f t="shared" si="537"/>
        <v>3177254.0906830002</v>
      </c>
      <c r="L1422" s="277">
        <f t="shared" si="537"/>
        <v>0</v>
      </c>
      <c r="M1422" s="277">
        <f t="shared" si="537"/>
        <v>0</v>
      </c>
      <c r="N1422" s="277">
        <f t="shared" si="537"/>
        <v>0</v>
      </c>
      <c r="O1422" s="277">
        <f t="shared" si="537"/>
        <v>0</v>
      </c>
      <c r="P1422" s="277">
        <f t="shared" si="537"/>
        <v>0</v>
      </c>
      <c r="Q1422" s="277">
        <f t="shared" si="537"/>
        <v>0</v>
      </c>
      <c r="R1422" s="277">
        <f t="shared" si="537"/>
        <v>0</v>
      </c>
      <c r="S1422" s="277">
        <f t="shared" si="537"/>
        <v>0</v>
      </c>
      <c r="T1422" s="277"/>
      <c r="U1422" s="277"/>
      <c r="V1422" s="277"/>
    </row>
    <row r="1423" spans="1:23" hidden="1">
      <c r="A1423" s="253"/>
      <c r="B1423" s="573" t="s">
        <v>884</v>
      </c>
      <c r="C1423" s="928"/>
      <c r="D1423" s="62" t="s">
        <v>90</v>
      </c>
      <c r="E1423" s="926">
        <v>3.6</v>
      </c>
      <c r="F1423" s="62"/>
      <c r="G1423" s="62">
        <v>2.64</v>
      </c>
      <c r="H1423" s="277">
        <f>H1418+H1422-H1421</f>
        <v>-27723789.07</v>
      </c>
      <c r="I1423" s="277">
        <f t="shared" ref="I1423:S1423" si="538">I1418+I1422-I1421</f>
        <v>-24361830.300000001</v>
      </c>
      <c r="J1423" s="277">
        <f t="shared" si="538"/>
        <v>-32903217.754999999</v>
      </c>
      <c r="K1423" s="277">
        <f t="shared" si="538"/>
        <v>-33729524.079317003</v>
      </c>
      <c r="L1423" s="277">
        <f t="shared" si="538"/>
        <v>-36402481.909000002</v>
      </c>
      <c r="M1423" s="277">
        <f t="shared" si="538"/>
        <v>-35251640.052000001</v>
      </c>
      <c r="N1423" s="277">
        <f t="shared" si="538"/>
        <v>-39120975.824000001</v>
      </c>
      <c r="O1423" s="277">
        <f t="shared" si="538"/>
        <v>-41424050</v>
      </c>
      <c r="P1423" s="277">
        <f t="shared" si="538"/>
        <v>-34713689.200000003</v>
      </c>
      <c r="Q1423" s="277">
        <f t="shared" si="538"/>
        <v>-39506109</v>
      </c>
      <c r="R1423" s="277" t="e">
        <f t="shared" si="538"/>
        <v>#REF!</v>
      </c>
      <c r="S1423" s="277" t="e">
        <f t="shared" si="538"/>
        <v>#REF!</v>
      </c>
      <c r="T1423" s="277" t="e">
        <f>T1418-T1421</f>
        <v>#REF!</v>
      </c>
      <c r="U1423" s="277" t="e">
        <f>U1418-U1421</f>
        <v>#REF!</v>
      </c>
      <c r="V1423" s="277" t="e">
        <f>V1418-V1421</f>
        <v>#REF!</v>
      </c>
    </row>
    <row r="1424" spans="1:23" hidden="1">
      <c r="A1424" s="303"/>
      <c r="B1424" s="929"/>
      <c r="C1424" s="930" t="s">
        <v>885</v>
      </c>
      <c r="D1424" s="303" t="s">
        <v>90</v>
      </c>
      <c r="E1424" s="931">
        <v>3.6</v>
      </c>
      <c r="F1424" s="303"/>
      <c r="G1424" s="303">
        <v>2.64</v>
      </c>
      <c r="H1424" s="310">
        <f>H1415+H1418-H1421+H1422</f>
        <v>-27723789.07</v>
      </c>
      <c r="I1424" s="310">
        <f t="shared" ref="I1424:S1424" si="539">I1415+I1418-I1421+I1422</f>
        <v>-24361830.300000001</v>
      </c>
      <c r="J1424" s="310">
        <f t="shared" si="539"/>
        <v>-32903217.754999999</v>
      </c>
      <c r="K1424" s="310">
        <f t="shared" si="539"/>
        <v>-33729524.079317003</v>
      </c>
      <c r="L1424" s="310">
        <f t="shared" si="539"/>
        <v>-36402481.909000002</v>
      </c>
      <c r="M1424" s="310">
        <f t="shared" si="539"/>
        <v>-35251640.052000001</v>
      </c>
      <c r="N1424" s="310">
        <f t="shared" si="539"/>
        <v>-39120975.824000001</v>
      </c>
      <c r="O1424" s="310">
        <f t="shared" si="539"/>
        <v>-41424050</v>
      </c>
      <c r="P1424" s="310">
        <f t="shared" si="539"/>
        <v>-34713689.200000003</v>
      </c>
      <c r="Q1424" s="310">
        <f t="shared" si="539"/>
        <v>-39506109</v>
      </c>
      <c r="R1424" s="310" t="e">
        <f t="shared" si="539"/>
        <v>#REF!</v>
      </c>
      <c r="S1424" s="310" t="e">
        <f t="shared" si="539"/>
        <v>#REF!</v>
      </c>
      <c r="T1424" s="310" t="e">
        <f>SUM(H1424:S1424)</f>
        <v>#REF!</v>
      </c>
      <c r="U1424" s="310" t="e">
        <f>T1424*E1424</f>
        <v>#REF!</v>
      </c>
      <c r="V1424" s="310" t="e">
        <f>T1424*G1424</f>
        <v>#REF!</v>
      </c>
    </row>
    <row r="1425" spans="1:23" hidden="1">
      <c r="A1425" s="229">
        <v>1</v>
      </c>
      <c r="B1425" s="580" t="s">
        <v>824</v>
      </c>
      <c r="C1425" s="581"/>
      <c r="D1425" s="62" t="s">
        <v>90</v>
      </c>
      <c r="E1425" s="932">
        <v>3.6</v>
      </c>
      <c r="F1425" s="229"/>
      <c r="G1425" s="229">
        <v>2.64</v>
      </c>
      <c r="H1425" s="275"/>
      <c r="I1425" s="275"/>
      <c r="J1425" s="275"/>
      <c r="K1425" s="275"/>
      <c r="L1425" s="275"/>
      <c r="M1425" s="275"/>
      <c r="N1425" s="275"/>
      <c r="O1425" s="275"/>
      <c r="P1425" s="275"/>
      <c r="Q1425" s="275"/>
      <c r="R1425" s="275"/>
      <c r="S1425" s="275"/>
      <c r="T1425" s="277">
        <f>SUM(H1425:S1425)</f>
        <v>0</v>
      </c>
      <c r="U1425" s="225">
        <f>T1425*E1425</f>
        <v>0</v>
      </c>
      <c r="V1425" s="225">
        <f>T1425*G1425</f>
        <v>0</v>
      </c>
    </row>
    <row r="1426" spans="1:23" hidden="1">
      <c r="A1426" s="229"/>
      <c r="B1426" s="580"/>
      <c r="C1426" s="581"/>
      <c r="D1426" s="62"/>
      <c r="E1426" s="932"/>
      <c r="F1426" s="229"/>
      <c r="G1426" s="229"/>
      <c r="H1426" s="275"/>
      <c r="I1426" s="275"/>
      <c r="J1426" s="275"/>
      <c r="K1426" s="275"/>
      <c r="L1426" s="275"/>
      <c r="M1426" s="275"/>
      <c r="N1426" s="275"/>
      <c r="O1426" s="275"/>
      <c r="P1426" s="275"/>
      <c r="Q1426" s="275"/>
      <c r="R1426" s="275"/>
      <c r="S1426" s="275"/>
      <c r="T1426" s="277"/>
      <c r="U1426" s="225"/>
      <c r="V1426" s="225"/>
    </row>
    <row r="1427" spans="1:23" hidden="1">
      <c r="A1427" s="62">
        <v>2</v>
      </c>
      <c r="B1427" s="573" t="s">
        <v>817</v>
      </c>
      <c r="C1427" s="583"/>
      <c r="D1427" s="62" t="s">
        <v>147</v>
      </c>
      <c r="E1427" s="926">
        <v>2690</v>
      </c>
      <c r="F1427" s="62"/>
      <c r="G1427" s="62">
        <v>939.33</v>
      </c>
      <c r="H1427" s="225" t="e">
        <f>SUM(H1428:H1431)</f>
        <v>#REF!</v>
      </c>
      <c r="I1427" s="225" t="e">
        <f>SUM(I1428:I1431)</f>
        <v>#REF!</v>
      </c>
      <c r="J1427" s="225" t="e">
        <f>SUM(J1428:J1431)</f>
        <v>#REF!</v>
      </c>
      <c r="K1427" s="225"/>
      <c r="L1427" s="225"/>
      <c r="M1427" s="225"/>
      <c r="N1427" s="225"/>
      <c r="O1427" s="225"/>
      <c r="P1427" s="225"/>
      <c r="Q1427" s="225"/>
      <c r="R1427" s="225"/>
      <c r="S1427" s="225"/>
      <c r="T1427" s="277" t="e">
        <f>SUM(H1427:S1427)</f>
        <v>#REF!</v>
      </c>
      <c r="U1427" s="225" t="e">
        <f>T1427*E1427</f>
        <v>#REF!</v>
      </c>
      <c r="V1427" s="225" t="e">
        <f>T1427*G1427</f>
        <v>#REF!</v>
      </c>
      <c r="W1427" s="214" t="e">
        <f>T1427/12</f>
        <v>#REF!</v>
      </c>
    </row>
    <row r="1428" spans="1:23" hidden="1">
      <c r="A1428" s="62"/>
      <c r="B1428" s="573" t="s">
        <v>825</v>
      </c>
      <c r="C1428" s="583"/>
      <c r="D1428" s="62" t="s">
        <v>147</v>
      </c>
      <c r="E1428" s="926">
        <v>2700</v>
      </c>
      <c r="F1428" s="62"/>
      <c r="G1428" s="62">
        <v>929.33</v>
      </c>
      <c r="H1428" s="225"/>
      <c r="I1428" s="225"/>
      <c r="J1428" s="225"/>
      <c r="K1428" s="225"/>
      <c r="L1428" s="225"/>
      <c r="M1428" s="225"/>
      <c r="N1428" s="225"/>
      <c r="O1428" s="225"/>
      <c r="P1428" s="225"/>
      <c r="Q1428" s="225"/>
      <c r="R1428" s="225"/>
      <c r="S1428" s="225"/>
      <c r="T1428" s="225"/>
      <c r="U1428" s="225">
        <f>T1428*E1428</f>
        <v>0</v>
      </c>
      <c r="V1428" s="225">
        <f>T1428*G1428</f>
        <v>0</v>
      </c>
    </row>
    <row r="1429" spans="1:23" hidden="1">
      <c r="A1429" s="62"/>
      <c r="B1429" s="573" t="s">
        <v>826</v>
      </c>
      <c r="C1429" s="583"/>
      <c r="D1429" s="62" t="s">
        <v>147</v>
      </c>
      <c r="E1429" s="926">
        <v>2668.15</v>
      </c>
      <c r="F1429" s="62"/>
      <c r="G1429" s="62">
        <v>929.33</v>
      </c>
      <c r="H1429" s="225"/>
      <c r="I1429" s="225"/>
      <c r="J1429" s="225"/>
      <c r="K1429" s="225"/>
      <c r="L1429" s="225"/>
      <c r="M1429" s="225"/>
      <c r="N1429" s="225"/>
      <c r="O1429" s="225"/>
      <c r="P1429" s="225"/>
      <c r="Q1429" s="225"/>
      <c r="R1429" s="225"/>
      <c r="S1429" s="225"/>
      <c r="T1429" s="225"/>
      <c r="U1429" s="225"/>
      <c r="V1429" s="225"/>
    </row>
    <row r="1430" spans="1:23" hidden="1">
      <c r="A1430" s="62"/>
      <c r="B1430" s="573" t="s">
        <v>827</v>
      </c>
      <c r="C1430" s="583"/>
      <c r="D1430" s="62" t="s">
        <v>147</v>
      </c>
      <c r="E1430" s="926">
        <v>2690</v>
      </c>
      <c r="F1430" s="62"/>
      <c r="G1430" s="62">
        <v>929.33</v>
      </c>
      <c r="H1430" s="225" t="e">
        <f>H6+#REF!+H48+H174+H189+H238+H279+H313+H352+H404+H425+H747+H855+H856+H887+H1075+H1092+H1111+H255+H802+H803+H804+H931+H932</f>
        <v>#REF!</v>
      </c>
      <c r="I1430" s="225" t="e">
        <f>I6+#REF!+I48+I174+I189+I238+I279+I313+I352+I404+I425+I747+I855+I856+I887+I1075+I1092+I1111+I255+I802+I803+I804+I931+I932</f>
        <v>#REF!</v>
      </c>
      <c r="J1430" s="225" t="e">
        <f>J6+#REF!+J48+J174+J189+J238+J279+J313+J352+J404+J425+J747+J855+J856+J887+J1075+J1092+J1111+J255+J802+J803+J804+J931+J932</f>
        <v>#REF!</v>
      </c>
      <c r="K1430" s="225"/>
      <c r="L1430" s="225"/>
      <c r="M1430" s="225"/>
      <c r="N1430" s="225"/>
      <c r="O1430" s="225"/>
      <c r="P1430" s="225"/>
      <c r="Q1430" s="225"/>
      <c r="R1430" s="225"/>
      <c r="S1430" s="225"/>
      <c r="T1430" s="225"/>
      <c r="U1430" s="225"/>
      <c r="V1430" s="225"/>
    </row>
    <row r="1431" spans="1:23" hidden="1">
      <c r="A1431" s="62"/>
      <c r="B1431" s="573" t="s">
        <v>828</v>
      </c>
      <c r="C1431" s="583"/>
      <c r="D1431" s="62" t="s">
        <v>147</v>
      </c>
      <c r="E1431" s="926">
        <v>2831</v>
      </c>
      <c r="F1431" s="62"/>
      <c r="G1431" s="62">
        <v>949.33</v>
      </c>
      <c r="H1431" s="225" t="e">
        <f>#REF!+H207+H426+H474+H514+H800+H801+H853+H854</f>
        <v>#REF!</v>
      </c>
      <c r="I1431" s="225" t="e">
        <f>#REF!+I207+I426+I474+I514+I800+I801+I853+I854</f>
        <v>#REF!</v>
      </c>
      <c r="J1431" s="225" t="e">
        <f>#REF!+J207+J426+J474+J514+J800+J801+J853+J854</f>
        <v>#REF!</v>
      </c>
      <c r="K1431" s="225"/>
      <c r="L1431" s="225"/>
      <c r="M1431" s="225"/>
      <c r="N1431" s="225"/>
      <c r="O1431" s="225"/>
      <c r="P1431" s="225"/>
      <c r="Q1431" s="225"/>
      <c r="R1431" s="225"/>
      <c r="S1431" s="225"/>
      <c r="T1431" s="225"/>
      <c r="U1431" s="225"/>
      <c r="V1431" s="225"/>
    </row>
    <row r="1432" spans="1:23" hidden="1">
      <c r="A1432" s="62">
        <v>3</v>
      </c>
      <c r="B1432" s="573" t="s">
        <v>165</v>
      </c>
      <c r="C1432" s="583"/>
      <c r="D1432" s="62" t="s">
        <v>147</v>
      </c>
      <c r="E1432" s="926">
        <v>26467.68</v>
      </c>
      <c r="F1432" s="62"/>
      <c r="G1432" s="62">
        <v>1800</v>
      </c>
      <c r="H1432" s="225">
        <f>H1195</f>
        <v>15002.99</v>
      </c>
      <c r="I1432" s="225">
        <f>I1195</f>
        <v>15438.62</v>
      </c>
      <c r="J1432" s="225">
        <f>J1195</f>
        <v>17665.78</v>
      </c>
      <c r="K1432" s="225"/>
      <c r="L1432" s="225"/>
      <c r="M1432" s="225"/>
      <c r="N1432" s="225"/>
      <c r="O1432" s="225"/>
      <c r="P1432" s="225"/>
      <c r="Q1432" s="225"/>
      <c r="R1432" s="225"/>
      <c r="S1432" s="225"/>
      <c r="T1432" s="277">
        <f>SUM(H1432:S1432)</f>
        <v>48107.39</v>
      </c>
      <c r="U1432" s="225">
        <f>T1432*E1432</f>
        <v>1273291004.1552</v>
      </c>
      <c r="V1432" s="225">
        <f>T1432*G1432</f>
        <v>86593302</v>
      </c>
      <c r="W1432" s="214">
        <f>T1432/12</f>
        <v>4008.9491666666668</v>
      </c>
    </row>
    <row r="1433" spans="1:23" hidden="1">
      <c r="A1433" s="62"/>
      <c r="B1433" s="573"/>
      <c r="C1433" s="583"/>
      <c r="D1433" s="62"/>
      <c r="E1433" s="926"/>
      <c r="F1433" s="62"/>
      <c r="G1433" s="62"/>
      <c r="H1433" s="225"/>
      <c r="I1433" s="225"/>
      <c r="J1433" s="225"/>
      <c r="K1433" s="225"/>
      <c r="L1433" s="225"/>
      <c r="M1433" s="225"/>
      <c r="N1433" s="225"/>
      <c r="O1433" s="225"/>
      <c r="P1433" s="225"/>
      <c r="Q1433" s="225"/>
      <c r="R1433" s="225"/>
      <c r="S1433" s="225"/>
      <c r="T1433" s="225"/>
      <c r="U1433" s="225"/>
      <c r="V1433" s="225"/>
    </row>
    <row r="1434" spans="1:23" hidden="1">
      <c r="A1434" s="62">
        <v>4</v>
      </c>
      <c r="B1434" s="573" t="s">
        <v>819</v>
      </c>
      <c r="C1434" s="583"/>
      <c r="D1434" s="62" t="s">
        <v>160</v>
      </c>
      <c r="E1434" s="62">
        <v>39.770000000000003</v>
      </c>
      <c r="F1434" s="62">
        <v>1</v>
      </c>
      <c r="G1434" s="256">
        <f>'[2]Price&amp;Heating-Value'!P16/'[2]Price&amp;Heating-Value'!T16/1000</f>
        <v>18.476593226788427</v>
      </c>
      <c r="H1434" s="225">
        <f>H190+H209+H256+H314+H353+H371+H407+H476+H516+H926</f>
        <v>4240531.6985758496</v>
      </c>
      <c r="I1434" s="225">
        <f>I190+I209+I256+I314+I353+I371+I407+I476+I516+I926</f>
        <v>4699977.670651447</v>
      </c>
      <c r="J1434" s="225">
        <f>J190+J209+J256+J314+J353+J371+J407+J476+J516+J926</f>
        <v>5180279.8319817362</v>
      </c>
      <c r="K1434" s="225"/>
      <c r="L1434" s="225"/>
      <c r="M1434" s="225"/>
      <c r="N1434" s="225"/>
      <c r="O1434" s="225"/>
      <c r="P1434" s="225"/>
      <c r="Q1434" s="225"/>
      <c r="R1434" s="225"/>
      <c r="S1434" s="225"/>
      <c r="T1434" s="225">
        <f>SUM(H1434:S1434)</f>
        <v>14120789.201209035</v>
      </c>
      <c r="U1434" s="225">
        <f>T1434*E1434</f>
        <v>561583786.53208339</v>
      </c>
      <c r="V1434" s="225">
        <f>T1434*G1434</f>
        <v>260904078.11196601</v>
      </c>
      <c r="W1434" s="214">
        <f>T1434/12</f>
        <v>1176732.4334340862</v>
      </c>
    </row>
    <row r="1435" spans="1:23" hidden="1">
      <c r="A1435" s="62"/>
      <c r="B1435" s="573"/>
      <c r="C1435" s="583"/>
      <c r="D1435" s="62"/>
      <c r="E1435" s="926"/>
      <c r="F1435" s="62"/>
      <c r="G1435" s="62"/>
      <c r="H1435" s="225"/>
      <c r="I1435" s="225"/>
      <c r="J1435" s="225"/>
      <c r="K1435" s="225"/>
      <c r="L1435" s="225"/>
      <c r="M1435" s="225"/>
      <c r="N1435" s="225"/>
      <c r="O1435" s="225"/>
      <c r="P1435" s="225"/>
      <c r="Q1435" s="225"/>
      <c r="R1435" s="225"/>
      <c r="S1435" s="225"/>
      <c r="T1435" s="225"/>
      <c r="U1435" s="225"/>
      <c r="V1435" s="225"/>
    </row>
    <row r="1436" spans="1:23" hidden="1">
      <c r="A1436" s="62">
        <v>5</v>
      </c>
      <c r="B1436" s="573" t="s">
        <v>821</v>
      </c>
      <c r="C1436" s="583"/>
      <c r="D1436" s="62" t="s">
        <v>160</v>
      </c>
      <c r="E1436" s="62">
        <v>36.42</v>
      </c>
      <c r="F1436" s="62">
        <v>0.83069999999999999</v>
      </c>
      <c r="G1436" s="238">
        <v>18.96136980922422</v>
      </c>
      <c r="H1436" s="225">
        <f>H69+H148+H211+H239+H927+H1190</f>
        <v>424932.42769540229</v>
      </c>
      <c r="I1436" s="225">
        <f>I69+I148+I211+I239+I927+I1190</f>
        <v>419950.02907279693</v>
      </c>
      <c r="J1436" s="225">
        <f>J69+J148+J211+J239+J927+J1190</f>
        <v>445183.55576628348</v>
      </c>
      <c r="K1436" s="225"/>
      <c r="L1436" s="225"/>
      <c r="M1436" s="225"/>
      <c r="N1436" s="225"/>
      <c r="O1436" s="225"/>
      <c r="P1436" s="225"/>
      <c r="Q1436" s="225"/>
      <c r="R1436" s="225"/>
      <c r="S1436" s="225"/>
      <c r="T1436" s="277">
        <f>SUM(H1436:S1436)</f>
        <v>1290066.0125344826</v>
      </c>
      <c r="U1436" s="225">
        <f>T1436*E1436</f>
        <v>46984204.176505856</v>
      </c>
      <c r="V1436" s="225">
        <f>T1436*G1436</f>
        <v>24461418.741977613</v>
      </c>
      <c r="W1436" s="214">
        <f>T1436/12</f>
        <v>107505.50104454021</v>
      </c>
    </row>
    <row r="1437" spans="1:23" hidden="1">
      <c r="A1437" s="62"/>
      <c r="B1437" s="573"/>
      <c r="C1437" s="583"/>
      <c r="D1437" s="62"/>
      <c r="E1437" s="926"/>
      <c r="F1437" s="62"/>
      <c r="G1437" s="62"/>
      <c r="H1437" s="225"/>
      <c r="I1437" s="225"/>
      <c r="J1437" s="225"/>
      <c r="K1437" s="225"/>
      <c r="L1437" s="225"/>
      <c r="M1437" s="225"/>
      <c r="N1437" s="225"/>
      <c r="O1437" s="225"/>
      <c r="P1437" s="225"/>
      <c r="Q1437" s="225"/>
      <c r="R1437" s="225"/>
      <c r="S1437" s="225"/>
      <c r="T1437" s="225"/>
      <c r="U1437" s="225"/>
      <c r="V1437" s="225"/>
    </row>
    <row r="1438" spans="1:23" hidden="1">
      <c r="A1438" s="62">
        <v>6</v>
      </c>
      <c r="B1438" s="573" t="s">
        <v>818</v>
      </c>
      <c r="C1438" s="583"/>
      <c r="D1438" s="62" t="s">
        <v>483</v>
      </c>
      <c r="E1438" s="62">
        <v>43.993000000000002</v>
      </c>
      <c r="F1438" s="62"/>
      <c r="G1438" s="62">
        <v>5.32</v>
      </c>
      <c r="H1438" s="225">
        <f>H191+H372+H427+H475+H612+(H798*1000)+(H928*1000)</f>
        <v>20229880.224316623</v>
      </c>
      <c r="I1438" s="225">
        <f>I191+I372+I427+I475+I612+(I798*1000)+(I928*1000)</f>
        <v>18680050.030584589</v>
      </c>
      <c r="J1438" s="225">
        <f>J191+J372+J427+J475+J612+(J798*1000)+(J928*1000)</f>
        <v>20751589.37131783</v>
      </c>
      <c r="K1438" s="225"/>
      <c r="L1438" s="225"/>
      <c r="M1438" s="225"/>
      <c r="N1438" s="225"/>
      <c r="O1438" s="225"/>
      <c r="P1438" s="225"/>
      <c r="Q1438" s="225"/>
      <c r="R1438" s="225"/>
      <c r="S1438" s="225"/>
      <c r="T1438" s="277">
        <f>SUM(H1438:S1438)</f>
        <v>59661519.626219049</v>
      </c>
      <c r="U1438" s="225" t="e">
        <f>#REF!+U718+#REF!+U475+U427</f>
        <v>#REF!</v>
      </c>
      <c r="V1438" s="225">
        <f>T1438*G1438</f>
        <v>317399284.41148537</v>
      </c>
      <c r="W1438" s="214">
        <f>T1438/12</f>
        <v>4971793.3021849208</v>
      </c>
    </row>
    <row r="1439" spans="1:23" hidden="1">
      <c r="A1439" s="62"/>
      <c r="B1439" s="573"/>
      <c r="C1439" s="583"/>
      <c r="D1439" s="62"/>
      <c r="E1439" s="926"/>
      <c r="F1439" s="62"/>
      <c r="G1439" s="62"/>
      <c r="H1439" s="225"/>
      <c r="I1439" s="225"/>
      <c r="J1439" s="225"/>
      <c r="K1439" s="225"/>
      <c r="L1439" s="225"/>
      <c r="M1439" s="225"/>
      <c r="N1439" s="225"/>
      <c r="O1439" s="225"/>
      <c r="P1439" s="225"/>
      <c r="Q1439" s="225"/>
      <c r="R1439" s="225"/>
      <c r="S1439" s="225"/>
      <c r="T1439" s="225"/>
      <c r="U1439" s="225"/>
      <c r="V1439" s="225"/>
    </row>
    <row r="1440" spans="1:23" hidden="1">
      <c r="A1440" s="62">
        <v>7</v>
      </c>
      <c r="B1440" s="573" t="s">
        <v>820</v>
      </c>
      <c r="C1440" s="583"/>
      <c r="D1440" s="62" t="s">
        <v>483</v>
      </c>
      <c r="E1440" s="933">
        <v>50.22</v>
      </c>
      <c r="F1440" s="238"/>
      <c r="G1440" s="238">
        <v>19.940000000000001</v>
      </c>
      <c r="H1440" s="254" t="e">
        <f>H10+H16+#REF!+#REF!+H175+H210+H257+#REF!+H315+H354+H408+H515+H586</f>
        <v>#REF!</v>
      </c>
      <c r="I1440" s="254" t="e">
        <f>I10+I16+#REF!+#REF!+I175+I210+I257+#REF!+I315+I354+I408+I515+I586</f>
        <v>#REF!</v>
      </c>
      <c r="J1440" s="254" t="e">
        <f>J10+J16+#REF!+#REF!+J175+J210+J257+#REF!+J315+J354+J408+J515+J586</f>
        <v>#REF!</v>
      </c>
      <c r="K1440" s="254"/>
      <c r="L1440" s="254"/>
      <c r="M1440" s="254"/>
      <c r="N1440" s="254"/>
      <c r="O1440" s="254"/>
      <c r="P1440" s="254"/>
      <c r="Q1440" s="254"/>
      <c r="R1440" s="254"/>
      <c r="S1440" s="254"/>
      <c r="T1440" s="277" t="e">
        <f>SUM(H1440:S1440)</f>
        <v>#REF!</v>
      </c>
      <c r="U1440" s="225" t="e">
        <f>T1440*E1440</f>
        <v>#REF!</v>
      </c>
      <c r="V1440" s="225" t="e">
        <f>T1440*G1440</f>
        <v>#REF!</v>
      </c>
      <c r="W1440" s="214" t="e">
        <f>T1440/12</f>
        <v>#REF!</v>
      </c>
    </row>
    <row r="1441" spans="1:23" hidden="1">
      <c r="A1441" s="62"/>
      <c r="B1441" s="573"/>
      <c r="C1441" s="583"/>
      <c r="D1441" s="62"/>
      <c r="E1441" s="926"/>
      <c r="F1441" s="62"/>
      <c r="G1441" s="62"/>
      <c r="H1441" s="254"/>
      <c r="I1441" s="254"/>
      <c r="J1441" s="254"/>
      <c r="K1441" s="254"/>
      <c r="L1441" s="254"/>
      <c r="M1441" s="254"/>
      <c r="N1441" s="254"/>
      <c r="O1441" s="254"/>
      <c r="P1441" s="254"/>
      <c r="Q1441" s="254"/>
      <c r="R1441" s="254"/>
      <c r="S1441" s="254"/>
      <c r="T1441" s="225"/>
      <c r="U1441" s="225"/>
      <c r="V1441" s="225"/>
    </row>
    <row r="1442" spans="1:23" hidden="1">
      <c r="A1442" s="62">
        <v>8</v>
      </c>
      <c r="B1442" s="573" t="s">
        <v>690</v>
      </c>
      <c r="C1442" s="583"/>
      <c r="D1442" s="62" t="s">
        <v>147</v>
      </c>
      <c r="E1442" s="800">
        <v>39960</v>
      </c>
      <c r="F1442" s="62"/>
      <c r="G1442" s="62"/>
      <c r="H1442" s="225">
        <f>H929</f>
        <v>1215.5999999999992</v>
      </c>
      <c r="I1442" s="225">
        <f>I929</f>
        <v>1016.8000000000002</v>
      </c>
      <c r="J1442" s="225">
        <f>J929</f>
        <v>1058.3999999999996</v>
      </c>
      <c r="K1442" s="225"/>
      <c r="L1442" s="225"/>
      <c r="M1442" s="225"/>
      <c r="N1442" s="225"/>
      <c r="O1442" s="225"/>
      <c r="P1442" s="225"/>
      <c r="Q1442" s="225"/>
      <c r="R1442" s="225"/>
      <c r="S1442" s="225"/>
      <c r="T1442" s="277">
        <f>SUM(H1442:S1442)</f>
        <v>3290.7999999999993</v>
      </c>
      <c r="U1442" s="225">
        <f>T1442*E1442</f>
        <v>131500367.99999997</v>
      </c>
      <c r="V1442" s="225">
        <f>T1442*G1442</f>
        <v>0</v>
      </c>
      <c r="W1442" s="214">
        <f>T1442/12</f>
        <v>274.23333333333329</v>
      </c>
    </row>
    <row r="1443" spans="1:23" hidden="1">
      <c r="A1443" s="62"/>
      <c r="B1443" s="573"/>
      <c r="C1443" s="583"/>
      <c r="D1443" s="62"/>
      <c r="E1443" s="62"/>
      <c r="F1443" s="62"/>
      <c r="G1443" s="62"/>
      <c r="H1443" s="225"/>
      <c r="I1443" s="225"/>
      <c r="J1443" s="225"/>
      <c r="K1443" s="225"/>
      <c r="L1443" s="225"/>
      <c r="M1443" s="225"/>
      <c r="N1443" s="225"/>
      <c r="O1443" s="225"/>
      <c r="P1443" s="225"/>
      <c r="Q1443" s="225"/>
      <c r="R1443" s="225"/>
      <c r="S1443" s="225"/>
      <c r="T1443" s="225"/>
      <c r="U1443" s="225"/>
      <c r="V1443" s="225"/>
    </row>
    <row r="1444" spans="1:23" hidden="1">
      <c r="A1444" s="62">
        <v>9</v>
      </c>
      <c r="B1444" s="573" t="s">
        <v>822</v>
      </c>
      <c r="C1444" s="583"/>
      <c r="D1444" s="62" t="s">
        <v>147</v>
      </c>
      <c r="E1444" s="789">
        <v>39710</v>
      </c>
      <c r="F1444" s="789"/>
      <c r="G1444" s="789">
        <v>0</v>
      </c>
      <c r="H1444" s="225">
        <f>H258</f>
        <v>49.029300000000006</v>
      </c>
      <c r="I1444" s="225">
        <f>I258</f>
        <v>44.694900000000004</v>
      </c>
      <c r="J1444" s="225">
        <f>J258</f>
        <v>37.775700000000001</v>
      </c>
      <c r="K1444" s="225"/>
      <c r="L1444" s="225"/>
      <c r="M1444" s="225"/>
      <c r="N1444" s="225"/>
      <c r="O1444" s="225"/>
      <c r="P1444" s="225"/>
      <c r="Q1444" s="225"/>
      <c r="R1444" s="225"/>
      <c r="S1444" s="225"/>
      <c r="T1444" s="277">
        <f>SUM(H1444:S1444)</f>
        <v>131.49990000000003</v>
      </c>
      <c r="U1444" s="225">
        <f>T1444*E1444</f>
        <v>5221861.029000001</v>
      </c>
      <c r="V1444" s="225">
        <f>T1444*G1444</f>
        <v>0</v>
      </c>
      <c r="W1444" s="214">
        <f>T1444/12</f>
        <v>10.958325000000002</v>
      </c>
    </row>
    <row r="1445" spans="1:23" hidden="1">
      <c r="A1445" s="62"/>
      <c r="B1445" s="573"/>
      <c r="C1445" s="583"/>
      <c r="D1445" s="62"/>
      <c r="E1445" s="926"/>
      <c r="F1445" s="62"/>
      <c r="G1445" s="62"/>
      <c r="H1445" s="225"/>
      <c r="I1445" s="225"/>
      <c r="J1445" s="225"/>
      <c r="K1445" s="225"/>
      <c r="L1445" s="225"/>
      <c r="M1445" s="225"/>
      <c r="N1445" s="225"/>
      <c r="O1445" s="225"/>
      <c r="P1445" s="225"/>
      <c r="Q1445" s="225"/>
      <c r="R1445" s="225"/>
      <c r="S1445" s="225"/>
      <c r="T1445" s="225"/>
      <c r="U1445" s="225"/>
      <c r="V1445" s="225"/>
    </row>
    <row r="1446" spans="1:23" hidden="1">
      <c r="A1446" s="62">
        <v>10</v>
      </c>
      <c r="B1446" s="573" t="s">
        <v>886</v>
      </c>
      <c r="C1446" s="583"/>
      <c r="D1446" s="62" t="s">
        <v>483</v>
      </c>
      <c r="E1446" s="813">
        <f>'[2]Price&amp;Heating-Value'!$R$26/1000</f>
        <v>40.887839999999997</v>
      </c>
      <c r="F1446" s="62"/>
      <c r="G1446" s="62">
        <v>56.63</v>
      </c>
      <c r="H1446" s="225">
        <f>H281</f>
        <v>0</v>
      </c>
      <c r="I1446" s="225">
        <f>I281</f>
        <v>0</v>
      </c>
      <c r="J1446" s="225">
        <f>J281</f>
        <v>0</v>
      </c>
      <c r="K1446" s="225"/>
      <c r="L1446" s="225"/>
      <c r="M1446" s="225"/>
      <c r="N1446" s="225"/>
      <c r="O1446" s="225"/>
      <c r="P1446" s="225"/>
      <c r="Q1446" s="225"/>
      <c r="R1446" s="225"/>
      <c r="S1446" s="225"/>
      <c r="T1446" s="277">
        <f>SUM(H1446:S1446)</f>
        <v>0</v>
      </c>
      <c r="U1446" s="225">
        <f>T1446*E1446</f>
        <v>0</v>
      </c>
      <c r="V1446" s="225">
        <f>T1446*G1446</f>
        <v>0</v>
      </c>
    </row>
    <row r="1447" spans="1:23" hidden="1">
      <c r="A1447" s="62"/>
      <c r="B1447" s="354"/>
      <c r="C1447" s="583"/>
      <c r="D1447" s="62"/>
      <c r="E1447" s="238"/>
      <c r="F1447" s="238"/>
      <c r="G1447" s="238"/>
      <c r="H1447" s="225"/>
      <c r="I1447" s="225"/>
      <c r="J1447" s="225"/>
      <c r="K1447" s="225"/>
      <c r="L1447" s="225"/>
      <c r="M1447" s="225"/>
      <c r="N1447" s="225"/>
      <c r="O1447" s="225"/>
      <c r="P1447" s="225"/>
      <c r="Q1447" s="225"/>
      <c r="R1447" s="225"/>
      <c r="S1447" s="225"/>
      <c r="T1447" s="225"/>
      <c r="U1447" s="225"/>
      <c r="V1447" s="225"/>
    </row>
    <row r="1448" spans="1:23" hidden="1">
      <c r="A1448" s="62">
        <v>11</v>
      </c>
      <c r="B1448" s="60" t="s">
        <v>823</v>
      </c>
      <c r="C1448" s="583"/>
      <c r="D1448" s="62" t="s">
        <v>147</v>
      </c>
      <c r="E1448" s="789">
        <v>45943.431119999994</v>
      </c>
      <c r="F1448" s="789"/>
      <c r="G1448" s="789">
        <v>39032</v>
      </c>
      <c r="H1448" s="225">
        <f>H1191</f>
        <v>0</v>
      </c>
      <c r="I1448" s="225">
        <f>I1191</f>
        <v>0</v>
      </c>
      <c r="J1448" s="225">
        <f>J1191</f>
        <v>0</v>
      </c>
      <c r="K1448" s="225"/>
      <c r="L1448" s="225"/>
      <c r="M1448" s="225"/>
      <c r="N1448" s="225"/>
      <c r="O1448" s="225"/>
      <c r="P1448" s="225"/>
      <c r="Q1448" s="225"/>
      <c r="R1448" s="225"/>
      <c r="S1448" s="225"/>
      <c r="T1448" s="277">
        <f>SUM(H1448:S1448)</f>
        <v>0</v>
      </c>
      <c r="U1448" s="225">
        <f>T1448*E1448</f>
        <v>0</v>
      </c>
      <c r="V1448" s="225">
        <f>T1448*G1448</f>
        <v>0</v>
      </c>
    </row>
    <row r="1449" spans="1:23" hidden="1">
      <c r="A1449" s="62"/>
      <c r="B1449" s="573"/>
      <c r="C1449" s="583"/>
      <c r="D1449" s="62"/>
      <c r="E1449" s="789"/>
      <c r="F1449" s="789"/>
      <c r="G1449" s="789"/>
      <c r="H1449" s="225"/>
      <c r="I1449" s="225"/>
      <c r="J1449" s="225"/>
      <c r="K1449" s="225"/>
      <c r="L1449" s="225"/>
      <c r="M1449" s="225"/>
      <c r="N1449" s="225"/>
      <c r="O1449" s="225"/>
      <c r="P1449" s="225"/>
      <c r="Q1449" s="225"/>
      <c r="R1449" s="225"/>
      <c r="S1449" s="225"/>
      <c r="T1449" s="277"/>
      <c r="U1449" s="225"/>
      <c r="V1449" s="225"/>
    </row>
    <row r="1450" spans="1:23" hidden="1">
      <c r="A1450" s="62"/>
      <c r="B1450" s="573"/>
      <c r="C1450" s="583" t="s">
        <v>887</v>
      </c>
      <c r="D1450" s="62"/>
      <c r="E1450" s="789"/>
      <c r="F1450" s="789"/>
      <c r="G1450" s="789"/>
      <c r="H1450" s="225"/>
      <c r="I1450" s="225"/>
      <c r="J1450" s="225"/>
      <c r="K1450" s="225"/>
      <c r="L1450" s="225"/>
      <c r="M1450" s="225"/>
      <c r="N1450" s="225"/>
      <c r="O1450" s="225"/>
      <c r="P1450" s="225"/>
      <c r="Q1450" s="225"/>
      <c r="R1450" s="225"/>
      <c r="S1450" s="225"/>
      <c r="T1450" s="277"/>
      <c r="U1450" s="277">
        <f>U1442+U1444+U1446+U1448</f>
        <v>136722229.02899998</v>
      </c>
      <c r="V1450" s="277">
        <f>V1442+V1444+V1446+V1448</f>
        <v>0</v>
      </c>
    </row>
    <row r="1451" spans="1:23" hidden="1">
      <c r="A1451" s="62"/>
      <c r="B1451" s="573"/>
      <c r="C1451" s="583"/>
      <c r="D1451" s="62"/>
      <c r="E1451" s="789"/>
      <c r="F1451" s="789"/>
      <c r="G1451" s="789"/>
      <c r="H1451" s="225"/>
      <c r="I1451" s="225"/>
      <c r="J1451" s="225"/>
      <c r="K1451" s="225"/>
      <c r="L1451" s="225"/>
      <c r="M1451" s="225"/>
      <c r="N1451" s="225"/>
      <c r="O1451" s="225"/>
      <c r="P1451" s="225"/>
      <c r="Q1451" s="225"/>
      <c r="R1451" s="225"/>
      <c r="S1451" s="225"/>
      <c r="T1451" s="225"/>
      <c r="U1451" s="225"/>
      <c r="V1451" s="225"/>
    </row>
    <row r="1452" spans="1:23" hidden="1">
      <c r="A1452" s="62"/>
      <c r="B1452" s="573"/>
      <c r="C1452" s="583"/>
      <c r="D1452" s="62"/>
      <c r="E1452" s="789"/>
      <c r="F1452" s="789"/>
      <c r="G1452" s="789"/>
      <c r="H1452" s="225"/>
      <c r="I1452" s="225"/>
      <c r="J1452" s="225"/>
      <c r="K1452" s="225"/>
      <c r="L1452" s="225"/>
      <c r="M1452" s="225"/>
      <c r="N1452" s="225"/>
      <c r="O1452" s="225"/>
      <c r="P1452" s="225"/>
      <c r="Q1452" s="225"/>
      <c r="R1452" s="225" t="s">
        <v>501</v>
      </c>
      <c r="S1452" s="225"/>
      <c r="T1452" s="225" t="e">
        <f>T1444+T1442+T1440+T1438+T1436+T1434+T1432+T1427+T1413</f>
        <v>#REF!</v>
      </c>
      <c r="U1452" s="225" t="e">
        <f>U1444+U1442+U1440+U1438+U1436+U1434+U1432+U1427+U1413</f>
        <v>#REF!</v>
      </c>
      <c r="V1452" s="225" t="e">
        <f>V1444+V1442+V1440+V1438+V1436+V1434+V1432+V1427+V1413</f>
        <v>#REF!</v>
      </c>
    </row>
    <row r="1453" spans="1:23" hidden="1">
      <c r="A1453" s="62"/>
      <c r="B1453" s="573"/>
      <c r="C1453" s="583"/>
      <c r="D1453" s="62"/>
      <c r="E1453" s="789"/>
      <c r="F1453" s="789"/>
      <c r="G1453" s="789"/>
      <c r="H1453" s="225"/>
      <c r="I1453" s="225"/>
      <c r="J1453" s="225"/>
      <c r="K1453" s="225"/>
      <c r="L1453" s="225"/>
      <c r="M1453" s="225"/>
      <c r="N1453" s="225"/>
      <c r="O1453" s="225"/>
      <c r="P1453" s="225"/>
      <c r="Q1453" s="225"/>
      <c r="R1453" s="225"/>
      <c r="S1453" s="225"/>
      <c r="T1453" s="225"/>
      <c r="U1453" s="225"/>
      <c r="V1453" s="225"/>
    </row>
    <row r="1454" spans="1:23" hidden="1">
      <c r="A1454" s="62"/>
      <c r="B1454" s="354"/>
      <c r="C1454" s="583" t="s">
        <v>888</v>
      </c>
      <c r="D1454" s="62"/>
      <c r="E1454" s="238"/>
      <c r="F1454" s="238"/>
      <c r="G1454" s="238"/>
      <c r="H1454" s="800"/>
      <c r="I1454" s="800"/>
      <c r="J1454" s="800"/>
      <c r="K1454" s="800"/>
      <c r="L1454" s="800"/>
      <c r="M1454" s="800"/>
      <c r="N1454" s="800"/>
      <c r="O1454" s="800"/>
      <c r="P1454" s="800"/>
      <c r="Q1454" s="800"/>
      <c r="R1454" s="800"/>
      <c r="S1454" s="800"/>
      <c r="T1454" s="225">
        <f>SUM(H1454:S1454)</f>
        <v>0</v>
      </c>
      <c r="U1454" s="225">
        <f>T1454*2690</f>
        <v>0</v>
      </c>
      <c r="V1454" s="225">
        <f>T1454*939</f>
        <v>0</v>
      </c>
    </row>
    <row r="1455" spans="1:23" hidden="1">
      <c r="A1455" s="62"/>
      <c r="B1455" s="354"/>
      <c r="C1455" s="583" t="s">
        <v>889</v>
      </c>
      <c r="D1455" s="62"/>
      <c r="E1455" s="238"/>
      <c r="F1455" s="238"/>
      <c r="G1455" s="238"/>
      <c r="H1455" s="800"/>
      <c r="I1455" s="800"/>
      <c r="J1455" s="800"/>
      <c r="K1455" s="800"/>
      <c r="L1455" s="800"/>
      <c r="M1455" s="800"/>
      <c r="N1455" s="800"/>
      <c r="O1455" s="800"/>
      <c r="P1455" s="800"/>
      <c r="Q1455" s="800"/>
      <c r="R1455" s="800"/>
      <c r="S1455" s="800"/>
      <c r="T1455" s="225">
        <f>SUM(H1455:S1455)</f>
        <v>0</v>
      </c>
      <c r="U1455" s="225">
        <f>T1455*2690</f>
        <v>0</v>
      </c>
      <c r="V1455" s="225">
        <f>T1455*939</f>
        <v>0</v>
      </c>
    </row>
    <row r="1456" spans="1:23" hidden="1">
      <c r="A1456" s="62"/>
      <c r="B1456" s="354"/>
      <c r="C1456" s="583"/>
      <c r="D1456" s="62"/>
      <c r="E1456" s="238"/>
      <c r="F1456" s="238"/>
      <c r="G1456" s="238"/>
      <c r="H1456" s="225"/>
      <c r="I1456" s="225"/>
      <c r="J1456" s="225"/>
      <c r="K1456" s="225"/>
      <c r="L1456" s="225"/>
      <c r="M1456" s="225"/>
      <c r="N1456" s="225"/>
      <c r="O1456" s="225"/>
      <c r="P1456" s="225"/>
      <c r="Q1456" s="225"/>
      <c r="R1456" s="225"/>
      <c r="S1456" s="225"/>
      <c r="T1456" s="225"/>
      <c r="U1456" s="225"/>
      <c r="V1456" s="225"/>
    </row>
    <row r="1457" spans="1:23" hidden="1">
      <c r="A1457" s="62"/>
      <c r="B1457" s="573"/>
      <c r="C1457" s="583"/>
      <c r="D1457" s="62"/>
      <c r="E1457" s="789"/>
      <c r="F1457" s="789"/>
      <c r="G1457" s="789"/>
      <c r="H1457" s="225"/>
      <c r="I1457" s="225"/>
      <c r="J1457" s="225"/>
      <c r="K1457" s="225"/>
      <c r="L1457" s="225"/>
      <c r="M1457" s="225"/>
      <c r="N1457" s="225"/>
      <c r="O1457" s="225"/>
      <c r="P1457" s="225"/>
      <c r="Q1457" s="225"/>
      <c r="R1457" s="225" t="s">
        <v>890</v>
      </c>
      <c r="S1457" s="225"/>
      <c r="T1457" s="225"/>
      <c r="U1457" s="225" t="e">
        <f>U1418+U1432+U1434+U1436+U1438+U1440+U1442+U1444</f>
        <v>#REF!</v>
      </c>
      <c r="V1457" s="225" t="e">
        <f>V1418+V1432+V1434+V1436+V1438+V1440+V1442+V1444</f>
        <v>#REF!</v>
      </c>
      <c r="W1457" s="214">
        <f>T1457/12</f>
        <v>0</v>
      </c>
    </row>
    <row r="1458" spans="1:23" hidden="1">
      <c r="A1458" s="62"/>
      <c r="B1458" s="354"/>
      <c r="C1458" s="583"/>
      <c r="D1458" s="62"/>
      <c r="E1458" s="62"/>
      <c r="F1458" s="62"/>
      <c r="G1458" s="62"/>
      <c r="H1458" s="225"/>
      <c r="I1458" s="225"/>
      <c r="J1458" s="225"/>
      <c r="K1458" s="225"/>
      <c r="L1458" s="225"/>
      <c r="M1458" s="225"/>
      <c r="N1458" s="225"/>
      <c r="O1458" s="225"/>
      <c r="P1458" s="225"/>
      <c r="Q1458" s="225"/>
      <c r="R1458" s="225" t="s">
        <v>891</v>
      </c>
      <c r="S1458" s="225"/>
      <c r="T1458" s="225"/>
      <c r="U1458" s="225" t="e">
        <f>U1427+#REF!</f>
        <v>#REF!</v>
      </c>
      <c r="V1458" s="225" t="e">
        <f>V1427+#REF!</f>
        <v>#REF!</v>
      </c>
      <c r="W1458" s="214">
        <f>T1458/12</f>
        <v>0</v>
      </c>
    </row>
    <row r="1459" spans="1:23" hidden="1">
      <c r="A1459" s="62"/>
      <c r="B1459" s="354"/>
      <c r="C1459" s="583"/>
      <c r="D1459" s="62"/>
      <c r="E1459" s="62"/>
      <c r="F1459" s="62"/>
      <c r="G1459" s="62"/>
      <c r="H1459" s="225"/>
      <c r="I1459" s="225"/>
      <c r="J1459" s="225"/>
      <c r="K1459" s="225"/>
      <c r="L1459" s="225"/>
      <c r="M1459" s="225"/>
      <c r="N1459" s="225"/>
      <c r="O1459" s="225"/>
      <c r="P1459" s="934"/>
      <c r="Q1459" s="934"/>
      <c r="R1459" s="225"/>
      <c r="S1459" s="225"/>
      <c r="T1459" s="225"/>
      <c r="U1459" s="225"/>
      <c r="V1459" s="225"/>
    </row>
    <row r="1460" spans="1:23" hidden="1">
      <c r="A1460" s="62"/>
      <c r="B1460" s="354"/>
      <c r="C1460" s="583"/>
      <c r="D1460" s="62"/>
      <c r="E1460" s="62"/>
      <c r="F1460" s="62"/>
      <c r="G1460" s="62"/>
      <c r="H1460" s="225"/>
      <c r="I1460" s="225"/>
      <c r="J1460" s="225"/>
      <c r="K1460" s="225"/>
      <c r="L1460" s="225"/>
      <c r="M1460" s="225"/>
      <c r="N1460" s="225"/>
      <c r="O1460" s="225"/>
      <c r="P1460" s="225"/>
      <c r="Q1460" s="225"/>
      <c r="R1460" s="935" t="s">
        <v>501</v>
      </c>
      <c r="S1460" s="935"/>
      <c r="T1460" s="935"/>
      <c r="U1460" s="935" t="e">
        <f>U1448+U1446+U1444+U1442+U1440+U1438+U1436+U1432+U1425+U1434</f>
        <v>#REF!</v>
      </c>
      <c r="V1460" s="935"/>
      <c r="W1460" s="215"/>
    </row>
  </sheetData>
  <mergeCells count="28">
    <mergeCell ref="E1350:F1350"/>
    <mergeCell ref="E1363:G1363"/>
    <mergeCell ref="B1413:C1413"/>
    <mergeCell ref="E1295:G1295"/>
    <mergeCell ref="E1309:G1309"/>
    <mergeCell ref="E1313:G1313"/>
    <mergeCell ref="E1322:G1322"/>
    <mergeCell ref="E1335:G1335"/>
    <mergeCell ref="A1:V1"/>
    <mergeCell ref="H3:S3"/>
    <mergeCell ref="E20:G20"/>
    <mergeCell ref="E54:G54"/>
    <mergeCell ref="E63:G63"/>
    <mergeCell ref="E74:G74"/>
    <mergeCell ref="E224:G224"/>
    <mergeCell ref="E225:G225"/>
    <mergeCell ref="E247:G247"/>
    <mergeCell ref="E248:G248"/>
    <mergeCell ref="E361:G361"/>
    <mergeCell ref="E398:F398"/>
    <mergeCell ref="E415:G415"/>
    <mergeCell ref="E768:F768"/>
    <mergeCell ref="E547:G547"/>
    <mergeCell ref="E558:G558"/>
    <mergeCell ref="E569:G569"/>
    <mergeCell ref="E579:G579"/>
    <mergeCell ref="D583:G583"/>
    <mergeCell ref="E434:F43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487"/>
  <sheetViews>
    <sheetView zoomScale="70" zoomScaleNormal="70" workbookViewId="0">
      <selection activeCell="F10" sqref="F10"/>
    </sheetView>
  </sheetViews>
  <sheetFormatPr defaultColWidth="9.140625" defaultRowHeight="15"/>
  <cols>
    <col min="1" max="1" width="4.42578125" customWidth="1"/>
    <col min="2" max="2" width="15.85546875" customWidth="1"/>
    <col min="3" max="3" width="22.42578125" customWidth="1"/>
    <col min="4" max="4" width="15" customWidth="1"/>
    <col min="5" max="5" width="22.28515625" customWidth="1"/>
    <col min="6" max="6" width="28.140625" customWidth="1"/>
    <col min="7" max="7" width="14.42578125" customWidth="1"/>
    <col min="8" max="8" width="17.140625" customWidth="1"/>
    <col min="9" max="9" width="13.140625" bestFit="1" customWidth="1"/>
    <col min="10" max="10" width="12" bestFit="1" customWidth="1"/>
    <col min="11" max="13" width="13.140625" customWidth="1"/>
    <col min="14" max="14" width="12.140625" customWidth="1"/>
    <col min="15" max="16" width="12.42578125" customWidth="1"/>
    <col min="17" max="17" width="12.28515625" customWidth="1"/>
    <col min="18" max="18" width="12.7109375" customWidth="1"/>
    <col min="19" max="19" width="12" customWidth="1"/>
    <col min="20" max="20" width="13.140625" customWidth="1"/>
    <col min="21" max="21" width="14.28515625" customWidth="1"/>
    <col min="22" max="22" width="15.85546875" customWidth="1"/>
    <col min="23" max="23" width="11.42578125" customWidth="1"/>
    <col min="24" max="24" width="15.42578125" customWidth="1"/>
    <col min="25" max="25" width="11.42578125" customWidth="1"/>
    <col min="26" max="34" width="10.7109375" customWidth="1"/>
    <col min="35" max="35" width="11" customWidth="1"/>
    <col min="36" max="37" width="9.140625" customWidth="1"/>
  </cols>
  <sheetData>
    <row r="1" spans="1:36" ht="36.75" customHeight="1">
      <c r="A1" s="1807" t="s">
        <v>909</v>
      </c>
      <c r="B1" s="1807"/>
      <c r="C1" s="1807"/>
      <c r="D1" s="1807"/>
      <c r="E1" s="1807"/>
      <c r="F1" s="1807"/>
      <c r="G1" s="1807"/>
      <c r="H1" s="1807"/>
      <c r="I1" s="1807"/>
      <c r="J1" s="1807"/>
      <c r="K1" s="1807"/>
      <c r="L1" s="1807"/>
      <c r="M1" s="1807"/>
      <c r="N1" s="1807"/>
      <c r="O1" s="1807"/>
      <c r="P1" s="1807"/>
      <c r="Q1" s="1807"/>
      <c r="R1" s="1807"/>
      <c r="S1" s="1807"/>
      <c r="T1" s="1807"/>
      <c r="U1" s="1807"/>
      <c r="V1" s="1807"/>
      <c r="W1" s="936"/>
      <c r="X1" s="937"/>
      <c r="Y1" s="937"/>
      <c r="Z1" s="937"/>
      <c r="AA1" s="937"/>
      <c r="AB1" s="937"/>
      <c r="AC1" s="937"/>
      <c r="AD1" s="937"/>
      <c r="AE1" s="937"/>
      <c r="AF1" s="937"/>
      <c r="AG1" s="937"/>
      <c r="AH1" s="937"/>
      <c r="AI1" s="937"/>
      <c r="AJ1" s="937"/>
    </row>
    <row r="2" spans="1:36" ht="16.5" customHeight="1">
      <c r="A2" s="938"/>
      <c r="B2" s="937"/>
      <c r="C2" s="939"/>
      <c r="D2" s="937"/>
      <c r="E2" s="937"/>
      <c r="F2" s="937"/>
      <c r="G2" s="937"/>
      <c r="H2" s="936"/>
      <c r="I2" s="936"/>
      <c r="J2" s="936"/>
      <c r="K2" s="936"/>
      <c r="L2" s="936"/>
      <c r="M2" s="936"/>
      <c r="N2" s="936"/>
      <c r="O2" s="936"/>
      <c r="P2" s="936"/>
      <c r="Q2" s="936"/>
      <c r="R2" s="936"/>
      <c r="S2" s="936"/>
      <c r="T2" s="936"/>
      <c r="U2" s="936"/>
      <c r="V2" s="936"/>
      <c r="W2" s="936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</row>
    <row r="3" spans="1:36" ht="16.5" customHeight="1">
      <c r="A3" s="940" t="s">
        <v>77</v>
      </c>
      <c r="B3" s="940" t="s">
        <v>78</v>
      </c>
      <c r="C3" s="940" t="s">
        <v>79</v>
      </c>
      <c r="D3" s="940" t="s">
        <v>80</v>
      </c>
      <c r="E3" s="940" t="s">
        <v>81</v>
      </c>
      <c r="F3" s="940" t="s">
        <v>82</v>
      </c>
      <c r="G3" s="940" t="s">
        <v>83</v>
      </c>
      <c r="H3" s="1808" t="s">
        <v>76</v>
      </c>
      <c r="I3" s="1809"/>
      <c r="J3" s="1809"/>
      <c r="K3" s="1809"/>
      <c r="L3" s="1809"/>
      <c r="M3" s="1809"/>
      <c r="N3" s="1809"/>
      <c r="O3" s="1809"/>
      <c r="P3" s="1809"/>
      <c r="Q3" s="1809"/>
      <c r="R3" s="1809"/>
      <c r="S3" s="1810"/>
      <c r="T3" s="941" t="s">
        <v>25</v>
      </c>
      <c r="U3" s="941" t="s">
        <v>25</v>
      </c>
      <c r="V3" s="941" t="s">
        <v>84</v>
      </c>
      <c r="W3" s="936"/>
      <c r="X3" s="937"/>
      <c r="Y3" s="937"/>
      <c r="Z3" s="937"/>
      <c r="AA3" s="937"/>
      <c r="AB3" s="937"/>
      <c r="AC3" s="937"/>
      <c r="AD3" s="937"/>
      <c r="AE3" s="937"/>
      <c r="AF3" s="937"/>
      <c r="AG3" s="937"/>
      <c r="AH3" s="937"/>
      <c r="AI3" s="937"/>
      <c r="AJ3" s="937"/>
    </row>
    <row r="4" spans="1:36" ht="16.5" customHeight="1">
      <c r="A4" s="942"/>
      <c r="B4" s="942"/>
      <c r="C4" s="943"/>
      <c r="D4" s="942"/>
      <c r="E4" s="942" t="s">
        <v>85</v>
      </c>
      <c r="F4" s="942" t="s">
        <v>86</v>
      </c>
      <c r="G4" s="942" t="s">
        <v>87</v>
      </c>
      <c r="H4" s="944" t="s">
        <v>892</v>
      </c>
      <c r="I4" s="944" t="s">
        <v>893</v>
      </c>
      <c r="J4" s="944" t="s">
        <v>894</v>
      </c>
      <c r="K4" s="944" t="s">
        <v>895</v>
      </c>
      <c r="L4" s="944" t="s">
        <v>896</v>
      </c>
      <c r="M4" s="944" t="s">
        <v>910</v>
      </c>
      <c r="N4" s="944" t="s">
        <v>911</v>
      </c>
      <c r="O4" s="944" t="s">
        <v>912</v>
      </c>
      <c r="P4" s="944" t="s">
        <v>913</v>
      </c>
      <c r="Q4" s="944" t="s">
        <v>914</v>
      </c>
      <c r="R4" s="944" t="s">
        <v>915</v>
      </c>
      <c r="S4" s="944" t="s">
        <v>916</v>
      </c>
      <c r="T4" s="945" t="s">
        <v>337</v>
      </c>
      <c r="U4" s="945" t="s">
        <v>338</v>
      </c>
      <c r="V4" s="945"/>
      <c r="W4" s="936" t="s">
        <v>29</v>
      </c>
      <c r="X4" s="937" t="s">
        <v>30</v>
      </c>
      <c r="Y4" s="937" t="s">
        <v>31</v>
      </c>
      <c r="Z4" s="937" t="s">
        <v>32</v>
      </c>
      <c r="AA4" s="937" t="s">
        <v>33</v>
      </c>
      <c r="AB4" s="937" t="s">
        <v>34</v>
      </c>
      <c r="AC4" s="937" t="s">
        <v>35</v>
      </c>
      <c r="AD4" s="937" t="s">
        <v>36</v>
      </c>
      <c r="AE4" s="937" t="s">
        <v>37</v>
      </c>
      <c r="AF4" s="937" t="s">
        <v>38</v>
      </c>
      <c r="AG4" s="937" t="s">
        <v>39</v>
      </c>
      <c r="AH4" s="937" t="s">
        <v>40</v>
      </c>
      <c r="AI4" s="937" t="s">
        <v>25</v>
      </c>
      <c r="AJ4" s="946" t="s">
        <v>158</v>
      </c>
    </row>
    <row r="5" spans="1:36" ht="21">
      <c r="A5" s="947">
        <v>1</v>
      </c>
      <c r="B5" s="948" t="s">
        <v>88</v>
      </c>
      <c r="C5" s="949" t="s">
        <v>89</v>
      </c>
      <c r="D5" s="947" t="s">
        <v>90</v>
      </c>
      <c r="E5" s="950">
        <f>'[11]Price&amp;Heating-Value'!$R$6</f>
        <v>3.6</v>
      </c>
      <c r="F5" s="947"/>
      <c r="G5" s="951">
        <f>'[11]Price&amp;Heating-Value'!$P$6</f>
        <v>2.7124999999999999</v>
      </c>
      <c r="H5" s="952">
        <v>4920004</v>
      </c>
      <c r="I5" s="953"/>
      <c r="J5" s="952"/>
      <c r="K5" s="952"/>
      <c r="L5" s="952"/>
      <c r="M5" s="952"/>
      <c r="N5" s="952"/>
      <c r="O5" s="952"/>
      <c r="P5" s="952"/>
      <c r="Q5" s="952"/>
      <c r="R5" s="952"/>
      <c r="S5" s="952"/>
      <c r="T5" s="952">
        <f>SUM(H5:S5)</f>
        <v>4920004</v>
      </c>
      <c r="U5" s="952">
        <f>T5*E5</f>
        <v>17712014.400000002</v>
      </c>
      <c r="V5" s="952">
        <f>AI5</f>
        <v>14710811.960000001</v>
      </c>
      <c r="W5" s="954">
        <f>H5*'[11]Transfer Price2011'!HE$459</f>
        <v>14710811.960000001</v>
      </c>
      <c r="X5" s="954">
        <f>I5*'[11]Transfer Price2011'!$HE$459</f>
        <v>0</v>
      </c>
      <c r="Y5" s="954">
        <f>J5*'[11]Transfer Price2011'!$HE$459</f>
        <v>0</v>
      </c>
      <c r="Z5" s="954">
        <f>K5*'[11]Transfer Price2011'!$HE$459</f>
        <v>0</v>
      </c>
      <c r="AA5" s="954">
        <f>L5*'[11]Transfer Price2011'!$HE$459</f>
        <v>0</v>
      </c>
      <c r="AB5" s="954">
        <f>M5*'[11]Transfer Price2011'!$HE$459</f>
        <v>0</v>
      </c>
      <c r="AC5" s="954">
        <f>N5*'[11]Transfer Price2011'!$HE$459</f>
        <v>0</v>
      </c>
      <c r="AD5" s="954">
        <f>O5*'[11]Transfer Price2011'!$HE$459</f>
        <v>0</v>
      </c>
      <c r="AE5" s="954">
        <f>P5*'[11]Transfer Price2011'!$HE$459</f>
        <v>0</v>
      </c>
      <c r="AF5" s="954">
        <f>Q5*'[11]Transfer Price2011'!$HE$459</f>
        <v>0</v>
      </c>
      <c r="AG5" s="954">
        <f>R5*'[11]Transfer Price2011'!$HE$459</f>
        <v>0</v>
      </c>
      <c r="AH5" s="954">
        <f>S5*'[11]Transfer Price2011'!$HE$459</f>
        <v>0</v>
      </c>
      <c r="AI5" s="936">
        <f>SUM(W5:AH5)</f>
        <v>14710811.960000001</v>
      </c>
      <c r="AJ5" s="955">
        <f>AI5/U5*1000</f>
        <v>830.55555555555554</v>
      </c>
    </row>
    <row r="6" spans="1:36" ht="21">
      <c r="A6" s="956"/>
      <c r="B6" s="957"/>
      <c r="C6" s="958" t="s">
        <v>91</v>
      </c>
      <c r="D6" s="956" t="s">
        <v>92</v>
      </c>
      <c r="E6" s="959">
        <v>3180</v>
      </c>
      <c r="F6" s="956"/>
      <c r="G6" s="960"/>
      <c r="H6" s="961">
        <v>564</v>
      </c>
      <c r="I6" s="962"/>
      <c r="J6" s="963"/>
      <c r="K6" s="961"/>
      <c r="L6" s="961"/>
      <c r="M6" s="961"/>
      <c r="N6" s="961"/>
      <c r="O6" s="961"/>
      <c r="P6" s="961"/>
      <c r="Q6" s="961"/>
      <c r="R6" s="961"/>
      <c r="S6" s="952"/>
      <c r="T6" s="961"/>
      <c r="U6" s="961"/>
      <c r="V6" s="952"/>
      <c r="W6" s="954"/>
      <c r="X6" s="954"/>
      <c r="Y6" s="954"/>
      <c r="Z6" s="954"/>
      <c r="AA6" s="954"/>
      <c r="AB6" s="954"/>
      <c r="AC6" s="954"/>
      <c r="AD6" s="954"/>
      <c r="AE6" s="954"/>
      <c r="AF6" s="954"/>
      <c r="AG6" s="954"/>
      <c r="AH6" s="954"/>
      <c r="AI6" s="936"/>
      <c r="AJ6" s="955"/>
    </row>
    <row r="7" spans="1:36" ht="21">
      <c r="A7" s="964"/>
      <c r="B7" s="964"/>
      <c r="C7" s="958" t="s">
        <v>98</v>
      </c>
      <c r="D7" s="964" t="s">
        <v>92</v>
      </c>
      <c r="E7" s="964">
        <v>2803</v>
      </c>
      <c r="F7" s="964"/>
      <c r="G7" s="965">
        <f>'[11]Price&amp;Heating-Value'!$P$9</f>
        <v>1301.5833333333333</v>
      </c>
      <c r="H7" s="966">
        <v>2981</v>
      </c>
      <c r="I7" s="967"/>
      <c r="J7" s="966"/>
      <c r="K7" s="966"/>
      <c r="L7" s="966"/>
      <c r="M7" s="966"/>
      <c r="N7" s="966"/>
      <c r="O7" s="966"/>
      <c r="P7" s="966"/>
      <c r="Q7" s="968"/>
      <c r="R7" s="968"/>
      <c r="S7" s="952"/>
      <c r="T7" s="966">
        <f>SUM(H7:S7)</f>
        <v>2981</v>
      </c>
      <c r="U7" s="966">
        <f>T7*E7</f>
        <v>8355743</v>
      </c>
      <c r="V7" s="952">
        <f>AI7</f>
        <v>4724885</v>
      </c>
      <c r="W7" s="969">
        <f>H7*'[11]Transfer Price2011'!$HE$463</f>
        <v>4724885</v>
      </c>
      <c r="X7" s="969">
        <f>I7*'[11]Transfer Price2011'!$HE$463</f>
        <v>0</v>
      </c>
      <c r="Y7" s="969">
        <f>J7*'[11]Transfer Price2011'!$HE$463</f>
        <v>0</v>
      </c>
      <c r="Z7" s="969">
        <f>K7*'[11]Transfer Price2011'!$HE$463</f>
        <v>0</v>
      </c>
      <c r="AA7" s="969">
        <f>L7*'[11]Transfer Price2011'!$HE$463</f>
        <v>0</v>
      </c>
      <c r="AB7" s="969">
        <f>M7*'[11]Transfer Price2011'!$HE$463</f>
        <v>0</v>
      </c>
      <c r="AC7" s="969">
        <f>N7*'[11]Transfer Price2011'!$HE$463</f>
        <v>0</v>
      </c>
      <c r="AD7" s="969">
        <f>O7*'[11]Transfer Price2011'!$HE$463</f>
        <v>0</v>
      </c>
      <c r="AE7" s="969">
        <f>P7*'[11]Transfer Price2011'!$HE$463</f>
        <v>0</v>
      </c>
      <c r="AF7" s="969">
        <f>Q7*'[11]Transfer Price2011'!$HE$463</f>
        <v>0</v>
      </c>
      <c r="AG7" s="969">
        <f>R7*'[11]Transfer Price2011'!$HE$463</f>
        <v>0</v>
      </c>
      <c r="AH7" s="969">
        <f>S7*'[11]Transfer Price2011'!$HE$463</f>
        <v>0</v>
      </c>
      <c r="AI7" s="936">
        <f t="shared" ref="AI7:AI10" si="0">SUM(W7:AH7)</f>
        <v>4724885</v>
      </c>
      <c r="AJ7" s="955">
        <f t="shared" ref="AJ7" si="1">AI7/U7*1000</f>
        <v>565.46557260078487</v>
      </c>
    </row>
    <row r="8" spans="1:36" ht="21">
      <c r="A8" s="964"/>
      <c r="B8" s="964"/>
      <c r="C8" s="958" t="s">
        <v>100</v>
      </c>
      <c r="D8" s="964" t="s">
        <v>92</v>
      </c>
      <c r="E8" s="964">
        <v>2778</v>
      </c>
      <c r="F8" s="964"/>
      <c r="G8" s="965"/>
      <c r="H8" s="966">
        <v>497.17599999999999</v>
      </c>
      <c r="I8" s="967"/>
      <c r="J8" s="966"/>
      <c r="K8" s="966"/>
      <c r="L8" s="966"/>
      <c r="M8" s="966"/>
      <c r="N8" s="966"/>
      <c r="O8" s="966"/>
      <c r="P8" s="966"/>
      <c r="Q8" s="968"/>
      <c r="R8" s="968"/>
      <c r="S8" s="952"/>
      <c r="T8" s="966"/>
      <c r="U8" s="966"/>
      <c r="V8" s="952"/>
      <c r="W8" s="969"/>
      <c r="X8" s="969"/>
      <c r="Y8" s="969"/>
      <c r="Z8" s="969"/>
      <c r="AA8" s="969"/>
      <c r="AB8" s="969"/>
      <c r="AC8" s="969"/>
      <c r="AD8" s="969"/>
      <c r="AE8" s="969"/>
      <c r="AF8" s="969"/>
      <c r="AG8" s="969"/>
      <c r="AH8" s="969"/>
      <c r="AI8" s="936"/>
      <c r="AJ8" s="955"/>
    </row>
    <row r="9" spans="1:36" s="980" customFormat="1" ht="21">
      <c r="A9" s="970"/>
      <c r="B9" s="970"/>
      <c r="C9" s="971" t="s">
        <v>856</v>
      </c>
      <c r="D9" s="970" t="s">
        <v>92</v>
      </c>
      <c r="E9" s="970">
        <v>2732</v>
      </c>
      <c r="F9" s="970"/>
      <c r="G9" s="972"/>
      <c r="H9" s="973">
        <v>371</v>
      </c>
      <c r="I9" s="974"/>
      <c r="J9" s="973"/>
      <c r="K9" s="973"/>
      <c r="L9" s="973"/>
      <c r="M9" s="973"/>
      <c r="N9" s="973"/>
      <c r="O9" s="973"/>
      <c r="P9" s="973"/>
      <c r="Q9" s="975"/>
      <c r="R9" s="975"/>
      <c r="S9" s="952"/>
      <c r="T9" s="973"/>
      <c r="U9" s="973"/>
      <c r="V9" s="976"/>
      <c r="W9" s="977"/>
      <c r="X9" s="977"/>
      <c r="Y9" s="977"/>
      <c r="Z9" s="977"/>
      <c r="AA9" s="977"/>
      <c r="AB9" s="977"/>
      <c r="AC9" s="977"/>
      <c r="AD9" s="977"/>
      <c r="AE9" s="977"/>
      <c r="AF9" s="977"/>
      <c r="AG9" s="977"/>
      <c r="AH9" s="977"/>
      <c r="AI9" s="978"/>
      <c r="AJ9" s="979"/>
    </row>
    <row r="10" spans="1:36" ht="21">
      <c r="A10" s="964"/>
      <c r="B10" s="964"/>
      <c r="C10" s="958" t="s">
        <v>101</v>
      </c>
      <c r="D10" s="964" t="s">
        <v>102</v>
      </c>
      <c r="E10" s="964">
        <v>50.22</v>
      </c>
      <c r="F10" s="964"/>
      <c r="G10" s="965">
        <f>'[11]Price&amp;Heating-Value'!$I$23/1000</f>
        <v>11.61472</v>
      </c>
      <c r="H10" s="966"/>
      <c r="I10" s="981"/>
      <c r="J10" s="966"/>
      <c r="K10" s="966"/>
      <c r="L10" s="966"/>
      <c r="M10" s="966"/>
      <c r="N10" s="966"/>
      <c r="O10" s="966"/>
      <c r="P10" s="966"/>
      <c r="Q10" s="966"/>
      <c r="R10" s="966"/>
      <c r="S10" s="966"/>
      <c r="T10" s="966">
        <f>SUM(H10:S10)</f>
        <v>0</v>
      </c>
      <c r="U10" s="966">
        <f>T10*E10</f>
        <v>0</v>
      </c>
      <c r="V10" s="952">
        <f>AI10</f>
        <v>0</v>
      </c>
      <c r="W10" s="982">
        <f>H10*'[11]Transfer Price2011'!$GY$339</f>
        <v>0</v>
      </c>
      <c r="X10" s="982">
        <f>I10*'[11]Transfer Price2011'!$GY$339</f>
        <v>0</v>
      </c>
      <c r="Y10" s="982">
        <f>J10*'[11]Transfer Price2011'!$GY$339</f>
        <v>0</v>
      </c>
      <c r="Z10" s="982">
        <f>K10*'[11]Transfer Price2011'!$GY$339</f>
        <v>0</v>
      </c>
      <c r="AA10" s="982">
        <f>L10*'[11]Transfer Price2011'!$GY$339</f>
        <v>0</v>
      </c>
      <c r="AB10" s="982">
        <f>M10*'[11]Transfer Price2011'!$GY$339</f>
        <v>0</v>
      </c>
      <c r="AC10" s="982">
        <f>N10*'[11]Transfer Price2011'!$GY$339</f>
        <v>0</v>
      </c>
      <c r="AD10" s="982">
        <f>O10*'[11]Transfer Price2011'!$GY$339</f>
        <v>0</v>
      </c>
      <c r="AE10" s="982">
        <f>P10*'[11]Transfer Price2011'!$GY$339</f>
        <v>0</v>
      </c>
      <c r="AF10" s="982">
        <f>Q10*'[11]Transfer Price2011'!$GY$339</f>
        <v>0</v>
      </c>
      <c r="AG10" s="982">
        <f>R10*'[11]Transfer Price2011'!$GY$339</f>
        <v>0</v>
      </c>
      <c r="AH10" s="982">
        <f>S10*'[11]Transfer Price2011'!$GY$339</f>
        <v>0</v>
      </c>
      <c r="AI10" s="936">
        <f t="shared" si="0"/>
        <v>0</v>
      </c>
      <c r="AJ10" s="955"/>
    </row>
    <row r="11" spans="1:36" ht="21">
      <c r="A11" s="964"/>
      <c r="B11" s="964"/>
      <c r="C11" s="983"/>
      <c r="D11" s="964"/>
      <c r="E11" s="964"/>
      <c r="F11" s="964"/>
      <c r="G11" s="984"/>
      <c r="H11" s="985"/>
      <c r="I11" s="986"/>
      <c r="J11" s="985"/>
      <c r="K11" s="985"/>
      <c r="L11" s="987"/>
      <c r="M11" s="987"/>
      <c r="N11" s="987"/>
      <c r="O11" s="987"/>
      <c r="P11" s="987"/>
      <c r="Q11" s="987"/>
      <c r="R11" s="987"/>
      <c r="S11" s="987"/>
      <c r="T11" s="987"/>
      <c r="U11" s="987">
        <f t="shared" ref="U11:AI11" si="2">SUM(U5:U10)</f>
        <v>26067757.400000002</v>
      </c>
      <c r="V11" s="988">
        <f t="shared" si="2"/>
        <v>19435696.960000001</v>
      </c>
      <c r="W11" s="936">
        <f t="shared" si="2"/>
        <v>19435696.960000001</v>
      </c>
      <c r="X11" s="936">
        <f t="shared" si="2"/>
        <v>0</v>
      </c>
      <c r="Y11" s="936">
        <f t="shared" si="2"/>
        <v>0</v>
      </c>
      <c r="Z11" s="936">
        <f t="shared" si="2"/>
        <v>0</v>
      </c>
      <c r="AA11" s="936">
        <f t="shared" si="2"/>
        <v>0</v>
      </c>
      <c r="AB11" s="936">
        <f t="shared" si="2"/>
        <v>0</v>
      </c>
      <c r="AC11" s="936">
        <f t="shared" si="2"/>
        <v>0</v>
      </c>
      <c r="AD11" s="936">
        <f t="shared" si="2"/>
        <v>0</v>
      </c>
      <c r="AE11" s="936">
        <f t="shared" si="2"/>
        <v>0</v>
      </c>
      <c r="AF11" s="936">
        <f t="shared" si="2"/>
        <v>0</v>
      </c>
      <c r="AG11" s="936">
        <f t="shared" si="2"/>
        <v>0</v>
      </c>
      <c r="AH11" s="936">
        <f t="shared" si="2"/>
        <v>0</v>
      </c>
      <c r="AI11" s="936">
        <f t="shared" si="2"/>
        <v>19435696.960000001</v>
      </c>
      <c r="AJ11" s="937"/>
    </row>
    <row r="12" spans="1:36" ht="21">
      <c r="A12" s="964"/>
      <c r="B12" s="989"/>
      <c r="C12" s="990" t="s">
        <v>107</v>
      </c>
      <c r="D12" s="989" t="s">
        <v>92</v>
      </c>
      <c r="E12" s="989"/>
      <c r="F12" s="989"/>
      <c r="G12" s="991" t="s">
        <v>340</v>
      </c>
      <c r="H12" s="992">
        <v>53.28</v>
      </c>
      <c r="I12" s="993"/>
      <c r="J12" s="994"/>
      <c r="K12" s="992"/>
      <c r="L12" s="995"/>
      <c r="M12" s="992"/>
      <c r="N12" s="994"/>
      <c r="O12" s="995"/>
      <c r="P12" s="995"/>
      <c r="Q12" s="992"/>
      <c r="R12" s="992"/>
      <c r="S12" s="992"/>
      <c r="T12" s="996">
        <f>SUM(H12:S12)</f>
        <v>53.28</v>
      </c>
      <c r="U12" s="995"/>
      <c r="V12" s="997">
        <f>V11/T12</f>
        <v>364784.10210210213</v>
      </c>
      <c r="W12" s="936"/>
      <c r="X12" s="937"/>
      <c r="Y12" s="937"/>
      <c r="Z12" s="937"/>
      <c r="AA12" s="937"/>
      <c r="AB12" s="937"/>
      <c r="AC12" s="937"/>
      <c r="AD12" s="937"/>
      <c r="AE12" s="937"/>
      <c r="AF12" s="937"/>
      <c r="AG12" s="937"/>
      <c r="AH12" s="946" t="s">
        <v>158</v>
      </c>
      <c r="AI12" s="946">
        <f>AI11/T20</f>
        <v>642.37487373749161</v>
      </c>
      <c r="AJ12" s="937"/>
    </row>
    <row r="13" spans="1:36" ht="21">
      <c r="A13" s="964"/>
      <c r="B13" s="964"/>
      <c r="C13" s="983"/>
      <c r="D13" s="964"/>
      <c r="E13" s="964"/>
      <c r="F13" s="964"/>
      <c r="G13" s="984" t="s">
        <v>341</v>
      </c>
      <c r="H13" s="987">
        <f>11503.256-H12</f>
        <v>11449.975999999999</v>
      </c>
      <c r="I13" s="987"/>
      <c r="J13" s="987"/>
      <c r="K13" s="987"/>
      <c r="L13" s="987"/>
      <c r="M13" s="987"/>
      <c r="N13" s="985"/>
      <c r="O13" s="987"/>
      <c r="P13" s="987"/>
      <c r="Q13" s="987"/>
      <c r="R13" s="987"/>
      <c r="S13" s="992"/>
      <c r="T13" s="966">
        <f>SUM(H13:S13)</f>
        <v>11449.975999999999</v>
      </c>
      <c r="U13" s="966"/>
      <c r="V13" s="997" t="s">
        <v>137</v>
      </c>
      <c r="W13" s="936"/>
      <c r="X13" s="937"/>
      <c r="Y13" s="937"/>
      <c r="Z13" s="937"/>
      <c r="AA13" s="937"/>
      <c r="AB13" s="937"/>
      <c r="AC13" s="937"/>
      <c r="AD13" s="937"/>
      <c r="AE13" s="937"/>
      <c r="AF13" s="937"/>
      <c r="AG13" s="937"/>
      <c r="AH13" s="937"/>
      <c r="AI13" s="937"/>
      <c r="AJ13" s="937"/>
    </row>
    <row r="14" spans="1:36" ht="21">
      <c r="A14" s="964"/>
      <c r="B14" s="964"/>
      <c r="C14" s="958" t="s">
        <v>89</v>
      </c>
      <c r="D14" s="964" t="s">
        <v>173</v>
      </c>
      <c r="E14" s="964"/>
      <c r="F14" s="964"/>
      <c r="G14" s="984"/>
      <c r="H14" s="966">
        <f>$E5*H5/1000</f>
        <v>17712.014400000004</v>
      </c>
      <c r="I14" s="966">
        <f>$E5*I5/1000</f>
        <v>0</v>
      </c>
      <c r="J14" s="966">
        <f>$E5*J5/1000</f>
        <v>0</v>
      </c>
      <c r="K14" s="966">
        <f t="shared" ref="K14:O14" si="3">$E5*K5/1000</f>
        <v>0</v>
      </c>
      <c r="L14" s="966">
        <f>$E5*L5/1000</f>
        <v>0</v>
      </c>
      <c r="M14" s="966">
        <f t="shared" si="3"/>
        <v>0</v>
      </c>
      <c r="N14" s="966">
        <f t="shared" si="3"/>
        <v>0</v>
      </c>
      <c r="O14" s="966">
        <f t="shared" si="3"/>
        <v>0</v>
      </c>
      <c r="P14" s="966">
        <f>$E5*P5/1000</f>
        <v>0</v>
      </c>
      <c r="Q14" s="966">
        <f>$E5*Q5/1000</f>
        <v>0</v>
      </c>
      <c r="R14" s="966">
        <f>$E5*R5/1000</f>
        <v>0</v>
      </c>
      <c r="S14" s="966">
        <f>$E5*S5/1000</f>
        <v>0</v>
      </c>
      <c r="T14" s="966">
        <f>SUM(H14:S14)</f>
        <v>17712.014400000004</v>
      </c>
      <c r="U14" s="966"/>
      <c r="V14" s="966"/>
      <c r="W14" s="936"/>
      <c r="X14" s="937"/>
      <c r="Y14" s="937"/>
      <c r="Z14" s="937"/>
      <c r="AA14" s="937"/>
      <c r="AB14" s="937"/>
      <c r="AC14" s="937"/>
      <c r="AD14" s="937"/>
      <c r="AE14" s="937"/>
      <c r="AF14" s="937"/>
      <c r="AG14" s="937"/>
      <c r="AH14" s="937"/>
      <c r="AI14" s="937"/>
      <c r="AJ14" s="937"/>
    </row>
    <row r="15" spans="1:36" ht="21">
      <c r="A15" s="964"/>
      <c r="B15" s="964"/>
      <c r="C15" s="958" t="s">
        <v>110</v>
      </c>
      <c r="D15" s="964" t="s">
        <v>173</v>
      </c>
      <c r="E15" s="964"/>
      <c r="F15" s="964"/>
      <c r="G15" s="984"/>
      <c r="H15" s="966">
        <f>(H6*$E$6/1000)+(H7*$E$7/1000)+(H8*$E$8/1000)+(H9*$E$9/1000)</f>
        <v>12543.989928000001</v>
      </c>
      <c r="I15" s="966">
        <f>(I6*$E$6/1000)+(I7*$E$7/1000)+(I8*$E$8/1000)+(I9*$E$9/1000)</f>
        <v>0</v>
      </c>
      <c r="J15" s="966">
        <f>(J6*$E$6/1000)+(J7*$E$7/1000)+(J8*$E$8/1000)+(J9*$E$9/1000)</f>
        <v>0</v>
      </c>
      <c r="K15" s="966">
        <f t="shared" ref="K15:Q15" si="4">(K6*$E$6/1000)+(K7*$E$7/1000)+(K8*$E$8/1000)+(K9*$E$9/1000)</f>
        <v>0</v>
      </c>
      <c r="L15" s="966">
        <f t="shared" si="4"/>
        <v>0</v>
      </c>
      <c r="M15" s="966">
        <f t="shared" si="4"/>
        <v>0</v>
      </c>
      <c r="N15" s="966">
        <f t="shared" si="4"/>
        <v>0</v>
      </c>
      <c r="O15" s="966">
        <f t="shared" si="4"/>
        <v>0</v>
      </c>
      <c r="P15" s="966">
        <f t="shared" si="4"/>
        <v>0</v>
      </c>
      <c r="Q15" s="966">
        <f t="shared" si="4"/>
        <v>0</v>
      </c>
      <c r="R15" s="966">
        <f>(R6*$E$6/1000)+(R7*$E$7/1000)+(R8*$E$8/1000)+(R9*$E$9/1000)</f>
        <v>0</v>
      </c>
      <c r="S15" s="966">
        <f>(S6*$E$6/1000)+(S7*$E$7/1000)+(S8*$E$8/1000)+(S9*$E$9/1000)</f>
        <v>0</v>
      </c>
      <c r="T15" s="966">
        <f>SUM(H15:S15)</f>
        <v>12543.989928000001</v>
      </c>
      <c r="U15" s="966"/>
      <c r="V15" s="966"/>
      <c r="W15" s="936"/>
      <c r="X15" s="937"/>
      <c r="Y15" s="937"/>
      <c r="Z15" s="937"/>
      <c r="AA15" s="937"/>
      <c r="AB15" s="937"/>
      <c r="AC15" s="937"/>
      <c r="AD15" s="937"/>
      <c r="AE15" s="937"/>
      <c r="AF15" s="937"/>
      <c r="AG15" s="937"/>
      <c r="AH15" s="937"/>
      <c r="AI15" s="937"/>
      <c r="AJ15" s="937"/>
    </row>
    <row r="16" spans="1:36" ht="21">
      <c r="A16" s="964"/>
      <c r="B16" s="964"/>
      <c r="C16" s="958" t="s">
        <v>112</v>
      </c>
      <c r="D16" s="964" t="s">
        <v>173</v>
      </c>
      <c r="E16" s="964"/>
      <c r="F16" s="964"/>
      <c r="G16" s="984"/>
      <c r="H16" s="966">
        <f>H10*$E10/1000</f>
        <v>0</v>
      </c>
      <c r="I16" s="966">
        <f>I10*$E10/1000</f>
        <v>0</v>
      </c>
      <c r="J16" s="966">
        <f>J10*$E10/1000</f>
        <v>0</v>
      </c>
      <c r="K16" s="966">
        <f>K10*$E10/1000</f>
        <v>0</v>
      </c>
      <c r="L16" s="966">
        <f>L10*$E10/1000</f>
        <v>0</v>
      </c>
      <c r="M16" s="966">
        <f t="shared" ref="M16:O16" si="5">M10*$E10/1000</f>
        <v>0</v>
      </c>
      <c r="N16" s="966">
        <f t="shared" si="5"/>
        <v>0</v>
      </c>
      <c r="O16" s="966">
        <f t="shared" si="5"/>
        <v>0</v>
      </c>
      <c r="P16" s="966"/>
      <c r="Q16" s="966"/>
      <c r="R16" s="966"/>
      <c r="S16" s="966"/>
      <c r="T16" s="966">
        <f>SUM(H16:S16)</f>
        <v>0</v>
      </c>
      <c r="U16" s="966"/>
      <c r="V16" s="966"/>
      <c r="W16" s="936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</row>
    <row r="17" spans="1:36" ht="21">
      <c r="A17" s="964"/>
      <c r="B17" s="964"/>
      <c r="C17" s="958" t="s">
        <v>857</v>
      </c>
      <c r="D17" s="964" t="s">
        <v>173</v>
      </c>
      <c r="E17" s="964"/>
      <c r="F17" s="964"/>
      <c r="G17" s="984"/>
      <c r="H17" s="998"/>
      <c r="I17" s="966"/>
      <c r="J17" s="966"/>
      <c r="K17" s="966"/>
      <c r="L17" s="966"/>
      <c r="M17" s="966"/>
      <c r="N17" s="966"/>
      <c r="O17" s="966"/>
      <c r="P17" s="966"/>
      <c r="Q17" s="966"/>
      <c r="R17" s="966"/>
      <c r="S17" s="966"/>
      <c r="T17" s="966"/>
      <c r="U17" s="966"/>
      <c r="V17" s="966"/>
      <c r="W17" s="936"/>
      <c r="X17" s="937"/>
      <c r="Y17" s="937"/>
      <c r="Z17" s="937"/>
      <c r="AA17" s="937"/>
      <c r="AB17" s="937"/>
      <c r="AC17" s="937"/>
      <c r="AD17" s="937"/>
      <c r="AE17" s="937"/>
      <c r="AF17" s="937"/>
      <c r="AG17" s="937"/>
      <c r="AH17" s="937"/>
      <c r="AI17" s="937"/>
      <c r="AJ17" s="937"/>
    </row>
    <row r="18" spans="1:36" ht="63">
      <c r="A18" s="964"/>
      <c r="B18" s="964"/>
      <c r="C18" s="999" t="s">
        <v>342</v>
      </c>
      <c r="D18" s="964" t="s">
        <v>173</v>
      </c>
      <c r="E18" s="964"/>
      <c r="F18" s="964"/>
      <c r="G18" s="984"/>
      <c r="H18" s="966"/>
      <c r="I18" s="966"/>
      <c r="J18" s="966"/>
      <c r="K18" s="966"/>
      <c r="L18" s="966"/>
      <c r="M18" s="966"/>
      <c r="N18" s="966"/>
      <c r="O18" s="966"/>
      <c r="P18" s="966"/>
      <c r="Q18" s="966"/>
      <c r="R18" s="966"/>
      <c r="S18" s="966"/>
      <c r="T18" s="966"/>
      <c r="U18" s="966"/>
      <c r="V18" s="966"/>
      <c r="W18" s="936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</row>
    <row r="19" spans="1:36" ht="21">
      <c r="A19" s="964"/>
      <c r="B19" s="964"/>
      <c r="C19" s="958"/>
      <c r="D19" s="964"/>
      <c r="E19" s="964"/>
      <c r="F19" s="964"/>
      <c r="G19" s="984"/>
      <c r="H19" s="998"/>
      <c r="I19" s="966"/>
      <c r="J19" s="966"/>
      <c r="K19" s="966"/>
      <c r="L19" s="966"/>
      <c r="M19" s="966"/>
      <c r="N19" s="966"/>
      <c r="O19" s="966"/>
      <c r="P19" s="966"/>
      <c r="Q19" s="966"/>
      <c r="R19" s="966"/>
      <c r="S19" s="966"/>
      <c r="T19" s="966"/>
      <c r="U19" s="966"/>
      <c r="V19" s="966"/>
      <c r="W19" s="936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</row>
    <row r="20" spans="1:36" ht="21">
      <c r="A20" s="964"/>
      <c r="B20" s="964"/>
      <c r="C20" s="983" t="s">
        <v>343</v>
      </c>
      <c r="D20" s="964" t="s">
        <v>173</v>
      </c>
      <c r="E20" s="964"/>
      <c r="F20" s="964"/>
      <c r="G20" s="984"/>
      <c r="H20" s="966">
        <f>SUM(H14:H16)</f>
        <v>30256.004328000003</v>
      </c>
      <c r="I20" s="966">
        <f t="shared" ref="I20:P20" si="6">SUM(I14:I16)</f>
        <v>0</v>
      </c>
      <c r="J20" s="966">
        <f>SUM(J14:J16)</f>
        <v>0</v>
      </c>
      <c r="K20" s="966">
        <f t="shared" si="6"/>
        <v>0</v>
      </c>
      <c r="L20" s="966">
        <f t="shared" si="6"/>
        <v>0</v>
      </c>
      <c r="M20" s="966">
        <f t="shared" si="6"/>
        <v>0</v>
      </c>
      <c r="N20" s="966">
        <f t="shared" si="6"/>
        <v>0</v>
      </c>
      <c r="O20" s="966">
        <f t="shared" si="6"/>
        <v>0</v>
      </c>
      <c r="P20" s="966">
        <f t="shared" si="6"/>
        <v>0</v>
      </c>
      <c r="Q20" s="966">
        <f>SUM(Q14:Q16)</f>
        <v>0</v>
      </c>
      <c r="R20" s="966">
        <f>SUM(R14:R16)</f>
        <v>0</v>
      </c>
      <c r="S20" s="966">
        <f>SUM(S14:S16)</f>
        <v>0</v>
      </c>
      <c r="T20" s="1000">
        <f>SUM(H20:S20)</f>
        <v>30256.004328000003</v>
      </c>
      <c r="U20" s="966"/>
      <c r="V20" s="1001">
        <f>V11/T20</f>
        <v>642.37487373749161</v>
      </c>
      <c r="W20" s="936"/>
      <c r="X20" s="937"/>
      <c r="Y20" s="937"/>
      <c r="Z20" s="937"/>
      <c r="AA20" s="937"/>
      <c r="AB20" s="937"/>
      <c r="AC20" s="937"/>
      <c r="AD20" s="937"/>
      <c r="AE20" s="937"/>
      <c r="AF20" s="937"/>
      <c r="AG20" s="937"/>
      <c r="AH20" s="937"/>
      <c r="AI20" s="937"/>
      <c r="AJ20" s="937"/>
    </row>
    <row r="21" spans="1:36" ht="21">
      <c r="A21" s="964"/>
      <c r="B21" s="964"/>
      <c r="C21" s="983" t="s">
        <v>345</v>
      </c>
      <c r="D21" s="964" t="s">
        <v>173</v>
      </c>
      <c r="E21" s="964"/>
      <c r="F21" s="964">
        <v>93.108417736363506</v>
      </c>
      <c r="G21" s="984"/>
      <c r="H21" s="1002">
        <f>(((1.6539196*H12 )+ (1.51113801*H13)+15382.6018))*100/$F$21</f>
        <v>35198.983486405195</v>
      </c>
      <c r="I21" s="1002"/>
      <c r="J21" s="1002"/>
      <c r="K21" s="1002"/>
      <c r="L21" s="1002"/>
      <c r="M21" s="1002"/>
      <c r="N21" s="1002"/>
      <c r="O21" s="1002"/>
      <c r="P21" s="1002"/>
      <c r="Q21" s="1002"/>
      <c r="R21" s="1002"/>
      <c r="S21" s="1002"/>
      <c r="T21" s="966">
        <f>SUM(H21:S21)</f>
        <v>35198.983486405195</v>
      </c>
      <c r="U21" s="966"/>
      <c r="V21" s="1001" t="s">
        <v>158</v>
      </c>
      <c r="W21" s="936"/>
      <c r="X21" s="937"/>
      <c r="Y21" s="937"/>
      <c r="Z21" s="937"/>
      <c r="AA21" s="937"/>
      <c r="AB21" s="937"/>
      <c r="AC21" s="937"/>
      <c r="AD21" s="937"/>
      <c r="AE21" s="937"/>
      <c r="AF21" s="937"/>
      <c r="AG21" s="937"/>
      <c r="AH21" s="937"/>
      <c r="AI21" s="937"/>
      <c r="AJ21" s="937"/>
    </row>
    <row r="22" spans="1:36" ht="21">
      <c r="A22" s="964"/>
      <c r="B22" s="964"/>
      <c r="C22" s="983"/>
      <c r="D22" s="964"/>
      <c r="E22" s="964"/>
      <c r="F22" s="964"/>
      <c r="G22" s="984"/>
      <c r="H22" s="1002"/>
      <c r="I22" s="1002"/>
      <c r="J22" s="1002"/>
      <c r="K22" s="1002"/>
      <c r="L22" s="1002"/>
      <c r="M22" s="1002"/>
      <c r="N22" s="1002"/>
      <c r="O22" s="1002"/>
      <c r="P22" s="1002"/>
      <c r="Q22" s="1002"/>
      <c r="R22" s="1002"/>
      <c r="S22" s="1002"/>
      <c r="T22" s="966"/>
      <c r="U22" s="966"/>
      <c r="V22" s="1001"/>
      <c r="W22" s="936"/>
      <c r="X22" s="937"/>
      <c r="Y22" s="937"/>
      <c r="Z22" s="937"/>
      <c r="AA22" s="937"/>
      <c r="AB22" s="937"/>
      <c r="AC22" s="937"/>
      <c r="AD22" s="937"/>
      <c r="AE22" s="937"/>
      <c r="AF22" s="937"/>
      <c r="AG22" s="937"/>
      <c r="AH22" s="937"/>
      <c r="AI22" s="937"/>
      <c r="AJ22" s="937"/>
    </row>
    <row r="23" spans="1:36" ht="21">
      <c r="A23" s="964"/>
      <c r="B23" s="1003" t="s">
        <v>174</v>
      </c>
      <c r="C23" s="1004" t="s">
        <v>89</v>
      </c>
      <c r="D23" s="1003" t="s">
        <v>347</v>
      </c>
      <c r="E23" s="1003"/>
      <c r="F23" s="1003"/>
      <c r="G23" s="1005"/>
      <c r="H23" s="1006">
        <f>H14/(H12+H13)</f>
        <v>1.5397392181830958</v>
      </c>
      <c r="I23" s="1006" t="e">
        <f t="shared" ref="I23:T25" si="7">I14/(I12+I13)</f>
        <v>#DIV/0!</v>
      </c>
      <c r="J23" s="1006" t="e">
        <f t="shared" si="7"/>
        <v>#DIV/0!</v>
      </c>
      <c r="K23" s="1006" t="e">
        <f t="shared" si="7"/>
        <v>#DIV/0!</v>
      </c>
      <c r="L23" s="1006" t="e">
        <f t="shared" si="7"/>
        <v>#DIV/0!</v>
      </c>
      <c r="M23" s="1006" t="e">
        <f t="shared" si="7"/>
        <v>#DIV/0!</v>
      </c>
      <c r="N23" s="1006" t="e">
        <f t="shared" si="7"/>
        <v>#DIV/0!</v>
      </c>
      <c r="O23" s="1006" t="e">
        <f t="shared" si="7"/>
        <v>#DIV/0!</v>
      </c>
      <c r="P23" s="1006" t="e">
        <f t="shared" si="7"/>
        <v>#DIV/0!</v>
      </c>
      <c r="Q23" s="1006" t="e">
        <f t="shared" si="7"/>
        <v>#DIV/0!</v>
      </c>
      <c r="R23" s="1006" t="e">
        <f>R14/(R12+R13)</f>
        <v>#DIV/0!</v>
      </c>
      <c r="S23" s="1006" t="e">
        <f>S14/(S12+S13)</f>
        <v>#DIV/0!</v>
      </c>
      <c r="T23" s="1006">
        <f t="shared" si="7"/>
        <v>1.5397392181830958</v>
      </c>
      <c r="U23" s="1007"/>
      <c r="V23" s="1007"/>
      <c r="W23" s="936"/>
      <c r="X23" s="937"/>
      <c r="Y23" s="937"/>
      <c r="Z23" s="937"/>
      <c r="AA23" s="937"/>
      <c r="AB23" s="937"/>
      <c r="AC23" s="937"/>
      <c r="AD23" s="937"/>
      <c r="AE23" s="937"/>
      <c r="AF23" s="937"/>
      <c r="AG23" s="937"/>
      <c r="AH23" s="937"/>
      <c r="AI23" s="937"/>
      <c r="AJ23" s="937"/>
    </row>
    <row r="24" spans="1:36" ht="21">
      <c r="A24" s="964"/>
      <c r="B24" s="1003"/>
      <c r="C24" s="1004" t="s">
        <v>110</v>
      </c>
      <c r="D24" s="1003" t="s">
        <v>347</v>
      </c>
      <c r="E24" s="1003"/>
      <c r="F24" s="1003"/>
      <c r="G24" s="1005"/>
      <c r="H24" s="1006">
        <f>H15/(H12+H13)</f>
        <v>1.0904729867787</v>
      </c>
      <c r="I24" s="1006" t="e">
        <f t="shared" ref="I24:S24" si="8">I15/(I12+I13)</f>
        <v>#DIV/0!</v>
      </c>
      <c r="J24" s="1006" t="e">
        <f t="shared" si="8"/>
        <v>#DIV/0!</v>
      </c>
      <c r="K24" s="1006" t="e">
        <f t="shared" si="8"/>
        <v>#DIV/0!</v>
      </c>
      <c r="L24" s="1006" t="e">
        <f t="shared" si="8"/>
        <v>#DIV/0!</v>
      </c>
      <c r="M24" s="1006" t="e">
        <f t="shared" si="8"/>
        <v>#DIV/0!</v>
      </c>
      <c r="N24" s="1006" t="e">
        <f t="shared" si="8"/>
        <v>#DIV/0!</v>
      </c>
      <c r="O24" s="1006" t="e">
        <f t="shared" si="8"/>
        <v>#DIV/0!</v>
      </c>
      <c r="P24" s="1006" t="e">
        <f t="shared" si="8"/>
        <v>#DIV/0!</v>
      </c>
      <c r="Q24" s="1006" t="e">
        <f t="shared" si="8"/>
        <v>#DIV/0!</v>
      </c>
      <c r="R24" s="1006" t="e">
        <f t="shared" si="8"/>
        <v>#DIV/0!</v>
      </c>
      <c r="S24" s="1006" t="e">
        <f t="shared" si="8"/>
        <v>#DIV/0!</v>
      </c>
      <c r="T24" s="1006">
        <f t="shared" si="7"/>
        <v>0.43014862003383691</v>
      </c>
      <c r="U24" s="1007"/>
      <c r="V24" s="1007"/>
      <c r="W24" s="936"/>
      <c r="X24" s="937"/>
      <c r="Y24" s="937"/>
      <c r="Z24" s="937"/>
      <c r="AA24" s="937"/>
      <c r="AB24" s="937"/>
      <c r="AC24" s="937"/>
      <c r="AD24" s="937"/>
      <c r="AE24" s="937"/>
      <c r="AF24" s="937"/>
      <c r="AG24" s="937"/>
      <c r="AH24" s="937"/>
      <c r="AI24" s="937"/>
      <c r="AJ24" s="937"/>
    </row>
    <row r="25" spans="1:36" ht="21">
      <c r="A25" s="964"/>
      <c r="B25" s="1003"/>
      <c r="C25" s="1004" t="s">
        <v>112</v>
      </c>
      <c r="D25" s="1003" t="s">
        <v>347</v>
      </c>
      <c r="E25" s="1003"/>
      <c r="F25" s="1003"/>
      <c r="G25" s="1005"/>
      <c r="H25" s="1006">
        <f>H16/(H12+H13)</f>
        <v>0</v>
      </c>
      <c r="I25" s="1006" t="e">
        <f t="shared" ref="I25:S25" si="9">I16/(I12+I13)</f>
        <v>#DIV/0!</v>
      </c>
      <c r="J25" s="1006" t="e">
        <f t="shared" si="9"/>
        <v>#DIV/0!</v>
      </c>
      <c r="K25" s="1006" t="e">
        <f t="shared" si="9"/>
        <v>#DIV/0!</v>
      </c>
      <c r="L25" s="1006" t="e">
        <f t="shared" si="9"/>
        <v>#DIV/0!</v>
      </c>
      <c r="M25" s="1006" t="e">
        <f t="shared" si="9"/>
        <v>#DIV/0!</v>
      </c>
      <c r="N25" s="1006" t="e">
        <f t="shared" si="9"/>
        <v>#DIV/0!</v>
      </c>
      <c r="O25" s="1006" t="e">
        <f t="shared" si="9"/>
        <v>#DIV/0!</v>
      </c>
      <c r="P25" s="1006" t="e">
        <f t="shared" si="9"/>
        <v>#DIV/0!</v>
      </c>
      <c r="Q25" s="1006" t="e">
        <f t="shared" si="9"/>
        <v>#DIV/0!</v>
      </c>
      <c r="R25" s="1006" t="e">
        <f t="shared" si="9"/>
        <v>#DIV/0!</v>
      </c>
      <c r="S25" s="1006" t="e">
        <f t="shared" si="9"/>
        <v>#DIV/0!</v>
      </c>
      <c r="T25" s="1006">
        <f t="shared" si="7"/>
        <v>0</v>
      </c>
      <c r="U25" s="1007"/>
      <c r="V25" s="1007"/>
      <c r="W25" s="936"/>
      <c r="X25" s="937"/>
      <c r="Y25" s="937"/>
      <c r="Z25" s="937"/>
      <c r="AA25" s="937"/>
      <c r="AB25" s="937"/>
      <c r="AC25" s="937"/>
      <c r="AD25" s="937"/>
      <c r="AE25" s="937"/>
      <c r="AF25" s="937"/>
      <c r="AG25" s="937"/>
      <c r="AH25" s="937"/>
      <c r="AI25" s="937"/>
      <c r="AJ25" s="937"/>
    </row>
    <row r="26" spans="1:36" ht="21">
      <c r="A26" s="964"/>
      <c r="B26" s="1003"/>
      <c r="C26" s="1008" t="s">
        <v>348</v>
      </c>
      <c r="D26" s="1003" t="s">
        <v>347</v>
      </c>
      <c r="E26" s="1003"/>
      <c r="F26" s="1003"/>
      <c r="G26" s="1005"/>
      <c r="H26" s="1006">
        <f>H20/(H12+H13)</f>
        <v>2.6302122049617958</v>
      </c>
      <c r="I26" s="1006" t="e">
        <f t="shared" ref="I26:T26" si="10">I20/(I12+I13)</f>
        <v>#DIV/0!</v>
      </c>
      <c r="J26" s="1006" t="e">
        <f t="shared" si="10"/>
        <v>#DIV/0!</v>
      </c>
      <c r="K26" s="1006" t="e">
        <f t="shared" si="10"/>
        <v>#DIV/0!</v>
      </c>
      <c r="L26" s="1006" t="e">
        <f t="shared" si="10"/>
        <v>#DIV/0!</v>
      </c>
      <c r="M26" s="1006" t="e">
        <f t="shared" si="10"/>
        <v>#DIV/0!</v>
      </c>
      <c r="N26" s="1006" t="e">
        <f t="shared" si="10"/>
        <v>#DIV/0!</v>
      </c>
      <c r="O26" s="1006" t="e">
        <f t="shared" si="10"/>
        <v>#DIV/0!</v>
      </c>
      <c r="P26" s="1006" t="e">
        <f t="shared" si="10"/>
        <v>#DIV/0!</v>
      </c>
      <c r="Q26" s="1006" t="e">
        <f t="shared" si="10"/>
        <v>#DIV/0!</v>
      </c>
      <c r="R26" s="1006" t="e">
        <f t="shared" si="10"/>
        <v>#DIV/0!</v>
      </c>
      <c r="S26" s="1006" t="e">
        <f t="shared" si="10"/>
        <v>#DIV/0!</v>
      </c>
      <c r="T26" s="1006">
        <f t="shared" si="10"/>
        <v>2.6302122049617958</v>
      </c>
      <c r="U26" s="1007"/>
      <c r="V26" s="1007"/>
      <c r="W26" s="936"/>
      <c r="X26" s="937"/>
      <c r="Y26" s="937"/>
      <c r="Z26" s="937"/>
      <c r="AA26" s="937"/>
      <c r="AB26" s="937"/>
      <c r="AC26" s="937"/>
      <c r="AD26" s="937"/>
      <c r="AE26" s="937"/>
      <c r="AF26" s="937"/>
      <c r="AG26" s="937"/>
      <c r="AH26" s="937"/>
      <c r="AI26" s="937"/>
      <c r="AJ26" s="937"/>
    </row>
    <row r="27" spans="1:36" ht="21">
      <c r="A27" s="964"/>
      <c r="B27" s="1003"/>
      <c r="C27" s="1008" t="s">
        <v>349</v>
      </c>
      <c r="D27" s="1003"/>
      <c r="E27" s="1003"/>
      <c r="F27" s="1003"/>
      <c r="G27" s="1003"/>
      <c r="H27" s="1009">
        <f>H20/H21*100</f>
        <v>85.957040036925207</v>
      </c>
      <c r="I27" s="1009" t="e">
        <f>I20/I21*100</f>
        <v>#DIV/0!</v>
      </c>
      <c r="J27" s="1009" t="e">
        <f>J20/J21*100</f>
        <v>#DIV/0!</v>
      </c>
      <c r="K27" s="1009" t="e">
        <f>K20/K21*100</f>
        <v>#DIV/0!</v>
      </c>
      <c r="L27" s="1009" t="e">
        <f t="shared" ref="L27:S27" si="11">L20/L21*100</f>
        <v>#DIV/0!</v>
      </c>
      <c r="M27" s="1009" t="e">
        <f t="shared" si="11"/>
        <v>#DIV/0!</v>
      </c>
      <c r="N27" s="1009" t="e">
        <f t="shared" si="11"/>
        <v>#DIV/0!</v>
      </c>
      <c r="O27" s="1009" t="e">
        <f>O20/O21*100</f>
        <v>#DIV/0!</v>
      </c>
      <c r="P27" s="1009" t="e">
        <f t="shared" si="11"/>
        <v>#DIV/0!</v>
      </c>
      <c r="Q27" s="1009" t="e">
        <f t="shared" si="11"/>
        <v>#DIV/0!</v>
      </c>
      <c r="R27" s="1009" t="e">
        <f t="shared" si="11"/>
        <v>#DIV/0!</v>
      </c>
      <c r="S27" s="1009" t="e">
        <f t="shared" si="11"/>
        <v>#DIV/0!</v>
      </c>
      <c r="T27" s="1010">
        <f>T20/T21*100</f>
        <v>85.957040036925207</v>
      </c>
      <c r="U27" s="1007"/>
      <c r="V27" s="1007"/>
      <c r="W27" s="936"/>
      <c r="X27" s="937"/>
      <c r="Y27" s="937"/>
      <c r="Z27" s="937"/>
      <c r="AA27" s="937"/>
      <c r="AB27" s="937"/>
      <c r="AC27" s="937"/>
      <c r="AD27" s="937"/>
      <c r="AE27" s="937"/>
      <c r="AF27" s="937"/>
      <c r="AG27" s="937"/>
      <c r="AH27" s="937"/>
      <c r="AI27" s="937"/>
      <c r="AJ27" s="937"/>
    </row>
    <row r="28" spans="1:36" ht="21">
      <c r="A28" s="964"/>
      <c r="B28" s="964"/>
      <c r="C28" s="958"/>
      <c r="D28" s="964"/>
      <c r="E28" s="964"/>
      <c r="F28" s="964"/>
      <c r="G28" s="1011"/>
      <c r="H28" s="968"/>
      <c r="I28" s="1012"/>
      <c r="J28" s="968"/>
      <c r="K28" s="968"/>
      <c r="L28" s="968"/>
      <c r="M28" s="968"/>
      <c r="N28" s="966"/>
      <c r="O28" s="966"/>
      <c r="P28" s="966"/>
      <c r="Q28" s="966"/>
      <c r="R28" s="966"/>
      <c r="S28" s="966"/>
      <c r="T28" s="966"/>
      <c r="U28" s="966"/>
      <c r="V28" s="966"/>
      <c r="W28" s="936" t="s">
        <v>29</v>
      </c>
      <c r="X28" s="937" t="s">
        <v>30</v>
      </c>
      <c r="Y28" s="937" t="s">
        <v>31</v>
      </c>
      <c r="Z28" s="937" t="s">
        <v>32</v>
      </c>
      <c r="AA28" s="937" t="s">
        <v>33</v>
      </c>
      <c r="AB28" s="937" t="s">
        <v>34</v>
      </c>
      <c r="AC28" s="937" t="s">
        <v>35</v>
      </c>
      <c r="AD28" s="937" t="s">
        <v>36</v>
      </c>
      <c r="AE28" s="937" t="s">
        <v>37</v>
      </c>
      <c r="AF28" s="937" t="s">
        <v>38</v>
      </c>
      <c r="AG28" s="937" t="s">
        <v>39</v>
      </c>
      <c r="AH28" s="937" t="s">
        <v>40</v>
      </c>
      <c r="AI28" s="937" t="s">
        <v>25</v>
      </c>
      <c r="AJ28" s="946" t="s">
        <v>158</v>
      </c>
    </row>
    <row r="29" spans="1:36" ht="21" hidden="1">
      <c r="A29" s="964">
        <v>2</v>
      </c>
      <c r="B29" s="1013" t="s">
        <v>47</v>
      </c>
      <c r="C29" s="958" t="s">
        <v>117</v>
      </c>
      <c r="D29" s="964" t="s">
        <v>90</v>
      </c>
      <c r="E29" s="984">
        <f>'[11]Price&amp;Heating-Value'!$R$6</f>
        <v>3.6</v>
      </c>
      <c r="F29" s="964"/>
      <c r="G29" s="1014">
        <f>'[11]Price&amp;Heating-Value'!$P$6</f>
        <v>2.7124999999999999</v>
      </c>
      <c r="H29" s="1015">
        <f>14736459-(700*24*11)</f>
        <v>14551659</v>
      </c>
      <c r="I29" s="1016">
        <f>14736458.9-(700*24*29)</f>
        <v>14249258.9</v>
      </c>
      <c r="J29" s="966">
        <f>14571567.96-(700*24*31)</f>
        <v>14050767.960000001</v>
      </c>
      <c r="K29" s="966"/>
      <c r="L29" s="966"/>
      <c r="M29" s="966"/>
      <c r="N29" s="966"/>
      <c r="O29" s="966"/>
      <c r="P29" s="966"/>
      <c r="Q29" s="966"/>
      <c r="R29" s="966"/>
      <c r="S29" s="966"/>
      <c r="T29" s="966">
        <f>SUM(H29:S29)</f>
        <v>42851685.859999999</v>
      </c>
      <c r="U29" s="966">
        <f>T29*E29</f>
        <v>154266069.09600002</v>
      </c>
      <c r="V29" s="966">
        <f>AI29</f>
        <v>128126540.72139999</v>
      </c>
      <c r="W29" s="954">
        <f>H29*'[11]Transfer Price2011'!$HE$459</f>
        <v>43509460.410000004</v>
      </c>
      <c r="X29" s="954">
        <f>I29*'[11]Transfer Price2011'!$HE$459</f>
        <v>42605284.111000001</v>
      </c>
      <c r="Y29" s="954">
        <f>J29*'[11]Transfer Price2011'!$HE$459</f>
        <v>42011796.200400002</v>
      </c>
      <c r="Z29" s="954">
        <f>K29*'[11]Transfer Price2011'!$HE$459</f>
        <v>0</v>
      </c>
      <c r="AA29" s="954">
        <f>L29*'[11]Transfer Price2011'!$HE$459</f>
        <v>0</v>
      </c>
      <c r="AB29" s="954">
        <f>M29*'[11]Transfer Price2011'!$HE$459</f>
        <v>0</v>
      </c>
      <c r="AC29" s="954">
        <f>N29*'[11]Transfer Price2011'!$HE$459</f>
        <v>0</v>
      </c>
      <c r="AD29" s="954">
        <f>O29*'[11]Transfer Price2011'!$HE$459</f>
        <v>0</v>
      </c>
      <c r="AE29" s="954">
        <f>P29*'[11]Transfer Price2011'!$HE$459</f>
        <v>0</v>
      </c>
      <c r="AF29" s="954">
        <f>Q29*'[11]Transfer Price2011'!$HE$459</f>
        <v>0</v>
      </c>
      <c r="AG29" s="954">
        <f>R29*'[11]Transfer Price2011'!$HE$459</f>
        <v>0</v>
      </c>
      <c r="AH29" s="954">
        <f>S29*'[11]Transfer Price2011'!$HE$459</f>
        <v>0</v>
      </c>
      <c r="AI29" s="936">
        <f>SUM(W29:AH29)</f>
        <v>128126540.72139999</v>
      </c>
      <c r="AJ29" s="955">
        <f>AI29/U29*1000</f>
        <v>830.55555555555543</v>
      </c>
    </row>
    <row r="30" spans="1:36" ht="21" hidden="1">
      <c r="A30" s="964"/>
      <c r="B30" s="964"/>
      <c r="C30" s="958" t="s">
        <v>120</v>
      </c>
      <c r="D30" s="964" t="s">
        <v>121</v>
      </c>
      <c r="E30" s="964"/>
      <c r="F30" s="964"/>
      <c r="G30" s="984"/>
      <c r="H30" s="966"/>
      <c r="I30" s="1016"/>
      <c r="J30" s="966"/>
      <c r="K30" s="966"/>
      <c r="L30" s="966"/>
      <c r="M30" s="966"/>
      <c r="N30" s="966"/>
      <c r="O30" s="966"/>
      <c r="P30" s="966"/>
      <c r="Q30" s="966"/>
      <c r="R30" s="966"/>
      <c r="S30" s="966"/>
      <c r="T30" s="966">
        <f>SUM(H30:S30)</f>
        <v>0</v>
      </c>
      <c r="U30" s="966">
        <f>T30*E30</f>
        <v>0</v>
      </c>
      <c r="V30" s="966">
        <f>G30*T30</f>
        <v>0</v>
      </c>
      <c r="W30" s="936"/>
      <c r="X30" s="937"/>
      <c r="Y30" s="937"/>
      <c r="Z30" s="937"/>
      <c r="AA30" s="937"/>
      <c r="AB30" s="937"/>
      <c r="AC30" s="937"/>
      <c r="AD30" s="937"/>
      <c r="AE30" s="937"/>
      <c r="AF30" s="937"/>
      <c r="AG30" s="937"/>
      <c r="AH30" s="937"/>
      <c r="AI30" s="937"/>
      <c r="AJ30" s="955"/>
    </row>
    <row r="31" spans="1:36" ht="21" hidden="1">
      <c r="A31" s="964"/>
      <c r="B31" s="964"/>
      <c r="C31" s="958" t="s">
        <v>123</v>
      </c>
      <c r="D31" s="964" t="s">
        <v>121</v>
      </c>
      <c r="E31" s="964">
        <f>'[11]Price&amp;Heating-Value'!$R$9</f>
        <v>2803</v>
      </c>
      <c r="F31" s="964"/>
      <c r="G31" s="965">
        <f>'[11]Price&amp;Heating-Value'!$P$9</f>
        <v>1301.5833333333333</v>
      </c>
      <c r="H31" s="1015">
        <v>1438.33</v>
      </c>
      <c r="I31" s="1016">
        <v>1438.3300000000008</v>
      </c>
      <c r="J31" s="966">
        <v>1511.58</v>
      </c>
      <c r="K31" s="966"/>
      <c r="L31" s="966"/>
      <c r="M31" s="966"/>
      <c r="N31" s="966"/>
      <c r="O31" s="966"/>
      <c r="P31" s="966"/>
      <c r="Q31" s="966"/>
      <c r="R31" s="966"/>
      <c r="S31" s="966"/>
      <c r="T31" s="966">
        <f>SUM(H31:S31)</f>
        <v>4388.2400000000007</v>
      </c>
      <c r="U31" s="966">
        <f>T31*E31</f>
        <v>12300236.720000003</v>
      </c>
      <c r="V31" s="966">
        <f t="shared" ref="V31:V32" si="12">AI31</f>
        <v>6955360.4000000013</v>
      </c>
      <c r="W31" s="969">
        <f>H31*'[11]Transfer Price2011'!$HE$463</f>
        <v>2279753.0499999998</v>
      </c>
      <c r="X31" s="969">
        <f>I31*'[11]Transfer Price2011'!$HE$463</f>
        <v>2279753.0500000012</v>
      </c>
      <c r="Y31" s="969">
        <f>J31*'[11]Transfer Price2011'!$HE$463</f>
        <v>2395854.2999999998</v>
      </c>
      <c r="Z31" s="969">
        <f>K31*'[11]Transfer Price2011'!$HE$463</f>
        <v>0</v>
      </c>
      <c r="AA31" s="969">
        <f>L31*'[11]Transfer Price2011'!$HE$463</f>
        <v>0</v>
      </c>
      <c r="AB31" s="969">
        <f>M31*'[11]Transfer Price2011'!$HE$463</f>
        <v>0</v>
      </c>
      <c r="AC31" s="969">
        <f>N31*'[11]Transfer Price2011'!$HE$463</f>
        <v>0</v>
      </c>
      <c r="AD31" s="969">
        <f>O31*'[11]Transfer Price2011'!$HE$463</f>
        <v>0</v>
      </c>
      <c r="AE31" s="969">
        <f>P31*'[11]Transfer Price2011'!$HE$463</f>
        <v>0</v>
      </c>
      <c r="AF31" s="969">
        <f>Q31*'[11]Transfer Price2011'!$HE$463</f>
        <v>0</v>
      </c>
      <c r="AG31" s="969">
        <f>R31*'[11]Transfer Price2011'!$HE$463</f>
        <v>0</v>
      </c>
      <c r="AH31" s="969">
        <f>S31*'[11]Transfer Price2011'!$HE$463</f>
        <v>0</v>
      </c>
      <c r="AI31" s="936">
        <f t="shared" ref="AI31:AI32" si="13">SUM(W31:AH31)</f>
        <v>6955360.4000000013</v>
      </c>
      <c r="AJ31" s="955">
        <f t="shared" ref="AJ31:AJ32" si="14">AI31/U31*1000</f>
        <v>565.46557260078487</v>
      </c>
    </row>
    <row r="32" spans="1:36" ht="21" hidden="1">
      <c r="A32" s="964"/>
      <c r="B32" s="964"/>
      <c r="C32" s="958" t="s">
        <v>128</v>
      </c>
      <c r="D32" s="964" t="s">
        <v>121</v>
      </c>
      <c r="E32" s="964">
        <f>'[11]Price&amp;Heating-Value'!$R$10</f>
        <v>3180</v>
      </c>
      <c r="F32" s="964"/>
      <c r="G32" s="965">
        <f>'[11]Price&amp;Heating-Value'!$P$10</f>
        <v>1321.5833333333333</v>
      </c>
      <c r="H32" s="1015">
        <v>1514.89</v>
      </c>
      <c r="I32" s="1016">
        <v>1514.8900000000003</v>
      </c>
      <c r="J32" s="966">
        <v>1387.7800000000007</v>
      </c>
      <c r="K32" s="966"/>
      <c r="L32" s="966"/>
      <c r="M32" s="966"/>
      <c r="N32" s="966"/>
      <c r="O32" s="966"/>
      <c r="P32" s="966"/>
      <c r="Q32" s="966"/>
      <c r="R32" s="966"/>
      <c r="S32" s="966"/>
      <c r="T32" s="966">
        <f>SUM(H32:S32)</f>
        <v>4417.5600000000013</v>
      </c>
      <c r="U32" s="966">
        <f>T32*E32</f>
        <v>14047840.800000004</v>
      </c>
      <c r="V32" s="966">
        <f t="shared" si="12"/>
        <v>7090183.8000000007</v>
      </c>
      <c r="W32" s="969">
        <f>H32*'[11]Transfer Price2011'!$HE$464</f>
        <v>2431398.4500000002</v>
      </c>
      <c r="X32" s="969">
        <f>I32*'[11]Transfer Price2011'!$HE$464</f>
        <v>2431398.4500000007</v>
      </c>
      <c r="Y32" s="969">
        <f>J32*'[11]Transfer Price2011'!$HE$464</f>
        <v>2227386.9000000008</v>
      </c>
      <c r="Z32" s="969">
        <f>K32*'[11]Transfer Price2011'!$HE$464</f>
        <v>0</v>
      </c>
      <c r="AA32" s="969">
        <f>L32*'[11]Transfer Price2011'!$HE$464</f>
        <v>0</v>
      </c>
      <c r="AB32" s="969">
        <f>M32*'[11]Transfer Price2011'!$HE$464</f>
        <v>0</v>
      </c>
      <c r="AC32" s="969">
        <f>N32*'[11]Transfer Price2011'!$HE$464</f>
        <v>0</v>
      </c>
      <c r="AD32" s="969">
        <f>O32*'[11]Transfer Price2011'!$HE$464</f>
        <v>0</v>
      </c>
      <c r="AE32" s="969">
        <f>P32*'[11]Transfer Price2011'!$HE$464</f>
        <v>0</v>
      </c>
      <c r="AF32" s="969">
        <f>Q32*'[11]Transfer Price2011'!$HE$464</f>
        <v>0</v>
      </c>
      <c r="AG32" s="969">
        <f>R32*'[11]Transfer Price2011'!$HE$464</f>
        <v>0</v>
      </c>
      <c r="AH32" s="969">
        <f>S32*'[11]Transfer Price2011'!$HE$464</f>
        <v>0</v>
      </c>
      <c r="AI32" s="936">
        <f t="shared" si="13"/>
        <v>7090183.8000000007</v>
      </c>
      <c r="AJ32" s="955">
        <f t="shared" si="14"/>
        <v>504.71698113207543</v>
      </c>
    </row>
    <row r="33" spans="1:36" ht="21" hidden="1">
      <c r="A33" s="964"/>
      <c r="B33" s="964"/>
      <c r="C33" s="983"/>
      <c r="D33" s="964"/>
      <c r="E33" s="964"/>
      <c r="F33" s="964"/>
      <c r="G33" s="964"/>
      <c r="H33" s="987"/>
      <c r="I33" s="1017"/>
      <c r="J33" s="987"/>
      <c r="K33" s="987"/>
      <c r="L33" s="987"/>
      <c r="M33" s="987"/>
      <c r="N33" s="987"/>
      <c r="O33" s="987"/>
      <c r="P33" s="987"/>
      <c r="Q33" s="987"/>
      <c r="R33" s="987"/>
      <c r="S33" s="987"/>
      <c r="T33" s="987"/>
      <c r="U33" s="987">
        <f>SUM(U29:U32)</f>
        <v>180614146.61600003</v>
      </c>
      <c r="V33" s="1018">
        <f>SUM(V29:V32)</f>
        <v>142172084.92140001</v>
      </c>
      <c r="W33" s="936">
        <f>SUM(W29:W32)</f>
        <v>48220611.910000004</v>
      </c>
      <c r="X33" s="936">
        <f t="shared" ref="X33:AI33" si="15">SUM(X29:X32)</f>
        <v>47316435.611000009</v>
      </c>
      <c r="Y33" s="936">
        <f t="shared" si="15"/>
        <v>46635037.400399998</v>
      </c>
      <c r="Z33" s="936">
        <f t="shared" si="15"/>
        <v>0</v>
      </c>
      <c r="AA33" s="936">
        <f t="shared" si="15"/>
        <v>0</v>
      </c>
      <c r="AB33" s="936">
        <f t="shared" si="15"/>
        <v>0</v>
      </c>
      <c r="AC33" s="936">
        <f t="shared" si="15"/>
        <v>0</v>
      </c>
      <c r="AD33" s="936">
        <f t="shared" si="15"/>
        <v>0</v>
      </c>
      <c r="AE33" s="936">
        <f t="shared" si="15"/>
        <v>0</v>
      </c>
      <c r="AF33" s="936">
        <f t="shared" si="15"/>
        <v>0</v>
      </c>
      <c r="AG33" s="936">
        <f t="shared" si="15"/>
        <v>0</v>
      </c>
      <c r="AH33" s="936">
        <f t="shared" si="15"/>
        <v>0</v>
      </c>
      <c r="AI33" s="936">
        <f t="shared" si="15"/>
        <v>142172084.92140001</v>
      </c>
      <c r="AJ33" s="937"/>
    </row>
    <row r="34" spans="1:36" ht="21" hidden="1">
      <c r="A34" s="964"/>
      <c r="B34" s="989"/>
      <c r="C34" s="990" t="s">
        <v>107</v>
      </c>
      <c r="D34" s="989" t="s">
        <v>121</v>
      </c>
      <c r="E34" s="989"/>
      <c r="F34" s="989"/>
      <c r="G34" s="991" t="s">
        <v>134</v>
      </c>
      <c r="H34" s="1015">
        <v>38016</v>
      </c>
      <c r="I34" s="995">
        <v>31708.054999999997</v>
      </c>
      <c r="J34" s="995">
        <v>21734.126</v>
      </c>
      <c r="K34" s="995"/>
      <c r="L34" s="995"/>
      <c r="M34" s="995"/>
      <c r="N34" s="995"/>
      <c r="O34" s="995"/>
      <c r="P34" s="995"/>
      <c r="Q34" s="992"/>
      <c r="R34" s="995"/>
      <c r="S34" s="995"/>
      <c r="T34" s="996">
        <f t="shared" ref="T34:T39" si="16">SUM(H34:S34)</f>
        <v>91458.180999999997</v>
      </c>
      <c r="U34" s="995">
        <f>T34+T35</f>
        <v>117042.929</v>
      </c>
      <c r="V34" s="997">
        <f>V33/U34</f>
        <v>1214.7003337672795</v>
      </c>
      <c r="W34" s="936"/>
      <c r="X34" s="937"/>
      <c r="Y34" s="937"/>
      <c r="Z34" s="937"/>
      <c r="AA34" s="937"/>
      <c r="AB34" s="937"/>
      <c r="AC34" s="937"/>
      <c r="AD34" s="937"/>
      <c r="AE34" s="937"/>
      <c r="AF34" s="937"/>
      <c r="AG34" s="937"/>
      <c r="AH34" s="946" t="s">
        <v>158</v>
      </c>
      <c r="AI34" s="946">
        <f>AI33/T38</f>
        <v>787.1591876115283</v>
      </c>
      <c r="AJ34" s="937"/>
    </row>
    <row r="35" spans="1:36" ht="21" hidden="1">
      <c r="A35" s="964"/>
      <c r="B35" s="964"/>
      <c r="C35" s="958"/>
      <c r="D35" s="964"/>
      <c r="E35" s="964"/>
      <c r="F35" s="964"/>
      <c r="G35" s="964" t="s">
        <v>135</v>
      </c>
      <c r="H35" s="966">
        <v>6067.8310000000001</v>
      </c>
      <c r="I35" s="966">
        <v>6308.1659999999993</v>
      </c>
      <c r="J35" s="966">
        <v>13208.750999999998</v>
      </c>
      <c r="K35" s="966"/>
      <c r="L35" s="966"/>
      <c r="M35" s="966"/>
      <c r="N35" s="966"/>
      <c r="O35" s="966"/>
      <c r="P35" s="966"/>
      <c r="Q35" s="966"/>
      <c r="R35" s="966"/>
      <c r="S35" s="966"/>
      <c r="T35" s="966">
        <f t="shared" si="16"/>
        <v>25584.748</v>
      </c>
      <c r="U35" s="966"/>
      <c r="V35" s="997" t="s">
        <v>137</v>
      </c>
      <c r="W35" s="936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</row>
    <row r="36" spans="1:36" ht="21" hidden="1">
      <c r="A36" s="964"/>
      <c r="B36" s="964"/>
      <c r="C36" s="958" t="s">
        <v>138</v>
      </c>
      <c r="D36" s="964" t="s">
        <v>173</v>
      </c>
      <c r="E36" s="964"/>
      <c r="F36" s="964"/>
      <c r="G36" s="964"/>
      <c r="H36" s="966">
        <f>H29*$E29/1000</f>
        <v>52385.972399999999</v>
      </c>
      <c r="I36" s="966">
        <f>I29*$E29/1000</f>
        <v>51297.332040000001</v>
      </c>
      <c r="J36" s="966">
        <f t="shared" ref="J36:S36" si="17">J29*$E29/1000</f>
        <v>50582.764656000007</v>
      </c>
      <c r="K36" s="966">
        <f t="shared" si="17"/>
        <v>0</v>
      </c>
      <c r="L36" s="966">
        <f t="shared" si="17"/>
        <v>0</v>
      </c>
      <c r="M36" s="966">
        <f t="shared" si="17"/>
        <v>0</v>
      </c>
      <c r="N36" s="966">
        <f t="shared" si="17"/>
        <v>0</v>
      </c>
      <c r="O36" s="966">
        <f t="shared" si="17"/>
        <v>0</v>
      </c>
      <c r="P36" s="966">
        <f t="shared" si="17"/>
        <v>0</v>
      </c>
      <c r="Q36" s="966">
        <f t="shared" si="17"/>
        <v>0</v>
      </c>
      <c r="R36" s="966">
        <f t="shared" si="17"/>
        <v>0</v>
      </c>
      <c r="S36" s="966">
        <f t="shared" si="17"/>
        <v>0</v>
      </c>
      <c r="T36" s="966">
        <f t="shared" si="16"/>
        <v>154266.06909600002</v>
      </c>
      <c r="U36" s="966"/>
      <c r="V36" s="966"/>
      <c r="W36" s="936"/>
      <c r="X36" s="937"/>
      <c r="Y36" s="937"/>
      <c r="Z36" s="937"/>
      <c r="AA36" s="937"/>
      <c r="AB36" s="937"/>
      <c r="AC36" s="937"/>
      <c r="AD36" s="937"/>
      <c r="AE36" s="937"/>
      <c r="AF36" s="937"/>
      <c r="AG36" s="937"/>
      <c r="AH36" s="937"/>
      <c r="AI36" s="937"/>
      <c r="AJ36" s="937"/>
    </row>
    <row r="37" spans="1:36" ht="21" hidden="1">
      <c r="A37" s="964"/>
      <c r="B37" s="964"/>
      <c r="C37" s="958" t="s">
        <v>152</v>
      </c>
      <c r="D37" s="964" t="s">
        <v>173</v>
      </c>
      <c r="E37" s="964"/>
      <c r="F37" s="964"/>
      <c r="G37" s="964"/>
      <c r="H37" s="966">
        <f>((H31*$E31)+(H32*$E32))/1000</f>
        <v>8848.9891900000002</v>
      </c>
      <c r="I37" s="966">
        <f>((I31*$E31)+(I32*$E32))/1000</f>
        <v>8848.9891900000039</v>
      </c>
      <c r="J37" s="966">
        <f t="shared" ref="J37:S37" si="18">((J31*$E31)+(J32*$E32))/1000</f>
        <v>8650.0991400000021</v>
      </c>
      <c r="K37" s="966">
        <f t="shared" si="18"/>
        <v>0</v>
      </c>
      <c r="L37" s="966">
        <f t="shared" si="18"/>
        <v>0</v>
      </c>
      <c r="M37" s="966">
        <f t="shared" si="18"/>
        <v>0</v>
      </c>
      <c r="N37" s="966">
        <f t="shared" si="18"/>
        <v>0</v>
      </c>
      <c r="O37" s="966">
        <f t="shared" si="18"/>
        <v>0</v>
      </c>
      <c r="P37" s="966">
        <f t="shared" si="18"/>
        <v>0</v>
      </c>
      <c r="Q37" s="966">
        <f>((Q31*$E31)+(Q32*$E32))/1000</f>
        <v>0</v>
      </c>
      <c r="R37" s="966">
        <f t="shared" si="18"/>
        <v>0</v>
      </c>
      <c r="S37" s="966">
        <f t="shared" si="18"/>
        <v>0</v>
      </c>
      <c r="T37" s="966">
        <f t="shared" si="16"/>
        <v>26348.077520000006</v>
      </c>
      <c r="U37" s="966"/>
      <c r="V37" s="966"/>
      <c r="W37" s="936"/>
      <c r="X37" s="937"/>
      <c r="Y37" s="937"/>
      <c r="Z37" s="937"/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</row>
    <row r="38" spans="1:36" ht="21" hidden="1">
      <c r="A38" s="964"/>
      <c r="B38" s="964"/>
      <c r="C38" s="983" t="s">
        <v>353</v>
      </c>
      <c r="D38" s="964"/>
      <c r="E38" s="964"/>
      <c r="F38" s="964"/>
      <c r="G38" s="964"/>
      <c r="H38" s="966">
        <f t="shared" ref="H38:S38" si="19">SUM(H36:H37)</f>
        <v>61234.961589999999</v>
      </c>
      <c r="I38" s="966">
        <f t="shared" si="19"/>
        <v>60146.321230000001</v>
      </c>
      <c r="J38" s="966">
        <f t="shared" si="19"/>
        <v>59232.863796000005</v>
      </c>
      <c r="K38" s="966">
        <f t="shared" si="19"/>
        <v>0</v>
      </c>
      <c r="L38" s="966">
        <f t="shared" si="19"/>
        <v>0</v>
      </c>
      <c r="M38" s="966">
        <f t="shared" si="19"/>
        <v>0</v>
      </c>
      <c r="N38" s="966">
        <f t="shared" si="19"/>
        <v>0</v>
      </c>
      <c r="O38" s="966">
        <f t="shared" si="19"/>
        <v>0</v>
      </c>
      <c r="P38" s="966">
        <f>SUM(P36:P37)</f>
        <v>0</v>
      </c>
      <c r="Q38" s="966">
        <f t="shared" si="19"/>
        <v>0</v>
      </c>
      <c r="R38" s="966">
        <f t="shared" si="19"/>
        <v>0</v>
      </c>
      <c r="S38" s="966">
        <f t="shared" si="19"/>
        <v>0</v>
      </c>
      <c r="T38" s="1000">
        <f t="shared" si="16"/>
        <v>180614.14661599998</v>
      </c>
      <c r="U38" s="966"/>
      <c r="V38" s="1001">
        <f>V33/T38</f>
        <v>787.1591876115283</v>
      </c>
      <c r="W38" s="936"/>
      <c r="X38" s="937"/>
      <c r="Y38" s="937"/>
      <c r="Z38" s="937"/>
      <c r="AA38" s="937"/>
      <c r="AB38" s="937"/>
      <c r="AC38" s="937"/>
      <c r="AD38" s="937"/>
      <c r="AE38" s="937"/>
      <c r="AF38" s="937"/>
      <c r="AG38" s="937"/>
      <c r="AH38" s="937"/>
      <c r="AI38" s="937"/>
      <c r="AJ38" s="937"/>
    </row>
    <row r="39" spans="1:36" ht="21" hidden="1">
      <c r="A39" s="964"/>
      <c r="B39" s="964"/>
      <c r="C39" s="983" t="s">
        <v>345</v>
      </c>
      <c r="D39" s="964" t="s">
        <v>173</v>
      </c>
      <c r="E39" s="964" t="s">
        <v>917</v>
      </c>
      <c r="F39" s="964">
        <v>87.474983849056315</v>
      </c>
      <c r="G39" s="964"/>
      <c r="H39" s="1019">
        <f>((2.164*H35)+(1.401*H34)+8639)*$F$39/100</f>
        <v>65632.657329843278</v>
      </c>
      <c r="I39" s="1019">
        <f>((2.164*I35)+(1.401*I34)+8639)*$F$39/100</f>
        <v>58357.060255299395</v>
      </c>
      <c r="J39" s="1019">
        <f>((2.164*J35)+(1.401*J34)+8639)*$F$39/100</f>
        <v>59196.287737120896</v>
      </c>
      <c r="K39" s="1002"/>
      <c r="L39" s="1002"/>
      <c r="M39" s="1002"/>
      <c r="N39" s="1002"/>
      <c r="O39" s="1002"/>
      <c r="P39" s="1002"/>
      <c r="Q39" s="1002"/>
      <c r="R39" s="1002"/>
      <c r="S39" s="1002"/>
      <c r="T39" s="1000">
        <f t="shared" si="16"/>
        <v>183186.00532226358</v>
      </c>
      <c r="U39" s="966"/>
      <c r="V39" s="1001" t="s">
        <v>158</v>
      </c>
      <c r="W39" s="936"/>
      <c r="X39" s="937"/>
      <c r="Y39" s="937"/>
      <c r="Z39" s="937"/>
      <c r="AA39" s="937"/>
      <c r="AB39" s="937"/>
      <c r="AC39" s="937"/>
      <c r="AD39" s="937"/>
      <c r="AE39" s="937"/>
      <c r="AF39" s="937"/>
      <c r="AG39" s="937"/>
      <c r="AH39" s="937"/>
      <c r="AI39" s="937"/>
      <c r="AJ39" s="937"/>
    </row>
    <row r="40" spans="1:36" ht="21" hidden="1">
      <c r="A40" s="964"/>
      <c r="B40" s="1003" t="s">
        <v>174</v>
      </c>
      <c r="C40" s="1004" t="s">
        <v>89</v>
      </c>
      <c r="D40" s="1003" t="s">
        <v>347</v>
      </c>
      <c r="E40" s="1003"/>
      <c r="F40" s="1005">
        <f>(J40-G40)/G40*100</f>
        <v>72.718456341444167</v>
      </c>
      <c r="G40" s="1020">
        <v>1.3474778475490632</v>
      </c>
      <c r="H40" s="1006">
        <f>H36/H34</f>
        <v>1.3779980113636363</v>
      </c>
      <c r="I40" s="1006">
        <f t="shared" ref="I40:S40" si="20">I36/I34</f>
        <v>1.6178012823555405</v>
      </c>
      <c r="J40" s="1006">
        <f t="shared" si="20"/>
        <v>2.3273429378296604</v>
      </c>
      <c r="K40" s="1006" t="e">
        <f t="shared" si="20"/>
        <v>#DIV/0!</v>
      </c>
      <c r="L40" s="1006" t="e">
        <f t="shared" si="20"/>
        <v>#DIV/0!</v>
      </c>
      <c r="M40" s="1006" t="e">
        <f t="shared" si="20"/>
        <v>#DIV/0!</v>
      </c>
      <c r="N40" s="1006" t="e">
        <f t="shared" si="20"/>
        <v>#DIV/0!</v>
      </c>
      <c r="O40" s="1006" t="e">
        <f t="shared" si="20"/>
        <v>#DIV/0!</v>
      </c>
      <c r="P40" s="1006" t="e">
        <f t="shared" si="20"/>
        <v>#DIV/0!</v>
      </c>
      <c r="Q40" s="1006" t="e">
        <f t="shared" si="20"/>
        <v>#DIV/0!</v>
      </c>
      <c r="R40" s="1006" t="e">
        <f t="shared" si="20"/>
        <v>#DIV/0!</v>
      </c>
      <c r="S40" s="1006" t="e">
        <f t="shared" si="20"/>
        <v>#DIV/0!</v>
      </c>
      <c r="T40" s="1006">
        <f>T36/T34</f>
        <v>1.6867388724470698</v>
      </c>
      <c r="U40" s="1007"/>
      <c r="V40" s="1007"/>
      <c r="W40" s="936"/>
      <c r="X40" s="937"/>
      <c r="Y40" s="937"/>
      <c r="Z40" s="937"/>
      <c r="AA40" s="937"/>
      <c r="AB40" s="937"/>
      <c r="AC40" s="937"/>
      <c r="AD40" s="937"/>
      <c r="AE40" s="937"/>
      <c r="AF40" s="937"/>
      <c r="AG40" s="937"/>
      <c r="AH40" s="937"/>
      <c r="AI40" s="937"/>
      <c r="AJ40" s="937"/>
    </row>
    <row r="41" spans="1:36" ht="21" hidden="1">
      <c r="A41" s="964"/>
      <c r="B41" s="1003"/>
      <c r="C41" s="1004" t="s">
        <v>110</v>
      </c>
      <c r="D41" s="1003" t="s">
        <v>347</v>
      </c>
      <c r="E41" s="1003"/>
      <c r="F41" s="1005">
        <f>(J41-G41)/G41*100</f>
        <v>68.313218156876758</v>
      </c>
      <c r="G41" s="1020">
        <v>0.23646163094679867</v>
      </c>
      <c r="H41" s="1006">
        <f>H37/H34</f>
        <v>0.23277012810395623</v>
      </c>
      <c r="I41" s="1006">
        <f t="shared" ref="I41:S41" si="21">I37/I34</f>
        <v>0.27907701024235027</v>
      </c>
      <c r="J41" s="1006">
        <f t="shared" si="21"/>
        <v>0.39799618075279408</v>
      </c>
      <c r="K41" s="1006" t="e">
        <f t="shared" si="21"/>
        <v>#DIV/0!</v>
      </c>
      <c r="L41" s="1006" t="e">
        <f t="shared" si="21"/>
        <v>#DIV/0!</v>
      </c>
      <c r="M41" s="1006" t="e">
        <f t="shared" si="21"/>
        <v>#DIV/0!</v>
      </c>
      <c r="N41" s="1006" t="e">
        <f t="shared" si="21"/>
        <v>#DIV/0!</v>
      </c>
      <c r="O41" s="1006" t="e">
        <f t="shared" si="21"/>
        <v>#DIV/0!</v>
      </c>
      <c r="P41" s="1006" t="e">
        <f t="shared" si="21"/>
        <v>#DIV/0!</v>
      </c>
      <c r="Q41" s="1006" t="e">
        <f t="shared" si="21"/>
        <v>#DIV/0!</v>
      </c>
      <c r="R41" s="1006" t="e">
        <f t="shared" si="21"/>
        <v>#DIV/0!</v>
      </c>
      <c r="S41" s="1006" t="e">
        <f t="shared" si="21"/>
        <v>#DIV/0!</v>
      </c>
      <c r="T41" s="1006">
        <f>T37/T34</f>
        <v>0.28808879896703837</v>
      </c>
      <c r="U41" s="1007"/>
      <c r="V41" s="1007"/>
      <c r="W41" s="936"/>
      <c r="X41" s="937"/>
      <c r="Y41" s="937"/>
      <c r="Z41" s="937"/>
      <c r="AA41" s="937"/>
      <c r="AB41" s="937"/>
      <c r="AC41" s="937"/>
      <c r="AD41" s="937"/>
      <c r="AE41" s="937"/>
      <c r="AF41" s="937"/>
      <c r="AG41" s="937"/>
      <c r="AH41" s="937"/>
      <c r="AI41" s="937"/>
      <c r="AJ41" s="937"/>
    </row>
    <row r="42" spans="1:36" ht="23.25" hidden="1">
      <c r="A42" s="964"/>
      <c r="B42" s="1003"/>
      <c r="C42" s="1008" t="s">
        <v>356</v>
      </c>
      <c r="D42" s="1003" t="s">
        <v>347</v>
      </c>
      <c r="E42" s="1003"/>
      <c r="F42" s="1005">
        <f>(J42-G42)/G42*100</f>
        <v>72.060811387218365</v>
      </c>
      <c r="G42" s="1020">
        <v>1.5839394784958616</v>
      </c>
      <c r="H42" s="1006">
        <f>H38/H34</f>
        <v>1.6107681394675926</v>
      </c>
      <c r="I42" s="1006">
        <f t="shared" ref="I42:S42" si="22">I38/I34</f>
        <v>1.8968782925978906</v>
      </c>
      <c r="J42" s="1006">
        <f t="shared" si="22"/>
        <v>2.7253391185824545</v>
      </c>
      <c r="K42" s="1006" t="e">
        <f t="shared" si="22"/>
        <v>#DIV/0!</v>
      </c>
      <c r="L42" s="1006" t="e">
        <f t="shared" si="22"/>
        <v>#DIV/0!</v>
      </c>
      <c r="M42" s="1006" t="e">
        <f t="shared" si="22"/>
        <v>#DIV/0!</v>
      </c>
      <c r="N42" s="1006" t="e">
        <f t="shared" si="22"/>
        <v>#DIV/0!</v>
      </c>
      <c r="O42" s="1006" t="e">
        <f t="shared" si="22"/>
        <v>#DIV/0!</v>
      </c>
      <c r="P42" s="1006" t="e">
        <f t="shared" si="22"/>
        <v>#DIV/0!</v>
      </c>
      <c r="Q42" s="1006" t="e">
        <f t="shared" si="22"/>
        <v>#DIV/0!</v>
      </c>
      <c r="R42" s="1006" t="e">
        <f t="shared" si="22"/>
        <v>#DIV/0!</v>
      </c>
      <c r="S42" s="1006" t="e">
        <f t="shared" si="22"/>
        <v>#DIV/0!</v>
      </c>
      <c r="T42" s="1021">
        <f>T38/T34</f>
        <v>1.9748276714141078</v>
      </c>
      <c r="U42" s="1007"/>
      <c r="V42" s="1007"/>
      <c r="W42" s="936"/>
      <c r="X42" s="937"/>
      <c r="Y42" s="937"/>
      <c r="Z42" s="937"/>
      <c r="AA42" s="937"/>
      <c r="AB42" s="937"/>
      <c r="AC42" s="937"/>
      <c r="AD42" s="937"/>
      <c r="AE42" s="937"/>
      <c r="AF42" s="937"/>
      <c r="AG42" s="937"/>
      <c r="AH42" s="937"/>
      <c r="AI42" s="937"/>
      <c r="AJ42" s="937"/>
    </row>
    <row r="43" spans="1:36" ht="21" hidden="1">
      <c r="A43" s="964"/>
      <c r="B43" s="1003"/>
      <c r="C43" s="1008" t="s">
        <v>357</v>
      </c>
      <c r="D43" s="1003"/>
      <c r="E43" s="1003"/>
      <c r="F43" s="1003"/>
      <c r="G43" s="1022">
        <v>89.440911698873748</v>
      </c>
      <c r="H43" s="1009">
        <f>H38/H39*100</f>
        <v>93.299531180427095</v>
      </c>
      <c r="I43" s="1009">
        <f t="shared" ref="I43:T43" si="23">I38/I39*100</f>
        <v>103.06605741768516</v>
      </c>
      <c r="J43" s="1009">
        <f t="shared" si="23"/>
        <v>100.06178775777552</v>
      </c>
      <c r="K43" s="1009" t="e">
        <f t="shared" si="23"/>
        <v>#DIV/0!</v>
      </c>
      <c r="L43" s="1009" t="e">
        <f t="shared" si="23"/>
        <v>#DIV/0!</v>
      </c>
      <c r="M43" s="1009" t="e">
        <f t="shared" si="23"/>
        <v>#DIV/0!</v>
      </c>
      <c r="N43" s="1009" t="e">
        <f t="shared" si="23"/>
        <v>#DIV/0!</v>
      </c>
      <c r="O43" s="1009" t="e">
        <f t="shared" si="23"/>
        <v>#DIV/0!</v>
      </c>
      <c r="P43" s="1009" t="e">
        <f t="shared" si="23"/>
        <v>#DIV/0!</v>
      </c>
      <c r="Q43" s="1009" t="e">
        <f t="shared" si="23"/>
        <v>#DIV/0!</v>
      </c>
      <c r="R43" s="1009" t="e">
        <f t="shared" si="23"/>
        <v>#DIV/0!</v>
      </c>
      <c r="S43" s="1009" t="e">
        <f t="shared" si="23"/>
        <v>#DIV/0!</v>
      </c>
      <c r="T43" s="1009">
        <f t="shared" si="23"/>
        <v>98.596039745645896</v>
      </c>
      <c r="U43" s="966"/>
      <c r="V43" s="966"/>
      <c r="W43" s="936" t="s">
        <v>29</v>
      </c>
      <c r="X43" s="937" t="s">
        <v>30</v>
      </c>
      <c r="Y43" s="937" t="s">
        <v>31</v>
      </c>
      <c r="Z43" s="937" t="s">
        <v>32</v>
      </c>
      <c r="AA43" s="937" t="s">
        <v>33</v>
      </c>
      <c r="AB43" s="937" t="s">
        <v>34</v>
      </c>
      <c r="AC43" s="937" t="s">
        <v>35</v>
      </c>
      <c r="AD43" s="937" t="s">
        <v>36</v>
      </c>
      <c r="AE43" s="937" t="s">
        <v>37</v>
      </c>
      <c r="AF43" s="937" t="s">
        <v>38</v>
      </c>
      <c r="AG43" s="937" t="s">
        <v>39</v>
      </c>
      <c r="AH43" s="937" t="s">
        <v>40</v>
      </c>
      <c r="AI43" s="937" t="s">
        <v>25</v>
      </c>
      <c r="AJ43" s="946" t="s">
        <v>158</v>
      </c>
    </row>
    <row r="44" spans="1:36" ht="21" hidden="1">
      <c r="A44" s="964">
        <v>3</v>
      </c>
      <c r="B44" s="1013" t="s">
        <v>103</v>
      </c>
      <c r="C44" s="958" t="s">
        <v>117</v>
      </c>
      <c r="D44" s="964" t="s">
        <v>90</v>
      </c>
      <c r="E44" s="984">
        <f>'[11]Price&amp;Heating-Value'!$R$6</f>
        <v>3.6</v>
      </c>
      <c r="F44" s="964"/>
      <c r="G44" s="1014">
        <f>'[11]Price&amp;Heating-Value'!$P$6</f>
        <v>2.7124999999999999</v>
      </c>
      <c r="H44" s="1015">
        <v>74929.3</v>
      </c>
      <c r="I44" s="1015">
        <v>80398.14</v>
      </c>
      <c r="J44" s="966">
        <f>64278.98/2</f>
        <v>32139.49</v>
      </c>
      <c r="K44" s="966"/>
      <c r="L44" s="966"/>
      <c r="M44" s="966"/>
      <c r="N44" s="966"/>
      <c r="O44" s="966"/>
      <c r="P44" s="966"/>
      <c r="Q44" s="966"/>
      <c r="R44" s="966"/>
      <c r="S44" s="966"/>
      <c r="T44" s="966">
        <f>SUM(H44:S44)</f>
        <v>187466.93</v>
      </c>
      <c r="U44" s="966">
        <f>T44*E44</f>
        <v>674880.94799999997</v>
      </c>
      <c r="V44" s="966">
        <f>AI44</f>
        <v>560526.12070000009</v>
      </c>
      <c r="W44" s="954">
        <f>H44*'[11]Transfer Price2011'!$HE$459</f>
        <v>224038.60700000002</v>
      </c>
      <c r="X44" s="954">
        <f>I44*'[11]Transfer Price2011'!$HE$459</f>
        <v>240390.43860000002</v>
      </c>
      <c r="Y44" s="954">
        <f>J44*'[11]Transfer Price2011'!$HE$459</f>
        <v>96097.075100000016</v>
      </c>
      <c r="Z44" s="954">
        <f>K44*'[11]Transfer Price2011'!$HE$459</f>
        <v>0</v>
      </c>
      <c r="AA44" s="954">
        <f>L44*'[11]Transfer Price2011'!$HE$459</f>
        <v>0</v>
      </c>
      <c r="AB44" s="954">
        <f>M44*'[11]Transfer Price2011'!$HE$459</f>
        <v>0</v>
      </c>
      <c r="AC44" s="954">
        <f>N44*'[11]Transfer Price2011'!$HE$459</f>
        <v>0</v>
      </c>
      <c r="AD44" s="954">
        <f>O44*'[11]Transfer Price2011'!$HE$459</f>
        <v>0</v>
      </c>
      <c r="AE44" s="954">
        <f>P44*'[11]Transfer Price2011'!$HE$459</f>
        <v>0</v>
      </c>
      <c r="AF44" s="954">
        <f>Q44*'[11]Transfer Price2011'!$HE$459</f>
        <v>0</v>
      </c>
      <c r="AG44" s="954">
        <f>R44*'[11]Transfer Price2011'!$HE$459</f>
        <v>0</v>
      </c>
      <c r="AH44" s="954">
        <f>S44*'[11]Transfer Price2011'!$HE$459</f>
        <v>0</v>
      </c>
      <c r="AI44" s="936">
        <f>SUM(W44:AH44)</f>
        <v>560526.12070000009</v>
      </c>
      <c r="AJ44" s="955">
        <f>AI44/U44*1000</f>
        <v>830.55555555555566</v>
      </c>
    </row>
    <row r="45" spans="1:36" ht="21" hidden="1">
      <c r="A45" s="964"/>
      <c r="B45" s="964"/>
      <c r="C45" s="958" t="s">
        <v>146</v>
      </c>
      <c r="D45" s="964" t="s">
        <v>147</v>
      </c>
      <c r="E45" s="964">
        <f>'[11]Price&amp;Heating-Value'!$R$9</f>
        <v>2803</v>
      </c>
      <c r="F45" s="964"/>
      <c r="G45" s="965">
        <f>'[11]Price&amp;Heating-Value'!$P$9</f>
        <v>1301.5833333333333</v>
      </c>
      <c r="H45" s="1015">
        <v>257.51</v>
      </c>
      <c r="I45" s="1015">
        <v>369.22</v>
      </c>
      <c r="J45" s="966">
        <v>289.79000000000002</v>
      </c>
      <c r="K45" s="966"/>
      <c r="L45" s="966"/>
      <c r="M45" s="966"/>
      <c r="N45" s="966"/>
      <c r="O45" s="966"/>
      <c r="P45" s="966"/>
      <c r="Q45" s="966"/>
      <c r="R45" s="966"/>
      <c r="S45" s="966"/>
      <c r="T45" s="966">
        <f>SUM(H45:S45)</f>
        <v>916.52</v>
      </c>
      <c r="U45" s="966">
        <f>T45*E45</f>
        <v>2569005.56</v>
      </c>
      <c r="V45" s="966">
        <f>AI45</f>
        <v>1452684.2000000002</v>
      </c>
      <c r="W45" s="969">
        <f>H45*'[11]Transfer Price2011'!$HE$463</f>
        <v>408153.35</v>
      </c>
      <c r="X45" s="969">
        <f>I45*'[11]Transfer Price2011'!$HE$463</f>
        <v>585213.70000000007</v>
      </c>
      <c r="Y45" s="969">
        <f>J45*'[11]Transfer Price2011'!$HE$463</f>
        <v>459317.15</v>
      </c>
      <c r="Z45" s="969">
        <f>K45*'[11]Transfer Price2011'!$HE$463</f>
        <v>0</v>
      </c>
      <c r="AA45" s="969">
        <f>L45*'[11]Transfer Price2011'!$HE$463</f>
        <v>0</v>
      </c>
      <c r="AB45" s="969">
        <f>M45*'[11]Transfer Price2011'!$HE$463</f>
        <v>0</v>
      </c>
      <c r="AC45" s="969">
        <f>N45*'[11]Transfer Price2011'!$HE$463</f>
        <v>0</v>
      </c>
      <c r="AD45" s="969">
        <f>O45*'[11]Transfer Price2011'!$HE$463</f>
        <v>0</v>
      </c>
      <c r="AE45" s="969">
        <f>P45*'[11]Transfer Price2011'!$HE$463</f>
        <v>0</v>
      </c>
      <c r="AF45" s="969">
        <f>Q45*'[11]Transfer Price2011'!$HE$463</f>
        <v>0</v>
      </c>
      <c r="AG45" s="969">
        <f>R45*'[11]Transfer Price2011'!$HE$463</f>
        <v>0</v>
      </c>
      <c r="AH45" s="969">
        <f>S45*'[11]Transfer Price2011'!$HE$463</f>
        <v>0</v>
      </c>
      <c r="AI45" s="936">
        <f t="shared" ref="AI45" si="24">SUM(W45:AH45)</f>
        <v>1452684.2000000002</v>
      </c>
      <c r="AJ45" s="955">
        <f>AI45/U45*1000</f>
        <v>565.46557260078487</v>
      </c>
    </row>
    <row r="46" spans="1:36" ht="21" hidden="1">
      <c r="A46" s="964"/>
      <c r="B46" s="964"/>
      <c r="C46" s="983"/>
      <c r="D46" s="964"/>
      <c r="E46" s="964"/>
      <c r="F46" s="964"/>
      <c r="G46" s="964"/>
      <c r="H46" s="987"/>
      <c r="I46" s="987"/>
      <c r="J46" s="987"/>
      <c r="K46" s="987"/>
      <c r="L46" s="987"/>
      <c r="M46" s="987"/>
      <c r="N46" s="987"/>
      <c r="O46" s="987"/>
      <c r="P46" s="987"/>
      <c r="Q46" s="987"/>
      <c r="R46" s="987"/>
      <c r="S46" s="987"/>
      <c r="T46" s="987"/>
      <c r="U46" s="987">
        <f>SUM(U44:U45)</f>
        <v>3243886.5079999999</v>
      </c>
      <c r="V46" s="988">
        <f>SUM(V44:V45)</f>
        <v>2013210.3207000003</v>
      </c>
      <c r="W46" s="936">
        <f>SUM(W44:W45)</f>
        <v>632191.95699999994</v>
      </c>
      <c r="X46" s="936">
        <f t="shared" ref="X46:AI46" si="25">SUM(X44:X45)</f>
        <v>825604.13860000006</v>
      </c>
      <c r="Y46" s="936">
        <f t="shared" si="25"/>
        <v>555414.22510000004</v>
      </c>
      <c r="Z46" s="936">
        <f t="shared" si="25"/>
        <v>0</v>
      </c>
      <c r="AA46" s="936">
        <f t="shared" si="25"/>
        <v>0</v>
      </c>
      <c r="AB46" s="936">
        <f t="shared" si="25"/>
        <v>0</v>
      </c>
      <c r="AC46" s="936">
        <f t="shared" si="25"/>
        <v>0</v>
      </c>
      <c r="AD46" s="936">
        <f t="shared" si="25"/>
        <v>0</v>
      </c>
      <c r="AE46" s="936">
        <f t="shared" si="25"/>
        <v>0</v>
      </c>
      <c r="AF46" s="936">
        <f t="shared" si="25"/>
        <v>0</v>
      </c>
      <c r="AG46" s="936">
        <f t="shared" si="25"/>
        <v>0</v>
      </c>
      <c r="AH46" s="936">
        <f t="shared" si="25"/>
        <v>0</v>
      </c>
      <c r="AI46" s="936">
        <f t="shared" si="25"/>
        <v>2013210.3207000003</v>
      </c>
      <c r="AJ46" s="937"/>
    </row>
    <row r="47" spans="1:36" ht="21" hidden="1">
      <c r="A47" s="964"/>
      <c r="B47" s="989"/>
      <c r="C47" s="990" t="s">
        <v>107</v>
      </c>
      <c r="D47" s="989" t="s">
        <v>147</v>
      </c>
      <c r="E47" s="989"/>
      <c r="F47" s="989"/>
      <c r="G47" s="991"/>
      <c r="H47" s="1023">
        <f>1981.85/1000</f>
        <v>1.9818499999999999</v>
      </c>
      <c r="I47" s="1023">
        <f>3176.07/1000</f>
        <v>3.1760700000000002</v>
      </c>
      <c r="J47" s="994">
        <v>1.83216</v>
      </c>
      <c r="K47" s="994"/>
      <c r="L47" s="994"/>
      <c r="M47" s="994"/>
      <c r="N47" s="994"/>
      <c r="O47" s="994"/>
      <c r="P47" s="994"/>
      <c r="Q47" s="994"/>
      <c r="R47" s="994"/>
      <c r="S47" s="994"/>
      <c r="T47" s="996">
        <f>SUM(H47:S47)</f>
        <v>6.9900799999999998</v>
      </c>
      <c r="U47" s="995"/>
      <c r="V47" s="997">
        <f>V46/T47</f>
        <v>288009.62516881071</v>
      </c>
      <c r="W47" s="936"/>
      <c r="X47" s="937"/>
      <c r="Y47" s="937"/>
      <c r="Z47" s="937"/>
      <c r="AA47" s="937"/>
      <c r="AB47" s="937"/>
      <c r="AC47" s="937"/>
      <c r="AD47" s="937"/>
      <c r="AE47" s="937"/>
      <c r="AF47" s="937"/>
      <c r="AG47" s="937"/>
      <c r="AH47" s="946" t="s">
        <v>158</v>
      </c>
      <c r="AI47" s="946">
        <f>AI46/T51</f>
        <v>620.61675577584663</v>
      </c>
      <c r="AJ47" s="937"/>
    </row>
    <row r="48" spans="1:36" ht="21" hidden="1">
      <c r="A48" s="964"/>
      <c r="B48" s="964"/>
      <c r="C48" s="958"/>
      <c r="D48" s="964"/>
      <c r="E48" s="964"/>
      <c r="F48" s="964"/>
      <c r="G48" s="964"/>
      <c r="H48" s="966"/>
      <c r="I48" s="966"/>
      <c r="J48" s="966"/>
      <c r="K48" s="966"/>
      <c r="L48" s="966"/>
      <c r="M48" s="966"/>
      <c r="N48" s="966"/>
      <c r="O48" s="966"/>
      <c r="P48" s="966"/>
      <c r="Q48" s="966"/>
      <c r="R48" s="966"/>
      <c r="S48" s="966"/>
      <c r="T48" s="966"/>
      <c r="U48" s="966"/>
      <c r="V48" s="997" t="s">
        <v>137</v>
      </c>
      <c r="W48" s="936"/>
      <c r="X48" s="937"/>
      <c r="Y48" s="937"/>
      <c r="Z48" s="937"/>
      <c r="AA48" s="937"/>
      <c r="AB48" s="937"/>
      <c r="AC48" s="937"/>
      <c r="AD48" s="937"/>
      <c r="AE48" s="937"/>
      <c r="AF48" s="937"/>
      <c r="AG48" s="937"/>
      <c r="AH48" s="937"/>
      <c r="AI48" s="937"/>
      <c r="AJ48" s="937"/>
    </row>
    <row r="49" spans="1:36" ht="21" hidden="1">
      <c r="A49" s="964"/>
      <c r="B49" s="964"/>
      <c r="C49" s="958" t="s">
        <v>138</v>
      </c>
      <c r="D49" s="964" t="s">
        <v>173</v>
      </c>
      <c r="E49" s="964"/>
      <c r="F49" s="964"/>
      <c r="G49" s="964"/>
      <c r="H49" s="966">
        <f>H44*$E44/1000</f>
        <v>269.74548000000004</v>
      </c>
      <c r="I49" s="966">
        <f t="shared" ref="I49:S49" si="26">I44*3.6/1000</f>
        <v>289.43330400000002</v>
      </c>
      <c r="J49" s="966">
        <f t="shared" si="26"/>
        <v>115.70216400000001</v>
      </c>
      <c r="K49" s="966">
        <f t="shared" si="26"/>
        <v>0</v>
      </c>
      <c r="L49" s="966">
        <f>L44*3.6/1000</f>
        <v>0</v>
      </c>
      <c r="M49" s="966">
        <f t="shared" si="26"/>
        <v>0</v>
      </c>
      <c r="N49" s="966">
        <f t="shared" si="26"/>
        <v>0</v>
      </c>
      <c r="O49" s="966">
        <f t="shared" si="26"/>
        <v>0</v>
      </c>
      <c r="P49" s="966">
        <f t="shared" si="26"/>
        <v>0</v>
      </c>
      <c r="Q49" s="966">
        <f t="shared" si="26"/>
        <v>0</v>
      </c>
      <c r="R49" s="966">
        <f t="shared" si="26"/>
        <v>0</v>
      </c>
      <c r="S49" s="966">
        <f t="shared" si="26"/>
        <v>0</v>
      </c>
      <c r="T49" s="966">
        <f>SUM(H49:S49)</f>
        <v>674.8809480000001</v>
      </c>
      <c r="U49" s="966"/>
      <c r="V49" s="966"/>
      <c r="W49" s="936"/>
      <c r="X49" s="937"/>
      <c r="Y49" s="937"/>
      <c r="Z49" s="937"/>
      <c r="AA49" s="937"/>
      <c r="AB49" s="937"/>
      <c r="AC49" s="937"/>
      <c r="AD49" s="937"/>
      <c r="AE49" s="937"/>
      <c r="AF49" s="937"/>
      <c r="AG49" s="937"/>
      <c r="AH49" s="937"/>
      <c r="AI49" s="937"/>
      <c r="AJ49" s="937"/>
    </row>
    <row r="50" spans="1:36" ht="21" hidden="1">
      <c r="A50" s="964"/>
      <c r="B50" s="964"/>
      <c r="C50" s="958" t="s">
        <v>152</v>
      </c>
      <c r="D50" s="964" t="s">
        <v>173</v>
      </c>
      <c r="E50" s="964"/>
      <c r="F50" s="964"/>
      <c r="G50" s="964"/>
      <c r="H50" s="966">
        <f>H45*$E45/1000</f>
        <v>721.80052999999998</v>
      </c>
      <c r="I50" s="966">
        <f t="shared" ref="I50:S50" si="27">I45*$E45/1000</f>
        <v>1034.9236599999999</v>
      </c>
      <c r="J50" s="966">
        <f t="shared" si="27"/>
        <v>812.28137000000015</v>
      </c>
      <c r="K50" s="966">
        <f t="shared" si="27"/>
        <v>0</v>
      </c>
      <c r="L50" s="966">
        <f t="shared" si="27"/>
        <v>0</v>
      </c>
      <c r="M50" s="966">
        <f t="shared" si="27"/>
        <v>0</v>
      </c>
      <c r="N50" s="966">
        <f t="shared" si="27"/>
        <v>0</v>
      </c>
      <c r="O50" s="966">
        <f t="shared" si="27"/>
        <v>0</v>
      </c>
      <c r="P50" s="966">
        <f t="shared" si="27"/>
        <v>0</v>
      </c>
      <c r="Q50" s="966">
        <f t="shared" si="27"/>
        <v>0</v>
      </c>
      <c r="R50" s="966">
        <f t="shared" si="27"/>
        <v>0</v>
      </c>
      <c r="S50" s="966">
        <f t="shared" si="27"/>
        <v>0</v>
      </c>
      <c r="T50" s="966">
        <f>SUM(H50:S50)</f>
        <v>2569.0055600000001</v>
      </c>
      <c r="U50" s="966"/>
      <c r="V50" s="966"/>
      <c r="W50" s="936"/>
      <c r="X50" s="937"/>
      <c r="Y50" s="937"/>
      <c r="Z50" s="937"/>
      <c r="AA50" s="937"/>
      <c r="AB50" s="937"/>
      <c r="AC50" s="937"/>
      <c r="AD50" s="937"/>
      <c r="AE50" s="937"/>
      <c r="AF50" s="937"/>
      <c r="AG50" s="937"/>
      <c r="AH50" s="937"/>
      <c r="AI50" s="937"/>
      <c r="AJ50" s="937"/>
    </row>
    <row r="51" spans="1:36" ht="21" hidden="1">
      <c r="A51" s="964"/>
      <c r="B51" s="964"/>
      <c r="C51" s="983" t="s">
        <v>358</v>
      </c>
      <c r="D51" s="964" t="s">
        <v>173</v>
      </c>
      <c r="E51" s="964"/>
      <c r="F51" s="964"/>
      <c r="G51" s="964"/>
      <c r="H51" s="966">
        <f>SUM(H49:H50)</f>
        <v>991.54601000000002</v>
      </c>
      <c r="I51" s="966">
        <f t="shared" ref="I51:S51" si="28">SUM(I49:I50)</f>
        <v>1324.3569640000001</v>
      </c>
      <c r="J51" s="966">
        <f t="shared" si="28"/>
        <v>927.98353400000019</v>
      </c>
      <c r="K51" s="966">
        <f t="shared" si="28"/>
        <v>0</v>
      </c>
      <c r="L51" s="966">
        <f t="shared" si="28"/>
        <v>0</v>
      </c>
      <c r="M51" s="966">
        <f t="shared" si="28"/>
        <v>0</v>
      </c>
      <c r="N51" s="966">
        <f t="shared" si="28"/>
        <v>0</v>
      </c>
      <c r="O51" s="966">
        <f t="shared" si="28"/>
        <v>0</v>
      </c>
      <c r="P51" s="966">
        <f t="shared" si="28"/>
        <v>0</v>
      </c>
      <c r="Q51" s="966">
        <f t="shared" si="28"/>
        <v>0</v>
      </c>
      <c r="R51" s="966">
        <f t="shared" si="28"/>
        <v>0</v>
      </c>
      <c r="S51" s="966">
        <f t="shared" si="28"/>
        <v>0</v>
      </c>
      <c r="T51" s="1000">
        <f>SUM(H51:S51)</f>
        <v>3243.8865080000005</v>
      </c>
      <c r="U51" s="966"/>
      <c r="V51" s="1001">
        <f>V46/T51</f>
        <v>620.61675577584663</v>
      </c>
      <c r="W51" s="936"/>
      <c r="X51" s="937"/>
      <c r="Y51" s="937"/>
      <c r="Z51" s="937"/>
      <c r="AA51" s="937"/>
      <c r="AB51" s="937"/>
      <c r="AC51" s="937"/>
      <c r="AD51" s="937"/>
      <c r="AE51" s="937"/>
      <c r="AF51" s="937"/>
      <c r="AG51" s="937"/>
      <c r="AH51" s="937"/>
      <c r="AI51" s="937"/>
      <c r="AJ51" s="937"/>
    </row>
    <row r="52" spans="1:36" ht="21" hidden="1">
      <c r="A52" s="964"/>
      <c r="B52" s="964"/>
      <c r="C52" s="983" t="s">
        <v>345</v>
      </c>
      <c r="D52" s="964" t="s">
        <v>173</v>
      </c>
      <c r="E52" s="964"/>
      <c r="F52" s="964"/>
      <c r="G52" s="964"/>
      <c r="H52" s="1002">
        <f>(356.36*H47 + 250.18)</f>
        <v>956.43206600000008</v>
      </c>
      <c r="I52" s="1002">
        <f t="shared" ref="I52:J52" si="29">(356.36*I47 + 250.18)</f>
        <v>1382.0043052000001</v>
      </c>
      <c r="J52" s="1002">
        <f t="shared" si="29"/>
        <v>903.08853760000011</v>
      </c>
      <c r="K52" s="1002"/>
      <c r="L52" s="1002"/>
      <c r="M52" s="1002"/>
      <c r="N52" s="1002"/>
      <c r="O52" s="1002"/>
      <c r="P52" s="1002"/>
      <c r="Q52" s="1002"/>
      <c r="R52" s="1002"/>
      <c r="S52" s="1002"/>
      <c r="T52" s="966">
        <f>SUM(H52:S52)</f>
        <v>3241.5249088000005</v>
      </c>
      <c r="U52" s="966"/>
      <c r="V52" s="1001" t="s">
        <v>158</v>
      </c>
      <c r="W52" s="936"/>
      <c r="X52" s="937"/>
      <c r="Y52" s="937"/>
      <c r="Z52" s="937"/>
      <c r="AA52" s="937"/>
      <c r="AB52" s="937"/>
      <c r="AC52" s="937"/>
      <c r="AD52" s="937"/>
      <c r="AE52" s="937"/>
      <c r="AF52" s="937"/>
      <c r="AG52" s="937"/>
      <c r="AH52" s="937"/>
      <c r="AI52" s="937"/>
      <c r="AJ52" s="937"/>
    </row>
    <row r="53" spans="1:36" ht="21" hidden="1">
      <c r="A53" s="964"/>
      <c r="B53" s="1003" t="s">
        <v>174</v>
      </c>
      <c r="C53" s="1004" t="s">
        <v>89</v>
      </c>
      <c r="D53" s="1003" t="s">
        <v>347</v>
      </c>
      <c r="E53" s="1003"/>
      <c r="F53" s="1003"/>
      <c r="G53" s="1005"/>
      <c r="H53" s="1006">
        <f>H49/H47</f>
        <v>136.10791936826706</v>
      </c>
      <c r="I53" s="1006">
        <f t="shared" ref="I53:S53" si="30">I49/I47</f>
        <v>91.129384427925075</v>
      </c>
      <c r="J53" s="1006">
        <f t="shared" si="30"/>
        <v>63.150687712863508</v>
      </c>
      <c r="K53" s="1006" t="e">
        <f t="shared" si="30"/>
        <v>#DIV/0!</v>
      </c>
      <c r="L53" s="1006" t="e">
        <f t="shared" si="30"/>
        <v>#DIV/0!</v>
      </c>
      <c r="M53" s="1006" t="e">
        <f t="shared" si="30"/>
        <v>#DIV/0!</v>
      </c>
      <c r="N53" s="1006" t="e">
        <f t="shared" si="30"/>
        <v>#DIV/0!</v>
      </c>
      <c r="O53" s="1006" t="e">
        <f t="shared" si="30"/>
        <v>#DIV/0!</v>
      </c>
      <c r="P53" s="1006" t="e">
        <f t="shared" si="30"/>
        <v>#DIV/0!</v>
      </c>
      <c r="Q53" s="1006" t="e">
        <f t="shared" si="30"/>
        <v>#DIV/0!</v>
      </c>
      <c r="R53" s="1006" t="e">
        <f t="shared" si="30"/>
        <v>#DIV/0!</v>
      </c>
      <c r="S53" s="1006" t="e">
        <f t="shared" si="30"/>
        <v>#DIV/0!</v>
      </c>
      <c r="T53" s="1006">
        <f>T49/T47</f>
        <v>96.548386856802807</v>
      </c>
      <c r="U53" s="1007"/>
      <c r="V53" s="1007"/>
      <c r="W53" s="936"/>
      <c r="X53" s="937"/>
      <c r="Y53" s="937"/>
      <c r="Z53" s="937"/>
      <c r="AA53" s="937"/>
      <c r="AB53" s="937"/>
      <c r="AC53" s="937"/>
      <c r="AD53" s="937"/>
      <c r="AE53" s="937"/>
      <c r="AF53" s="937"/>
      <c r="AG53" s="937"/>
      <c r="AH53" s="937"/>
      <c r="AI53" s="937"/>
      <c r="AJ53" s="937"/>
    </row>
    <row r="54" spans="1:36" ht="21" hidden="1">
      <c r="A54" s="964"/>
      <c r="B54" s="1003"/>
      <c r="C54" s="1004" t="s">
        <v>110</v>
      </c>
      <c r="D54" s="1003" t="s">
        <v>347</v>
      </c>
      <c r="E54" s="1003"/>
      <c r="F54" s="1003"/>
      <c r="G54" s="1005"/>
      <c r="H54" s="1006">
        <f>H50/H47</f>
        <v>364.20542927063099</v>
      </c>
      <c r="I54" s="1006">
        <f t="shared" ref="I54:S54" si="31">I50/I47</f>
        <v>325.85039372557907</v>
      </c>
      <c r="J54" s="1006">
        <f t="shared" si="31"/>
        <v>443.34630709108382</v>
      </c>
      <c r="K54" s="1006" t="e">
        <f t="shared" si="31"/>
        <v>#DIV/0!</v>
      </c>
      <c r="L54" s="1006" t="e">
        <f t="shared" si="31"/>
        <v>#DIV/0!</v>
      </c>
      <c r="M54" s="1006" t="e">
        <f t="shared" si="31"/>
        <v>#DIV/0!</v>
      </c>
      <c r="N54" s="1006" t="e">
        <f t="shared" si="31"/>
        <v>#DIV/0!</v>
      </c>
      <c r="O54" s="1006" t="e">
        <f t="shared" si="31"/>
        <v>#DIV/0!</v>
      </c>
      <c r="P54" s="1006" t="e">
        <f t="shared" si="31"/>
        <v>#DIV/0!</v>
      </c>
      <c r="Q54" s="1006" t="e">
        <f t="shared" si="31"/>
        <v>#DIV/0!</v>
      </c>
      <c r="R54" s="1006" t="e">
        <f t="shared" si="31"/>
        <v>#DIV/0!</v>
      </c>
      <c r="S54" s="1006" t="e">
        <f t="shared" si="31"/>
        <v>#DIV/0!</v>
      </c>
      <c r="T54" s="1006">
        <f>T50/T47</f>
        <v>367.5216249313313</v>
      </c>
      <c r="U54" s="1007"/>
      <c r="V54" s="1007"/>
      <c r="W54" s="936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</row>
    <row r="55" spans="1:36" ht="23.25" hidden="1">
      <c r="A55" s="964"/>
      <c r="B55" s="1003"/>
      <c r="C55" s="1008" t="s">
        <v>361</v>
      </c>
      <c r="D55" s="1003" t="s">
        <v>347</v>
      </c>
      <c r="E55" s="1003"/>
      <c r="F55" s="1003"/>
      <c r="G55" s="1005"/>
      <c r="H55" s="1006">
        <f>H51/H47</f>
        <v>500.31334863889805</v>
      </c>
      <c r="I55" s="1006">
        <f t="shared" ref="I55:S55" si="32">I51/I47</f>
        <v>416.97977815350418</v>
      </c>
      <c r="J55" s="1006">
        <f t="shared" si="32"/>
        <v>506.49699480394736</v>
      </c>
      <c r="K55" s="1006" t="e">
        <f t="shared" si="32"/>
        <v>#DIV/0!</v>
      </c>
      <c r="L55" s="1006" t="e">
        <f t="shared" si="32"/>
        <v>#DIV/0!</v>
      </c>
      <c r="M55" s="1006" t="e">
        <f t="shared" si="32"/>
        <v>#DIV/0!</v>
      </c>
      <c r="N55" s="1006" t="e">
        <f t="shared" si="32"/>
        <v>#DIV/0!</v>
      </c>
      <c r="O55" s="1006" t="e">
        <f t="shared" si="32"/>
        <v>#DIV/0!</v>
      </c>
      <c r="P55" s="1006" t="e">
        <f t="shared" si="32"/>
        <v>#DIV/0!</v>
      </c>
      <c r="Q55" s="1006" t="e">
        <f t="shared" si="32"/>
        <v>#DIV/0!</v>
      </c>
      <c r="R55" s="1006" t="e">
        <f t="shared" si="32"/>
        <v>#DIV/0!</v>
      </c>
      <c r="S55" s="1006" t="e">
        <f t="shared" si="32"/>
        <v>#DIV/0!</v>
      </c>
      <c r="T55" s="1021">
        <f>T51/T47</f>
        <v>464.07001178813414</v>
      </c>
      <c r="U55" s="1007"/>
      <c r="V55" s="1007"/>
      <c r="W55" s="936"/>
      <c r="X55" s="937"/>
      <c r="Y55" s="937"/>
      <c r="Z55" s="937"/>
      <c r="AA55" s="937"/>
      <c r="AB55" s="937"/>
      <c r="AC55" s="937"/>
      <c r="AD55" s="937"/>
      <c r="AE55" s="937"/>
      <c r="AF55" s="937"/>
      <c r="AG55" s="937"/>
      <c r="AH55" s="937"/>
      <c r="AI55" s="937"/>
      <c r="AJ55" s="937"/>
    </row>
    <row r="56" spans="1:36" ht="21" hidden="1">
      <c r="A56" s="964"/>
      <c r="B56" s="1003"/>
      <c r="C56" s="1008" t="s">
        <v>362</v>
      </c>
      <c r="D56" s="1003"/>
      <c r="E56" s="1003"/>
      <c r="F56" s="1003"/>
      <c r="G56" s="1003"/>
      <c r="H56" s="1009">
        <f>H51/H52*100</f>
        <v>103.67134742218063</v>
      </c>
      <c r="I56" s="1009">
        <f t="shared" ref="I56:S56" si="33">I51/I52*100</f>
        <v>95.828714788869092</v>
      </c>
      <c r="J56" s="1009">
        <f t="shared" si="33"/>
        <v>102.75665068966103</v>
      </c>
      <c r="K56" s="1009" t="e">
        <f t="shared" si="33"/>
        <v>#DIV/0!</v>
      </c>
      <c r="L56" s="1009" t="e">
        <f t="shared" si="33"/>
        <v>#DIV/0!</v>
      </c>
      <c r="M56" s="1009" t="e">
        <f t="shared" si="33"/>
        <v>#DIV/0!</v>
      </c>
      <c r="N56" s="1009" t="e">
        <f t="shared" si="33"/>
        <v>#DIV/0!</v>
      </c>
      <c r="O56" s="1009" t="e">
        <f t="shared" si="33"/>
        <v>#DIV/0!</v>
      </c>
      <c r="P56" s="1009" t="e">
        <f t="shared" si="33"/>
        <v>#DIV/0!</v>
      </c>
      <c r="Q56" s="1009" t="e">
        <f t="shared" si="33"/>
        <v>#DIV/0!</v>
      </c>
      <c r="R56" s="1009" t="e">
        <f t="shared" si="33"/>
        <v>#DIV/0!</v>
      </c>
      <c r="S56" s="1009" t="e">
        <f t="shared" si="33"/>
        <v>#DIV/0!</v>
      </c>
      <c r="T56" s="1009">
        <f>T51/T52*100</f>
        <v>100.07285457512877</v>
      </c>
      <c r="U56" s="966"/>
      <c r="V56" s="966"/>
      <c r="W56" s="936" t="s">
        <v>29</v>
      </c>
      <c r="X56" s="937" t="s">
        <v>30</v>
      </c>
      <c r="Y56" s="937" t="s">
        <v>31</v>
      </c>
      <c r="Z56" s="937" t="s">
        <v>32</v>
      </c>
      <c r="AA56" s="937" t="s">
        <v>33</v>
      </c>
      <c r="AB56" s="937" t="s">
        <v>34</v>
      </c>
      <c r="AC56" s="937" t="s">
        <v>35</v>
      </c>
      <c r="AD56" s="937" t="s">
        <v>36</v>
      </c>
      <c r="AE56" s="937" t="s">
        <v>37</v>
      </c>
      <c r="AF56" s="937" t="s">
        <v>38</v>
      </c>
      <c r="AG56" s="937" t="s">
        <v>39</v>
      </c>
      <c r="AH56" s="937" t="s">
        <v>40</v>
      </c>
      <c r="AI56" s="937" t="s">
        <v>25</v>
      </c>
      <c r="AJ56" s="946" t="s">
        <v>158</v>
      </c>
    </row>
    <row r="57" spans="1:36" ht="21" hidden="1">
      <c r="A57" s="964">
        <v>4</v>
      </c>
      <c r="B57" s="1013" t="s">
        <v>51</v>
      </c>
      <c r="C57" s="958" t="s">
        <v>117</v>
      </c>
      <c r="D57" s="964" t="s">
        <v>90</v>
      </c>
      <c r="E57" s="984">
        <f>'[11]Price&amp;Heating-Value'!$R$6</f>
        <v>3.6</v>
      </c>
      <c r="F57" s="964"/>
      <c r="G57" s="1014">
        <f>'[11]Price&amp;Heating-Value'!$P$6</f>
        <v>2.7124999999999999</v>
      </c>
      <c r="H57" s="1015">
        <v>237924.83300000001</v>
      </c>
      <c r="I57" s="1015">
        <v>227030.86</v>
      </c>
      <c r="J57" s="966">
        <v>248354.22999999998</v>
      </c>
      <c r="K57" s="966"/>
      <c r="L57" s="966"/>
      <c r="M57" s="966"/>
      <c r="N57" s="966"/>
      <c r="O57" s="966"/>
      <c r="P57" s="966"/>
      <c r="Q57" s="966"/>
      <c r="R57" s="966"/>
      <c r="S57" s="966"/>
      <c r="T57" s="966">
        <f>SUM(H57:S57)</f>
        <v>713309.92299999995</v>
      </c>
      <c r="U57" s="966">
        <f>T57*E57</f>
        <v>2567915.7228000001</v>
      </c>
      <c r="V57" s="966">
        <f>AI57</f>
        <v>2132796.66977</v>
      </c>
      <c r="W57" s="954">
        <f>H57*'[11]Transfer Price2011'!$HE$459</f>
        <v>711395.2506700001</v>
      </c>
      <c r="X57" s="954">
        <f>I57*'[11]Transfer Price2011'!$HE$459</f>
        <v>678822.27139999997</v>
      </c>
      <c r="Y57" s="954">
        <f>J57*'[11]Transfer Price2011'!$HE$459</f>
        <v>742579.14769999997</v>
      </c>
      <c r="Z57" s="954">
        <f>K57*'[11]Transfer Price2011'!$HE$459</f>
        <v>0</v>
      </c>
      <c r="AA57" s="954">
        <f>L57*'[11]Transfer Price2011'!$HE$459</f>
        <v>0</v>
      </c>
      <c r="AB57" s="954">
        <f>M57*'[11]Transfer Price2011'!$HE$459</f>
        <v>0</v>
      </c>
      <c r="AC57" s="954">
        <f>N57*'[11]Transfer Price2011'!$HE$459</f>
        <v>0</v>
      </c>
      <c r="AD57" s="954">
        <f>O57*'[11]Transfer Price2011'!$HE$459</f>
        <v>0</v>
      </c>
      <c r="AE57" s="954">
        <f>P57*'[11]Transfer Price2011'!$HE$459</f>
        <v>0</v>
      </c>
      <c r="AF57" s="954">
        <f>Q57*'[11]Transfer Price2011'!$HE$459</f>
        <v>0</v>
      </c>
      <c r="AG57" s="954">
        <f>R57*'[11]Transfer Price2011'!$HE$459</f>
        <v>0</v>
      </c>
      <c r="AH57" s="954">
        <f>S57*'[11]Transfer Price2011'!$HE$459</f>
        <v>0</v>
      </c>
      <c r="AI57" s="936">
        <f>SUM(W57:AH57)</f>
        <v>2132796.66977</v>
      </c>
      <c r="AJ57" s="955">
        <f>AI57/U57*1000</f>
        <v>830.55555555555554</v>
      </c>
    </row>
    <row r="58" spans="1:36" ht="21" hidden="1">
      <c r="A58" s="964"/>
      <c r="B58" s="964"/>
      <c r="C58" s="983" t="s">
        <v>363</v>
      </c>
      <c r="D58" s="964"/>
      <c r="E58" s="964"/>
      <c r="F58" s="964"/>
      <c r="G58" s="964"/>
      <c r="H58" s="987"/>
      <c r="I58" s="987"/>
      <c r="J58" s="987"/>
      <c r="K58" s="987"/>
      <c r="L58" s="987"/>
      <c r="M58" s="987"/>
      <c r="N58" s="987"/>
      <c r="O58" s="987"/>
      <c r="P58" s="987"/>
      <c r="Q58" s="987"/>
      <c r="R58" s="987"/>
      <c r="S58" s="987"/>
      <c r="T58" s="987">
        <f>T57*3.6</f>
        <v>2567915.7228000001</v>
      </c>
      <c r="U58" s="966"/>
      <c r="V58" s="966"/>
      <c r="W58" s="936"/>
      <c r="X58" s="937"/>
      <c r="Y58" s="937"/>
      <c r="Z58" s="937"/>
      <c r="AA58" s="937"/>
      <c r="AB58" s="937"/>
      <c r="AC58" s="937"/>
      <c r="AD58" s="937"/>
      <c r="AE58" s="937"/>
      <c r="AF58" s="937"/>
      <c r="AG58" s="937"/>
      <c r="AH58" s="946" t="s">
        <v>158</v>
      </c>
      <c r="AI58" s="946">
        <f>AI57/T61</f>
        <v>830.55555555555543</v>
      </c>
      <c r="AJ58" s="955"/>
    </row>
    <row r="59" spans="1:36" ht="21" hidden="1">
      <c r="A59" s="964"/>
      <c r="B59" s="989"/>
      <c r="C59" s="990" t="s">
        <v>107</v>
      </c>
      <c r="D59" s="989" t="s">
        <v>147</v>
      </c>
      <c r="E59" s="989"/>
      <c r="F59" s="989"/>
      <c r="G59" s="991"/>
      <c r="H59" s="1023">
        <v>915.65099999999995</v>
      </c>
      <c r="I59" s="1023">
        <v>939.60599999999999</v>
      </c>
      <c r="J59" s="994">
        <v>919.90499999999986</v>
      </c>
      <c r="K59" s="994"/>
      <c r="L59" s="994"/>
      <c r="M59" s="994"/>
      <c r="N59" s="994"/>
      <c r="O59" s="994"/>
      <c r="P59" s="994"/>
      <c r="Q59" s="994"/>
      <c r="R59" s="994"/>
      <c r="S59" s="994"/>
      <c r="T59" s="996">
        <f>SUM(H59:S59)</f>
        <v>2775.1619999999998</v>
      </c>
      <c r="U59" s="995"/>
      <c r="V59" s="997">
        <f>V57/T59</f>
        <v>768.53051092873147</v>
      </c>
      <c r="W59" s="936"/>
      <c r="X59" s="937"/>
      <c r="Y59" s="937"/>
      <c r="Z59" s="937"/>
      <c r="AA59" s="937"/>
      <c r="AB59" s="937"/>
      <c r="AC59" s="937"/>
      <c r="AD59" s="937"/>
      <c r="AE59" s="937"/>
      <c r="AF59" s="937"/>
      <c r="AG59" s="937"/>
      <c r="AH59" s="937"/>
      <c r="AI59" s="937"/>
      <c r="AJ59" s="937"/>
    </row>
    <row r="60" spans="1:36" ht="21" hidden="1">
      <c r="A60" s="964"/>
      <c r="B60" s="964"/>
      <c r="C60" s="958"/>
      <c r="D60" s="964"/>
      <c r="E60" s="964"/>
      <c r="F60" s="964"/>
      <c r="G60" s="964"/>
      <c r="H60" s="966"/>
      <c r="I60" s="966"/>
      <c r="J60" s="966"/>
      <c r="K60" s="966"/>
      <c r="L60" s="966"/>
      <c r="M60" s="966"/>
      <c r="N60" s="966"/>
      <c r="O60" s="966"/>
      <c r="P60" s="966"/>
      <c r="Q60" s="966"/>
      <c r="R60" s="966"/>
      <c r="S60" s="966"/>
      <c r="T60" s="966"/>
      <c r="U60" s="966"/>
      <c r="V60" s="997" t="s">
        <v>137</v>
      </c>
      <c r="W60" s="936"/>
      <c r="X60" s="937"/>
      <c r="Y60" s="937"/>
      <c r="Z60" s="937"/>
      <c r="AA60" s="937"/>
      <c r="AB60" s="937"/>
      <c r="AC60" s="937"/>
      <c r="AD60" s="937"/>
      <c r="AE60" s="937"/>
      <c r="AF60" s="937"/>
      <c r="AG60" s="937"/>
      <c r="AH60" s="937"/>
      <c r="AI60" s="937"/>
      <c r="AJ60" s="937"/>
    </row>
    <row r="61" spans="1:36" ht="21" hidden="1">
      <c r="A61" s="964"/>
      <c r="B61" s="964"/>
      <c r="C61" s="958" t="s">
        <v>138</v>
      </c>
      <c r="D61" s="964" t="s">
        <v>173</v>
      </c>
      <c r="E61" s="964"/>
      <c r="F61" s="964"/>
      <c r="G61" s="964"/>
      <c r="H61" s="966">
        <f>H57*$E57/1000</f>
        <v>856.52939880000008</v>
      </c>
      <c r="I61" s="966">
        <f t="shared" ref="I61:S61" si="34">I57*3.6/1000</f>
        <v>817.31109600000002</v>
      </c>
      <c r="J61" s="966">
        <f t="shared" si="34"/>
        <v>894.07522800000004</v>
      </c>
      <c r="K61" s="966">
        <f t="shared" si="34"/>
        <v>0</v>
      </c>
      <c r="L61" s="966">
        <f t="shared" si="34"/>
        <v>0</v>
      </c>
      <c r="M61" s="966">
        <f t="shared" si="34"/>
        <v>0</v>
      </c>
      <c r="N61" s="966">
        <f t="shared" si="34"/>
        <v>0</v>
      </c>
      <c r="O61" s="966">
        <f t="shared" si="34"/>
        <v>0</v>
      </c>
      <c r="P61" s="966">
        <f t="shared" si="34"/>
        <v>0</v>
      </c>
      <c r="Q61" s="966">
        <f t="shared" si="34"/>
        <v>0</v>
      </c>
      <c r="R61" s="966">
        <f t="shared" si="34"/>
        <v>0</v>
      </c>
      <c r="S61" s="966">
        <f t="shared" si="34"/>
        <v>0</v>
      </c>
      <c r="T61" s="1000">
        <f>SUM(H61:S61)</f>
        <v>2567.9157228000004</v>
      </c>
      <c r="U61" s="966"/>
      <c r="V61" s="1001">
        <f>V57/T61</f>
        <v>830.55555555555543</v>
      </c>
      <c r="W61" s="936"/>
      <c r="X61" s="937"/>
      <c r="Y61" s="937"/>
      <c r="Z61" s="937"/>
      <c r="AA61" s="937"/>
      <c r="AB61" s="937"/>
      <c r="AC61" s="937"/>
      <c r="AD61" s="937"/>
      <c r="AE61" s="937"/>
      <c r="AF61" s="937"/>
      <c r="AG61" s="937"/>
      <c r="AH61" s="937"/>
      <c r="AI61" s="937"/>
      <c r="AJ61" s="937"/>
    </row>
    <row r="62" spans="1:36" ht="21" hidden="1">
      <c r="A62" s="964"/>
      <c r="B62" s="964"/>
      <c r="C62" s="983" t="s">
        <v>345</v>
      </c>
      <c r="D62" s="964" t="s">
        <v>173</v>
      </c>
      <c r="E62" s="964"/>
      <c r="F62" s="964"/>
      <c r="G62" s="964"/>
      <c r="H62" s="1002">
        <f>(0.2226*H59 + 786.59)*95.88/100</f>
        <v>949.60885940088008</v>
      </c>
      <c r="I62" s="966">
        <f t="shared" ref="I62:J62" si="35">(0.2226*I59 + 786.59)*95.88/100</f>
        <v>954.72154822127993</v>
      </c>
      <c r="J62" s="966">
        <f t="shared" si="35"/>
        <v>950.51678585639991</v>
      </c>
      <c r="K62" s="966"/>
      <c r="L62" s="966"/>
      <c r="M62" s="966"/>
      <c r="N62" s="966"/>
      <c r="O62" s="966"/>
      <c r="P62" s="966"/>
      <c r="Q62" s="966"/>
      <c r="R62" s="966"/>
      <c r="S62" s="966"/>
      <c r="T62" s="1000">
        <f>SUM(H62:S62)</f>
        <v>2854.8471934785598</v>
      </c>
      <c r="U62" s="966"/>
      <c r="V62" s="1001" t="s">
        <v>158</v>
      </c>
      <c r="W62" s="936"/>
      <c r="X62" s="937"/>
      <c r="Y62" s="937"/>
      <c r="Z62" s="937"/>
      <c r="AA62" s="937"/>
      <c r="AB62" s="937"/>
      <c r="AC62" s="937"/>
      <c r="AD62" s="937"/>
      <c r="AE62" s="937"/>
      <c r="AF62" s="937"/>
      <c r="AG62" s="937"/>
      <c r="AH62" s="937"/>
      <c r="AI62" s="937"/>
      <c r="AJ62" s="937"/>
    </row>
    <row r="63" spans="1:36" ht="23.25" hidden="1">
      <c r="A63" s="964"/>
      <c r="B63" s="1003"/>
      <c r="C63" s="1008" t="s">
        <v>366</v>
      </c>
      <c r="D63" s="1003" t="s">
        <v>347</v>
      </c>
      <c r="E63" s="1003"/>
      <c r="F63" s="1003"/>
      <c r="G63" s="1005"/>
      <c r="H63" s="1006">
        <f>H61/H59</f>
        <v>0.935432166622436</v>
      </c>
      <c r="I63" s="1006">
        <f>I61/I59</f>
        <v>0.8698444837517002</v>
      </c>
      <c r="J63" s="1006">
        <f t="shared" ref="J63:S63" si="36">J61/J59</f>
        <v>0.97192126143460489</v>
      </c>
      <c r="K63" s="1006" t="e">
        <f t="shared" si="36"/>
        <v>#DIV/0!</v>
      </c>
      <c r="L63" s="1006" t="e">
        <f t="shared" si="36"/>
        <v>#DIV/0!</v>
      </c>
      <c r="M63" s="1006" t="e">
        <f t="shared" si="36"/>
        <v>#DIV/0!</v>
      </c>
      <c r="N63" s="1006" t="e">
        <f t="shared" si="36"/>
        <v>#DIV/0!</v>
      </c>
      <c r="O63" s="1006" t="e">
        <f t="shared" si="36"/>
        <v>#DIV/0!</v>
      </c>
      <c r="P63" s="1006" t="e">
        <f t="shared" si="36"/>
        <v>#DIV/0!</v>
      </c>
      <c r="Q63" s="1006" t="e">
        <f t="shared" si="36"/>
        <v>#DIV/0!</v>
      </c>
      <c r="R63" s="1006" t="e">
        <f t="shared" si="36"/>
        <v>#DIV/0!</v>
      </c>
      <c r="S63" s="1006" t="e">
        <f t="shared" si="36"/>
        <v>#DIV/0!</v>
      </c>
      <c r="T63" s="1021">
        <f>T61/T59</f>
        <v>0.92532101650282061</v>
      </c>
      <c r="U63" s="1007"/>
      <c r="V63" s="1007"/>
      <c r="W63" s="936"/>
      <c r="X63" s="937"/>
      <c r="Y63" s="937"/>
      <c r="Z63" s="937"/>
      <c r="AA63" s="937"/>
      <c r="AB63" s="937"/>
      <c r="AC63" s="937"/>
      <c r="AD63" s="937"/>
      <c r="AE63" s="937"/>
      <c r="AF63" s="937"/>
      <c r="AG63" s="937"/>
      <c r="AH63" s="937"/>
      <c r="AI63" s="937"/>
      <c r="AJ63" s="937"/>
    </row>
    <row r="64" spans="1:36" ht="21" hidden="1">
      <c r="A64" s="964"/>
      <c r="B64" s="1003"/>
      <c r="C64" s="1008" t="s">
        <v>367</v>
      </c>
      <c r="D64" s="1003"/>
      <c r="E64" s="1003"/>
      <c r="F64" s="1003"/>
      <c r="G64" s="1003"/>
      <c r="H64" s="1024">
        <f>H61/H62*100</f>
        <v>90.198126346503869</v>
      </c>
      <c r="I64" s="1024">
        <f t="shared" ref="I64:T64" si="37">I61/I62*100</f>
        <v>85.60727444800149</v>
      </c>
      <c r="J64" s="1024">
        <f t="shared" si="37"/>
        <v>94.062013559755613</v>
      </c>
      <c r="K64" s="1024" t="e">
        <f t="shared" si="37"/>
        <v>#DIV/0!</v>
      </c>
      <c r="L64" s="1024" t="e">
        <f t="shared" si="37"/>
        <v>#DIV/0!</v>
      </c>
      <c r="M64" s="1024" t="e">
        <f t="shared" si="37"/>
        <v>#DIV/0!</v>
      </c>
      <c r="N64" s="1024" t="e">
        <f t="shared" si="37"/>
        <v>#DIV/0!</v>
      </c>
      <c r="O64" s="1024" t="e">
        <f t="shared" si="37"/>
        <v>#DIV/0!</v>
      </c>
      <c r="P64" s="1024" t="e">
        <f t="shared" si="37"/>
        <v>#DIV/0!</v>
      </c>
      <c r="Q64" s="1024" t="e">
        <f t="shared" si="37"/>
        <v>#DIV/0!</v>
      </c>
      <c r="R64" s="1024" t="e">
        <f t="shared" si="37"/>
        <v>#DIV/0!</v>
      </c>
      <c r="S64" s="1024" t="e">
        <f t="shared" si="37"/>
        <v>#DIV/0!</v>
      </c>
      <c r="T64" s="1024">
        <f t="shared" si="37"/>
        <v>89.949322985341979</v>
      </c>
      <c r="U64" s="966"/>
      <c r="V64" s="966"/>
      <c r="W64" s="936" t="s">
        <v>29</v>
      </c>
      <c r="X64" s="937" t="s">
        <v>30</v>
      </c>
      <c r="Y64" s="937" t="s">
        <v>31</v>
      </c>
      <c r="Z64" s="937" t="s">
        <v>32</v>
      </c>
      <c r="AA64" s="937" t="s">
        <v>33</v>
      </c>
      <c r="AB64" s="937" t="s">
        <v>34</v>
      </c>
      <c r="AC64" s="937" t="s">
        <v>35</v>
      </c>
      <c r="AD64" s="937" t="s">
        <v>36</v>
      </c>
      <c r="AE64" s="937" t="s">
        <v>37</v>
      </c>
      <c r="AF64" s="937" t="s">
        <v>38</v>
      </c>
      <c r="AG64" s="937" t="s">
        <v>39</v>
      </c>
      <c r="AH64" s="937" t="s">
        <v>40</v>
      </c>
      <c r="AI64" s="937" t="s">
        <v>25</v>
      </c>
      <c r="AJ64" s="946" t="s">
        <v>158</v>
      </c>
    </row>
    <row r="65" spans="1:36" ht="21" hidden="1">
      <c r="A65" s="964">
        <v>5</v>
      </c>
      <c r="B65" s="1013" t="s">
        <v>48</v>
      </c>
      <c r="C65" s="958" t="s">
        <v>117</v>
      </c>
      <c r="D65" s="964" t="s">
        <v>90</v>
      </c>
      <c r="E65" s="984">
        <f>'[11]Price&amp;Heating-Value'!$R$6</f>
        <v>3.6</v>
      </c>
      <c r="F65" s="964"/>
      <c r="G65" s="1014">
        <f>'[11]Price&amp;Heating-Value'!$P$6</f>
        <v>2.7124999999999999</v>
      </c>
      <c r="H65" s="1015">
        <v>1938079</v>
      </c>
      <c r="I65" s="966">
        <v>2047973</v>
      </c>
      <c r="J65" s="966">
        <v>2008907</v>
      </c>
      <c r="K65" s="966"/>
      <c r="L65" s="966"/>
      <c r="M65" s="966"/>
      <c r="N65" s="966"/>
      <c r="O65" s="966"/>
      <c r="P65" s="966"/>
      <c r="Q65" s="966"/>
      <c r="R65" s="966"/>
      <c r="S65" s="966"/>
      <c r="T65" s="966">
        <f>SUM(H65:S65)</f>
        <v>5994959</v>
      </c>
      <c r="U65" s="966">
        <f>T65*E65</f>
        <v>21581852.400000002</v>
      </c>
      <c r="V65" s="966">
        <f>AI65</f>
        <v>17924927.41</v>
      </c>
      <c r="W65" s="954">
        <f>H65*'[11]Transfer Price2011'!$HE$459</f>
        <v>5794856.21</v>
      </c>
      <c r="X65" s="954">
        <f>I65*'[11]Transfer Price2011'!$HE$459</f>
        <v>6123439.2700000005</v>
      </c>
      <c r="Y65" s="954">
        <f>J65*'[11]Transfer Price2011'!$HE$459</f>
        <v>6006631.9300000006</v>
      </c>
      <c r="Z65" s="954">
        <f>K65*'[11]Transfer Price2011'!$HE$459</f>
        <v>0</v>
      </c>
      <c r="AA65" s="954">
        <f>L65*'[11]Transfer Price2011'!$HE$459</f>
        <v>0</v>
      </c>
      <c r="AB65" s="954">
        <f>M65*'[11]Transfer Price2011'!$HE$459</f>
        <v>0</v>
      </c>
      <c r="AC65" s="954">
        <f>N65*'[11]Transfer Price2011'!$HE$459</f>
        <v>0</v>
      </c>
      <c r="AD65" s="954">
        <f>O65*'[11]Transfer Price2011'!$HE$459</f>
        <v>0</v>
      </c>
      <c r="AE65" s="954">
        <f>P65*'[11]Transfer Price2011'!$HE$459</f>
        <v>0</v>
      </c>
      <c r="AF65" s="954">
        <f>Q65*'[11]Transfer Price2011'!$HE$459</f>
        <v>0</v>
      </c>
      <c r="AG65" s="954">
        <f>R65*'[11]Transfer Price2011'!$HE$459</f>
        <v>0</v>
      </c>
      <c r="AH65" s="954">
        <f>S65*'[11]Transfer Price2011'!$HE$459</f>
        <v>0</v>
      </c>
      <c r="AI65" s="936">
        <f>SUM(W65:AH65)</f>
        <v>17924927.41</v>
      </c>
      <c r="AJ65" s="955">
        <f>AI65/U65*1000</f>
        <v>830.55555555555554</v>
      </c>
    </row>
    <row r="66" spans="1:36" ht="21" hidden="1">
      <c r="A66" s="964"/>
      <c r="B66" s="964"/>
      <c r="C66" s="958" t="s">
        <v>159</v>
      </c>
      <c r="D66" s="964" t="s">
        <v>160</v>
      </c>
      <c r="E66" s="964">
        <f>'[11]Price&amp;Heating-Value'!$R$18/'[11]Price&amp;Heating-Value'!$T$18/1000</f>
        <v>36.42</v>
      </c>
      <c r="F66" s="984">
        <f>'[11]Price&amp;Heating-Value'!$T$18</f>
        <v>0.83520000000000005</v>
      </c>
      <c r="G66" s="965">
        <f>'[11]Price&amp;Heating-Value'!$P$18*'[11]Price&amp;Heating-Value'!$T$18/1000</f>
        <v>25.160039938320001</v>
      </c>
      <c r="H66" s="1015">
        <v>1772</v>
      </c>
      <c r="I66" s="966">
        <v>1615</v>
      </c>
      <c r="J66" s="966">
        <v>1920</v>
      </c>
      <c r="K66" s="966"/>
      <c r="L66" s="966"/>
      <c r="M66" s="966"/>
      <c r="N66" s="966"/>
      <c r="O66" s="966"/>
      <c r="P66" s="966"/>
      <c r="Q66" s="966"/>
      <c r="R66" s="966"/>
      <c r="S66" s="966"/>
      <c r="T66" s="966">
        <f>SUM(H66:S66)</f>
        <v>5307</v>
      </c>
      <c r="U66" s="966">
        <f>T66*E66</f>
        <v>193280.94</v>
      </c>
      <c r="V66" s="966">
        <f>AI66</f>
        <v>204810.8359375</v>
      </c>
      <c r="W66" s="954">
        <f>H66*'[11]Transfer Price2011'!$HE$327*'[11]Transfer Price2011'!$HE$5/1000/$F$66</f>
        <v>68386.056393678169</v>
      </c>
      <c r="X66" s="954">
        <f>I66*'[11]Transfer Price2011'!$HE$327*'[11]Transfer Price2011'!$HE$5/1000/$F$66</f>
        <v>62327.020923132179</v>
      </c>
      <c r="Y66" s="954">
        <f>J66*'[11]Transfer Price2011'!$HE$327*'[11]Transfer Price2011'!$HE$5/1000/$F$66</f>
        <v>74097.758620689652</v>
      </c>
      <c r="Z66" s="954">
        <f>K66*'[11]Transfer Price2011'!$HE$327*'[11]Transfer Price2011'!$HE$5/1000/$F$66</f>
        <v>0</v>
      </c>
      <c r="AA66" s="954">
        <f>L66*'[11]Transfer Price2011'!$HE$327*'[11]Transfer Price2011'!$HE$5/1000/$F$66</f>
        <v>0</v>
      </c>
      <c r="AB66" s="954">
        <f>M66*'[11]Transfer Price2011'!$HE$327*'[11]Transfer Price2011'!$HE$5/1000/$F$66</f>
        <v>0</v>
      </c>
      <c r="AC66" s="954">
        <f>N66*'[11]Transfer Price2011'!$HE$327*'[11]Transfer Price2011'!$HE$5/1000/$F$66</f>
        <v>0</v>
      </c>
      <c r="AD66" s="954">
        <f>O66*'[11]Transfer Price2011'!$HE$327*'[11]Transfer Price2011'!$HE$5/1000/$F$66</f>
        <v>0</v>
      </c>
      <c r="AE66" s="954">
        <f>P66*'[11]Transfer Price2011'!$HE$327*'[11]Transfer Price2011'!$HE$5/1000/$F$66</f>
        <v>0</v>
      </c>
      <c r="AF66" s="954">
        <f>Q66*'[11]Transfer Price2011'!$HE$327*'[11]Transfer Price2011'!$HE$5/1000/$F$66</f>
        <v>0</v>
      </c>
      <c r="AG66" s="954">
        <f>R66*'[11]Transfer Price2011'!$HE$327*'[11]Transfer Price2011'!$HE$5/1000/$F$66</f>
        <v>0</v>
      </c>
      <c r="AH66" s="954">
        <f>S66*'[11]Transfer Price2011'!$HE$327*'[11]Transfer Price2011'!$HE$5/1000/$F$66</f>
        <v>0</v>
      </c>
      <c r="AI66" s="936">
        <f>SUM(W66:AH66)</f>
        <v>204810.8359375</v>
      </c>
      <c r="AJ66" s="955">
        <f>AI66/U66*1000</f>
        <v>1059.6535588946329</v>
      </c>
    </row>
    <row r="67" spans="1:36" ht="21" hidden="1">
      <c r="A67" s="964"/>
      <c r="B67" s="964"/>
      <c r="C67" s="983"/>
      <c r="D67" s="964"/>
      <c r="E67" s="964"/>
      <c r="F67" s="964"/>
      <c r="G67" s="964" t="s">
        <v>368</v>
      </c>
      <c r="H67" s="987" t="s">
        <v>918</v>
      </c>
      <c r="I67" s="987"/>
      <c r="J67" s="987"/>
      <c r="K67" s="987"/>
      <c r="L67" s="987"/>
      <c r="M67" s="987"/>
      <c r="N67" s="987"/>
      <c r="O67" s="987"/>
      <c r="P67" s="987"/>
      <c r="Q67" s="987"/>
      <c r="R67" s="987"/>
      <c r="S67" s="987"/>
      <c r="T67" s="987"/>
      <c r="U67" s="987">
        <f>SUM(U65:U66)</f>
        <v>21775133.340000004</v>
      </c>
      <c r="V67" s="988">
        <f>AI67</f>
        <v>18129738.2459375</v>
      </c>
      <c r="W67" s="936">
        <f>SUM(W65:W66)</f>
        <v>5863242.2663936783</v>
      </c>
      <c r="X67" s="936">
        <f t="shared" ref="X67:AH67" si="38">SUM(X65:X66)</f>
        <v>6185766.2909231326</v>
      </c>
      <c r="Y67" s="936">
        <f t="shared" si="38"/>
        <v>6080729.6886206903</v>
      </c>
      <c r="Z67" s="936">
        <f t="shared" si="38"/>
        <v>0</v>
      </c>
      <c r="AA67" s="936">
        <f t="shared" si="38"/>
        <v>0</v>
      </c>
      <c r="AB67" s="936">
        <f t="shared" si="38"/>
        <v>0</v>
      </c>
      <c r="AC67" s="936">
        <f t="shared" si="38"/>
        <v>0</v>
      </c>
      <c r="AD67" s="936">
        <f t="shared" si="38"/>
        <v>0</v>
      </c>
      <c r="AE67" s="936">
        <f t="shared" si="38"/>
        <v>0</v>
      </c>
      <c r="AF67" s="936">
        <f t="shared" si="38"/>
        <v>0</v>
      </c>
      <c r="AG67" s="936">
        <f t="shared" si="38"/>
        <v>0</v>
      </c>
      <c r="AH67" s="936">
        <f t="shared" si="38"/>
        <v>0</v>
      </c>
      <c r="AI67" s="936">
        <f>SUM(W67:AH67)</f>
        <v>18129738.2459375</v>
      </c>
      <c r="AJ67" s="937"/>
    </row>
    <row r="68" spans="1:36" ht="21" hidden="1">
      <c r="A68" s="964"/>
      <c r="B68" s="989"/>
      <c r="C68" s="990" t="s">
        <v>107</v>
      </c>
      <c r="D68" s="989" t="s">
        <v>147</v>
      </c>
      <c r="E68" s="989"/>
      <c r="F68" s="989"/>
      <c r="G68" s="991">
        <v>4595.9470000000001</v>
      </c>
      <c r="H68" s="1025">
        <v>5200.43</v>
      </c>
      <c r="I68" s="994">
        <v>5110.0519999999997</v>
      </c>
      <c r="J68" s="994">
        <v>5545.92</v>
      </c>
      <c r="K68" s="994"/>
      <c r="L68" s="994"/>
      <c r="M68" s="994"/>
      <c r="N68" s="994"/>
      <c r="O68" s="994"/>
      <c r="P68" s="994"/>
      <c r="Q68" s="994"/>
      <c r="R68" s="994"/>
      <c r="S68" s="994"/>
      <c r="T68" s="996">
        <f>SUM(H68:S68)</f>
        <v>15856.402</v>
      </c>
      <c r="U68" s="995"/>
      <c r="V68" s="1026">
        <f>V67/T68</f>
        <v>1143.3702454022987</v>
      </c>
      <c r="W68" s="936"/>
      <c r="X68" s="937"/>
      <c r="Y68" s="937"/>
      <c r="Z68" s="937"/>
      <c r="AA68" s="937"/>
      <c r="AB68" s="937"/>
      <c r="AC68" s="937"/>
      <c r="AD68" s="937"/>
      <c r="AE68" s="937"/>
      <c r="AF68" s="937"/>
      <c r="AG68" s="937"/>
      <c r="AH68" s="946" t="s">
        <v>158</v>
      </c>
      <c r="AI68" s="946">
        <f>AI67/T72</f>
        <v>832.58908052856498</v>
      </c>
      <c r="AJ68" s="937"/>
    </row>
    <row r="69" spans="1:36" ht="21" hidden="1">
      <c r="A69" s="964"/>
      <c r="B69" s="964"/>
      <c r="C69" s="958"/>
      <c r="D69" s="964"/>
      <c r="E69" s="964"/>
      <c r="F69" s="964"/>
      <c r="G69" s="964"/>
      <c r="H69" s="966"/>
      <c r="I69" s="966"/>
      <c r="J69" s="966"/>
      <c r="K69" s="966"/>
      <c r="L69" s="966"/>
      <c r="M69" s="966"/>
      <c r="N69" s="966"/>
      <c r="O69" s="966"/>
      <c r="P69" s="966"/>
      <c r="Q69" s="966"/>
      <c r="R69" s="966"/>
      <c r="S69" s="966"/>
      <c r="T69" s="966"/>
      <c r="U69" s="966"/>
      <c r="V69" s="997" t="s">
        <v>137</v>
      </c>
      <c r="W69" s="936"/>
      <c r="X69" s="937"/>
      <c r="Y69" s="937"/>
      <c r="Z69" s="937"/>
      <c r="AA69" s="937"/>
      <c r="AB69" s="937"/>
      <c r="AC69" s="937"/>
      <c r="AD69" s="937"/>
      <c r="AE69" s="937"/>
      <c r="AF69" s="937"/>
      <c r="AG69" s="937"/>
      <c r="AH69" s="937"/>
      <c r="AI69" s="937"/>
      <c r="AJ69" s="937"/>
    </row>
    <row r="70" spans="1:36" ht="21" hidden="1">
      <c r="A70" s="964"/>
      <c r="B70" s="964"/>
      <c r="C70" s="958" t="s">
        <v>138</v>
      </c>
      <c r="D70" s="964" t="s">
        <v>173</v>
      </c>
      <c r="E70" s="964"/>
      <c r="F70" s="964"/>
      <c r="G70" s="964"/>
      <c r="H70" s="966">
        <f>H65*$E65/1000</f>
        <v>6977.0844000000006</v>
      </c>
      <c r="I70" s="966">
        <f t="shared" ref="I70:S71" si="39">I65*$E65/1000</f>
        <v>7372.7028</v>
      </c>
      <c r="J70" s="966">
        <f t="shared" si="39"/>
        <v>7232.0652</v>
      </c>
      <c r="K70" s="966">
        <f t="shared" si="39"/>
        <v>0</v>
      </c>
      <c r="L70" s="966">
        <f t="shared" si="39"/>
        <v>0</v>
      </c>
      <c r="M70" s="966">
        <f t="shared" si="39"/>
        <v>0</v>
      </c>
      <c r="N70" s="966">
        <f t="shared" si="39"/>
        <v>0</v>
      </c>
      <c r="O70" s="966">
        <f t="shared" si="39"/>
        <v>0</v>
      </c>
      <c r="P70" s="966">
        <f t="shared" si="39"/>
        <v>0</v>
      </c>
      <c r="Q70" s="966">
        <f t="shared" si="39"/>
        <v>0</v>
      </c>
      <c r="R70" s="966">
        <f t="shared" si="39"/>
        <v>0</v>
      </c>
      <c r="S70" s="966">
        <f t="shared" si="39"/>
        <v>0</v>
      </c>
      <c r="T70" s="966">
        <f>SUM(H70:S70)</f>
        <v>21581.8524</v>
      </c>
      <c r="U70" s="966"/>
      <c r="V70" s="987"/>
      <c r="W70" s="936"/>
      <c r="X70" s="937"/>
      <c r="Y70" s="937"/>
      <c r="Z70" s="937"/>
      <c r="AA70" s="937"/>
      <c r="AB70" s="937"/>
      <c r="AC70" s="937"/>
      <c r="AD70" s="937"/>
      <c r="AE70" s="937"/>
      <c r="AF70" s="937"/>
      <c r="AG70" s="937"/>
      <c r="AH70" s="937"/>
      <c r="AI70" s="937"/>
      <c r="AJ70" s="937"/>
    </row>
    <row r="71" spans="1:36" ht="21" hidden="1">
      <c r="A71" s="964"/>
      <c r="B71" s="964"/>
      <c r="C71" s="958" t="s">
        <v>161</v>
      </c>
      <c r="D71" s="964" t="s">
        <v>173</v>
      </c>
      <c r="E71" s="964"/>
      <c r="F71" s="964"/>
      <c r="G71" s="964"/>
      <c r="H71" s="966">
        <f>H66*$E66/1000</f>
        <v>64.536240000000006</v>
      </c>
      <c r="I71" s="966">
        <f t="shared" si="39"/>
        <v>58.818300000000001</v>
      </c>
      <c r="J71" s="966">
        <f t="shared" si="39"/>
        <v>69.926400000000015</v>
      </c>
      <c r="K71" s="966">
        <f t="shared" si="39"/>
        <v>0</v>
      </c>
      <c r="L71" s="966">
        <f t="shared" si="39"/>
        <v>0</v>
      </c>
      <c r="M71" s="966">
        <f t="shared" si="39"/>
        <v>0</v>
      </c>
      <c r="N71" s="966">
        <f t="shared" si="39"/>
        <v>0</v>
      </c>
      <c r="O71" s="966">
        <f t="shared" si="39"/>
        <v>0</v>
      </c>
      <c r="P71" s="966">
        <f t="shared" si="39"/>
        <v>0</v>
      </c>
      <c r="Q71" s="966">
        <f t="shared" si="39"/>
        <v>0</v>
      </c>
      <c r="R71" s="966">
        <f t="shared" si="39"/>
        <v>0</v>
      </c>
      <c r="S71" s="966">
        <f t="shared" si="39"/>
        <v>0</v>
      </c>
      <c r="T71" s="966">
        <f>SUM(H71:S71)</f>
        <v>193.28094000000004</v>
      </c>
      <c r="U71" s="966"/>
      <c r="V71" s="987"/>
      <c r="W71" s="936"/>
      <c r="X71" s="937"/>
      <c r="Y71" s="937"/>
      <c r="Z71" s="937"/>
      <c r="AA71" s="937"/>
      <c r="AB71" s="937"/>
      <c r="AC71" s="937"/>
      <c r="AD71" s="937"/>
      <c r="AE71" s="937"/>
      <c r="AF71" s="937"/>
      <c r="AG71" s="937"/>
      <c r="AH71" s="937"/>
      <c r="AI71" s="937"/>
      <c r="AJ71" s="937"/>
    </row>
    <row r="72" spans="1:36" ht="21" hidden="1">
      <c r="A72" s="964"/>
      <c r="B72" s="964"/>
      <c r="C72" s="983" t="s">
        <v>370</v>
      </c>
      <c r="D72" s="964" t="s">
        <v>173</v>
      </c>
      <c r="E72" s="964"/>
      <c r="F72" s="964"/>
      <c r="G72" s="964"/>
      <c r="H72" s="966">
        <f>H71+H70</f>
        <v>7041.620640000001</v>
      </c>
      <c r="I72" s="966">
        <f t="shared" ref="I72:S72" si="40">I71+I70</f>
        <v>7431.5210999999999</v>
      </c>
      <c r="J72" s="966">
        <f t="shared" si="40"/>
        <v>7301.9916000000003</v>
      </c>
      <c r="K72" s="966">
        <f t="shared" si="40"/>
        <v>0</v>
      </c>
      <c r="L72" s="966">
        <f t="shared" si="40"/>
        <v>0</v>
      </c>
      <c r="M72" s="966">
        <f t="shared" si="40"/>
        <v>0</v>
      </c>
      <c r="N72" s="966">
        <f t="shared" si="40"/>
        <v>0</v>
      </c>
      <c r="O72" s="966">
        <f t="shared" si="40"/>
        <v>0</v>
      </c>
      <c r="P72" s="966">
        <f t="shared" si="40"/>
        <v>0</v>
      </c>
      <c r="Q72" s="966">
        <f t="shared" si="40"/>
        <v>0</v>
      </c>
      <c r="R72" s="966">
        <f t="shared" si="40"/>
        <v>0</v>
      </c>
      <c r="S72" s="966">
        <f t="shared" si="40"/>
        <v>0</v>
      </c>
      <c r="T72" s="1001">
        <f>SUM(H72:S72)</f>
        <v>21775.13334</v>
      </c>
      <c r="U72" s="966"/>
      <c r="V72" s="1001">
        <f>V67/T72</f>
        <v>832.58908052856498</v>
      </c>
      <c r="W72" s="936"/>
      <c r="X72" s="937"/>
      <c r="Y72" s="937"/>
      <c r="Z72" s="937"/>
      <c r="AA72" s="937"/>
      <c r="AB72" s="937"/>
      <c r="AC72" s="937"/>
      <c r="AD72" s="937"/>
      <c r="AE72" s="937"/>
      <c r="AF72" s="937"/>
      <c r="AG72" s="937"/>
      <c r="AH72" s="937"/>
      <c r="AI72" s="937"/>
      <c r="AJ72" s="937"/>
    </row>
    <row r="73" spans="1:36" ht="21" hidden="1">
      <c r="A73" s="964"/>
      <c r="B73" s="964"/>
      <c r="C73" s="983" t="s">
        <v>345</v>
      </c>
      <c r="D73" s="964" t="s">
        <v>173</v>
      </c>
      <c r="E73" s="964"/>
      <c r="F73" s="964"/>
      <c r="G73" s="964"/>
      <c r="H73" s="1002">
        <f>( 1.4753*H68 - 500.51)*108.5/100</f>
        <v>7781.2775512150001</v>
      </c>
      <c r="I73" s="1002">
        <f>( 1.4753*I68 - 500.51)*108.5/100</f>
        <v>7636.6094414259996</v>
      </c>
      <c r="J73" s="1002">
        <f>( 1.4753*J68 - 500.51)*108.5/100</f>
        <v>8334.3035669599994</v>
      </c>
      <c r="K73" s="1002"/>
      <c r="L73" s="1002"/>
      <c r="M73" s="1002"/>
      <c r="N73" s="1002"/>
      <c r="O73" s="1002"/>
      <c r="P73" s="1002"/>
      <c r="Q73" s="1002"/>
      <c r="R73" s="1002"/>
      <c r="S73" s="1002"/>
      <c r="T73" s="1001">
        <f>SUM(H73:S73)</f>
        <v>23752.190559601</v>
      </c>
      <c r="U73" s="966"/>
      <c r="V73" s="1001" t="s">
        <v>158</v>
      </c>
      <c r="W73" s="936"/>
      <c r="X73" s="937"/>
      <c r="Y73" s="937"/>
      <c r="Z73" s="937"/>
      <c r="AA73" s="937"/>
      <c r="AB73" s="937"/>
      <c r="AC73" s="937"/>
      <c r="AD73" s="937"/>
      <c r="AE73" s="937"/>
      <c r="AF73" s="937"/>
      <c r="AG73" s="937"/>
      <c r="AH73" s="937"/>
      <c r="AI73" s="937"/>
      <c r="AJ73" s="937"/>
    </row>
    <row r="74" spans="1:36" ht="23.25" hidden="1">
      <c r="A74" s="964"/>
      <c r="B74" s="1003"/>
      <c r="C74" s="1008" t="s">
        <v>371</v>
      </c>
      <c r="D74" s="1003" t="s">
        <v>347</v>
      </c>
      <c r="E74" s="1003"/>
      <c r="F74" s="1003"/>
      <c r="G74" s="1005"/>
      <c r="H74" s="1006">
        <f>H72/$H$68</f>
        <v>1.3540458462088714</v>
      </c>
      <c r="I74" s="1006">
        <f t="shared" ref="I74:R74" si="41">I72/I68</f>
        <v>1.4542946138317183</v>
      </c>
      <c r="J74" s="1006">
        <f t="shared" si="41"/>
        <v>1.3166420720096936</v>
      </c>
      <c r="K74" s="1006" t="e">
        <f t="shared" si="41"/>
        <v>#DIV/0!</v>
      </c>
      <c r="L74" s="1006" t="e">
        <f t="shared" si="41"/>
        <v>#DIV/0!</v>
      </c>
      <c r="M74" s="1006" t="e">
        <f t="shared" si="41"/>
        <v>#DIV/0!</v>
      </c>
      <c r="N74" s="1006" t="e">
        <f t="shared" si="41"/>
        <v>#DIV/0!</v>
      </c>
      <c r="O74" s="1006" t="e">
        <f t="shared" si="41"/>
        <v>#DIV/0!</v>
      </c>
      <c r="P74" s="1006" t="e">
        <f t="shared" si="41"/>
        <v>#DIV/0!</v>
      </c>
      <c r="Q74" s="1006" t="e">
        <f t="shared" si="41"/>
        <v>#DIV/0!</v>
      </c>
      <c r="R74" s="1006" t="e">
        <f t="shared" si="41"/>
        <v>#DIV/0!</v>
      </c>
      <c r="S74" s="1006" t="e">
        <f>S72/S68</f>
        <v>#DIV/0!</v>
      </c>
      <c r="T74" s="1021">
        <f>T72/T68</f>
        <v>1.3732707672270166</v>
      </c>
      <c r="U74" s="1007"/>
      <c r="V74" s="1007"/>
      <c r="W74" s="936"/>
      <c r="X74" s="937"/>
      <c r="Y74" s="937"/>
      <c r="Z74" s="937"/>
      <c r="AA74" s="937"/>
      <c r="AB74" s="937"/>
      <c r="AC74" s="937"/>
      <c r="AD74" s="937"/>
      <c r="AE74" s="937"/>
      <c r="AF74" s="937"/>
      <c r="AG74" s="937"/>
      <c r="AH74" s="937"/>
      <c r="AI74" s="937"/>
      <c r="AJ74" s="937"/>
    </row>
    <row r="75" spans="1:36" ht="21" hidden="1">
      <c r="A75" s="964"/>
      <c r="B75" s="1003"/>
      <c r="C75" s="1008" t="s">
        <v>372</v>
      </c>
      <c r="D75" s="1003"/>
      <c r="E75" s="1003"/>
      <c r="F75" s="1003"/>
      <c r="G75" s="1005"/>
      <c r="H75" s="1009">
        <f>H72/H73*100</f>
        <v>90.494402669141323</v>
      </c>
      <c r="I75" s="1009">
        <f t="shared" ref="I75:R75" si="42">I72/I73*100</f>
        <v>97.31440578441179</v>
      </c>
      <c r="J75" s="1009">
        <f t="shared" si="42"/>
        <v>87.613698509225983</v>
      </c>
      <c r="K75" s="1009" t="e">
        <f t="shared" si="42"/>
        <v>#DIV/0!</v>
      </c>
      <c r="L75" s="1009" t="e">
        <f t="shared" si="42"/>
        <v>#DIV/0!</v>
      </c>
      <c r="M75" s="1009" t="e">
        <f t="shared" si="42"/>
        <v>#DIV/0!</v>
      </c>
      <c r="N75" s="1009" t="e">
        <f t="shared" si="42"/>
        <v>#DIV/0!</v>
      </c>
      <c r="O75" s="1009" t="e">
        <f t="shared" si="42"/>
        <v>#DIV/0!</v>
      </c>
      <c r="P75" s="1009" t="e">
        <f t="shared" si="42"/>
        <v>#DIV/0!</v>
      </c>
      <c r="Q75" s="1009" t="e">
        <f t="shared" si="42"/>
        <v>#DIV/0!</v>
      </c>
      <c r="R75" s="1009" t="e">
        <f t="shared" si="42"/>
        <v>#DIV/0!</v>
      </c>
      <c r="S75" s="1009" t="e">
        <f>S72/S73*100</f>
        <v>#DIV/0!</v>
      </c>
      <c r="T75" s="1009">
        <f>T72/T73*100</f>
        <v>91.676316276429333</v>
      </c>
      <c r="U75" s="1007"/>
      <c r="V75" s="1007"/>
      <c r="W75" s="936"/>
      <c r="X75" s="937"/>
      <c r="Y75" s="937"/>
      <c r="Z75" s="937"/>
      <c r="AA75" s="937"/>
      <c r="AB75" s="937"/>
      <c r="AC75" s="937"/>
      <c r="AD75" s="937"/>
      <c r="AE75" s="937"/>
      <c r="AF75" s="937"/>
      <c r="AG75" s="937"/>
      <c r="AH75" s="937"/>
      <c r="AI75" s="937"/>
      <c r="AJ75" s="937"/>
    </row>
    <row r="76" spans="1:36" ht="21" hidden="1">
      <c r="A76" s="964">
        <v>6</v>
      </c>
      <c r="B76" s="1027" t="s">
        <v>63</v>
      </c>
      <c r="C76" s="983"/>
      <c r="D76" s="964"/>
      <c r="E76" s="964"/>
      <c r="F76" s="964"/>
      <c r="G76" s="964"/>
      <c r="H76" s="985"/>
      <c r="I76" s="987"/>
      <c r="J76" s="987"/>
      <c r="K76" s="987"/>
      <c r="L76" s="987"/>
      <c r="M76" s="987"/>
      <c r="N76" s="987"/>
      <c r="O76" s="987"/>
      <c r="P76" s="987"/>
      <c r="Q76" s="987"/>
      <c r="R76" s="987"/>
      <c r="S76" s="987"/>
      <c r="T76" s="987"/>
      <c r="U76" s="966"/>
      <c r="V76" s="966"/>
      <c r="W76" s="936"/>
      <c r="X76" s="937"/>
      <c r="Y76" s="937"/>
      <c r="Z76" s="937"/>
      <c r="AA76" s="937"/>
      <c r="AB76" s="937"/>
      <c r="AC76" s="937"/>
      <c r="AD76" s="937"/>
      <c r="AE76" s="937"/>
      <c r="AF76" s="937"/>
      <c r="AG76" s="937"/>
      <c r="AH76" s="937"/>
      <c r="AI76" s="937"/>
      <c r="AJ76" s="937"/>
    </row>
    <row r="77" spans="1:36" ht="21" hidden="1">
      <c r="A77" s="964"/>
      <c r="B77" s="983">
        <v>6.1</v>
      </c>
      <c r="C77" s="1028" t="s">
        <v>162</v>
      </c>
      <c r="D77" s="964"/>
      <c r="E77" s="964"/>
      <c r="F77" s="964"/>
      <c r="G77" s="964"/>
      <c r="H77" s="987"/>
      <c r="I77" s="987"/>
      <c r="J77" s="987"/>
      <c r="K77" s="987"/>
      <c r="L77" s="987"/>
      <c r="M77" s="987"/>
      <c r="N77" s="987"/>
      <c r="O77" s="987"/>
      <c r="P77" s="987"/>
      <c r="Q77" s="987"/>
      <c r="R77" s="987"/>
      <c r="S77" s="987"/>
      <c r="T77" s="987"/>
      <c r="U77" s="966"/>
      <c r="V77" s="966"/>
      <c r="W77" s="936" t="s">
        <v>29</v>
      </c>
      <c r="X77" s="937" t="s">
        <v>30</v>
      </c>
      <c r="Y77" s="937" t="s">
        <v>31</v>
      </c>
      <c r="Z77" s="937" t="s">
        <v>32</v>
      </c>
      <c r="AA77" s="937" t="s">
        <v>33</v>
      </c>
      <c r="AB77" s="937" t="s">
        <v>34</v>
      </c>
      <c r="AC77" s="937" t="s">
        <v>35</v>
      </c>
      <c r="AD77" s="937" t="s">
        <v>36</v>
      </c>
      <c r="AE77" s="937" t="s">
        <v>37</v>
      </c>
      <c r="AF77" s="937" t="s">
        <v>38</v>
      </c>
      <c r="AG77" s="937" t="s">
        <v>39</v>
      </c>
      <c r="AH77" s="937" t="s">
        <v>40</v>
      </c>
      <c r="AI77" s="937" t="s">
        <v>25</v>
      </c>
      <c r="AJ77" s="946" t="s">
        <v>158</v>
      </c>
    </row>
    <row r="78" spans="1:36" ht="21" hidden="1">
      <c r="A78" s="964"/>
      <c r="B78" s="964"/>
      <c r="C78" s="958" t="s">
        <v>138</v>
      </c>
      <c r="D78" s="964" t="s">
        <v>90</v>
      </c>
      <c r="E78" s="984">
        <f>'[11]Price&amp;Heating-Value'!$R$6</f>
        <v>3.6</v>
      </c>
      <c r="F78" s="964"/>
      <c r="G78" s="1014">
        <f>'[11]Price&amp;Heating-Value'!$P$6</f>
        <v>2.7124999999999999</v>
      </c>
      <c r="H78" s="1015">
        <v>1202968</v>
      </c>
      <c r="I78" s="1015">
        <v>1109262</v>
      </c>
      <c r="J78" s="966">
        <v>1265226</v>
      </c>
      <c r="K78" s="966"/>
      <c r="L78" s="966"/>
      <c r="M78" s="966"/>
      <c r="N78" s="966"/>
      <c r="O78" s="966"/>
      <c r="P78" s="966"/>
      <c r="Q78" s="966"/>
      <c r="R78" s="966"/>
      <c r="S78" s="966"/>
      <c r="T78" s="966">
        <f>SUM(H78:S78)</f>
        <v>3577456</v>
      </c>
      <c r="U78" s="966">
        <f>T78*E78</f>
        <v>12878841.6</v>
      </c>
      <c r="V78" s="966">
        <f>AI78</f>
        <v>10696593.440000001</v>
      </c>
      <c r="W78" s="954">
        <f>H78*'[11]Transfer Price2011'!$HE$459</f>
        <v>3596874.3200000003</v>
      </c>
      <c r="X78" s="954">
        <f>I78*'[11]Transfer Price2011'!$HE$459</f>
        <v>3316693.3800000004</v>
      </c>
      <c r="Y78" s="954">
        <f>J78*'[11]Transfer Price2011'!$HE$459</f>
        <v>3783025.74</v>
      </c>
      <c r="Z78" s="954">
        <f>K78*'[11]Transfer Price2011'!$HE$459</f>
        <v>0</v>
      </c>
      <c r="AA78" s="954">
        <f>L78*'[11]Transfer Price2011'!$HE$459</f>
        <v>0</v>
      </c>
      <c r="AB78" s="954">
        <f>M78*'[11]Transfer Price2011'!$HE$459</f>
        <v>0</v>
      </c>
      <c r="AC78" s="954">
        <f>N78*'[11]Transfer Price2011'!$HE$459</f>
        <v>0</v>
      </c>
      <c r="AD78" s="954">
        <f>O78*'[11]Transfer Price2011'!$HE$459</f>
        <v>0</v>
      </c>
      <c r="AE78" s="954">
        <f>P78*'[11]Transfer Price2011'!$HE$459</f>
        <v>0</v>
      </c>
      <c r="AF78" s="954">
        <f>Q78*'[11]Transfer Price2011'!$HE$459</f>
        <v>0</v>
      </c>
      <c r="AG78" s="954">
        <f>R78*'[11]Transfer Price2011'!$HE$459</f>
        <v>0</v>
      </c>
      <c r="AH78" s="954">
        <f>S78*'[11]Transfer Price2011'!$HE$459</f>
        <v>0</v>
      </c>
      <c r="AI78" s="936">
        <f>SUM(W78:AH78)</f>
        <v>10696593.440000001</v>
      </c>
      <c r="AJ78" s="955">
        <f>AI78/U78*1000</f>
        <v>830.55555555555566</v>
      </c>
    </row>
    <row r="79" spans="1:36" ht="21" hidden="1">
      <c r="A79" s="956"/>
      <c r="B79" s="956"/>
      <c r="C79" s="983"/>
      <c r="D79" s="956"/>
      <c r="E79" s="956"/>
      <c r="F79" s="956"/>
      <c r="G79" s="956"/>
      <c r="H79" s="1029"/>
      <c r="I79" s="1029"/>
      <c r="J79" s="1029"/>
      <c r="K79" s="1029"/>
      <c r="L79" s="1029"/>
      <c r="M79" s="1029"/>
      <c r="N79" s="1029"/>
      <c r="O79" s="1029"/>
      <c r="P79" s="1029"/>
      <c r="Q79" s="1029"/>
      <c r="R79" s="1029"/>
      <c r="S79" s="1029"/>
      <c r="T79" s="1029"/>
      <c r="U79" s="961"/>
      <c r="V79" s="961">
        <f>SUM(V78)</f>
        <v>10696593.440000001</v>
      </c>
      <c r="W79" s="936"/>
      <c r="X79" s="937"/>
      <c r="Y79" s="937"/>
      <c r="Z79" s="937"/>
      <c r="AA79" s="937"/>
      <c r="AB79" s="937"/>
      <c r="AC79" s="937"/>
      <c r="AD79" s="937"/>
      <c r="AE79" s="937"/>
      <c r="AF79" s="937"/>
      <c r="AG79" s="937"/>
      <c r="AH79" s="946" t="s">
        <v>158</v>
      </c>
      <c r="AI79" s="946">
        <f>AI78/T83</f>
        <v>830.55555555555566</v>
      </c>
      <c r="AJ79" s="937"/>
    </row>
    <row r="80" spans="1:36" ht="21" hidden="1">
      <c r="A80" s="1011"/>
      <c r="B80" s="989"/>
      <c r="C80" s="990" t="s">
        <v>107</v>
      </c>
      <c r="D80" s="989" t="s">
        <v>163</v>
      </c>
      <c r="E80" s="989"/>
      <c r="F80" s="989"/>
      <c r="G80" s="1011"/>
      <c r="H80" s="1023">
        <v>1943438</v>
      </c>
      <c r="I80" s="1023">
        <v>1804942</v>
      </c>
      <c r="J80" s="994">
        <v>2002888</v>
      </c>
      <c r="K80" s="994"/>
      <c r="L80" s="994"/>
      <c r="M80" s="994"/>
      <c r="N80" s="994"/>
      <c r="O80" s="994"/>
      <c r="P80" s="994"/>
      <c r="Q80" s="994"/>
      <c r="R80" s="994"/>
      <c r="S80" s="994"/>
      <c r="T80" s="996">
        <f>SUM(H80:S80)</f>
        <v>5751268</v>
      </c>
      <c r="U80" s="995"/>
      <c r="V80" s="1026">
        <f>V79/T80</f>
        <v>1.8598669788992621</v>
      </c>
      <c r="W80" s="936"/>
      <c r="X80" s="937"/>
      <c r="Y80" s="937"/>
      <c r="Z80" s="937"/>
      <c r="AA80" s="937"/>
      <c r="AB80" s="937"/>
      <c r="AC80" s="937"/>
      <c r="AD80" s="937"/>
      <c r="AE80" s="937"/>
      <c r="AF80" s="937"/>
      <c r="AG80" s="937"/>
      <c r="AH80" s="937"/>
      <c r="AI80" s="937"/>
      <c r="AJ80" s="937"/>
    </row>
    <row r="81" spans="1:36" ht="21" hidden="1">
      <c r="A81" s="1011"/>
      <c r="B81" s="1011"/>
      <c r="C81" s="1030"/>
      <c r="D81" s="1011"/>
      <c r="E81" s="1011"/>
      <c r="F81" s="1011"/>
      <c r="G81" s="1011"/>
      <c r="H81" s="981"/>
      <c r="I81" s="981"/>
      <c r="J81" s="981"/>
      <c r="K81" s="981"/>
      <c r="L81" s="981"/>
      <c r="M81" s="981"/>
      <c r="N81" s="981"/>
      <c r="O81" s="981"/>
      <c r="P81" s="981"/>
      <c r="Q81" s="981"/>
      <c r="R81" s="981"/>
      <c r="S81" s="981"/>
      <c r="T81" s="981"/>
      <c r="U81" s="981"/>
      <c r="V81" s="997" t="s">
        <v>137</v>
      </c>
      <c r="W81" s="936"/>
      <c r="X81" s="937"/>
      <c r="Y81" s="937"/>
      <c r="Z81" s="937"/>
      <c r="AA81" s="937"/>
      <c r="AB81" s="937"/>
      <c r="AC81" s="937"/>
      <c r="AD81" s="937"/>
      <c r="AE81" s="937"/>
      <c r="AF81" s="937"/>
      <c r="AG81" s="937"/>
      <c r="AH81" s="937"/>
      <c r="AI81" s="937"/>
      <c r="AJ81" s="937"/>
    </row>
    <row r="82" spans="1:36" ht="21" hidden="1">
      <c r="A82" s="1011"/>
      <c r="B82" s="1011"/>
      <c r="C82" s="1031" t="s">
        <v>138</v>
      </c>
      <c r="D82" s="1011" t="s">
        <v>173</v>
      </c>
      <c r="E82" s="964"/>
      <c r="F82" s="964"/>
      <c r="G82" s="1011"/>
      <c r="H82" s="981">
        <f>H78*$E$78/1000</f>
        <v>4330.6848</v>
      </c>
      <c r="I82" s="981">
        <f t="shared" ref="I82:S82" si="43">I78*$E$78/1000</f>
        <v>3993.3432000000003</v>
      </c>
      <c r="J82" s="981">
        <f t="shared" si="43"/>
        <v>4554.8136000000004</v>
      </c>
      <c r="K82" s="981">
        <f t="shared" si="43"/>
        <v>0</v>
      </c>
      <c r="L82" s="981">
        <f t="shared" si="43"/>
        <v>0</v>
      </c>
      <c r="M82" s="981">
        <f t="shared" si="43"/>
        <v>0</v>
      </c>
      <c r="N82" s="981">
        <f t="shared" si="43"/>
        <v>0</v>
      </c>
      <c r="O82" s="981">
        <f t="shared" si="43"/>
        <v>0</v>
      </c>
      <c r="P82" s="981">
        <f t="shared" si="43"/>
        <v>0</v>
      </c>
      <c r="Q82" s="981">
        <f t="shared" si="43"/>
        <v>0</v>
      </c>
      <c r="R82" s="981">
        <f t="shared" si="43"/>
        <v>0</v>
      </c>
      <c r="S82" s="981">
        <f t="shared" si="43"/>
        <v>0</v>
      </c>
      <c r="T82" s="981">
        <f>SUM(H82:S82)</f>
        <v>12878.8416</v>
      </c>
      <c r="U82" s="981"/>
      <c r="V82" s="981"/>
      <c r="W82" s="936"/>
      <c r="X82" s="937"/>
      <c r="Y82" s="937"/>
      <c r="Z82" s="937"/>
      <c r="AA82" s="937"/>
      <c r="AB82" s="937"/>
      <c r="AC82" s="937"/>
      <c r="AD82" s="937"/>
      <c r="AE82" s="937"/>
      <c r="AF82" s="937"/>
      <c r="AG82" s="937"/>
      <c r="AH82" s="937"/>
      <c r="AI82" s="937"/>
      <c r="AJ82" s="937"/>
    </row>
    <row r="83" spans="1:36" ht="21" hidden="1">
      <c r="A83" s="1011"/>
      <c r="B83" s="964"/>
      <c r="C83" s="983" t="s">
        <v>373</v>
      </c>
      <c r="D83" s="964" t="s">
        <v>173</v>
      </c>
      <c r="E83" s="1011"/>
      <c r="F83" s="1011"/>
      <c r="G83" s="1011"/>
      <c r="H83" s="981">
        <f>SUM(H82)</f>
        <v>4330.6848</v>
      </c>
      <c r="I83" s="981">
        <f t="shared" ref="I83:S83" si="44">SUM(I82)</f>
        <v>3993.3432000000003</v>
      </c>
      <c r="J83" s="981">
        <f t="shared" si="44"/>
        <v>4554.8136000000004</v>
      </c>
      <c r="K83" s="981">
        <f t="shared" si="44"/>
        <v>0</v>
      </c>
      <c r="L83" s="981">
        <f t="shared" si="44"/>
        <v>0</v>
      </c>
      <c r="M83" s="981">
        <f t="shared" si="44"/>
        <v>0</v>
      </c>
      <c r="N83" s="981">
        <f t="shared" si="44"/>
        <v>0</v>
      </c>
      <c r="O83" s="981">
        <f t="shared" si="44"/>
        <v>0</v>
      </c>
      <c r="P83" s="981">
        <f t="shared" si="44"/>
        <v>0</v>
      </c>
      <c r="Q83" s="981">
        <f t="shared" si="44"/>
        <v>0</v>
      </c>
      <c r="R83" s="981">
        <f t="shared" si="44"/>
        <v>0</v>
      </c>
      <c r="S83" s="981">
        <f t="shared" si="44"/>
        <v>0</v>
      </c>
      <c r="T83" s="1032">
        <f>SUM(H83:S83)</f>
        <v>12878.8416</v>
      </c>
      <c r="U83" s="981"/>
      <c r="V83" s="1033">
        <f>V79/T83</f>
        <v>830.55555555555566</v>
      </c>
      <c r="W83" s="936"/>
      <c r="X83" s="937"/>
      <c r="Y83" s="937"/>
      <c r="Z83" s="937"/>
      <c r="AA83" s="937"/>
      <c r="AB83" s="937"/>
      <c r="AC83" s="937"/>
      <c r="AD83" s="937"/>
      <c r="AE83" s="937"/>
      <c r="AF83" s="937"/>
      <c r="AG83" s="937"/>
      <c r="AH83" s="937"/>
      <c r="AI83" s="937"/>
      <c r="AJ83" s="937"/>
    </row>
    <row r="84" spans="1:36" ht="21" hidden="1">
      <c r="A84" s="1011"/>
      <c r="B84" s="1011"/>
      <c r="C84" s="983" t="s">
        <v>345</v>
      </c>
      <c r="D84" s="964" t="s">
        <v>173</v>
      </c>
      <c r="E84" s="1011"/>
      <c r="F84" s="1011"/>
      <c r="G84" s="1011"/>
      <c r="H84" s="981">
        <f>(0.002*H80 + 635.96)*96.73/100</f>
        <v>4374.9392628000005</v>
      </c>
      <c r="I84" s="981">
        <f t="shared" ref="I84:J84" si="45">(0.002*I80 + 635.96)*96.73/100</f>
        <v>4107.0049011999999</v>
      </c>
      <c r="J84" s="981">
        <f t="shared" si="45"/>
        <v>4489.951232800001</v>
      </c>
      <c r="K84" s="981"/>
      <c r="L84" s="981"/>
      <c r="M84" s="981"/>
      <c r="N84" s="981"/>
      <c r="O84" s="981"/>
      <c r="P84" s="981"/>
      <c r="Q84" s="981"/>
      <c r="R84" s="981"/>
      <c r="S84" s="981"/>
      <c r="T84" s="981">
        <f>SUM(H84:S84)</f>
        <v>12971.895396800002</v>
      </c>
      <c r="U84" s="981"/>
      <c r="V84" s="1001" t="s">
        <v>158</v>
      </c>
      <c r="W84" s="936"/>
      <c r="X84" s="937"/>
      <c r="Y84" s="937"/>
      <c r="Z84" s="937"/>
      <c r="AA84" s="937"/>
      <c r="AB84" s="937"/>
      <c r="AC84" s="937"/>
      <c r="AD84" s="937"/>
      <c r="AE84" s="937"/>
      <c r="AF84" s="937"/>
      <c r="AG84" s="937"/>
      <c r="AH84" s="937"/>
      <c r="AI84" s="937"/>
      <c r="AJ84" s="937"/>
    </row>
    <row r="85" spans="1:36" ht="21" hidden="1">
      <c r="A85" s="1011"/>
      <c r="B85" s="1003" t="s">
        <v>174</v>
      </c>
      <c r="C85" s="1004" t="s">
        <v>138</v>
      </c>
      <c r="D85" s="1003" t="s">
        <v>374</v>
      </c>
      <c r="E85" s="1003"/>
      <c r="F85" s="1003"/>
      <c r="G85" s="1011"/>
      <c r="H85" s="1006">
        <f>H82/H80*1000</f>
        <v>2.2283627262613983</v>
      </c>
      <c r="I85" s="1006">
        <f>I82/I80*1000</f>
        <v>2.2124495967183435</v>
      </c>
      <c r="J85" s="1006">
        <f t="shared" ref="J85:T85" si="46">J82/J80*1000</f>
        <v>2.2741229664364662</v>
      </c>
      <c r="K85" s="1006" t="e">
        <f t="shared" si="46"/>
        <v>#DIV/0!</v>
      </c>
      <c r="L85" s="1006" t="e">
        <f t="shared" si="46"/>
        <v>#DIV/0!</v>
      </c>
      <c r="M85" s="1006" t="e">
        <f t="shared" si="46"/>
        <v>#DIV/0!</v>
      </c>
      <c r="N85" s="1006" t="e">
        <f t="shared" si="46"/>
        <v>#DIV/0!</v>
      </c>
      <c r="O85" s="1006" t="e">
        <f t="shared" si="46"/>
        <v>#DIV/0!</v>
      </c>
      <c r="P85" s="1006" t="e">
        <f t="shared" si="46"/>
        <v>#DIV/0!</v>
      </c>
      <c r="Q85" s="1006" t="e">
        <f t="shared" si="46"/>
        <v>#DIV/0!</v>
      </c>
      <c r="R85" s="1006" t="e">
        <f t="shared" si="46"/>
        <v>#DIV/0!</v>
      </c>
      <c r="S85" s="1006" t="e">
        <f t="shared" si="46"/>
        <v>#DIV/0!</v>
      </c>
      <c r="T85" s="1006">
        <f t="shared" si="46"/>
        <v>2.2393047237583086</v>
      </c>
      <c r="U85" s="1007"/>
      <c r="V85" s="1007"/>
      <c r="W85" s="936"/>
      <c r="X85" s="937"/>
      <c r="Y85" s="937"/>
      <c r="Z85" s="937"/>
      <c r="AA85" s="937"/>
      <c r="AB85" s="937"/>
      <c r="AC85" s="937"/>
      <c r="AD85" s="937"/>
      <c r="AE85" s="937"/>
      <c r="AF85" s="937"/>
      <c r="AG85" s="937"/>
      <c r="AH85" s="937"/>
      <c r="AI85" s="937"/>
      <c r="AJ85" s="937"/>
    </row>
    <row r="86" spans="1:36" ht="23.25" hidden="1">
      <c r="A86" s="1011"/>
      <c r="B86" s="1003"/>
      <c r="C86" s="1008" t="s">
        <v>375</v>
      </c>
      <c r="D86" s="1003" t="s">
        <v>374</v>
      </c>
      <c r="E86" s="1003"/>
      <c r="F86" s="1003"/>
      <c r="G86" s="1011"/>
      <c r="H86" s="1006">
        <f>H83/H80*1000</f>
        <v>2.2283627262613983</v>
      </c>
      <c r="I86" s="1006">
        <f t="shared" ref="I86:S86" si="47">I83/I80*1000</f>
        <v>2.2124495967183435</v>
      </c>
      <c r="J86" s="1006">
        <f t="shared" si="47"/>
        <v>2.2741229664364662</v>
      </c>
      <c r="K86" s="1006" t="e">
        <f t="shared" si="47"/>
        <v>#DIV/0!</v>
      </c>
      <c r="L86" s="1006" t="e">
        <f t="shared" si="47"/>
        <v>#DIV/0!</v>
      </c>
      <c r="M86" s="1006" t="e">
        <f t="shared" si="47"/>
        <v>#DIV/0!</v>
      </c>
      <c r="N86" s="1006" t="e">
        <f t="shared" si="47"/>
        <v>#DIV/0!</v>
      </c>
      <c r="O86" s="1006" t="e">
        <f t="shared" si="47"/>
        <v>#DIV/0!</v>
      </c>
      <c r="P86" s="1006" t="e">
        <f t="shared" si="47"/>
        <v>#DIV/0!</v>
      </c>
      <c r="Q86" s="1006" t="e">
        <f t="shared" si="47"/>
        <v>#DIV/0!</v>
      </c>
      <c r="R86" s="1006" t="e">
        <f t="shared" si="47"/>
        <v>#DIV/0!</v>
      </c>
      <c r="S86" s="1006" t="e">
        <f t="shared" si="47"/>
        <v>#DIV/0!</v>
      </c>
      <c r="T86" s="1021">
        <f>T83/T80*1000</f>
        <v>2.2393047237583086</v>
      </c>
      <c r="U86" s="1007"/>
      <c r="V86" s="1007"/>
      <c r="W86" s="936"/>
      <c r="X86" s="937"/>
      <c r="Y86" s="937"/>
      <c r="Z86" s="937"/>
      <c r="AA86" s="937"/>
      <c r="AB86" s="937"/>
      <c r="AC86" s="937"/>
      <c r="AD86" s="937"/>
      <c r="AE86" s="937"/>
      <c r="AF86" s="937"/>
      <c r="AG86" s="937"/>
      <c r="AH86" s="937"/>
      <c r="AI86" s="937"/>
      <c r="AJ86" s="937"/>
    </row>
    <row r="87" spans="1:36" ht="21" hidden="1">
      <c r="A87" s="1011"/>
      <c r="B87" s="1003"/>
      <c r="C87" s="1008" t="s">
        <v>376</v>
      </c>
      <c r="D87" s="1003"/>
      <c r="E87" s="1003"/>
      <c r="F87" s="1003"/>
      <c r="G87" s="1011"/>
      <c r="H87" s="1009">
        <f>H83/H84*100</f>
        <v>98.988455378654166</v>
      </c>
      <c r="I87" s="1009">
        <f t="shared" ref="I87:Q87" si="48">I83/I84*100</f>
        <v>97.23249170784311</v>
      </c>
      <c r="J87" s="1009">
        <f t="shared" si="48"/>
        <v>101.44461184179833</v>
      </c>
      <c r="K87" s="1009" t="e">
        <f t="shared" si="48"/>
        <v>#DIV/0!</v>
      </c>
      <c r="L87" s="1009" t="e">
        <f t="shared" si="48"/>
        <v>#DIV/0!</v>
      </c>
      <c r="M87" s="1009" t="e">
        <f t="shared" si="48"/>
        <v>#DIV/0!</v>
      </c>
      <c r="N87" s="1009" t="e">
        <f t="shared" si="48"/>
        <v>#DIV/0!</v>
      </c>
      <c r="O87" s="1009" t="e">
        <f t="shared" si="48"/>
        <v>#DIV/0!</v>
      </c>
      <c r="P87" s="1009" t="e">
        <f t="shared" si="48"/>
        <v>#DIV/0!</v>
      </c>
      <c r="Q87" s="1009" t="e">
        <f t="shared" si="48"/>
        <v>#DIV/0!</v>
      </c>
      <c r="R87" s="1009" t="e">
        <f>R86/[11]ข้อมูลการใช้พลังงานปี2550!$T$79*100</f>
        <v>#DIV/0!</v>
      </c>
      <c r="S87" s="1009" t="e">
        <f>S86/[11]ข้อมูลการใช้พลังงานปี2550!$T$79*100</f>
        <v>#DIV/0!</v>
      </c>
      <c r="T87" s="1009">
        <f>T83/T84*100</f>
        <v>99.282650731033812</v>
      </c>
      <c r="U87" s="1007"/>
      <c r="V87" s="1007"/>
      <c r="W87" s="936"/>
      <c r="X87" s="937"/>
      <c r="Y87" s="937"/>
      <c r="Z87" s="937"/>
      <c r="AA87" s="937"/>
      <c r="AB87" s="937"/>
      <c r="AC87" s="937"/>
      <c r="AD87" s="937"/>
      <c r="AE87" s="937"/>
      <c r="AF87" s="937"/>
      <c r="AG87" s="937"/>
      <c r="AH87" s="937"/>
      <c r="AI87" s="937"/>
      <c r="AJ87" s="937"/>
    </row>
    <row r="88" spans="1:36" ht="21" hidden="1">
      <c r="A88" s="964"/>
      <c r="B88" s="983">
        <v>6.2</v>
      </c>
      <c r="C88" s="1034" t="s">
        <v>164</v>
      </c>
      <c r="D88" s="964"/>
      <c r="E88" s="964"/>
      <c r="F88" s="964"/>
      <c r="G88" s="964"/>
      <c r="H88" s="966"/>
      <c r="I88" s="966"/>
      <c r="J88" s="966"/>
      <c r="K88" s="966"/>
      <c r="L88" s="966"/>
      <c r="M88" s="966"/>
      <c r="N88" s="966"/>
      <c r="O88" s="966"/>
      <c r="P88" s="966"/>
      <c r="Q88" s="966"/>
      <c r="R88" s="966"/>
      <c r="S88" s="966"/>
      <c r="T88" s="966"/>
      <c r="U88" s="966"/>
      <c r="V88" s="966"/>
      <c r="W88" s="936" t="s">
        <v>29</v>
      </c>
      <c r="X88" s="937" t="s">
        <v>30</v>
      </c>
      <c r="Y88" s="937" t="s">
        <v>31</v>
      </c>
      <c r="Z88" s="937" t="s">
        <v>32</v>
      </c>
      <c r="AA88" s="937" t="s">
        <v>33</v>
      </c>
      <c r="AB88" s="937" t="s">
        <v>34</v>
      </c>
      <c r="AC88" s="937" t="s">
        <v>35</v>
      </c>
      <c r="AD88" s="937" t="s">
        <v>36</v>
      </c>
      <c r="AE88" s="937" t="s">
        <v>37</v>
      </c>
      <c r="AF88" s="937" t="s">
        <v>38</v>
      </c>
      <c r="AG88" s="937" t="s">
        <v>39</v>
      </c>
      <c r="AH88" s="937" t="s">
        <v>40</v>
      </c>
      <c r="AI88" s="937" t="s">
        <v>25</v>
      </c>
      <c r="AJ88" s="946" t="s">
        <v>158</v>
      </c>
    </row>
    <row r="89" spans="1:36" ht="21" hidden="1">
      <c r="A89" s="964"/>
      <c r="B89" s="964"/>
      <c r="C89" s="1031" t="s">
        <v>138</v>
      </c>
      <c r="D89" s="964" t="s">
        <v>90</v>
      </c>
      <c r="E89" s="984">
        <f>'[11]Price&amp;Heating-Value'!$R$6</f>
        <v>3.6</v>
      </c>
      <c r="F89" s="964"/>
      <c r="G89" s="1014">
        <f>'[11]Price&amp;Heating-Value'!$P$6</f>
        <v>2.7124999999999999</v>
      </c>
      <c r="H89" s="1015">
        <v>28600</v>
      </c>
      <c r="I89" s="1015">
        <v>29888</v>
      </c>
      <c r="J89" s="966">
        <v>30486.248</v>
      </c>
      <c r="K89" s="966"/>
      <c r="L89" s="966"/>
      <c r="M89" s="966"/>
      <c r="N89" s="966"/>
      <c r="O89" s="966"/>
      <c r="P89" s="966"/>
      <c r="Q89" s="966"/>
      <c r="R89" s="966"/>
      <c r="S89" s="966"/>
      <c r="T89" s="966">
        <f>SUM(H89:S89)</f>
        <v>88974.247999999992</v>
      </c>
      <c r="U89" s="966">
        <f>T89*E89</f>
        <v>320307.2928</v>
      </c>
      <c r="V89" s="966">
        <f>AI89</f>
        <v>266033.00151999999</v>
      </c>
      <c r="W89" s="954">
        <f>H89*'[11]Transfer Price2011'!$HE$459</f>
        <v>85514</v>
      </c>
      <c r="X89" s="954">
        <f>I89*'[11]Transfer Price2011'!$HE$459</f>
        <v>89365.12000000001</v>
      </c>
      <c r="Y89" s="954">
        <f>J89*'[11]Transfer Price2011'!$HE$459</f>
        <v>91153.88152000001</v>
      </c>
      <c r="Z89" s="954">
        <f>K89*'[11]Transfer Price2011'!$HE$459</f>
        <v>0</v>
      </c>
      <c r="AA89" s="954">
        <f>L89*'[11]Transfer Price2011'!$HE$459</f>
        <v>0</v>
      </c>
      <c r="AB89" s="954">
        <f>M89*'[11]Transfer Price2011'!$HE$459</f>
        <v>0</v>
      </c>
      <c r="AC89" s="954">
        <f>N89*'[11]Transfer Price2011'!$HE$459</f>
        <v>0</v>
      </c>
      <c r="AD89" s="954">
        <f>O89*'[11]Transfer Price2011'!$HE$459</f>
        <v>0</v>
      </c>
      <c r="AE89" s="954">
        <f>P89*'[11]Transfer Price2011'!$HE$459</f>
        <v>0</v>
      </c>
      <c r="AF89" s="954">
        <f>Q89*'[11]Transfer Price2011'!$HE$459</f>
        <v>0</v>
      </c>
      <c r="AG89" s="954">
        <f>R89*'[11]Transfer Price2011'!$HE$459</f>
        <v>0</v>
      </c>
      <c r="AH89" s="954">
        <f>S89*'[11]Transfer Price2011'!$HE$459</f>
        <v>0</v>
      </c>
      <c r="AI89" s="936">
        <f>SUM(W89:AH89)</f>
        <v>266033.00151999999</v>
      </c>
      <c r="AJ89" s="955">
        <f>AI89/U89*1000</f>
        <v>830.55555555555554</v>
      </c>
    </row>
    <row r="90" spans="1:36" ht="21" hidden="1">
      <c r="A90" s="956"/>
      <c r="B90" s="956"/>
      <c r="C90" s="983"/>
      <c r="D90" s="956"/>
      <c r="E90" s="956"/>
      <c r="F90" s="956"/>
      <c r="G90" s="956"/>
      <c r="H90" s="1029"/>
      <c r="I90" s="1029"/>
      <c r="J90" s="1029"/>
      <c r="K90" s="1029"/>
      <c r="L90" s="1029"/>
      <c r="M90" s="1029"/>
      <c r="N90" s="1029"/>
      <c r="O90" s="1029"/>
      <c r="P90" s="1029"/>
      <c r="Q90" s="1029"/>
      <c r="R90" s="1029"/>
      <c r="S90" s="1029"/>
      <c r="T90" s="1029"/>
      <c r="U90" s="961"/>
      <c r="V90" s="961">
        <f>SUM(V89)</f>
        <v>266033.00151999999</v>
      </c>
      <c r="W90" s="936"/>
      <c r="X90" s="937"/>
      <c r="Y90" s="937"/>
      <c r="Z90" s="937"/>
      <c r="AA90" s="937"/>
      <c r="AB90" s="937"/>
      <c r="AC90" s="937"/>
      <c r="AD90" s="937"/>
      <c r="AE90" s="937"/>
      <c r="AF90" s="937"/>
      <c r="AG90" s="937"/>
      <c r="AH90" s="946" t="s">
        <v>158</v>
      </c>
      <c r="AI90" s="946">
        <f>AI89/T94</f>
        <v>830.55555555555543</v>
      </c>
      <c r="AJ90" s="937"/>
    </row>
    <row r="91" spans="1:36" ht="21" hidden="1">
      <c r="A91" s="1011"/>
      <c r="B91" s="989"/>
      <c r="C91" s="990" t="s">
        <v>107</v>
      </c>
      <c r="D91" s="989" t="s">
        <v>163</v>
      </c>
      <c r="E91" s="989"/>
      <c r="F91" s="989"/>
      <c r="G91" s="1011"/>
      <c r="H91" s="1023">
        <v>42074</v>
      </c>
      <c r="I91" s="1023">
        <v>48520</v>
      </c>
      <c r="J91" s="994">
        <v>50614</v>
      </c>
      <c r="K91" s="994"/>
      <c r="L91" s="994"/>
      <c r="M91" s="994"/>
      <c r="N91" s="994"/>
      <c r="O91" s="994"/>
      <c r="P91" s="994"/>
      <c r="Q91" s="994"/>
      <c r="R91" s="994"/>
      <c r="S91" s="994"/>
      <c r="T91" s="996">
        <f>SUM(H91:S91)</f>
        <v>141208</v>
      </c>
      <c r="U91" s="995"/>
      <c r="V91" s="1026">
        <f>V89/T91</f>
        <v>1.8839796719732593</v>
      </c>
      <c r="W91" s="936"/>
      <c r="X91" s="937"/>
      <c r="Y91" s="937"/>
      <c r="Z91" s="937"/>
      <c r="AA91" s="937"/>
      <c r="AB91" s="937"/>
      <c r="AC91" s="937"/>
      <c r="AD91" s="937"/>
      <c r="AE91" s="937"/>
      <c r="AF91" s="937"/>
      <c r="AG91" s="937"/>
      <c r="AH91" s="937"/>
      <c r="AI91" s="937"/>
      <c r="AJ91" s="937"/>
    </row>
    <row r="92" spans="1:36" ht="21" hidden="1">
      <c r="A92" s="1011"/>
      <c r="B92" s="1011"/>
      <c r="C92" s="1030"/>
      <c r="D92" s="1011"/>
      <c r="E92" s="1011"/>
      <c r="F92" s="1011"/>
      <c r="G92" s="1011"/>
      <c r="H92" s="981"/>
      <c r="I92" s="981"/>
      <c r="J92" s="981"/>
      <c r="K92" s="981"/>
      <c r="L92" s="981"/>
      <c r="M92" s="981"/>
      <c r="N92" s="981"/>
      <c r="O92" s="981"/>
      <c r="P92" s="981"/>
      <c r="Q92" s="981"/>
      <c r="R92" s="981"/>
      <c r="S92" s="981"/>
      <c r="T92" s="981"/>
      <c r="U92" s="981"/>
      <c r="V92" s="997" t="s">
        <v>137</v>
      </c>
      <c r="W92" s="936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</row>
    <row r="93" spans="1:36" ht="21" hidden="1">
      <c r="A93" s="1011"/>
      <c r="B93" s="1011"/>
      <c r="C93" s="1031" t="s">
        <v>138</v>
      </c>
      <c r="D93" s="1011" t="s">
        <v>173</v>
      </c>
      <c r="E93" s="964"/>
      <c r="F93" s="964"/>
      <c r="G93" s="1011"/>
      <c r="H93" s="981">
        <f>H89*$E$89/1000</f>
        <v>102.96</v>
      </c>
      <c r="I93" s="981">
        <f t="shared" ref="I93:S93" si="49">I89*$E$89/1000</f>
        <v>107.5968</v>
      </c>
      <c r="J93" s="981">
        <f t="shared" si="49"/>
        <v>109.7504928</v>
      </c>
      <c r="K93" s="981">
        <f t="shared" si="49"/>
        <v>0</v>
      </c>
      <c r="L93" s="981">
        <f t="shared" si="49"/>
        <v>0</v>
      </c>
      <c r="M93" s="981">
        <f t="shared" si="49"/>
        <v>0</v>
      </c>
      <c r="N93" s="981">
        <f t="shared" si="49"/>
        <v>0</v>
      </c>
      <c r="O93" s="981">
        <f t="shared" si="49"/>
        <v>0</v>
      </c>
      <c r="P93" s="981">
        <f t="shared" si="49"/>
        <v>0</v>
      </c>
      <c r="Q93" s="981">
        <f t="shared" si="49"/>
        <v>0</v>
      </c>
      <c r="R93" s="981">
        <f t="shared" si="49"/>
        <v>0</v>
      </c>
      <c r="S93" s="981">
        <f t="shared" si="49"/>
        <v>0</v>
      </c>
      <c r="T93" s="981">
        <f>SUM(H93:S93)</f>
        <v>320.30729280000003</v>
      </c>
      <c r="U93" s="981"/>
      <c r="V93" s="981"/>
      <c r="W93" s="936"/>
      <c r="X93" s="937"/>
      <c r="Y93" s="937"/>
      <c r="Z93" s="937"/>
      <c r="AA93" s="937"/>
      <c r="AB93" s="937"/>
      <c r="AC93" s="937"/>
      <c r="AD93" s="937"/>
      <c r="AE93" s="937"/>
      <c r="AF93" s="937"/>
      <c r="AG93" s="937"/>
      <c r="AH93" s="937"/>
      <c r="AI93" s="937"/>
      <c r="AJ93" s="937"/>
    </row>
    <row r="94" spans="1:36" ht="21" hidden="1">
      <c r="A94" s="1011"/>
      <c r="B94" s="964"/>
      <c r="C94" s="983" t="s">
        <v>377</v>
      </c>
      <c r="D94" s="964" t="s">
        <v>173</v>
      </c>
      <c r="E94" s="1011"/>
      <c r="F94" s="1011"/>
      <c r="G94" s="1011"/>
      <c r="H94" s="981">
        <f>SUM(H93)</f>
        <v>102.96</v>
      </c>
      <c r="I94" s="981">
        <f t="shared" ref="I94:J94" si="50">SUM(I93)</f>
        <v>107.5968</v>
      </c>
      <c r="J94" s="981">
        <f t="shared" si="50"/>
        <v>109.7504928</v>
      </c>
      <c r="K94" s="981"/>
      <c r="L94" s="981"/>
      <c r="M94" s="981"/>
      <c r="N94" s="981"/>
      <c r="O94" s="981"/>
      <c r="P94" s="981"/>
      <c r="Q94" s="981"/>
      <c r="R94" s="981"/>
      <c r="S94" s="981"/>
      <c r="T94" s="1032">
        <f>SUM(H94:S94)</f>
        <v>320.30729280000003</v>
      </c>
      <c r="U94" s="981"/>
      <c r="V94" s="1033">
        <f>V89/T94</f>
        <v>830.55555555555543</v>
      </c>
      <c r="W94" s="936"/>
      <c r="X94" s="937"/>
      <c r="Y94" s="937"/>
      <c r="Z94" s="937"/>
      <c r="AA94" s="937"/>
      <c r="AB94" s="937"/>
      <c r="AC94" s="937"/>
      <c r="AD94" s="937"/>
      <c r="AE94" s="937"/>
      <c r="AF94" s="937"/>
      <c r="AG94" s="937"/>
      <c r="AH94" s="937"/>
      <c r="AI94" s="937"/>
      <c r="AJ94" s="937"/>
    </row>
    <row r="95" spans="1:36" ht="21" hidden="1">
      <c r="A95" s="1011"/>
      <c r="B95" s="1011"/>
      <c r="C95" s="983" t="s">
        <v>345</v>
      </c>
      <c r="D95" s="964" t="s">
        <v>173</v>
      </c>
      <c r="E95" s="1011"/>
      <c r="F95" s="1011"/>
      <c r="G95" s="1011"/>
      <c r="H95" s="981">
        <f>(0.0021*H91 + 16.357)*87.94/100</f>
        <v>92.084084559999994</v>
      </c>
      <c r="I95" s="981">
        <f t="shared" ref="I95:J95" si="51">(0.0021*I91 + 16.357)*87.94/100</f>
        <v>103.98817059999999</v>
      </c>
      <c r="J95" s="981">
        <f t="shared" si="51"/>
        <v>107.85524415999998</v>
      </c>
      <c r="K95" s="981"/>
      <c r="L95" s="981"/>
      <c r="M95" s="981"/>
      <c r="N95" s="981"/>
      <c r="O95" s="981"/>
      <c r="P95" s="981"/>
      <c r="Q95" s="981"/>
      <c r="R95" s="981"/>
      <c r="S95" s="981"/>
      <c r="T95" s="981">
        <f>SUM(H95:S95)</f>
        <v>303.92749931999998</v>
      </c>
      <c r="U95" s="981"/>
      <c r="V95" s="1001" t="s">
        <v>158</v>
      </c>
      <c r="W95" s="936"/>
      <c r="X95" s="937"/>
      <c r="Y95" s="937"/>
      <c r="Z95" s="937"/>
      <c r="AA95" s="937"/>
      <c r="AB95" s="937"/>
      <c r="AC95" s="937"/>
      <c r="AD95" s="937"/>
      <c r="AE95" s="937"/>
      <c r="AF95" s="937"/>
      <c r="AG95" s="937"/>
      <c r="AH95" s="937"/>
      <c r="AI95" s="937"/>
      <c r="AJ95" s="937"/>
    </row>
    <row r="96" spans="1:36" ht="21" hidden="1">
      <c r="A96" s="1011"/>
      <c r="B96" s="1003" t="s">
        <v>174</v>
      </c>
      <c r="C96" s="1004" t="s">
        <v>138</v>
      </c>
      <c r="D96" s="1003" t="s">
        <v>374</v>
      </c>
      <c r="E96" s="1003"/>
      <c r="F96" s="1003"/>
      <c r="G96" s="1011"/>
      <c r="H96" s="1006">
        <f>H93/H91*1000</f>
        <v>2.4471169843608882</v>
      </c>
      <c r="I96" s="1006">
        <f>I93/I91*1000</f>
        <v>2.21757625721352</v>
      </c>
      <c r="J96" s="1006">
        <f t="shared" ref="J96:T96" si="52">J93/J91*1000</f>
        <v>2.168382123523136</v>
      </c>
      <c r="K96" s="1006" t="e">
        <f t="shared" si="52"/>
        <v>#DIV/0!</v>
      </c>
      <c r="L96" s="1006" t="e">
        <f t="shared" si="52"/>
        <v>#DIV/0!</v>
      </c>
      <c r="M96" s="1006" t="e">
        <f t="shared" si="52"/>
        <v>#DIV/0!</v>
      </c>
      <c r="N96" s="1006" t="e">
        <f t="shared" si="52"/>
        <v>#DIV/0!</v>
      </c>
      <c r="O96" s="1006" t="e">
        <f t="shared" si="52"/>
        <v>#DIV/0!</v>
      </c>
      <c r="P96" s="1006" t="e">
        <f t="shared" si="52"/>
        <v>#DIV/0!</v>
      </c>
      <c r="Q96" s="1006" t="e">
        <f t="shared" si="52"/>
        <v>#DIV/0!</v>
      </c>
      <c r="R96" s="1006" t="e">
        <f t="shared" si="52"/>
        <v>#DIV/0!</v>
      </c>
      <c r="S96" s="1006" t="e">
        <f t="shared" si="52"/>
        <v>#DIV/0!</v>
      </c>
      <c r="T96" s="1006">
        <f t="shared" si="52"/>
        <v>2.2683367287972356</v>
      </c>
      <c r="U96" s="1007"/>
      <c r="V96" s="1007"/>
      <c r="W96" s="936"/>
      <c r="X96" s="937"/>
      <c r="Y96" s="937"/>
      <c r="Z96" s="937"/>
      <c r="AA96" s="937"/>
      <c r="AB96" s="937"/>
      <c r="AC96" s="937"/>
      <c r="AD96" s="937"/>
      <c r="AE96" s="937"/>
      <c r="AF96" s="937"/>
      <c r="AG96" s="937"/>
      <c r="AH96" s="937"/>
      <c r="AI96" s="937"/>
      <c r="AJ96" s="937"/>
    </row>
    <row r="97" spans="1:36" ht="23.25" hidden="1">
      <c r="A97" s="1011"/>
      <c r="B97" s="1003"/>
      <c r="C97" s="1008" t="s">
        <v>378</v>
      </c>
      <c r="D97" s="1003" t="s">
        <v>374</v>
      </c>
      <c r="E97" s="1003"/>
      <c r="F97" s="1003"/>
      <c r="G97" s="1011"/>
      <c r="H97" s="1006">
        <f>H94/H91*1000</f>
        <v>2.4471169843608882</v>
      </c>
      <c r="I97" s="1006">
        <f t="shared" ref="I97:S97" si="53">I94/I91*1000</f>
        <v>2.21757625721352</v>
      </c>
      <c r="J97" s="1006">
        <f t="shared" si="53"/>
        <v>2.168382123523136</v>
      </c>
      <c r="K97" s="1006" t="e">
        <f t="shared" si="53"/>
        <v>#DIV/0!</v>
      </c>
      <c r="L97" s="1006" t="e">
        <f t="shared" si="53"/>
        <v>#DIV/0!</v>
      </c>
      <c r="M97" s="1006" t="e">
        <f t="shared" si="53"/>
        <v>#DIV/0!</v>
      </c>
      <c r="N97" s="1006" t="e">
        <f t="shared" si="53"/>
        <v>#DIV/0!</v>
      </c>
      <c r="O97" s="1006" t="e">
        <f t="shared" si="53"/>
        <v>#DIV/0!</v>
      </c>
      <c r="P97" s="1006" t="e">
        <f t="shared" si="53"/>
        <v>#DIV/0!</v>
      </c>
      <c r="Q97" s="1006" t="e">
        <f t="shared" si="53"/>
        <v>#DIV/0!</v>
      </c>
      <c r="R97" s="1006" t="e">
        <f t="shared" si="53"/>
        <v>#DIV/0!</v>
      </c>
      <c r="S97" s="1006" t="e">
        <f t="shared" si="53"/>
        <v>#DIV/0!</v>
      </c>
      <c r="T97" s="1021">
        <f>T94/T91*1000</f>
        <v>2.2683367287972356</v>
      </c>
      <c r="U97" s="1007"/>
      <c r="V97" s="1007"/>
      <c r="W97" s="936"/>
      <c r="X97" s="937"/>
      <c r="Y97" s="937"/>
      <c r="Z97" s="937"/>
      <c r="AA97" s="937"/>
      <c r="AB97" s="937"/>
      <c r="AC97" s="937"/>
      <c r="AD97" s="937"/>
      <c r="AE97" s="937"/>
      <c r="AF97" s="937"/>
      <c r="AG97" s="937"/>
      <c r="AH97" s="937"/>
      <c r="AI97" s="937"/>
      <c r="AJ97" s="937"/>
    </row>
    <row r="98" spans="1:36" ht="21" hidden="1">
      <c r="A98" s="1011"/>
      <c r="B98" s="1003"/>
      <c r="C98" s="1008" t="s">
        <v>379</v>
      </c>
      <c r="D98" s="1003"/>
      <c r="E98" s="1003"/>
      <c r="F98" s="1003"/>
      <c r="G98" s="1011"/>
      <c r="H98" s="1009">
        <f>H94/H95*100</f>
        <v>111.81085253979313</v>
      </c>
      <c r="I98" s="1009">
        <f t="shared" ref="I98:S98" si="54">I94/I95*100</f>
        <v>103.4702306802578</v>
      </c>
      <c r="J98" s="1009">
        <f t="shared" si="54"/>
        <v>101.75721510322529</v>
      </c>
      <c r="K98" s="1009" t="e">
        <f t="shared" si="54"/>
        <v>#DIV/0!</v>
      </c>
      <c r="L98" s="1009" t="e">
        <f t="shared" si="54"/>
        <v>#DIV/0!</v>
      </c>
      <c r="M98" s="1009" t="e">
        <f t="shared" si="54"/>
        <v>#DIV/0!</v>
      </c>
      <c r="N98" s="1009" t="e">
        <f t="shared" si="54"/>
        <v>#DIV/0!</v>
      </c>
      <c r="O98" s="1009" t="e">
        <f t="shared" si="54"/>
        <v>#DIV/0!</v>
      </c>
      <c r="P98" s="1009" t="e">
        <f t="shared" si="54"/>
        <v>#DIV/0!</v>
      </c>
      <c r="Q98" s="1009" t="e">
        <f t="shared" si="54"/>
        <v>#DIV/0!</v>
      </c>
      <c r="R98" s="1009" t="e">
        <f t="shared" si="54"/>
        <v>#DIV/0!</v>
      </c>
      <c r="S98" s="1009" t="e">
        <f t="shared" si="54"/>
        <v>#DIV/0!</v>
      </c>
      <c r="T98" s="1009">
        <f>T94/T95*100</f>
        <v>105.38937526767003</v>
      </c>
      <c r="U98" s="1007"/>
      <c r="V98" s="1007"/>
      <c r="W98" s="936"/>
      <c r="X98" s="937"/>
      <c r="Y98" s="937"/>
      <c r="Z98" s="937"/>
      <c r="AA98" s="937"/>
      <c r="AB98" s="937"/>
      <c r="AC98" s="937"/>
      <c r="AD98" s="937"/>
      <c r="AE98" s="937"/>
      <c r="AF98" s="937"/>
      <c r="AG98" s="937"/>
      <c r="AH98" s="937"/>
      <c r="AI98" s="937"/>
      <c r="AJ98" s="937"/>
    </row>
    <row r="99" spans="1:36" ht="21" hidden="1">
      <c r="A99" s="964"/>
      <c r="B99" s="1027">
        <v>6.3</v>
      </c>
      <c r="C99" s="1028" t="s">
        <v>166</v>
      </c>
      <c r="D99" s="964"/>
      <c r="E99" s="964"/>
      <c r="F99" s="964"/>
      <c r="G99" s="964"/>
      <c r="H99" s="966"/>
      <c r="I99" s="966"/>
      <c r="J99" s="966"/>
      <c r="K99" s="966"/>
      <c r="L99" s="966"/>
      <c r="M99" s="966"/>
      <c r="N99" s="966"/>
      <c r="O99" s="966"/>
      <c r="P99" s="966"/>
      <c r="Q99" s="966"/>
      <c r="R99" s="966"/>
      <c r="S99" s="966"/>
      <c r="T99" s="966"/>
      <c r="U99" s="966"/>
      <c r="V99" s="966"/>
      <c r="W99" s="936" t="s">
        <v>29</v>
      </c>
      <c r="X99" s="937" t="s">
        <v>30</v>
      </c>
      <c r="Y99" s="937" t="s">
        <v>31</v>
      </c>
      <c r="Z99" s="937" t="s">
        <v>32</v>
      </c>
      <c r="AA99" s="937" t="s">
        <v>33</v>
      </c>
      <c r="AB99" s="937" t="s">
        <v>34</v>
      </c>
      <c r="AC99" s="937" t="s">
        <v>35</v>
      </c>
      <c r="AD99" s="937" t="s">
        <v>36</v>
      </c>
      <c r="AE99" s="937" t="s">
        <v>37</v>
      </c>
      <c r="AF99" s="937" t="s">
        <v>38</v>
      </c>
      <c r="AG99" s="937" t="s">
        <v>39</v>
      </c>
      <c r="AH99" s="937" t="s">
        <v>40</v>
      </c>
      <c r="AI99" s="937" t="s">
        <v>25</v>
      </c>
      <c r="AJ99" s="946" t="s">
        <v>158</v>
      </c>
    </row>
    <row r="100" spans="1:36" ht="21" hidden="1">
      <c r="A100" s="964"/>
      <c r="B100" s="964"/>
      <c r="C100" s="1031" t="s">
        <v>138</v>
      </c>
      <c r="D100" s="964" t="s">
        <v>90</v>
      </c>
      <c r="E100" s="984">
        <f>'[11]Price&amp;Heating-Value'!$R$6</f>
        <v>3.6</v>
      </c>
      <c r="F100" s="964"/>
      <c r="G100" s="1014">
        <f>'[11]Price&amp;Heating-Value'!$P$6</f>
        <v>2.7124999999999999</v>
      </c>
      <c r="H100" s="1015">
        <v>2770965</v>
      </c>
      <c r="I100" s="1015">
        <v>2786417</v>
      </c>
      <c r="J100" s="966">
        <v>3124080.24</v>
      </c>
      <c r="K100" s="966"/>
      <c r="L100" s="966"/>
      <c r="M100" s="966"/>
      <c r="N100" s="966"/>
      <c r="O100" s="966"/>
      <c r="P100" s="966"/>
      <c r="Q100" s="966"/>
      <c r="R100" s="966"/>
      <c r="S100" s="966"/>
      <c r="T100" s="966">
        <f>SUM(H100:S100)</f>
        <v>8681462.2400000002</v>
      </c>
      <c r="U100" s="966">
        <f>T100*E100</f>
        <v>31253264.064000003</v>
      </c>
      <c r="V100" s="966">
        <f>AI100</f>
        <v>25957572.097600006</v>
      </c>
      <c r="W100" s="954">
        <f>H100*'[11]Transfer Price2011'!$HE$459</f>
        <v>8285185.3500000006</v>
      </c>
      <c r="X100" s="954">
        <f>I100*'[11]Transfer Price2011'!$HE$459</f>
        <v>8331386.830000001</v>
      </c>
      <c r="Y100" s="954">
        <f>J100*'[11]Transfer Price2011'!$HE$459</f>
        <v>9340999.9176000021</v>
      </c>
      <c r="Z100" s="954">
        <f>K100*'[11]Transfer Price2011'!$HE$459</f>
        <v>0</v>
      </c>
      <c r="AA100" s="954">
        <f>L100*'[11]Transfer Price2011'!$HE$459</f>
        <v>0</v>
      </c>
      <c r="AB100" s="954">
        <f>M100*'[11]Transfer Price2011'!$HE$459</f>
        <v>0</v>
      </c>
      <c r="AC100" s="954">
        <f>N100*'[11]Transfer Price2011'!$HE$459</f>
        <v>0</v>
      </c>
      <c r="AD100" s="954">
        <f>O100*'[11]Transfer Price2011'!$HE$459</f>
        <v>0</v>
      </c>
      <c r="AE100" s="954">
        <f>P100*'[11]Transfer Price2011'!$HE$459</f>
        <v>0</v>
      </c>
      <c r="AF100" s="954">
        <f>Q100*'[11]Transfer Price2011'!$HE$459</f>
        <v>0</v>
      </c>
      <c r="AG100" s="954">
        <f>R100*'[11]Transfer Price2011'!$HE$459</f>
        <v>0</v>
      </c>
      <c r="AH100" s="954">
        <f>S100*'[11]Transfer Price2011'!$HE$459</f>
        <v>0</v>
      </c>
      <c r="AI100" s="936">
        <f>SUM(W100:AH100)</f>
        <v>25957572.097600006</v>
      </c>
      <c r="AJ100" s="955">
        <f>AI100/U100*1000</f>
        <v>830.55555555555566</v>
      </c>
    </row>
    <row r="101" spans="1:36" ht="21" hidden="1">
      <c r="A101" s="956"/>
      <c r="B101" s="956"/>
      <c r="C101" s="983"/>
      <c r="D101" s="956"/>
      <c r="E101" s="956"/>
      <c r="F101" s="956"/>
      <c r="G101" s="956"/>
      <c r="H101" s="1029"/>
      <c r="I101" s="1029"/>
      <c r="J101" s="1029"/>
      <c r="K101" s="1029"/>
      <c r="L101" s="1029"/>
      <c r="M101" s="1029"/>
      <c r="N101" s="1029"/>
      <c r="O101" s="1029"/>
      <c r="P101" s="1029"/>
      <c r="Q101" s="1029"/>
      <c r="R101" s="1029"/>
      <c r="S101" s="1029"/>
      <c r="T101" s="1029"/>
      <c r="U101" s="961"/>
      <c r="V101" s="961">
        <f>SUM(V100)</f>
        <v>25957572.097600006</v>
      </c>
      <c r="W101" s="936"/>
      <c r="X101" s="937"/>
      <c r="Y101" s="937"/>
      <c r="Z101" s="937"/>
      <c r="AA101" s="937"/>
      <c r="AB101" s="937"/>
      <c r="AC101" s="937"/>
      <c r="AD101" s="937"/>
      <c r="AE101" s="937"/>
      <c r="AF101" s="937"/>
      <c r="AG101" s="937"/>
      <c r="AH101" s="946" t="s">
        <v>158</v>
      </c>
      <c r="AI101" s="946">
        <f>AI100/T105</f>
        <v>830.55555555555566</v>
      </c>
      <c r="AJ101" s="937"/>
    </row>
    <row r="102" spans="1:36" ht="21" hidden="1">
      <c r="A102" s="1011"/>
      <c r="B102" s="989"/>
      <c r="C102" s="990" t="s">
        <v>107</v>
      </c>
      <c r="D102" s="989" t="s">
        <v>163</v>
      </c>
      <c r="E102" s="989"/>
      <c r="F102" s="989"/>
      <c r="G102" s="1011"/>
      <c r="H102" s="1023">
        <v>13204875</v>
      </c>
      <c r="I102" s="1023">
        <v>13393618</v>
      </c>
      <c r="J102" s="994">
        <v>14978869</v>
      </c>
      <c r="K102" s="994"/>
      <c r="L102" s="994"/>
      <c r="M102" s="994"/>
      <c r="N102" s="994"/>
      <c r="O102" s="994"/>
      <c r="P102" s="994"/>
      <c r="Q102" s="994"/>
      <c r="R102" s="994"/>
      <c r="S102" s="994"/>
      <c r="T102" s="996">
        <f>SUM(H102:S102)</f>
        <v>41577362</v>
      </c>
      <c r="U102" s="995"/>
      <c r="V102" s="1026">
        <f>V100/T102</f>
        <v>0.62431984255278161</v>
      </c>
      <c r="W102" s="936"/>
      <c r="X102" s="937"/>
      <c r="Y102" s="937"/>
      <c r="Z102" s="937"/>
      <c r="AA102" s="937"/>
      <c r="AB102" s="937"/>
      <c r="AC102" s="937"/>
      <c r="AD102" s="937"/>
      <c r="AE102" s="937"/>
      <c r="AF102" s="937"/>
      <c r="AG102" s="937"/>
      <c r="AH102" s="937"/>
      <c r="AI102" s="937"/>
      <c r="AJ102" s="937"/>
    </row>
    <row r="103" spans="1:36" ht="21" hidden="1">
      <c r="A103" s="1011"/>
      <c r="B103" s="1011"/>
      <c r="C103" s="1030"/>
      <c r="D103" s="1011"/>
      <c r="E103" s="1011"/>
      <c r="F103" s="1011"/>
      <c r="G103" s="1011"/>
      <c r="H103" s="981"/>
      <c r="I103" s="981"/>
      <c r="J103" s="981"/>
      <c r="K103" s="981"/>
      <c r="L103" s="981"/>
      <c r="M103" s="981"/>
      <c r="N103" s="981"/>
      <c r="O103" s="981"/>
      <c r="P103" s="981"/>
      <c r="Q103" s="981"/>
      <c r="R103" s="981"/>
      <c r="S103" s="981"/>
      <c r="T103" s="981"/>
      <c r="U103" s="981"/>
      <c r="V103" s="997" t="s">
        <v>137</v>
      </c>
      <c r="W103" s="936"/>
      <c r="X103" s="937"/>
      <c r="Y103" s="937"/>
      <c r="Z103" s="937"/>
      <c r="AA103" s="937"/>
      <c r="AB103" s="937"/>
      <c r="AC103" s="937"/>
      <c r="AD103" s="937"/>
      <c r="AE103" s="937"/>
      <c r="AF103" s="937"/>
      <c r="AG103" s="937"/>
      <c r="AH103" s="937"/>
      <c r="AI103" s="937"/>
      <c r="AJ103" s="937"/>
    </row>
    <row r="104" spans="1:36" ht="21" hidden="1">
      <c r="A104" s="1011"/>
      <c r="B104" s="1011"/>
      <c r="C104" s="1031" t="s">
        <v>138</v>
      </c>
      <c r="D104" s="1011" t="s">
        <v>173</v>
      </c>
      <c r="E104" s="964"/>
      <c r="F104" s="964"/>
      <c r="G104" s="1011"/>
      <c r="H104" s="981">
        <f>H100*$E$100/1000</f>
        <v>9975.4740000000002</v>
      </c>
      <c r="I104" s="981">
        <f t="shared" ref="I104:S104" si="55">I100*$E$100/1000</f>
        <v>10031.101200000001</v>
      </c>
      <c r="J104" s="981">
        <f t="shared" si="55"/>
        <v>11246.688864000002</v>
      </c>
      <c r="K104" s="981">
        <f t="shared" si="55"/>
        <v>0</v>
      </c>
      <c r="L104" s="981">
        <f t="shared" si="55"/>
        <v>0</v>
      </c>
      <c r="M104" s="981">
        <f t="shared" si="55"/>
        <v>0</v>
      </c>
      <c r="N104" s="981">
        <f t="shared" si="55"/>
        <v>0</v>
      </c>
      <c r="O104" s="981">
        <f t="shared" si="55"/>
        <v>0</v>
      </c>
      <c r="P104" s="981">
        <f t="shared" si="55"/>
        <v>0</v>
      </c>
      <c r="Q104" s="981">
        <f t="shared" si="55"/>
        <v>0</v>
      </c>
      <c r="R104" s="981">
        <f t="shared" si="55"/>
        <v>0</v>
      </c>
      <c r="S104" s="981">
        <f t="shared" si="55"/>
        <v>0</v>
      </c>
      <c r="T104" s="981">
        <f>SUM(H104:S104)</f>
        <v>31253.264064000003</v>
      </c>
      <c r="U104" s="981"/>
      <c r="V104" s="981"/>
      <c r="W104" s="936"/>
      <c r="X104" s="937"/>
      <c r="Y104" s="937"/>
      <c r="Z104" s="937"/>
      <c r="AA104" s="937"/>
      <c r="AB104" s="937"/>
      <c r="AC104" s="937"/>
      <c r="AD104" s="937"/>
      <c r="AE104" s="937"/>
      <c r="AF104" s="937"/>
      <c r="AG104" s="937"/>
      <c r="AH104" s="937"/>
      <c r="AI104" s="937"/>
      <c r="AJ104" s="937"/>
    </row>
    <row r="105" spans="1:36" ht="21" hidden="1">
      <c r="A105" s="1011"/>
      <c r="B105" s="964"/>
      <c r="C105" s="983" t="s">
        <v>380</v>
      </c>
      <c r="D105" s="964" t="s">
        <v>173</v>
      </c>
      <c r="E105" s="1011"/>
      <c r="F105" s="1011"/>
      <c r="G105" s="1011"/>
      <c r="H105" s="981">
        <f>SUM(H104)</f>
        <v>9975.4740000000002</v>
      </c>
      <c r="I105" s="981">
        <f t="shared" ref="I105:J105" si="56">SUM(I104)</f>
        <v>10031.101200000001</v>
      </c>
      <c r="J105" s="981">
        <f t="shared" si="56"/>
        <v>11246.688864000002</v>
      </c>
      <c r="K105" s="981"/>
      <c r="L105" s="981"/>
      <c r="M105" s="981"/>
      <c r="N105" s="981"/>
      <c r="O105" s="981"/>
      <c r="P105" s="981"/>
      <c r="Q105" s="981"/>
      <c r="R105" s="981"/>
      <c r="S105" s="981"/>
      <c r="T105" s="1032">
        <f>SUM(H105:S105)</f>
        <v>31253.264064000003</v>
      </c>
      <c r="U105" s="981"/>
      <c r="V105" s="1033">
        <f>V100/T105</f>
        <v>830.55555555555566</v>
      </c>
      <c r="W105" s="936"/>
      <c r="X105" s="937"/>
      <c r="Y105" s="937"/>
      <c r="Z105" s="937"/>
      <c r="AA105" s="937"/>
      <c r="AB105" s="937"/>
      <c r="AC105" s="937"/>
      <c r="AD105" s="937"/>
      <c r="AE105" s="937"/>
      <c r="AF105" s="937"/>
      <c r="AG105" s="937"/>
      <c r="AH105" s="937"/>
      <c r="AI105" s="937"/>
      <c r="AJ105" s="937"/>
    </row>
    <row r="106" spans="1:36" ht="21" hidden="1">
      <c r="A106" s="1011"/>
      <c r="B106" s="1011"/>
      <c r="C106" s="983" t="s">
        <v>345</v>
      </c>
      <c r="D106" s="964" t="s">
        <v>173</v>
      </c>
      <c r="E106" s="1011"/>
      <c r="F106" s="1011"/>
      <c r="G106" s="1011"/>
      <c r="H106" s="981">
        <f>(0.0009*H102 - 455.91)*82.86/100</f>
        <v>9469.6364565000003</v>
      </c>
      <c r="I106" s="981">
        <f t="shared" ref="I106:J106" si="57">(0.0009*I102 - 455.91)*82.86/100</f>
        <v>9610.3896613199995</v>
      </c>
      <c r="J106" s="981">
        <f t="shared" si="57"/>
        <v>10792.574742059998</v>
      </c>
      <c r="K106" s="981"/>
      <c r="L106" s="981"/>
      <c r="M106" s="981"/>
      <c r="N106" s="981"/>
      <c r="O106" s="981"/>
      <c r="P106" s="981"/>
      <c r="Q106" s="981"/>
      <c r="R106" s="981"/>
      <c r="S106" s="981"/>
      <c r="T106" s="1032">
        <f>SUM(H106:S106)</f>
        <v>29872.60085988</v>
      </c>
      <c r="U106" s="981"/>
      <c r="V106" s="1001" t="s">
        <v>158</v>
      </c>
      <c r="W106" s="936"/>
      <c r="X106" s="937"/>
      <c r="Y106" s="937"/>
      <c r="Z106" s="937"/>
      <c r="AA106" s="937"/>
      <c r="AB106" s="937"/>
      <c r="AC106" s="937"/>
      <c r="AD106" s="937"/>
      <c r="AE106" s="937"/>
      <c r="AF106" s="937"/>
      <c r="AG106" s="937"/>
      <c r="AH106" s="937"/>
      <c r="AI106" s="937"/>
      <c r="AJ106" s="937"/>
    </row>
    <row r="107" spans="1:36" ht="21" hidden="1">
      <c r="A107" s="1011"/>
      <c r="B107" s="1003" t="s">
        <v>174</v>
      </c>
      <c r="C107" s="1004" t="s">
        <v>138</v>
      </c>
      <c r="D107" s="1003" t="s">
        <v>374</v>
      </c>
      <c r="E107" s="1003"/>
      <c r="F107" s="1003"/>
      <c r="G107" s="1011"/>
      <c r="H107" s="1006">
        <f>(H104/H102)*1000</f>
        <v>0.75543873001448336</v>
      </c>
      <c r="I107" s="1006">
        <f>I104/I102*1000</f>
        <v>0.74894634145904426</v>
      </c>
      <c r="J107" s="1006">
        <f t="shared" ref="J107:T107" si="58">J104/J102*1000</f>
        <v>0.75083698669105126</v>
      </c>
      <c r="K107" s="1006" t="e">
        <f t="shared" si="58"/>
        <v>#DIV/0!</v>
      </c>
      <c r="L107" s="1006" t="e">
        <f t="shared" si="58"/>
        <v>#DIV/0!</v>
      </c>
      <c r="M107" s="1006" t="e">
        <f t="shared" si="58"/>
        <v>#DIV/0!</v>
      </c>
      <c r="N107" s="1006" t="e">
        <f t="shared" si="58"/>
        <v>#DIV/0!</v>
      </c>
      <c r="O107" s="1006" t="e">
        <f t="shared" si="58"/>
        <v>#DIV/0!</v>
      </c>
      <c r="P107" s="1006" t="e">
        <f t="shared" si="58"/>
        <v>#DIV/0!</v>
      </c>
      <c r="Q107" s="1006" t="e">
        <f t="shared" si="58"/>
        <v>#DIV/0!</v>
      </c>
      <c r="R107" s="1006" t="e">
        <f t="shared" si="58"/>
        <v>#DIV/0!</v>
      </c>
      <c r="S107" s="1006" t="e">
        <f t="shared" si="58"/>
        <v>#DIV/0!</v>
      </c>
      <c r="T107" s="1006">
        <f t="shared" si="58"/>
        <v>0.75168944253846615</v>
      </c>
      <c r="U107" s="1007"/>
      <c r="V107" s="1007"/>
      <c r="W107" s="936"/>
      <c r="X107" s="937"/>
      <c r="Y107" s="937"/>
      <c r="Z107" s="937"/>
      <c r="AA107" s="937"/>
      <c r="AB107" s="937"/>
      <c r="AC107" s="937"/>
      <c r="AD107" s="937"/>
      <c r="AE107" s="937"/>
      <c r="AF107" s="937"/>
      <c r="AG107" s="937"/>
      <c r="AH107" s="937"/>
      <c r="AI107" s="937"/>
      <c r="AJ107" s="937"/>
    </row>
    <row r="108" spans="1:36" ht="23.25" hidden="1">
      <c r="A108" s="1011"/>
      <c r="B108" s="1003"/>
      <c r="C108" s="1008" t="s">
        <v>381</v>
      </c>
      <c r="D108" s="1003" t="s">
        <v>374</v>
      </c>
      <c r="E108" s="1003"/>
      <c r="F108" s="1003"/>
      <c r="G108" s="1011"/>
      <c r="H108" s="1006">
        <f>H105/H102*1000</f>
        <v>0.75543873001448336</v>
      </c>
      <c r="I108" s="1006">
        <f t="shared" ref="I108:S108" si="59">I105/I102*1000</f>
        <v>0.74894634145904426</v>
      </c>
      <c r="J108" s="1006">
        <f t="shared" si="59"/>
        <v>0.75083698669105126</v>
      </c>
      <c r="K108" s="1006" t="e">
        <f t="shared" si="59"/>
        <v>#DIV/0!</v>
      </c>
      <c r="L108" s="1006" t="e">
        <f t="shared" si="59"/>
        <v>#DIV/0!</v>
      </c>
      <c r="M108" s="1006" t="e">
        <f t="shared" si="59"/>
        <v>#DIV/0!</v>
      </c>
      <c r="N108" s="1006" t="e">
        <f t="shared" si="59"/>
        <v>#DIV/0!</v>
      </c>
      <c r="O108" s="1006" t="e">
        <f t="shared" si="59"/>
        <v>#DIV/0!</v>
      </c>
      <c r="P108" s="1006" t="e">
        <f t="shared" si="59"/>
        <v>#DIV/0!</v>
      </c>
      <c r="Q108" s="1006" t="e">
        <f t="shared" si="59"/>
        <v>#DIV/0!</v>
      </c>
      <c r="R108" s="1006" t="e">
        <f t="shared" si="59"/>
        <v>#DIV/0!</v>
      </c>
      <c r="S108" s="1006" t="e">
        <f t="shared" si="59"/>
        <v>#DIV/0!</v>
      </c>
      <c r="T108" s="1021">
        <f>T105/T102*1000</f>
        <v>0.75168944253846615</v>
      </c>
      <c r="U108" s="1007"/>
      <c r="V108" s="1007"/>
      <c r="W108" s="936"/>
      <c r="X108" s="937"/>
      <c r="Y108" s="937"/>
      <c r="Z108" s="937"/>
      <c r="AA108" s="937"/>
      <c r="AB108" s="937"/>
      <c r="AC108" s="937"/>
      <c r="AD108" s="937"/>
      <c r="AE108" s="937"/>
      <c r="AF108" s="937"/>
      <c r="AG108" s="937"/>
      <c r="AH108" s="937"/>
      <c r="AI108" s="937"/>
      <c r="AJ108" s="937"/>
    </row>
    <row r="109" spans="1:36" ht="21" hidden="1">
      <c r="A109" s="1011"/>
      <c r="B109" s="1003"/>
      <c r="C109" s="1008" t="s">
        <v>382</v>
      </c>
      <c r="D109" s="1003"/>
      <c r="E109" s="1003"/>
      <c r="F109" s="1003"/>
      <c r="G109" s="1011"/>
      <c r="H109" s="1009">
        <f>H105/H106*100</f>
        <v>105.34167859372036</v>
      </c>
      <c r="I109" s="1009">
        <f>I105/I106*100</f>
        <v>104.37767409549777</v>
      </c>
      <c r="J109" s="1009">
        <f t="shared" ref="J109:S109" si="60">J105/J106*100</f>
        <v>104.20765325043581</v>
      </c>
      <c r="K109" s="1009" t="e">
        <f t="shared" si="60"/>
        <v>#DIV/0!</v>
      </c>
      <c r="L109" s="1009" t="e">
        <f t="shared" si="60"/>
        <v>#DIV/0!</v>
      </c>
      <c r="M109" s="1009" t="e">
        <f t="shared" si="60"/>
        <v>#DIV/0!</v>
      </c>
      <c r="N109" s="1009" t="e">
        <f t="shared" si="60"/>
        <v>#DIV/0!</v>
      </c>
      <c r="O109" s="1009" t="e">
        <f t="shared" si="60"/>
        <v>#DIV/0!</v>
      </c>
      <c r="P109" s="1009" t="e">
        <f t="shared" si="60"/>
        <v>#DIV/0!</v>
      </c>
      <c r="Q109" s="1009" t="e">
        <f t="shared" si="60"/>
        <v>#DIV/0!</v>
      </c>
      <c r="R109" s="1009" t="e">
        <f t="shared" si="60"/>
        <v>#DIV/0!</v>
      </c>
      <c r="S109" s="1009" t="e">
        <f t="shared" si="60"/>
        <v>#DIV/0!</v>
      </c>
      <c r="T109" s="1009">
        <f>T105/T106*100</f>
        <v>104.62183795309998</v>
      </c>
      <c r="U109" s="1007"/>
      <c r="V109" s="1007"/>
      <c r="W109" s="936"/>
      <c r="X109" s="937"/>
      <c r="Y109" s="937"/>
      <c r="Z109" s="937"/>
      <c r="AA109" s="937"/>
      <c r="AB109" s="937"/>
      <c r="AC109" s="937"/>
      <c r="AD109" s="937"/>
      <c r="AE109" s="937"/>
      <c r="AF109" s="937"/>
      <c r="AG109" s="937"/>
      <c r="AH109" s="937"/>
      <c r="AI109" s="937"/>
      <c r="AJ109" s="937"/>
    </row>
    <row r="110" spans="1:36" ht="21" hidden="1">
      <c r="A110" s="964"/>
      <c r="B110" s="983">
        <v>6.4</v>
      </c>
      <c r="C110" s="1035" t="s">
        <v>919</v>
      </c>
      <c r="D110" s="964"/>
      <c r="E110" s="964"/>
      <c r="F110" s="964"/>
      <c r="G110" s="964"/>
      <c r="H110" s="966"/>
      <c r="I110" s="966"/>
      <c r="J110" s="966"/>
      <c r="K110" s="966"/>
      <c r="L110" s="966"/>
      <c r="M110" s="966"/>
      <c r="N110" s="966"/>
      <c r="O110" s="966"/>
      <c r="P110" s="966"/>
      <c r="Q110" s="966"/>
      <c r="R110" s="966"/>
      <c r="S110" s="966"/>
      <c r="T110" s="966"/>
      <c r="U110" s="966"/>
      <c r="V110" s="966"/>
      <c r="W110" s="936"/>
      <c r="X110" s="937"/>
      <c r="Y110" s="937"/>
      <c r="Z110" s="937"/>
      <c r="AA110" s="937"/>
      <c r="AB110" s="937"/>
      <c r="AC110" s="937"/>
      <c r="AD110" s="937"/>
      <c r="AE110" s="937"/>
      <c r="AF110" s="937"/>
      <c r="AG110" s="937"/>
      <c r="AH110" s="937"/>
      <c r="AI110" s="937"/>
      <c r="AJ110" s="937"/>
    </row>
    <row r="111" spans="1:36" ht="21" hidden="1">
      <c r="A111" s="964"/>
      <c r="B111" s="964"/>
      <c r="C111" s="958" t="s">
        <v>138</v>
      </c>
      <c r="D111" s="964" t="s">
        <v>90</v>
      </c>
      <c r="E111" s="984">
        <f>'[11]Price&amp;Heating-Value'!$R$6</f>
        <v>3.6</v>
      </c>
      <c r="F111" s="964"/>
      <c r="G111" s="1014">
        <f>'[11]Price&amp;Heating-Value'!$P$6</f>
        <v>2.7124999999999999</v>
      </c>
      <c r="H111" s="966"/>
      <c r="I111" s="966"/>
      <c r="J111" s="966"/>
      <c r="K111" s="966"/>
      <c r="L111" s="966"/>
      <c r="M111" s="966"/>
      <c r="N111" s="966"/>
      <c r="O111" s="966"/>
      <c r="P111" s="966"/>
      <c r="Q111" s="966"/>
      <c r="R111" s="966"/>
      <c r="S111" s="966"/>
      <c r="T111" s="966">
        <f>SUM(H111:S111)</f>
        <v>0</v>
      </c>
      <c r="U111" s="966">
        <f>T111*E111</f>
        <v>0</v>
      </c>
      <c r="V111" s="966">
        <f>G111*T111</f>
        <v>0</v>
      </c>
      <c r="W111" s="954">
        <f>'[11]Price&amp;Heating-Value'!D$6</f>
        <v>2.4500000000000002</v>
      </c>
      <c r="X111" s="954">
        <f>'[11]Price&amp;Heating-Value'!E$6</f>
        <v>2.54</v>
      </c>
      <c r="Y111" s="954">
        <f>'[11]Price&amp;Heating-Value'!F$6</f>
        <v>2.58</v>
      </c>
      <c r="Z111" s="954">
        <f>'[11]Price&amp;Heating-Value'!G$6</f>
        <v>2.67</v>
      </c>
      <c r="AA111" s="954">
        <f>'[11]Price&amp;Heating-Value'!H$6</f>
        <v>2.67</v>
      </c>
      <c r="AB111" s="954">
        <f>'[11]Price&amp;Heating-Value'!I$6</f>
        <v>2.67</v>
      </c>
      <c r="AC111" s="954">
        <f>'[11]Price&amp;Heating-Value'!J$6</f>
        <v>2.62</v>
      </c>
      <c r="AD111" s="937"/>
      <c r="AE111" s="937"/>
      <c r="AF111" s="937"/>
      <c r="AG111" s="937"/>
      <c r="AH111" s="937"/>
      <c r="AI111" s="937"/>
      <c r="AJ111" s="937"/>
    </row>
    <row r="112" spans="1:36" ht="21" hidden="1">
      <c r="A112" s="964"/>
      <c r="B112" s="964"/>
      <c r="C112" s="958" t="s">
        <v>533</v>
      </c>
      <c r="D112" s="964" t="s">
        <v>176</v>
      </c>
      <c r="E112" s="984">
        <f>'[11]Price&amp;Heating-Value'!$S$16/1000</f>
        <v>39.770000000000003</v>
      </c>
      <c r="F112" s="1036">
        <f>'[11]Price&amp;Heating-Value'!$T$16</f>
        <v>0.98550000000000004</v>
      </c>
      <c r="G112" s="965">
        <f>'[11]Price&amp;Heating-Value'!$P$16*'[11]Price&amp;Heating-Value'!$T$16/1000</f>
        <v>17.944656726937499</v>
      </c>
      <c r="H112" s="966"/>
      <c r="I112" s="966"/>
      <c r="J112" s="966"/>
      <c r="K112" s="966"/>
      <c r="L112" s="966"/>
      <c r="M112" s="966"/>
      <c r="N112" s="966"/>
      <c r="O112" s="966"/>
      <c r="P112" s="966"/>
      <c r="Q112" s="966"/>
      <c r="R112" s="966"/>
      <c r="S112" s="966"/>
      <c r="T112" s="966">
        <f>SUM(H112:S112)</f>
        <v>0</v>
      </c>
      <c r="U112" s="966">
        <f>T112*E112</f>
        <v>0</v>
      </c>
      <c r="V112" s="966">
        <f>F112*G112*T112</f>
        <v>0</v>
      </c>
      <c r="W112" s="1037">
        <f>'[11]Price&amp;Heating-Value'!D$16*'[11]Price&amp;Heating-Value'!$T$16/1000</f>
        <v>16.779635460000002</v>
      </c>
      <c r="X112" s="982">
        <f>'[11]Price&amp;Heating-Value'!E$16*'[11]Price&amp;Heating-Value'!$T$16/1000</f>
        <v>16.47036585</v>
      </c>
      <c r="Y112" s="982">
        <f>'[11]Price&amp;Heating-Value'!F$16*'[11]Price&amp;Heating-Value'!$T$16/1000</f>
        <v>16.780118354999999</v>
      </c>
      <c r="Z112" s="982">
        <f>'[11]Price&amp;Heating-Value'!G$16*'[11]Price&amp;Heating-Value'!$T$16/1000</f>
        <v>18.287135100000004</v>
      </c>
      <c r="AA112" s="982">
        <f>'[11]Price&amp;Heating-Value'!H$16*'[11]Price&amp;Heating-Value'!$T$16/1000</f>
        <v>20.715278985000001</v>
      </c>
      <c r="AB112" s="982">
        <f>'[11]Price&amp;Heating-Value'!I$16*'[11]Price&amp;Heating-Value'!$T$16/1000</f>
        <v>22.335056640000001</v>
      </c>
      <c r="AC112" s="982">
        <f>'[11]Price&amp;Heating-Value'!J$16*'[11]Price&amp;Heating-Value'!$T$16/1000</f>
        <v>25.718475240000004</v>
      </c>
      <c r="AD112" s="937"/>
      <c r="AE112" s="937"/>
      <c r="AF112" s="937"/>
      <c r="AG112" s="937"/>
      <c r="AH112" s="937"/>
      <c r="AI112" s="937"/>
      <c r="AJ112" s="937"/>
    </row>
    <row r="113" spans="1:29" ht="21" hidden="1">
      <c r="A113" s="956"/>
      <c r="B113" s="956"/>
      <c r="C113" s="958" t="s">
        <v>920</v>
      </c>
      <c r="D113" s="956" t="s">
        <v>102</v>
      </c>
      <c r="E113" s="959">
        <v>50.22</v>
      </c>
      <c r="F113" s="1038"/>
      <c r="G113" s="965">
        <f>'[11]Price&amp;Heating-Value'!$P$23/1000</f>
        <v>11.61472</v>
      </c>
      <c r="H113" s="966"/>
      <c r="I113" s="961"/>
      <c r="J113" s="961"/>
      <c r="K113" s="961"/>
      <c r="L113" s="961"/>
      <c r="M113" s="961"/>
      <c r="N113" s="961"/>
      <c r="O113" s="961"/>
      <c r="P113" s="961"/>
      <c r="Q113" s="961"/>
      <c r="R113" s="961"/>
      <c r="S113" s="961"/>
      <c r="T113" s="961"/>
      <c r="U113" s="961"/>
      <c r="V113" s="961"/>
      <c r="W113" s="982"/>
      <c r="X113" s="982"/>
      <c r="Y113" s="982"/>
      <c r="Z113" s="982"/>
      <c r="AA113" s="982"/>
      <c r="AB113" s="982"/>
      <c r="AC113" s="982"/>
    </row>
    <row r="114" spans="1:29" ht="21" hidden="1">
      <c r="A114" s="956"/>
      <c r="B114" s="956"/>
      <c r="C114" s="983" t="s">
        <v>383</v>
      </c>
      <c r="D114" s="956"/>
      <c r="E114" s="956"/>
      <c r="F114" s="956"/>
      <c r="G114" s="956"/>
      <c r="H114" s="1029">
        <f t="shared" ref="H114:S114" si="61">(H111*$E$111)+(H112*$E$112)+(H113*$E$113)</f>
        <v>0</v>
      </c>
      <c r="I114" s="1029">
        <f t="shared" si="61"/>
        <v>0</v>
      </c>
      <c r="J114" s="1029">
        <f t="shared" si="61"/>
        <v>0</v>
      </c>
      <c r="K114" s="1029">
        <f t="shared" si="61"/>
        <v>0</v>
      </c>
      <c r="L114" s="1029">
        <f t="shared" si="61"/>
        <v>0</v>
      </c>
      <c r="M114" s="1029">
        <f t="shared" si="61"/>
        <v>0</v>
      </c>
      <c r="N114" s="1029">
        <f t="shared" si="61"/>
        <v>0</v>
      </c>
      <c r="O114" s="1029">
        <f t="shared" si="61"/>
        <v>0</v>
      </c>
      <c r="P114" s="1029">
        <f t="shared" si="61"/>
        <v>0</v>
      </c>
      <c r="Q114" s="1029">
        <f t="shared" si="61"/>
        <v>0</v>
      </c>
      <c r="R114" s="1029">
        <f t="shared" si="61"/>
        <v>0</v>
      </c>
      <c r="S114" s="1029">
        <f t="shared" si="61"/>
        <v>0</v>
      </c>
      <c r="T114" s="1029">
        <f>SUM(H114:S114)</f>
        <v>0</v>
      </c>
      <c r="U114" s="961"/>
      <c r="V114" s="961">
        <f>SUM(V111:V112)</f>
        <v>0</v>
      </c>
      <c r="W114" s="936"/>
      <c r="X114" s="937"/>
      <c r="Y114" s="937"/>
      <c r="Z114" s="937"/>
      <c r="AA114" s="937"/>
      <c r="AB114" s="937"/>
      <c r="AC114" s="937"/>
    </row>
    <row r="115" spans="1:29" ht="21" hidden="1">
      <c r="A115" s="1011"/>
      <c r="B115" s="989"/>
      <c r="C115" s="990" t="s">
        <v>107</v>
      </c>
      <c r="D115" s="989" t="s">
        <v>147</v>
      </c>
      <c r="E115" s="989"/>
      <c r="F115" s="989"/>
      <c r="G115" s="1011"/>
      <c r="H115" s="994"/>
      <c r="I115" s="994"/>
      <c r="J115" s="994"/>
      <c r="K115" s="994"/>
      <c r="L115" s="994"/>
      <c r="M115" s="994"/>
      <c r="N115" s="994"/>
      <c r="O115" s="994"/>
      <c r="P115" s="994"/>
      <c r="Q115" s="1039"/>
      <c r="R115" s="994"/>
      <c r="S115" s="994"/>
      <c r="T115" s="996">
        <f>SUM(H115:S115)</f>
        <v>0</v>
      </c>
      <c r="U115" s="995"/>
      <c r="V115" s="1026" t="e">
        <f>V122/T115</f>
        <v>#DIV/0!</v>
      </c>
      <c r="W115" s="936"/>
      <c r="X115" s="937"/>
      <c r="Y115" s="937"/>
      <c r="Z115" s="937"/>
      <c r="AA115" s="937"/>
      <c r="AB115" s="937"/>
      <c r="AC115" s="937"/>
    </row>
    <row r="116" spans="1:29" ht="21" hidden="1">
      <c r="A116" s="1011"/>
      <c r="B116" s="1011"/>
      <c r="C116" s="1030" t="s">
        <v>921</v>
      </c>
      <c r="D116" s="1011" t="s">
        <v>347</v>
      </c>
      <c r="E116" s="1011"/>
      <c r="F116" s="1011"/>
      <c r="G116" s="1040">
        <f>[11]ข้อมูลการใช้พลังงานปี2550!T108</f>
        <v>3.0803242209083765</v>
      </c>
      <c r="H116" s="1041" t="e">
        <f>H126/H115</f>
        <v>#DIV/0!</v>
      </c>
      <c r="I116" s="1041" t="e">
        <f t="shared" ref="I116:T116" si="62">I126/I115</f>
        <v>#DIV/0!</v>
      </c>
      <c r="J116" s="1041" t="e">
        <f t="shared" si="62"/>
        <v>#DIV/0!</v>
      </c>
      <c r="K116" s="1041" t="e">
        <f t="shared" si="62"/>
        <v>#DIV/0!</v>
      </c>
      <c r="L116" s="1041" t="e">
        <f t="shared" si="62"/>
        <v>#DIV/0!</v>
      </c>
      <c r="M116" s="1041" t="e">
        <f t="shared" si="62"/>
        <v>#DIV/0!</v>
      </c>
      <c r="N116" s="1041" t="e">
        <f t="shared" si="62"/>
        <v>#DIV/0!</v>
      </c>
      <c r="O116" s="1041" t="e">
        <f t="shared" si="62"/>
        <v>#DIV/0!</v>
      </c>
      <c r="P116" s="1041" t="e">
        <f t="shared" si="62"/>
        <v>#DIV/0!</v>
      </c>
      <c r="Q116" s="1041" t="e">
        <f t="shared" si="62"/>
        <v>#DIV/0!</v>
      </c>
      <c r="R116" s="1041" t="e">
        <f t="shared" si="62"/>
        <v>#DIV/0!</v>
      </c>
      <c r="S116" s="1041" t="e">
        <f t="shared" si="62"/>
        <v>#DIV/0!</v>
      </c>
      <c r="T116" s="1041" t="e">
        <f t="shared" si="62"/>
        <v>#DIV/0!</v>
      </c>
      <c r="U116" s="981"/>
      <c r="V116" s="997" t="s">
        <v>137</v>
      </c>
      <c r="W116" s="936"/>
      <c r="X116" s="937"/>
      <c r="Y116" s="937"/>
      <c r="Z116" s="937"/>
      <c r="AA116" s="937"/>
      <c r="AB116" s="937"/>
      <c r="AC116" s="937"/>
    </row>
    <row r="117" spans="1:29" ht="21" hidden="1">
      <c r="A117" s="1011"/>
      <c r="B117" s="1042"/>
      <c r="C117" s="1043" t="s">
        <v>534</v>
      </c>
      <c r="D117" s="1042"/>
      <c r="E117" s="1042"/>
      <c r="F117" s="1042"/>
      <c r="G117" s="1042"/>
      <c r="H117" s="1044" t="e">
        <f>H116/$G$116*100</f>
        <v>#DIV/0!</v>
      </c>
      <c r="I117" s="1044" t="e">
        <f t="shared" ref="I117:T117" si="63">I116/$G$116*100</f>
        <v>#DIV/0!</v>
      </c>
      <c r="J117" s="1044" t="e">
        <f t="shared" si="63"/>
        <v>#DIV/0!</v>
      </c>
      <c r="K117" s="1044" t="e">
        <f t="shared" si="63"/>
        <v>#DIV/0!</v>
      </c>
      <c r="L117" s="1044" t="e">
        <f t="shared" si="63"/>
        <v>#DIV/0!</v>
      </c>
      <c r="M117" s="1044" t="e">
        <f t="shared" si="63"/>
        <v>#DIV/0!</v>
      </c>
      <c r="N117" s="1044" t="e">
        <f t="shared" si="63"/>
        <v>#DIV/0!</v>
      </c>
      <c r="O117" s="1044" t="e">
        <f t="shared" si="63"/>
        <v>#DIV/0!</v>
      </c>
      <c r="P117" s="1044" t="e">
        <f t="shared" si="63"/>
        <v>#DIV/0!</v>
      </c>
      <c r="Q117" s="1044" t="e">
        <f t="shared" si="63"/>
        <v>#DIV/0!</v>
      </c>
      <c r="R117" s="1044" t="e">
        <f t="shared" si="63"/>
        <v>#DIV/0!</v>
      </c>
      <c r="S117" s="1044" t="e">
        <f t="shared" si="63"/>
        <v>#DIV/0!</v>
      </c>
      <c r="T117" s="1044" t="e">
        <f t="shared" si="63"/>
        <v>#DIV/0!</v>
      </c>
      <c r="U117" s="1045"/>
      <c r="V117" s="1046"/>
      <c r="W117" s="936"/>
      <c r="X117" s="937"/>
      <c r="Y117" s="937"/>
      <c r="Z117" s="937"/>
      <c r="AA117" s="937"/>
      <c r="AB117" s="937"/>
      <c r="AC117" s="937"/>
    </row>
    <row r="118" spans="1:29" ht="21" hidden="1">
      <c r="A118" s="1011"/>
      <c r="B118" s="1042"/>
      <c r="C118" s="1047" t="s">
        <v>535</v>
      </c>
      <c r="D118" s="1042" t="s">
        <v>147</v>
      </c>
      <c r="E118" s="1048">
        <f>'[11]Price&amp;Heating-Value'!$R$9</f>
        <v>2803</v>
      </c>
      <c r="F118" s="1048"/>
      <c r="G118" s="1049">
        <f>'[11]Price&amp;Heating-Value'!$P$9</f>
        <v>1301.5833333333333</v>
      </c>
      <c r="H118" s="1044">
        <f>H115</f>
        <v>0</v>
      </c>
      <c r="I118" s="1044">
        <f t="shared" ref="I118:S118" si="64">I115</f>
        <v>0</v>
      </c>
      <c r="J118" s="1044">
        <f t="shared" si="64"/>
        <v>0</v>
      </c>
      <c r="K118" s="1044">
        <f t="shared" si="64"/>
        <v>0</v>
      </c>
      <c r="L118" s="1044">
        <f t="shared" si="64"/>
        <v>0</v>
      </c>
      <c r="M118" s="1044">
        <f t="shared" si="64"/>
        <v>0</v>
      </c>
      <c r="N118" s="1044">
        <f t="shared" si="64"/>
        <v>0</v>
      </c>
      <c r="O118" s="1044">
        <f t="shared" si="64"/>
        <v>0</v>
      </c>
      <c r="P118" s="1044">
        <f>P115</f>
        <v>0</v>
      </c>
      <c r="Q118" s="1044">
        <f t="shared" si="64"/>
        <v>0</v>
      </c>
      <c r="R118" s="1044">
        <f t="shared" si="64"/>
        <v>0</v>
      </c>
      <c r="S118" s="1044">
        <f t="shared" si="64"/>
        <v>0</v>
      </c>
      <c r="T118" s="1042"/>
      <c r="U118" s="1042"/>
      <c r="V118" s="1042"/>
      <c r="W118" s="936"/>
      <c r="X118" s="937"/>
      <c r="Y118" s="937"/>
      <c r="Z118" s="937"/>
      <c r="AA118" s="937"/>
      <c r="AB118" s="937"/>
      <c r="AC118" s="937"/>
    </row>
    <row r="119" spans="1:29" ht="21" hidden="1">
      <c r="A119" s="1011"/>
      <c r="B119" s="1042"/>
      <c r="C119" s="1043" t="s">
        <v>536</v>
      </c>
      <c r="D119" s="1042"/>
      <c r="E119" s="1042"/>
      <c r="F119" s="1042"/>
      <c r="G119" s="1042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44"/>
      <c r="T119" s="1045"/>
      <c r="U119" s="1045"/>
      <c r="V119" s="1046"/>
      <c r="W119" s="936"/>
      <c r="X119" s="937"/>
      <c r="Y119" s="937"/>
      <c r="Z119" s="937"/>
      <c r="AA119" s="937"/>
      <c r="AB119" s="937"/>
      <c r="AC119" s="937"/>
    </row>
    <row r="120" spans="1:29" ht="21" hidden="1">
      <c r="A120" s="1011"/>
      <c r="B120" s="1042"/>
      <c r="C120" s="1047" t="s">
        <v>535</v>
      </c>
      <c r="D120" s="1042" t="s">
        <v>173</v>
      </c>
      <c r="E120" s="1042"/>
      <c r="F120" s="1042"/>
      <c r="G120" s="1042"/>
      <c r="H120" s="1044">
        <f>H118*$E$118/1000</f>
        <v>0</v>
      </c>
      <c r="I120" s="1044">
        <f>I118*$E$118/1000</f>
        <v>0</v>
      </c>
      <c r="J120" s="1044">
        <f t="shared" ref="J120:S120" si="65">J118*$E$118/1000</f>
        <v>0</v>
      </c>
      <c r="K120" s="1044">
        <f t="shared" si="65"/>
        <v>0</v>
      </c>
      <c r="L120" s="1044">
        <f t="shared" si="65"/>
        <v>0</v>
      </c>
      <c r="M120" s="1044">
        <f t="shared" si="65"/>
        <v>0</v>
      </c>
      <c r="N120" s="1044">
        <f t="shared" si="65"/>
        <v>0</v>
      </c>
      <c r="O120" s="1044">
        <f t="shared" si="65"/>
        <v>0</v>
      </c>
      <c r="P120" s="1044">
        <f t="shared" si="65"/>
        <v>0</v>
      </c>
      <c r="Q120" s="1044">
        <f t="shared" si="65"/>
        <v>0</v>
      </c>
      <c r="R120" s="1044">
        <f t="shared" si="65"/>
        <v>0</v>
      </c>
      <c r="S120" s="1044">
        <f t="shared" si="65"/>
        <v>0</v>
      </c>
      <c r="T120" s="1045">
        <f>SUM(H120:S120)</f>
        <v>0</v>
      </c>
      <c r="U120" s="1045"/>
      <c r="V120" s="1046"/>
      <c r="W120" s="936"/>
      <c r="X120" s="937"/>
      <c r="Y120" s="937"/>
      <c r="Z120" s="937"/>
      <c r="AA120" s="937"/>
      <c r="AB120" s="937"/>
      <c r="AC120" s="937"/>
    </row>
    <row r="121" spans="1:29" ht="21" hidden="1">
      <c r="A121" s="1011"/>
      <c r="B121" s="1042"/>
      <c r="C121" s="1042" t="s">
        <v>537</v>
      </c>
      <c r="D121" s="1042" t="s">
        <v>173</v>
      </c>
      <c r="E121" s="1042"/>
      <c r="F121" s="1042"/>
      <c r="G121" s="1042"/>
      <c r="H121" s="1044">
        <f>SUM(H120:H120)</f>
        <v>0</v>
      </c>
      <c r="I121" s="1044">
        <f t="shared" ref="I121:S121" si="66">SUM(I120:I120)</f>
        <v>0</v>
      </c>
      <c r="J121" s="1044">
        <f t="shared" si="66"/>
        <v>0</v>
      </c>
      <c r="K121" s="1044">
        <f t="shared" si="66"/>
        <v>0</v>
      </c>
      <c r="L121" s="1044">
        <f t="shared" si="66"/>
        <v>0</v>
      </c>
      <c r="M121" s="1044">
        <f t="shared" si="66"/>
        <v>0</v>
      </c>
      <c r="N121" s="1044">
        <f t="shared" si="66"/>
        <v>0</v>
      </c>
      <c r="O121" s="1044">
        <f t="shared" si="66"/>
        <v>0</v>
      </c>
      <c r="P121" s="1044">
        <f t="shared" si="66"/>
        <v>0</v>
      </c>
      <c r="Q121" s="1044">
        <f t="shared" si="66"/>
        <v>0</v>
      </c>
      <c r="R121" s="1044">
        <f t="shared" si="66"/>
        <v>0</v>
      </c>
      <c r="S121" s="1044">
        <f t="shared" si="66"/>
        <v>0</v>
      </c>
      <c r="T121" s="1045">
        <f>SUM(H121:S121)</f>
        <v>0</v>
      </c>
      <c r="U121" s="1045"/>
      <c r="V121" s="1046"/>
      <c r="W121" s="936"/>
      <c r="X121" s="937"/>
      <c r="Y121" s="937"/>
      <c r="Z121" s="937"/>
      <c r="AA121" s="937"/>
      <c r="AB121" s="937"/>
      <c r="AC121" s="937"/>
    </row>
    <row r="122" spans="1:29" ht="21" hidden="1">
      <c r="A122" s="1011"/>
      <c r="B122" s="1011"/>
      <c r="C122" s="1030"/>
      <c r="D122" s="1011"/>
      <c r="E122" s="1011"/>
      <c r="F122" s="1011"/>
      <c r="G122" s="1011"/>
      <c r="H122" s="1041"/>
      <c r="I122" s="1041"/>
      <c r="J122" s="1041"/>
      <c r="K122" s="1041"/>
      <c r="L122" s="1041"/>
      <c r="M122" s="1041"/>
      <c r="N122" s="1041"/>
      <c r="O122" s="1041"/>
      <c r="P122" s="1041"/>
      <c r="Q122" s="1041"/>
      <c r="R122" s="1041"/>
      <c r="S122" s="1041"/>
      <c r="T122" s="981"/>
      <c r="U122" s="1050" t="s">
        <v>922</v>
      </c>
      <c r="V122" s="1051" t="e">
        <f>T127/T126*V114</f>
        <v>#DIV/0!</v>
      </c>
      <c r="W122" s="936"/>
      <c r="X122" s="937"/>
      <c r="Y122" s="937"/>
      <c r="Z122" s="937"/>
      <c r="AA122" s="937"/>
      <c r="AB122" s="937"/>
      <c r="AC122" s="937"/>
    </row>
    <row r="123" spans="1:29" ht="21" hidden="1">
      <c r="A123" s="1011"/>
      <c r="B123" s="1011"/>
      <c r="C123" s="1031" t="s">
        <v>138</v>
      </c>
      <c r="D123" s="1011" t="s">
        <v>173</v>
      </c>
      <c r="E123" s="964"/>
      <c r="F123" s="964"/>
      <c r="G123" s="1011"/>
      <c r="H123" s="981">
        <f>H111*$E$111/1000</f>
        <v>0</v>
      </c>
      <c r="I123" s="981">
        <f t="shared" ref="I123:S123" si="67">I111*$E$111/1000</f>
        <v>0</v>
      </c>
      <c r="J123" s="981">
        <f t="shared" si="67"/>
        <v>0</v>
      </c>
      <c r="K123" s="981">
        <f t="shared" si="67"/>
        <v>0</v>
      </c>
      <c r="L123" s="981">
        <f t="shared" si="67"/>
        <v>0</v>
      </c>
      <c r="M123" s="981">
        <f t="shared" si="67"/>
        <v>0</v>
      </c>
      <c r="N123" s="981">
        <f t="shared" si="67"/>
        <v>0</v>
      </c>
      <c r="O123" s="981">
        <f t="shared" si="67"/>
        <v>0</v>
      </c>
      <c r="P123" s="981">
        <f t="shared" si="67"/>
        <v>0</v>
      </c>
      <c r="Q123" s="981">
        <f t="shared" si="67"/>
        <v>0</v>
      </c>
      <c r="R123" s="981">
        <f t="shared" si="67"/>
        <v>0</v>
      </c>
      <c r="S123" s="981">
        <f t="shared" si="67"/>
        <v>0</v>
      </c>
      <c r="T123" s="981">
        <f>SUM(H123:S123)</f>
        <v>0</v>
      </c>
      <c r="U123" s="1050" t="s">
        <v>923</v>
      </c>
      <c r="V123" s="981"/>
      <c r="W123" s="954">
        <f>'[11]Price&amp;Heating-Value'!D$6</f>
        <v>2.4500000000000002</v>
      </c>
      <c r="X123" s="954">
        <f>'[11]Price&amp;Heating-Value'!E$6</f>
        <v>2.54</v>
      </c>
      <c r="Y123" s="954">
        <f>'[11]Price&amp;Heating-Value'!F$6</f>
        <v>2.58</v>
      </c>
      <c r="Z123" s="954">
        <f>'[11]Price&amp;Heating-Value'!G$6</f>
        <v>2.67</v>
      </c>
      <c r="AA123" s="954">
        <f>'[11]Price&amp;Heating-Value'!H$6</f>
        <v>2.67</v>
      </c>
      <c r="AB123" s="954">
        <f>'[11]Price&amp;Heating-Value'!I$6</f>
        <v>2.67</v>
      </c>
      <c r="AC123" s="954">
        <f>'[11]Price&amp;Heating-Value'!J$6</f>
        <v>2.62</v>
      </c>
    </row>
    <row r="124" spans="1:29" ht="21" hidden="1">
      <c r="A124" s="1011"/>
      <c r="B124" s="1011"/>
      <c r="C124" s="1031" t="s">
        <v>533</v>
      </c>
      <c r="D124" s="1011" t="s">
        <v>173</v>
      </c>
      <c r="E124" s="1011"/>
      <c r="F124" s="1011"/>
      <c r="G124" s="1011"/>
      <c r="H124" s="981">
        <f>H112*$E$112/1000</f>
        <v>0</v>
      </c>
      <c r="I124" s="981">
        <f t="shared" ref="I124:S124" si="68">I112*$E$112/1000</f>
        <v>0</v>
      </c>
      <c r="J124" s="981">
        <f t="shared" si="68"/>
        <v>0</v>
      </c>
      <c r="K124" s="981">
        <f t="shared" si="68"/>
        <v>0</v>
      </c>
      <c r="L124" s="981">
        <f t="shared" si="68"/>
        <v>0</v>
      </c>
      <c r="M124" s="981">
        <f t="shared" si="68"/>
        <v>0</v>
      </c>
      <c r="N124" s="981">
        <f t="shared" si="68"/>
        <v>0</v>
      </c>
      <c r="O124" s="981">
        <f t="shared" si="68"/>
        <v>0</v>
      </c>
      <c r="P124" s="981">
        <f t="shared" si="68"/>
        <v>0</v>
      </c>
      <c r="Q124" s="981">
        <f t="shared" si="68"/>
        <v>0</v>
      </c>
      <c r="R124" s="981">
        <f t="shared" si="68"/>
        <v>0</v>
      </c>
      <c r="S124" s="981">
        <f t="shared" si="68"/>
        <v>0</v>
      </c>
      <c r="T124" s="981">
        <f>SUM(H124:S124)</f>
        <v>0</v>
      </c>
      <c r="U124" s="981"/>
      <c r="V124" s="981"/>
      <c r="W124" s="936"/>
      <c r="X124" s="937"/>
      <c r="Y124" s="937"/>
      <c r="Z124" s="937"/>
      <c r="AA124" s="937"/>
      <c r="AB124" s="937"/>
      <c r="AC124" s="937"/>
    </row>
    <row r="125" spans="1:29" ht="21" hidden="1">
      <c r="A125" s="1011"/>
      <c r="B125" s="1011"/>
      <c r="C125" s="958" t="s">
        <v>101</v>
      </c>
      <c r="D125" s="1011" t="s">
        <v>173</v>
      </c>
      <c r="E125" s="1011"/>
      <c r="F125" s="1011"/>
      <c r="G125" s="1011"/>
      <c r="H125" s="981">
        <f>H113*$E$113/1000</f>
        <v>0</v>
      </c>
      <c r="I125" s="981">
        <f>I113*$E$113/1000</f>
        <v>0</v>
      </c>
      <c r="J125" s="981">
        <f t="shared" ref="J125:S125" si="69">J113*$E$113/1000</f>
        <v>0</v>
      </c>
      <c r="K125" s="981">
        <f t="shared" si="69"/>
        <v>0</v>
      </c>
      <c r="L125" s="981">
        <f t="shared" si="69"/>
        <v>0</v>
      </c>
      <c r="M125" s="981">
        <f t="shared" si="69"/>
        <v>0</v>
      </c>
      <c r="N125" s="981">
        <f t="shared" si="69"/>
        <v>0</v>
      </c>
      <c r="O125" s="981">
        <f t="shared" si="69"/>
        <v>0</v>
      </c>
      <c r="P125" s="981">
        <f t="shared" si="69"/>
        <v>0</v>
      </c>
      <c r="Q125" s="981">
        <f t="shared" si="69"/>
        <v>0</v>
      </c>
      <c r="R125" s="981">
        <f t="shared" si="69"/>
        <v>0</v>
      </c>
      <c r="S125" s="981">
        <f t="shared" si="69"/>
        <v>0</v>
      </c>
      <c r="T125" s="981">
        <f>SUM(H125:S125)</f>
        <v>0</v>
      </c>
      <c r="U125" s="981"/>
      <c r="V125" s="981"/>
      <c r="W125" s="936"/>
      <c r="X125" s="937"/>
      <c r="Y125" s="937"/>
      <c r="Z125" s="937"/>
      <c r="AA125" s="937"/>
      <c r="AB125" s="937"/>
      <c r="AC125" s="937"/>
    </row>
    <row r="126" spans="1:29" ht="21" hidden="1">
      <c r="A126" s="1011"/>
      <c r="B126" s="1011"/>
      <c r="C126" s="1052" t="s">
        <v>25</v>
      </c>
      <c r="D126" s="1011" t="s">
        <v>173</v>
      </c>
      <c r="E126" s="1011"/>
      <c r="F126" s="1011"/>
      <c r="G126" s="1011"/>
      <c r="H126" s="981">
        <f t="shared" ref="H126:S126" si="70">SUM(H123:H125)</f>
        <v>0</v>
      </c>
      <c r="I126" s="981">
        <f t="shared" si="70"/>
        <v>0</v>
      </c>
      <c r="J126" s="981">
        <f>SUM(J123:J125)</f>
        <v>0</v>
      </c>
      <c r="K126" s="981">
        <f t="shared" si="70"/>
        <v>0</v>
      </c>
      <c r="L126" s="981">
        <f t="shared" si="70"/>
        <v>0</v>
      </c>
      <c r="M126" s="981">
        <f t="shared" si="70"/>
        <v>0</v>
      </c>
      <c r="N126" s="981">
        <f t="shared" si="70"/>
        <v>0</v>
      </c>
      <c r="O126" s="981">
        <f>SUM(O123:O125)</f>
        <v>0</v>
      </c>
      <c r="P126" s="981">
        <f>SUM(P123:P125)</f>
        <v>0</v>
      </c>
      <c r="Q126" s="981">
        <f t="shared" si="70"/>
        <v>0</v>
      </c>
      <c r="R126" s="981">
        <f t="shared" si="70"/>
        <v>0</v>
      </c>
      <c r="S126" s="981">
        <f t="shared" si="70"/>
        <v>0</v>
      </c>
      <c r="T126" s="981">
        <f>SUM(H126:S126)</f>
        <v>0</v>
      </c>
      <c r="U126" s="981"/>
      <c r="V126" s="981"/>
      <c r="W126" s="936"/>
      <c r="X126" s="937"/>
      <c r="Y126" s="937"/>
      <c r="Z126" s="937"/>
      <c r="AA126" s="937"/>
      <c r="AB126" s="937"/>
      <c r="AC126" s="937"/>
    </row>
    <row r="127" spans="1:29" ht="21" hidden="1">
      <c r="A127" s="1011"/>
      <c r="B127" s="964"/>
      <c r="C127" s="983" t="s">
        <v>924</v>
      </c>
      <c r="D127" s="964" t="s">
        <v>173</v>
      </c>
      <c r="E127" s="1011"/>
      <c r="F127" s="1011"/>
      <c r="G127" s="1011"/>
      <c r="H127" s="981">
        <f>SUM(H123:H125)-H121</f>
        <v>0</v>
      </c>
      <c r="I127" s="981">
        <f>SUM(I123:I125)-I121</f>
        <v>0</v>
      </c>
      <c r="J127" s="981">
        <f>SUM(J123:J125)-J121</f>
        <v>0</v>
      </c>
      <c r="K127" s="981">
        <f>SUM(K123:K125)-K121</f>
        <v>0</v>
      </c>
      <c r="L127" s="981">
        <f>SUM(L123:L125)-L121</f>
        <v>0</v>
      </c>
      <c r="M127" s="981">
        <f t="shared" ref="M127:S127" si="71">SUM(M123:M125)-M121</f>
        <v>0</v>
      </c>
      <c r="N127" s="981">
        <f t="shared" si="71"/>
        <v>0</v>
      </c>
      <c r="O127" s="981">
        <f t="shared" si="71"/>
        <v>0</v>
      </c>
      <c r="P127" s="981">
        <f t="shared" si="71"/>
        <v>0</v>
      </c>
      <c r="Q127" s="981">
        <f t="shared" si="71"/>
        <v>0</v>
      </c>
      <c r="R127" s="981">
        <f t="shared" si="71"/>
        <v>0</v>
      </c>
      <c r="S127" s="981">
        <f t="shared" si="71"/>
        <v>0</v>
      </c>
      <c r="T127" s="1032">
        <f>SUM(H127:S127)</f>
        <v>0</v>
      </c>
      <c r="U127" s="981"/>
      <c r="V127" s="1033" t="e">
        <f>V122/T127</f>
        <v>#DIV/0!</v>
      </c>
      <c r="W127" s="936"/>
      <c r="X127" s="937"/>
      <c r="Y127" s="937"/>
      <c r="Z127" s="937"/>
      <c r="AA127" s="937"/>
      <c r="AB127" s="937"/>
      <c r="AC127" s="937"/>
    </row>
    <row r="128" spans="1:29" ht="21" hidden="1">
      <c r="A128" s="1011"/>
      <c r="B128" s="1011"/>
      <c r="C128" s="983" t="s">
        <v>345</v>
      </c>
      <c r="D128" s="964" t="s">
        <v>173</v>
      </c>
      <c r="E128" s="1011"/>
      <c r="F128" s="1011"/>
      <c r="G128" s="1011"/>
      <c r="H128" s="981">
        <f>H115*[11]ข้อมูลการใช้พลังงานปี2550!$T$123</f>
        <v>0</v>
      </c>
      <c r="I128" s="981">
        <f>I115*[11]ข้อมูลการใช้พลังงานปี2550!$T$123</f>
        <v>0</v>
      </c>
      <c r="J128" s="981">
        <f>J115*[11]ข้อมูลการใช้พลังงานปี2550!$T$123</f>
        <v>0</v>
      </c>
      <c r="K128" s="981">
        <f>K115*[11]ข้อมูลการใช้พลังงานปี2550!$T$123</f>
        <v>0</v>
      </c>
      <c r="L128" s="981">
        <f>L115*[11]ข้อมูลการใช้พลังงานปี2550!$T$123</f>
        <v>0</v>
      </c>
      <c r="M128" s="981">
        <f>M115*[11]ข้อมูลการใช้พลังงานปี2550!$T$123</f>
        <v>0</v>
      </c>
      <c r="N128" s="981">
        <f>N115*[11]ข้อมูลการใช้พลังงานปี2550!$T$123</f>
        <v>0</v>
      </c>
      <c r="O128" s="981">
        <f>O115*[11]ข้อมูลการใช้พลังงานปี2550!$T$123</f>
        <v>0</v>
      </c>
      <c r="P128" s="981">
        <f>P115*[11]ข้อมูลการใช้พลังงานปี2550!$T$123</f>
        <v>0</v>
      </c>
      <c r="Q128" s="981">
        <f>Q115*[11]ข้อมูลการใช้พลังงานปี2550!$T$123</f>
        <v>0</v>
      </c>
      <c r="R128" s="981">
        <f>R115*[11]ข้อมูลการใช้พลังงานปี2550!$T$123</f>
        <v>0</v>
      </c>
      <c r="S128" s="981">
        <f>S115*[11]ข้อมูลการใช้พลังงานปี2550!$T$123</f>
        <v>0</v>
      </c>
      <c r="T128" s="981">
        <f>T115*[11]ข้อมูลการใช้พลังงานปี2550!$T$123</f>
        <v>0</v>
      </c>
      <c r="U128" s="981"/>
      <c r="V128" s="1001" t="s">
        <v>158</v>
      </c>
      <c r="W128" s="936"/>
      <c r="X128" s="937"/>
      <c r="Y128" s="937"/>
      <c r="Z128" s="937"/>
      <c r="AA128" s="937"/>
      <c r="AB128" s="937"/>
      <c r="AC128" s="937"/>
    </row>
    <row r="129" spans="1:36" ht="21" hidden="1">
      <c r="A129" s="1011"/>
      <c r="B129" s="1003" t="s">
        <v>174</v>
      </c>
      <c r="C129" s="1004" t="s">
        <v>138</v>
      </c>
      <c r="D129" s="1003" t="s">
        <v>347</v>
      </c>
      <c r="E129" s="1003"/>
      <c r="F129" s="1003"/>
      <c r="G129" s="1011"/>
      <c r="H129" s="1006" t="e">
        <f>H123/H115</f>
        <v>#DIV/0!</v>
      </c>
      <c r="I129" s="1006" t="e">
        <f t="shared" ref="I129:S129" si="72">I123/I115</f>
        <v>#DIV/0!</v>
      </c>
      <c r="J129" s="1006" t="e">
        <f t="shared" si="72"/>
        <v>#DIV/0!</v>
      </c>
      <c r="K129" s="1006" t="e">
        <f t="shared" si="72"/>
        <v>#DIV/0!</v>
      </c>
      <c r="L129" s="1006" t="e">
        <f t="shared" si="72"/>
        <v>#DIV/0!</v>
      </c>
      <c r="M129" s="1006" t="e">
        <f t="shared" si="72"/>
        <v>#DIV/0!</v>
      </c>
      <c r="N129" s="1006" t="e">
        <f t="shared" si="72"/>
        <v>#DIV/0!</v>
      </c>
      <c r="O129" s="1006" t="e">
        <f t="shared" si="72"/>
        <v>#DIV/0!</v>
      </c>
      <c r="P129" s="1006" t="e">
        <f t="shared" si="72"/>
        <v>#DIV/0!</v>
      </c>
      <c r="Q129" s="1006" t="e">
        <f t="shared" si="72"/>
        <v>#DIV/0!</v>
      </c>
      <c r="R129" s="1006" t="e">
        <f t="shared" si="72"/>
        <v>#DIV/0!</v>
      </c>
      <c r="S129" s="1006" t="e">
        <f t="shared" si="72"/>
        <v>#DIV/0!</v>
      </c>
      <c r="T129" s="1006" t="e">
        <f>T123/T115</f>
        <v>#DIV/0!</v>
      </c>
      <c r="U129" s="1007"/>
      <c r="V129" s="1007"/>
      <c r="W129" s="936"/>
      <c r="X129" s="937"/>
      <c r="Y129" s="937"/>
      <c r="Z129" s="937"/>
      <c r="AA129" s="937"/>
      <c r="AB129" s="937"/>
      <c r="AC129" s="937"/>
      <c r="AD129" s="937"/>
      <c r="AE129" s="937"/>
      <c r="AF129" s="937"/>
      <c r="AG129" s="937"/>
      <c r="AH129" s="937"/>
      <c r="AI129" s="937"/>
      <c r="AJ129" s="937"/>
    </row>
    <row r="130" spans="1:36" ht="21" hidden="1">
      <c r="A130" s="1011"/>
      <c r="B130" s="1003"/>
      <c r="C130" s="1004" t="s">
        <v>533</v>
      </c>
      <c r="D130" s="1003" t="s">
        <v>347</v>
      </c>
      <c r="E130" s="1003"/>
      <c r="F130" s="1003"/>
      <c r="G130" s="1011"/>
      <c r="H130" s="1006" t="e">
        <f>H124/H115</f>
        <v>#DIV/0!</v>
      </c>
      <c r="I130" s="1006" t="e">
        <f t="shared" ref="I130:S130" si="73">I124/I115</f>
        <v>#DIV/0!</v>
      </c>
      <c r="J130" s="1006" t="e">
        <f t="shared" si="73"/>
        <v>#DIV/0!</v>
      </c>
      <c r="K130" s="1006" t="e">
        <f t="shared" si="73"/>
        <v>#DIV/0!</v>
      </c>
      <c r="L130" s="1006" t="e">
        <f t="shared" si="73"/>
        <v>#DIV/0!</v>
      </c>
      <c r="M130" s="1006" t="e">
        <f t="shared" si="73"/>
        <v>#DIV/0!</v>
      </c>
      <c r="N130" s="1006" t="e">
        <f t="shared" si="73"/>
        <v>#DIV/0!</v>
      </c>
      <c r="O130" s="1006" t="e">
        <f t="shared" si="73"/>
        <v>#DIV/0!</v>
      </c>
      <c r="P130" s="1006" t="e">
        <f t="shared" si="73"/>
        <v>#DIV/0!</v>
      </c>
      <c r="Q130" s="1006" t="e">
        <f t="shared" si="73"/>
        <v>#DIV/0!</v>
      </c>
      <c r="R130" s="1006" t="e">
        <f t="shared" si="73"/>
        <v>#DIV/0!</v>
      </c>
      <c r="S130" s="1006" t="e">
        <f t="shared" si="73"/>
        <v>#DIV/0!</v>
      </c>
      <c r="T130" s="1006" t="e">
        <f>T124/T115</f>
        <v>#DIV/0!</v>
      </c>
      <c r="U130" s="1007"/>
      <c r="V130" s="1007"/>
      <c r="W130" s="936"/>
      <c r="X130" s="937"/>
      <c r="Y130" s="937"/>
      <c r="Z130" s="937"/>
      <c r="AA130" s="937"/>
      <c r="AB130" s="937"/>
      <c r="AC130" s="937"/>
      <c r="AD130" s="937"/>
      <c r="AE130" s="937"/>
      <c r="AF130" s="937"/>
      <c r="AG130" s="937"/>
      <c r="AH130" s="937"/>
      <c r="AI130" s="937"/>
      <c r="AJ130" s="937"/>
    </row>
    <row r="131" spans="1:36" ht="21" hidden="1">
      <c r="A131" s="1011"/>
      <c r="B131" s="1003"/>
      <c r="C131" s="1003" t="s">
        <v>539</v>
      </c>
      <c r="D131" s="1003"/>
      <c r="E131" s="1003"/>
      <c r="F131" s="1003"/>
      <c r="G131" s="1011"/>
      <c r="H131" s="1006" t="e">
        <f>H126/H115</f>
        <v>#DIV/0!</v>
      </c>
      <c r="I131" s="1006" t="e">
        <f t="shared" ref="I131:S131" si="74">I126/I115</f>
        <v>#DIV/0!</v>
      </c>
      <c r="J131" s="1006" t="e">
        <f t="shared" si="74"/>
        <v>#DIV/0!</v>
      </c>
      <c r="K131" s="1006" t="e">
        <f t="shared" si="74"/>
        <v>#DIV/0!</v>
      </c>
      <c r="L131" s="1006" t="e">
        <f>L126/L115</f>
        <v>#DIV/0!</v>
      </c>
      <c r="M131" s="1006" t="e">
        <f t="shared" si="74"/>
        <v>#DIV/0!</v>
      </c>
      <c r="N131" s="1006" t="e">
        <f t="shared" si="74"/>
        <v>#DIV/0!</v>
      </c>
      <c r="O131" s="1006" t="e">
        <f t="shared" si="74"/>
        <v>#DIV/0!</v>
      </c>
      <c r="P131" s="1006" t="e">
        <f t="shared" si="74"/>
        <v>#DIV/0!</v>
      </c>
      <c r="Q131" s="1006" t="e">
        <f t="shared" si="74"/>
        <v>#DIV/0!</v>
      </c>
      <c r="R131" s="1006" t="e">
        <f t="shared" si="74"/>
        <v>#DIV/0!</v>
      </c>
      <c r="S131" s="1006" t="e">
        <f t="shared" si="74"/>
        <v>#DIV/0!</v>
      </c>
      <c r="T131" s="1006" t="e">
        <f>T126/T115</f>
        <v>#DIV/0!</v>
      </c>
      <c r="U131" s="1007"/>
      <c r="V131" s="1007"/>
      <c r="W131" s="936"/>
      <c r="X131" s="937"/>
      <c r="Y131" s="937"/>
      <c r="Z131" s="937"/>
      <c r="AA131" s="937"/>
      <c r="AB131" s="937"/>
      <c r="AC131" s="937"/>
      <c r="AD131" s="937"/>
      <c r="AE131" s="937"/>
      <c r="AF131" s="937"/>
      <c r="AG131" s="937"/>
      <c r="AH131" s="937"/>
      <c r="AI131" s="937"/>
      <c r="AJ131" s="937"/>
    </row>
    <row r="132" spans="1:36" ht="23.25" hidden="1">
      <c r="A132" s="1011"/>
      <c r="B132" s="1003"/>
      <c r="C132" s="1008" t="s">
        <v>925</v>
      </c>
      <c r="D132" s="1003" t="s">
        <v>347</v>
      </c>
      <c r="E132" s="1003"/>
      <c r="F132" s="1003"/>
      <c r="G132" s="1011"/>
      <c r="H132" s="1006" t="e">
        <f>H127/H115</f>
        <v>#DIV/0!</v>
      </c>
      <c r="I132" s="1006" t="e">
        <f t="shared" ref="I132:S132" si="75">I127/I115</f>
        <v>#DIV/0!</v>
      </c>
      <c r="J132" s="1006" t="e">
        <f t="shared" si="75"/>
        <v>#DIV/0!</v>
      </c>
      <c r="K132" s="1006" t="e">
        <f t="shared" si="75"/>
        <v>#DIV/0!</v>
      </c>
      <c r="L132" s="1006" t="e">
        <f>L127/L115</f>
        <v>#DIV/0!</v>
      </c>
      <c r="M132" s="1006" t="e">
        <f t="shared" si="75"/>
        <v>#DIV/0!</v>
      </c>
      <c r="N132" s="1006" t="e">
        <f t="shared" si="75"/>
        <v>#DIV/0!</v>
      </c>
      <c r="O132" s="1006" t="e">
        <f t="shared" si="75"/>
        <v>#DIV/0!</v>
      </c>
      <c r="P132" s="1006" t="e">
        <f t="shared" si="75"/>
        <v>#DIV/0!</v>
      </c>
      <c r="Q132" s="1006" t="e">
        <f t="shared" si="75"/>
        <v>#DIV/0!</v>
      </c>
      <c r="R132" s="1006" t="e">
        <f t="shared" si="75"/>
        <v>#DIV/0!</v>
      </c>
      <c r="S132" s="1006" t="e">
        <f t="shared" si="75"/>
        <v>#DIV/0!</v>
      </c>
      <c r="T132" s="1021" t="e">
        <f>T127/T115</f>
        <v>#DIV/0!</v>
      </c>
      <c r="U132" s="1007"/>
      <c r="V132" s="1007"/>
      <c r="W132" s="936"/>
      <c r="X132" s="937"/>
      <c r="Y132" s="937"/>
      <c r="Z132" s="937"/>
      <c r="AA132" s="937"/>
      <c r="AB132" s="937"/>
      <c r="AC132" s="937"/>
      <c r="AD132" s="937"/>
      <c r="AE132" s="937"/>
      <c r="AF132" s="937"/>
      <c r="AG132" s="937"/>
      <c r="AH132" s="937"/>
      <c r="AI132" s="937"/>
      <c r="AJ132" s="937"/>
    </row>
    <row r="133" spans="1:36" ht="21" hidden="1">
      <c r="A133" s="1011"/>
      <c r="B133" s="1003"/>
      <c r="C133" s="1008" t="s">
        <v>926</v>
      </c>
      <c r="D133" s="1003"/>
      <c r="E133" s="1003"/>
      <c r="F133" s="1003"/>
      <c r="G133" s="1011" t="s">
        <v>927</v>
      </c>
      <c r="H133" s="1009" t="e">
        <f>H132/[11]ข้อมูลการใช้พลังงานปี2550!$T$123*100</f>
        <v>#DIV/0!</v>
      </c>
      <c r="I133" s="1009" t="e">
        <f>I132/[11]ข้อมูลการใช้พลังงานปี2550!$T$123*100</f>
        <v>#DIV/0!</v>
      </c>
      <c r="J133" s="1009" t="e">
        <f>J132/[11]ข้อมูลการใช้พลังงานปี2550!$T$123*100</f>
        <v>#DIV/0!</v>
      </c>
      <c r="K133" s="1009" t="e">
        <f>K132/[11]ข้อมูลการใช้พลังงานปี2550!$T$123*100</f>
        <v>#DIV/0!</v>
      </c>
      <c r="L133" s="1009" t="e">
        <f>L132/[11]ข้อมูลการใช้พลังงานปี2550!$T$123*100</f>
        <v>#DIV/0!</v>
      </c>
      <c r="M133" s="1009" t="e">
        <f>M132/[11]ข้อมูลการใช้พลังงานปี2550!$T$123*100</f>
        <v>#DIV/0!</v>
      </c>
      <c r="N133" s="1009" t="e">
        <f>N132/[11]ข้อมูลการใช้พลังงานปี2550!$T$123*100</f>
        <v>#DIV/0!</v>
      </c>
      <c r="O133" s="1009" t="e">
        <f>O132/[11]ข้อมูลการใช้พลังงานปี2550!$T$123*100</f>
        <v>#DIV/0!</v>
      </c>
      <c r="P133" s="1009" t="e">
        <f>P132/[11]ข้อมูลการใช้พลังงานปี2550!$T$123*100</f>
        <v>#DIV/0!</v>
      </c>
      <c r="Q133" s="1009" t="e">
        <f>Q132/[11]ข้อมูลการใช้พลังงานปี2550!$T$123*100</f>
        <v>#DIV/0!</v>
      </c>
      <c r="R133" s="1009" t="e">
        <f>R132/[11]ข้อมูลการใช้พลังงานปี2550!$T$123*100</f>
        <v>#DIV/0!</v>
      </c>
      <c r="S133" s="1009" t="e">
        <f>S132/[11]ข้อมูลการใช้พลังงานปี2550!$T$123*100</f>
        <v>#DIV/0!</v>
      </c>
      <c r="T133" s="1009" t="e">
        <f>T132/[11]ข้อมูลการใช้พลังงานปี2550!$T$123*100</f>
        <v>#DIV/0!</v>
      </c>
      <c r="U133" s="1007"/>
      <c r="V133" s="1007"/>
      <c r="W133" s="936"/>
      <c r="X133" s="937"/>
      <c r="Y133" s="937"/>
      <c r="Z133" s="937"/>
      <c r="AA133" s="937"/>
      <c r="AB133" s="937"/>
      <c r="AC133" s="937"/>
      <c r="AD133" s="937"/>
      <c r="AE133" s="937"/>
      <c r="AF133" s="937"/>
      <c r="AG133" s="937"/>
      <c r="AH133" s="937"/>
      <c r="AI133" s="937"/>
      <c r="AJ133" s="937"/>
    </row>
    <row r="134" spans="1:36" ht="21" hidden="1">
      <c r="A134" s="964"/>
      <c r="B134" s="1027">
        <v>6.5</v>
      </c>
      <c r="C134" s="1028" t="s">
        <v>170</v>
      </c>
      <c r="D134" s="964"/>
      <c r="E134" s="964"/>
      <c r="F134" s="964"/>
      <c r="G134" s="964"/>
      <c r="H134" s="966"/>
      <c r="I134" s="966"/>
      <c r="J134" s="966"/>
      <c r="K134" s="966"/>
      <c r="L134" s="966"/>
      <c r="M134" s="966"/>
      <c r="N134" s="966"/>
      <c r="O134" s="966"/>
      <c r="P134" s="966"/>
      <c r="Q134" s="966"/>
      <c r="R134" s="966"/>
      <c r="S134" s="966"/>
      <c r="T134" s="966"/>
      <c r="U134" s="966"/>
      <c r="V134" s="966"/>
      <c r="W134" s="936" t="s">
        <v>29</v>
      </c>
      <c r="X134" s="937" t="s">
        <v>30</v>
      </c>
      <c r="Y134" s="937" t="s">
        <v>31</v>
      </c>
      <c r="Z134" s="937" t="s">
        <v>32</v>
      </c>
      <c r="AA134" s="937" t="s">
        <v>33</v>
      </c>
      <c r="AB134" s="937" t="s">
        <v>34</v>
      </c>
      <c r="AC134" s="937" t="s">
        <v>35</v>
      </c>
      <c r="AD134" s="937" t="s">
        <v>36</v>
      </c>
      <c r="AE134" s="937" t="s">
        <v>37</v>
      </c>
      <c r="AF134" s="937" t="s">
        <v>38</v>
      </c>
      <c r="AG134" s="937" t="s">
        <v>39</v>
      </c>
      <c r="AH134" s="937" t="s">
        <v>40</v>
      </c>
      <c r="AI134" s="937" t="s">
        <v>25</v>
      </c>
      <c r="AJ134" s="946" t="s">
        <v>158</v>
      </c>
    </row>
    <row r="135" spans="1:36" ht="21" hidden="1">
      <c r="A135" s="964"/>
      <c r="B135" s="964"/>
      <c r="C135" s="1031" t="s">
        <v>138</v>
      </c>
      <c r="D135" s="964" t="s">
        <v>90</v>
      </c>
      <c r="E135" s="984">
        <f>'[11]Price&amp;Heating-Value'!$R$6</f>
        <v>3.6</v>
      </c>
      <c r="F135" s="964"/>
      <c r="G135" s="1014">
        <f>'[11]Price&amp;Heating-Value'!$P$6</f>
        <v>2.7124999999999999</v>
      </c>
      <c r="H135" s="1015">
        <v>2588254</v>
      </c>
      <c r="I135" s="1015">
        <v>2310867</v>
      </c>
      <c r="J135" s="966">
        <v>2558656.5520000001</v>
      </c>
      <c r="K135" s="966"/>
      <c r="L135" s="966"/>
      <c r="M135" s="966"/>
      <c r="N135" s="966"/>
      <c r="O135" s="966"/>
      <c r="P135" s="966"/>
      <c r="Q135" s="966"/>
      <c r="R135" s="966"/>
      <c r="S135" s="966"/>
      <c r="T135" s="966">
        <f>SUM(H135:S135)</f>
        <v>7457777.5520000001</v>
      </c>
      <c r="U135" s="966">
        <f>T135*E135</f>
        <v>26847999.187200002</v>
      </c>
      <c r="V135" s="966">
        <f>AI135</f>
        <v>22298754.880480003</v>
      </c>
      <c r="W135" s="954">
        <f>H135*'[11]Transfer Price2011'!$HE$459</f>
        <v>7738879.4600000009</v>
      </c>
      <c r="X135" s="954">
        <f>I135*'[11]Transfer Price2011'!$HE$459</f>
        <v>6909492.3300000001</v>
      </c>
      <c r="Y135" s="954">
        <f>J135*'[11]Transfer Price2011'!$HE$459</f>
        <v>7650383.0904800007</v>
      </c>
      <c r="Z135" s="954">
        <f>K135*'[11]Transfer Price2011'!$HE$459</f>
        <v>0</v>
      </c>
      <c r="AA135" s="954">
        <f>L135*'[11]Transfer Price2011'!$HE$459</f>
        <v>0</v>
      </c>
      <c r="AB135" s="954">
        <f>M135*'[11]Transfer Price2011'!$HE$459</f>
        <v>0</v>
      </c>
      <c r="AC135" s="954">
        <f>N135*'[11]Transfer Price2011'!$HE$459</f>
        <v>0</v>
      </c>
      <c r="AD135" s="954">
        <f>O135*'[11]Transfer Price2011'!$HE$459</f>
        <v>0</v>
      </c>
      <c r="AE135" s="954">
        <f>P135*'[11]Transfer Price2011'!$HE$459</f>
        <v>0</v>
      </c>
      <c r="AF135" s="954">
        <f>Q135*'[11]Transfer Price2011'!$HE$459</f>
        <v>0</v>
      </c>
      <c r="AG135" s="954">
        <f>R135*'[11]Transfer Price2011'!$HE$459</f>
        <v>0</v>
      </c>
      <c r="AH135" s="954">
        <f>S135*'[11]Transfer Price2011'!$HE$459</f>
        <v>0</v>
      </c>
      <c r="AI135" s="936">
        <f>SUM(W135:AH135)</f>
        <v>22298754.880480003</v>
      </c>
      <c r="AJ135" s="955">
        <f>AI135/U135*1000</f>
        <v>830.55555555555566</v>
      </c>
    </row>
    <row r="136" spans="1:36" ht="21" hidden="1">
      <c r="A136" s="956"/>
      <c r="B136" s="956"/>
      <c r="C136" s="983" t="s">
        <v>383</v>
      </c>
      <c r="D136" s="956"/>
      <c r="E136" s="956"/>
      <c r="F136" s="956"/>
      <c r="G136" s="956"/>
      <c r="H136" s="1029"/>
      <c r="I136" s="1029"/>
      <c r="J136" s="1029"/>
      <c r="K136" s="1029"/>
      <c r="L136" s="1029"/>
      <c r="M136" s="1029"/>
      <c r="N136" s="1029"/>
      <c r="O136" s="1029"/>
      <c r="P136" s="1029"/>
      <c r="Q136" s="1029"/>
      <c r="R136" s="1029"/>
      <c r="S136" s="1029"/>
      <c r="T136" s="1029">
        <f>SUM(H136:S136)</f>
        <v>0</v>
      </c>
      <c r="U136" s="961"/>
      <c r="V136" s="961">
        <f>SUM(V135)</f>
        <v>22298754.880480003</v>
      </c>
      <c r="W136" s="936"/>
      <c r="X136" s="937"/>
      <c r="Y136" s="937"/>
      <c r="Z136" s="937"/>
      <c r="AA136" s="937"/>
      <c r="AB136" s="937"/>
      <c r="AC136" s="937"/>
      <c r="AD136" s="937"/>
      <c r="AE136" s="937"/>
      <c r="AF136" s="937"/>
      <c r="AG136" s="937"/>
      <c r="AH136" s="946" t="s">
        <v>158</v>
      </c>
      <c r="AI136" s="946">
        <f>AI135/T140</f>
        <v>830.55555555555566</v>
      </c>
      <c r="AJ136" s="937"/>
    </row>
    <row r="137" spans="1:36" ht="21" hidden="1">
      <c r="A137" s="1011"/>
      <c r="B137" s="989"/>
      <c r="C137" s="990" t="s">
        <v>107</v>
      </c>
      <c r="D137" s="989" t="s">
        <v>163</v>
      </c>
      <c r="E137" s="989"/>
      <c r="F137" s="989"/>
      <c r="G137" s="1011"/>
      <c r="H137" s="1023">
        <v>20265696</v>
      </c>
      <c r="I137" s="1023">
        <v>16858477</v>
      </c>
      <c r="J137" s="994">
        <v>18271401</v>
      </c>
      <c r="K137" s="994"/>
      <c r="L137" s="994"/>
      <c r="M137" s="994"/>
      <c r="N137" s="994"/>
      <c r="O137" s="994"/>
      <c r="P137" s="994"/>
      <c r="Q137" s="994"/>
      <c r="R137" s="994"/>
      <c r="S137" s="994"/>
      <c r="T137" s="996">
        <f>SUM(H137:S137)</f>
        <v>55395574</v>
      </c>
      <c r="U137" s="995"/>
      <c r="V137" s="1026">
        <f>V135/T137</f>
        <v>0.40253676007545303</v>
      </c>
      <c r="W137" s="936"/>
      <c r="X137" s="937"/>
      <c r="Y137" s="937"/>
      <c r="Z137" s="937"/>
      <c r="AA137" s="937"/>
      <c r="AB137" s="937"/>
      <c r="AC137" s="937"/>
      <c r="AD137" s="937"/>
      <c r="AE137" s="937"/>
      <c r="AF137" s="937"/>
      <c r="AG137" s="937"/>
      <c r="AH137" s="937"/>
      <c r="AI137" s="937"/>
      <c r="AJ137" s="937"/>
    </row>
    <row r="138" spans="1:36" ht="21" hidden="1">
      <c r="A138" s="1011"/>
      <c r="B138" s="1011"/>
      <c r="C138" s="1030"/>
      <c r="D138" s="1011"/>
      <c r="E138" s="1011"/>
      <c r="F138" s="1011"/>
      <c r="G138" s="1011"/>
      <c r="H138" s="981"/>
      <c r="I138" s="981"/>
      <c r="J138" s="981"/>
      <c r="K138" s="981"/>
      <c r="L138" s="981"/>
      <c r="M138" s="981"/>
      <c r="N138" s="981"/>
      <c r="O138" s="981"/>
      <c r="P138" s="981"/>
      <c r="Q138" s="981"/>
      <c r="R138" s="981"/>
      <c r="S138" s="981"/>
      <c r="T138" s="981"/>
      <c r="U138" s="981"/>
      <c r="V138" s="997" t="s">
        <v>137</v>
      </c>
      <c r="W138" s="936"/>
      <c r="X138" s="937"/>
      <c r="Y138" s="937"/>
      <c r="Z138" s="937"/>
      <c r="AA138" s="937"/>
      <c r="AB138" s="937"/>
      <c r="AC138" s="937"/>
      <c r="AD138" s="937"/>
      <c r="AE138" s="937"/>
      <c r="AF138" s="937"/>
      <c r="AG138" s="937"/>
      <c r="AH138" s="937"/>
      <c r="AI138" s="937"/>
      <c r="AJ138" s="937"/>
    </row>
    <row r="139" spans="1:36" ht="21" hidden="1">
      <c r="A139" s="1011"/>
      <c r="B139" s="1011"/>
      <c r="C139" s="1031" t="s">
        <v>138</v>
      </c>
      <c r="D139" s="1011" t="s">
        <v>173</v>
      </c>
      <c r="E139" s="964"/>
      <c r="F139" s="964"/>
      <c r="G139" s="1011"/>
      <c r="H139" s="981">
        <f>H135*$E$135/1000</f>
        <v>9317.7144000000008</v>
      </c>
      <c r="I139" s="981">
        <f t="shared" ref="I139:J139" si="76">I135*$E$100/1000</f>
        <v>8319.1211999999996</v>
      </c>
      <c r="J139" s="981">
        <f t="shared" si="76"/>
        <v>9211.1635872000006</v>
      </c>
      <c r="K139" s="981"/>
      <c r="L139" s="981"/>
      <c r="M139" s="981"/>
      <c r="N139" s="981"/>
      <c r="O139" s="981"/>
      <c r="P139" s="981"/>
      <c r="Q139" s="981"/>
      <c r="R139" s="981"/>
      <c r="S139" s="981"/>
      <c r="T139" s="981">
        <f>SUM(H139:S139)</f>
        <v>26847.999187199999</v>
      </c>
      <c r="U139" s="981"/>
      <c r="V139" s="981"/>
      <c r="W139" s="936"/>
      <c r="X139" s="937"/>
      <c r="Y139" s="937"/>
      <c r="Z139" s="937"/>
      <c r="AA139" s="937"/>
      <c r="AB139" s="937"/>
      <c r="AC139" s="937"/>
      <c r="AD139" s="937"/>
      <c r="AE139" s="937"/>
      <c r="AF139" s="937"/>
      <c r="AG139" s="937"/>
      <c r="AH139" s="937"/>
      <c r="AI139" s="937"/>
      <c r="AJ139" s="937"/>
    </row>
    <row r="140" spans="1:36" ht="21" hidden="1">
      <c r="A140" s="1011"/>
      <c r="B140" s="964"/>
      <c r="C140" s="983" t="s">
        <v>384</v>
      </c>
      <c r="D140" s="964" t="s">
        <v>173</v>
      </c>
      <c r="E140" s="1011"/>
      <c r="F140" s="1011"/>
      <c r="G140" s="1011"/>
      <c r="H140" s="981">
        <f>SUM(H139)</f>
        <v>9317.7144000000008</v>
      </c>
      <c r="I140" s="981">
        <f t="shared" ref="I140:J140" si="77">SUM(I139)</f>
        <v>8319.1211999999996</v>
      </c>
      <c r="J140" s="981">
        <f t="shared" si="77"/>
        <v>9211.1635872000006</v>
      </c>
      <c r="K140" s="981"/>
      <c r="L140" s="981"/>
      <c r="M140" s="981"/>
      <c r="N140" s="981"/>
      <c r="O140" s="981"/>
      <c r="P140" s="981"/>
      <c r="Q140" s="981"/>
      <c r="R140" s="981"/>
      <c r="S140" s="981"/>
      <c r="T140" s="1032">
        <f>SUM(H140:S140)</f>
        <v>26847.999187199999</v>
      </c>
      <c r="U140" s="981"/>
      <c r="V140" s="1033">
        <f>V135/T140</f>
        <v>830.55555555555566</v>
      </c>
      <c r="W140" s="936"/>
      <c r="X140" s="937"/>
      <c r="Y140" s="937"/>
      <c r="Z140" s="937"/>
      <c r="AA140" s="937"/>
      <c r="AB140" s="937"/>
      <c r="AC140" s="937"/>
      <c r="AD140" s="937"/>
      <c r="AE140" s="937"/>
      <c r="AF140" s="937"/>
      <c r="AG140" s="937"/>
      <c r="AH140" s="937"/>
      <c r="AI140" s="937"/>
      <c r="AJ140" s="937"/>
    </row>
    <row r="141" spans="1:36" ht="21" hidden="1">
      <c r="A141" s="1011"/>
      <c r="B141" s="1011"/>
      <c r="C141" s="983" t="s">
        <v>345</v>
      </c>
      <c r="D141" s="964" t="s">
        <v>173</v>
      </c>
      <c r="E141" s="1011"/>
      <c r="F141" s="1011"/>
      <c r="G141" s="1011"/>
      <c r="H141" s="981">
        <f>(0.0002*H137 + 7588.3)*87.96/100</f>
        <v>10239.80992032</v>
      </c>
      <c r="I141" s="981">
        <f t="shared" ref="I141" si="78">(0.0002*I137 + 7588.3)*87.96/100</f>
        <v>9640.4119538399991</v>
      </c>
      <c r="J141" s="981">
        <f>(0.0002*J137 + 7588.3)*87.96/100</f>
        <v>9888.9735439199994</v>
      </c>
      <c r="K141" s="981"/>
      <c r="L141" s="981"/>
      <c r="M141" s="981"/>
      <c r="N141" s="981"/>
      <c r="O141" s="981"/>
      <c r="P141" s="981"/>
      <c r="Q141" s="981"/>
      <c r="R141" s="981"/>
      <c r="S141" s="981"/>
      <c r="T141" s="1032">
        <f>SUM(H141:S141)</f>
        <v>29769.195418080002</v>
      </c>
      <c r="U141" s="981"/>
      <c r="V141" s="1001" t="s">
        <v>158</v>
      </c>
      <c r="W141" s="936"/>
      <c r="X141" s="937"/>
      <c r="Y141" s="937"/>
      <c r="Z141" s="937"/>
      <c r="AA141" s="937"/>
      <c r="AB141" s="937"/>
      <c r="AC141" s="937"/>
      <c r="AD141" s="937"/>
      <c r="AE141" s="937"/>
      <c r="AF141" s="937"/>
      <c r="AG141" s="937"/>
      <c r="AH141" s="937"/>
      <c r="AI141" s="937"/>
      <c r="AJ141" s="937"/>
    </row>
    <row r="142" spans="1:36" ht="21" hidden="1">
      <c r="A142" s="1011"/>
      <c r="B142" s="1003" t="s">
        <v>174</v>
      </c>
      <c r="C142" s="1004" t="s">
        <v>138</v>
      </c>
      <c r="D142" s="1003" t="s">
        <v>374</v>
      </c>
      <c r="E142" s="1003"/>
      <c r="F142" s="1003"/>
      <c r="G142" s="1011"/>
      <c r="H142" s="1006">
        <f>H139/H137*1000</f>
        <v>0.45977766566714512</v>
      </c>
      <c r="I142" s="1006">
        <f>I139/I137*1000</f>
        <v>0.49346813475499596</v>
      </c>
      <c r="J142" s="1006">
        <f>J139/J137*1000</f>
        <v>0.5041301204653108</v>
      </c>
      <c r="K142" s="1006"/>
      <c r="L142" s="1006"/>
      <c r="M142" s="1006"/>
      <c r="N142" s="1006"/>
      <c r="O142" s="1006"/>
      <c r="P142" s="1006"/>
      <c r="Q142" s="1006"/>
      <c r="R142" s="1006"/>
      <c r="S142" s="1006"/>
      <c r="T142" s="1006">
        <f t="shared" ref="T142" si="79">T139/T137*1000</f>
        <v>0.48465964423800356</v>
      </c>
      <c r="U142" s="1007"/>
      <c r="V142" s="1007"/>
      <c r="W142" s="936"/>
      <c r="X142" s="937"/>
      <c r="Y142" s="937"/>
      <c r="Z142" s="937"/>
      <c r="AA142" s="937"/>
      <c r="AB142" s="937"/>
      <c r="AC142" s="937"/>
      <c r="AD142" s="937"/>
      <c r="AE142" s="937"/>
      <c r="AF142" s="937"/>
      <c r="AG142" s="937"/>
      <c r="AH142" s="937"/>
      <c r="AI142" s="937"/>
      <c r="AJ142" s="937"/>
    </row>
    <row r="143" spans="1:36" ht="23.25" hidden="1">
      <c r="A143" s="1011"/>
      <c r="B143" s="1003"/>
      <c r="C143" s="1008" t="s">
        <v>385</v>
      </c>
      <c r="D143" s="1003" t="s">
        <v>374</v>
      </c>
      <c r="E143" s="1003"/>
      <c r="F143" s="1003"/>
      <c r="G143" s="1011"/>
      <c r="H143" s="1006">
        <f>H140/H137*1000</f>
        <v>0.45977766566714512</v>
      </c>
      <c r="I143" s="1006">
        <f t="shared" ref="I143:J143" si="80">I140/I137*1000</f>
        <v>0.49346813475499596</v>
      </c>
      <c r="J143" s="1006">
        <f t="shared" si="80"/>
        <v>0.5041301204653108</v>
      </c>
      <c r="K143" s="1006"/>
      <c r="L143" s="1006"/>
      <c r="M143" s="1006"/>
      <c r="N143" s="1006"/>
      <c r="O143" s="1006"/>
      <c r="P143" s="1006"/>
      <c r="Q143" s="1006"/>
      <c r="R143" s="1006"/>
      <c r="S143" s="1006"/>
      <c r="T143" s="1021">
        <f>T140/T137*1000</f>
        <v>0.48465964423800356</v>
      </c>
      <c r="U143" s="1007"/>
      <c r="V143" s="1007"/>
      <c r="W143" s="936"/>
      <c r="X143" s="937"/>
      <c r="Y143" s="937"/>
      <c r="Z143" s="937"/>
      <c r="AA143" s="937"/>
      <c r="AB143" s="937"/>
      <c r="AC143" s="937"/>
      <c r="AD143" s="937"/>
      <c r="AE143" s="937"/>
      <c r="AF143" s="937"/>
      <c r="AG143" s="937"/>
      <c r="AH143" s="937"/>
      <c r="AI143" s="937"/>
      <c r="AJ143" s="937"/>
    </row>
    <row r="144" spans="1:36" ht="21" hidden="1">
      <c r="A144" s="1011"/>
      <c r="B144" s="1003"/>
      <c r="C144" s="1008" t="s">
        <v>386</v>
      </c>
      <c r="D144" s="1003"/>
      <c r="E144" s="1003"/>
      <c r="F144" s="1003"/>
      <c r="G144" s="1011"/>
      <c r="H144" s="1009">
        <f>H140/H141*100</f>
        <v>90.994993779228437</v>
      </c>
      <c r="I144" s="1009">
        <f>I140/I141*100</f>
        <v>86.294250078040506</v>
      </c>
      <c r="J144" s="1009">
        <f>J140/J141*100</f>
        <v>93.145800686900074</v>
      </c>
      <c r="K144" s="1009"/>
      <c r="L144" s="1009"/>
      <c r="M144" s="1009"/>
      <c r="N144" s="1009"/>
      <c r="O144" s="1009"/>
      <c r="P144" s="1009"/>
      <c r="Q144" s="1009"/>
      <c r="R144" s="1009"/>
      <c r="S144" s="1009"/>
      <c r="T144" s="1009">
        <f>T140/T141*100</f>
        <v>90.187184470878094</v>
      </c>
      <c r="U144" s="1007"/>
      <c r="V144" s="1007"/>
      <c r="W144" s="936"/>
      <c r="X144" s="937"/>
      <c r="Y144" s="937"/>
      <c r="Z144" s="937"/>
      <c r="AA144" s="937"/>
      <c r="AB144" s="937"/>
      <c r="AC144" s="937"/>
      <c r="AD144" s="937"/>
      <c r="AE144" s="937"/>
      <c r="AF144" s="937"/>
      <c r="AG144" s="937"/>
      <c r="AH144" s="937"/>
      <c r="AI144" s="937"/>
      <c r="AJ144" s="937"/>
    </row>
    <row r="145" spans="1:36" ht="21" hidden="1">
      <c r="A145" s="964"/>
      <c r="B145" s="1027">
        <v>6.6</v>
      </c>
      <c r="C145" s="1028" t="s">
        <v>172</v>
      </c>
      <c r="D145" s="964"/>
      <c r="E145" s="964"/>
      <c r="F145" s="964"/>
      <c r="G145" s="964"/>
      <c r="H145" s="966"/>
      <c r="I145" s="966"/>
      <c r="J145" s="966"/>
      <c r="K145" s="966"/>
      <c r="L145" s="966"/>
      <c r="M145" s="966"/>
      <c r="N145" s="966"/>
      <c r="O145" s="966"/>
      <c r="P145" s="966"/>
      <c r="Q145" s="966"/>
      <c r="R145" s="966"/>
      <c r="S145" s="966"/>
      <c r="T145" s="966"/>
      <c r="U145" s="966"/>
      <c r="V145" s="966"/>
      <c r="W145" s="936" t="s">
        <v>29</v>
      </c>
      <c r="X145" s="937" t="s">
        <v>30</v>
      </c>
      <c r="Y145" s="937" t="s">
        <v>31</v>
      </c>
      <c r="Z145" s="937" t="s">
        <v>32</v>
      </c>
      <c r="AA145" s="937" t="s">
        <v>33</v>
      </c>
      <c r="AB145" s="937" t="s">
        <v>34</v>
      </c>
      <c r="AC145" s="937" t="s">
        <v>35</v>
      </c>
      <c r="AD145" s="937" t="s">
        <v>36</v>
      </c>
      <c r="AE145" s="937" t="s">
        <v>37</v>
      </c>
      <c r="AF145" s="937" t="s">
        <v>38</v>
      </c>
      <c r="AG145" s="937" t="s">
        <v>39</v>
      </c>
      <c r="AH145" s="937" t="s">
        <v>40</v>
      </c>
      <c r="AI145" s="937" t="s">
        <v>25</v>
      </c>
      <c r="AJ145" s="946" t="s">
        <v>158</v>
      </c>
    </row>
    <row r="146" spans="1:36" ht="21" hidden="1">
      <c r="A146" s="964"/>
      <c r="B146" s="964"/>
      <c r="C146" s="1031" t="s">
        <v>138</v>
      </c>
      <c r="D146" s="964" t="s">
        <v>90</v>
      </c>
      <c r="E146" s="984">
        <f>'[11]Price&amp;Heating-Value'!$R$6</f>
        <v>3.6</v>
      </c>
      <c r="F146" s="964"/>
      <c r="G146" s="1014">
        <f>'[11]Price&amp;Heating-Value'!$P$6</f>
        <v>2.7124999999999999</v>
      </c>
      <c r="H146" s="1015">
        <v>53247</v>
      </c>
      <c r="I146" s="1015">
        <v>49052</v>
      </c>
      <c r="J146" s="966">
        <v>53085</v>
      </c>
      <c r="K146" s="966"/>
      <c r="L146" s="966"/>
      <c r="M146" s="966"/>
      <c r="N146" s="966"/>
      <c r="O146" s="966"/>
      <c r="P146" s="966"/>
      <c r="Q146" s="966"/>
      <c r="R146" s="966"/>
      <c r="S146" s="966"/>
      <c r="T146" s="966">
        <f>SUM(H146:S146)</f>
        <v>155384</v>
      </c>
      <c r="U146" s="966">
        <f>T146*E146</f>
        <v>559382.4</v>
      </c>
      <c r="V146" s="966">
        <f>AI146</f>
        <v>464598.16000000003</v>
      </c>
      <c r="W146" s="954">
        <f>H146*'[11]Transfer Price2011'!$HE$459</f>
        <v>159208.53</v>
      </c>
      <c r="X146" s="954">
        <f>I146*'[11]Transfer Price2011'!$HE$459</f>
        <v>146665.48000000001</v>
      </c>
      <c r="Y146" s="954">
        <f>J146*'[11]Transfer Price2011'!$HE$459</f>
        <v>158724.15000000002</v>
      </c>
      <c r="Z146" s="954">
        <f>K146*'[11]Transfer Price2011'!$HE$459</f>
        <v>0</v>
      </c>
      <c r="AA146" s="954">
        <f>L146*'[11]Transfer Price2011'!$HE$459</f>
        <v>0</v>
      </c>
      <c r="AB146" s="954">
        <f>M146*'[11]Transfer Price2011'!$HE$459</f>
        <v>0</v>
      </c>
      <c r="AC146" s="954">
        <f>N146*'[11]Transfer Price2011'!$HE$459</f>
        <v>0</v>
      </c>
      <c r="AD146" s="954">
        <f>O146*'[11]Transfer Price2011'!$HE$459</f>
        <v>0</v>
      </c>
      <c r="AE146" s="954">
        <f>P146*'[11]Transfer Price2011'!$HE$459</f>
        <v>0</v>
      </c>
      <c r="AF146" s="954">
        <f>Q146*'[11]Transfer Price2011'!$HE$459</f>
        <v>0</v>
      </c>
      <c r="AG146" s="954">
        <f>R146*'[11]Transfer Price2011'!$HE$459</f>
        <v>0</v>
      </c>
      <c r="AH146" s="954">
        <f>S146*'[11]Transfer Price2011'!$HE$459</f>
        <v>0</v>
      </c>
      <c r="AI146" s="936">
        <f>SUM(W146:AH146)</f>
        <v>464598.16000000003</v>
      </c>
      <c r="AJ146" s="955">
        <f>AI146/U146*1000</f>
        <v>830.55555555555566</v>
      </c>
    </row>
    <row r="147" spans="1:36" ht="21" hidden="1">
      <c r="A147" s="956"/>
      <c r="B147" s="956"/>
      <c r="C147" s="983" t="s">
        <v>383</v>
      </c>
      <c r="D147" s="956"/>
      <c r="E147" s="956"/>
      <c r="F147" s="956"/>
      <c r="G147" s="956"/>
      <c r="H147" s="1029">
        <f>H146*$E$146</f>
        <v>191689.2</v>
      </c>
      <c r="I147" s="1029">
        <f t="shared" ref="I147:J147" si="81">I146*$E$146</f>
        <v>176587.2</v>
      </c>
      <c r="J147" s="1029">
        <f t="shared" si="81"/>
        <v>191106</v>
      </c>
      <c r="K147" s="1029"/>
      <c r="L147" s="1029"/>
      <c r="M147" s="1029"/>
      <c r="N147" s="1029"/>
      <c r="O147" s="1029"/>
      <c r="P147" s="1029"/>
      <c r="Q147" s="1029"/>
      <c r="R147" s="1029"/>
      <c r="S147" s="1029"/>
      <c r="T147" s="1029">
        <f>SUM(H147:S147)</f>
        <v>559382.4</v>
      </c>
      <c r="U147" s="961"/>
      <c r="V147" s="961">
        <f>SUM(V146)</f>
        <v>464598.16000000003</v>
      </c>
      <c r="W147" s="936"/>
      <c r="X147" s="937"/>
      <c r="Y147" s="937"/>
      <c r="Z147" s="937"/>
      <c r="AA147" s="937"/>
      <c r="AB147" s="937"/>
      <c r="AC147" s="937"/>
      <c r="AD147" s="937"/>
      <c r="AE147" s="937"/>
      <c r="AF147" s="937"/>
      <c r="AG147" s="937"/>
      <c r="AH147" s="946" t="s">
        <v>158</v>
      </c>
      <c r="AI147" s="946">
        <f>AI146/T151</f>
        <v>830.55555555555566</v>
      </c>
      <c r="AJ147" s="937"/>
    </row>
    <row r="148" spans="1:36" ht="21" hidden="1">
      <c r="A148" s="1011"/>
      <c r="B148" s="989"/>
      <c r="C148" s="990" t="s">
        <v>107</v>
      </c>
      <c r="D148" s="989" t="s">
        <v>163</v>
      </c>
      <c r="E148" s="989"/>
      <c r="F148" s="989"/>
      <c r="G148" s="1011"/>
      <c r="H148" s="1023">
        <v>4349948</v>
      </c>
      <c r="I148" s="1023">
        <v>4112364</v>
      </c>
      <c r="J148" s="994">
        <v>4078353</v>
      </c>
      <c r="K148" s="994"/>
      <c r="L148" s="994"/>
      <c r="M148" s="994"/>
      <c r="N148" s="994"/>
      <c r="O148" s="994"/>
      <c r="P148" s="994"/>
      <c r="Q148" s="994"/>
      <c r="R148" s="994"/>
      <c r="S148" s="994"/>
      <c r="T148" s="996">
        <f>SUM(H148:S148)</f>
        <v>12540665</v>
      </c>
      <c r="U148" s="995"/>
      <c r="V148" s="1026">
        <f>V146/T148</f>
        <v>3.7047330424662489E-2</v>
      </c>
      <c r="W148" s="936"/>
      <c r="X148" s="937"/>
      <c r="Y148" s="937"/>
      <c r="Z148" s="937"/>
      <c r="AA148" s="937"/>
      <c r="AB148" s="937"/>
      <c r="AC148" s="937"/>
      <c r="AD148" s="937"/>
      <c r="AE148" s="937"/>
      <c r="AF148" s="937"/>
      <c r="AG148" s="937"/>
      <c r="AH148" s="937"/>
      <c r="AI148" s="937"/>
      <c r="AJ148" s="937"/>
    </row>
    <row r="149" spans="1:36" ht="21" hidden="1">
      <c r="A149" s="1011"/>
      <c r="B149" s="1011"/>
      <c r="C149" s="1030"/>
      <c r="D149" s="1011"/>
      <c r="E149" s="1011"/>
      <c r="F149" s="1011"/>
      <c r="G149" s="1011"/>
      <c r="H149" s="981"/>
      <c r="I149" s="981"/>
      <c r="J149" s="981"/>
      <c r="K149" s="981"/>
      <c r="L149" s="981"/>
      <c r="M149" s="981"/>
      <c r="N149" s="981"/>
      <c r="O149" s="981"/>
      <c r="P149" s="981"/>
      <c r="Q149" s="981"/>
      <c r="R149" s="981"/>
      <c r="S149" s="981"/>
      <c r="T149" s="981"/>
      <c r="U149" s="981"/>
      <c r="V149" s="997" t="s">
        <v>137</v>
      </c>
      <c r="W149" s="936"/>
      <c r="X149" s="937"/>
      <c r="Y149" s="937"/>
      <c r="Z149" s="937"/>
      <c r="AA149" s="937"/>
      <c r="AB149" s="937"/>
      <c r="AC149" s="937"/>
      <c r="AD149" s="937"/>
      <c r="AE149" s="937"/>
      <c r="AF149" s="937"/>
      <c r="AG149" s="937"/>
      <c r="AH149" s="937"/>
      <c r="AI149" s="937"/>
      <c r="AJ149" s="937"/>
    </row>
    <row r="150" spans="1:36" ht="21" hidden="1">
      <c r="A150" s="1011"/>
      <c r="B150" s="1011"/>
      <c r="C150" s="1031" t="s">
        <v>138</v>
      </c>
      <c r="D150" s="1011" t="s">
        <v>173</v>
      </c>
      <c r="E150" s="964"/>
      <c r="F150" s="964"/>
      <c r="G150" s="1011"/>
      <c r="H150" s="981">
        <f>H146*$E$146/1000</f>
        <v>191.6892</v>
      </c>
      <c r="I150" s="981">
        <f t="shared" ref="I150:J150" si="82">I146*$E$146/1000</f>
        <v>176.58720000000002</v>
      </c>
      <c r="J150" s="981">
        <f t="shared" si="82"/>
        <v>191.10599999999999</v>
      </c>
      <c r="K150" s="981"/>
      <c r="L150" s="981"/>
      <c r="M150" s="981"/>
      <c r="N150" s="981"/>
      <c r="O150" s="981"/>
      <c r="P150" s="981"/>
      <c r="Q150" s="981"/>
      <c r="R150" s="981"/>
      <c r="S150" s="981"/>
      <c r="T150" s="981">
        <f>SUM(H150:S150)</f>
        <v>559.38239999999996</v>
      </c>
      <c r="U150" s="981"/>
      <c r="V150" s="981"/>
      <c r="W150" s="936"/>
      <c r="X150" s="937"/>
      <c r="Y150" s="937"/>
      <c r="Z150" s="937"/>
      <c r="AA150" s="937"/>
      <c r="AB150" s="937"/>
      <c r="AC150" s="937"/>
      <c r="AD150" s="937"/>
      <c r="AE150" s="937"/>
      <c r="AF150" s="937"/>
      <c r="AG150" s="937"/>
      <c r="AH150" s="937"/>
      <c r="AI150" s="937"/>
      <c r="AJ150" s="937"/>
    </row>
    <row r="151" spans="1:36" ht="21" hidden="1">
      <c r="A151" s="1011"/>
      <c r="B151" s="964"/>
      <c r="C151" s="983" t="s">
        <v>387</v>
      </c>
      <c r="D151" s="964" t="s">
        <v>173</v>
      </c>
      <c r="E151" s="1011"/>
      <c r="F151" s="1011"/>
      <c r="G151" s="1011"/>
      <c r="H151" s="981">
        <f>SUM(H150)</f>
        <v>191.6892</v>
      </c>
      <c r="I151" s="981">
        <f t="shared" ref="I151:J151" si="83">SUM(I150)</f>
        <v>176.58720000000002</v>
      </c>
      <c r="J151" s="981">
        <f t="shared" si="83"/>
        <v>191.10599999999999</v>
      </c>
      <c r="K151" s="981"/>
      <c r="L151" s="981"/>
      <c r="M151" s="981"/>
      <c r="N151" s="981"/>
      <c r="O151" s="981"/>
      <c r="P151" s="981"/>
      <c r="Q151" s="981"/>
      <c r="R151" s="981"/>
      <c r="S151" s="981"/>
      <c r="T151" s="1032">
        <f>SUM(H151:S151)</f>
        <v>559.38239999999996</v>
      </c>
      <c r="U151" s="981"/>
      <c r="V151" s="1033">
        <f>V146/T151</f>
        <v>830.55555555555566</v>
      </c>
      <c r="W151" s="936"/>
      <c r="X151" s="937"/>
      <c r="Y151" s="937"/>
      <c r="Z151" s="937"/>
      <c r="AA151" s="937"/>
      <c r="AB151" s="937"/>
      <c r="AC151" s="937"/>
      <c r="AD151" s="937"/>
      <c r="AE151" s="937"/>
      <c r="AF151" s="937"/>
      <c r="AG151" s="937"/>
      <c r="AH151" s="937"/>
      <c r="AI151" s="937"/>
      <c r="AJ151" s="937"/>
    </row>
    <row r="152" spans="1:36" ht="21" hidden="1">
      <c r="A152" s="1011"/>
      <c r="B152" s="1011"/>
      <c r="C152" s="983" t="s">
        <v>345</v>
      </c>
      <c r="D152" s="964" t="s">
        <v>173</v>
      </c>
      <c r="E152" s="1011"/>
      <c r="F152" s="1011"/>
      <c r="G152" s="1011">
        <f>H148*0.524/1000</f>
        <v>2279.3727519999998</v>
      </c>
      <c r="H152" s="981">
        <f>(0.00002*H148 + 123.08)*97.54/100</f>
        <v>204.91101758400001</v>
      </c>
      <c r="I152" s="981">
        <f>(0.00002*I148 + 123.08)*97.54/100</f>
        <v>200.27622891199999</v>
      </c>
      <c r="J152" s="981">
        <f>(0.00002*J148 + 123.08)*97.54/100</f>
        <v>199.61274232400004</v>
      </c>
      <c r="K152" s="981"/>
      <c r="L152" s="981"/>
      <c r="M152" s="981"/>
      <c r="N152" s="981"/>
      <c r="O152" s="981"/>
      <c r="P152" s="981"/>
      <c r="Q152" s="981"/>
      <c r="R152" s="981"/>
      <c r="S152" s="981"/>
      <c r="T152" s="1032">
        <f>SUM(H152:S152)</f>
        <v>604.79998882000007</v>
      </c>
      <c r="U152" s="981"/>
      <c r="V152" s="1001" t="s">
        <v>158</v>
      </c>
      <c r="W152" s="936"/>
      <c r="X152" s="937"/>
      <c r="Y152" s="937"/>
      <c r="Z152" s="937"/>
      <c r="AA152" s="937"/>
      <c r="AB152" s="937"/>
      <c r="AC152" s="937"/>
      <c r="AD152" s="937"/>
      <c r="AE152" s="937"/>
      <c r="AF152" s="937"/>
      <c r="AG152" s="937"/>
      <c r="AH152" s="937"/>
      <c r="AI152" s="937"/>
      <c r="AJ152" s="937"/>
    </row>
    <row r="153" spans="1:36" ht="21" hidden="1">
      <c r="A153" s="1011"/>
      <c r="B153" s="1003" t="s">
        <v>174</v>
      </c>
      <c r="C153" s="1004" t="s">
        <v>138</v>
      </c>
      <c r="D153" s="1003" t="s">
        <v>374</v>
      </c>
      <c r="E153" s="1003"/>
      <c r="F153" s="1003"/>
      <c r="G153" s="1011"/>
      <c r="H153" s="1006">
        <f>H150/H148*1000</f>
        <v>4.4067009536665723E-2</v>
      </c>
      <c r="I153" s="1006">
        <f>I150/I148*1000</f>
        <v>4.2940556818413939E-2</v>
      </c>
      <c r="J153" s="1006">
        <f>J150/J148*1000</f>
        <v>4.6858621605339212E-2</v>
      </c>
      <c r="K153" s="1006"/>
      <c r="L153" s="1006"/>
      <c r="M153" s="1006"/>
      <c r="N153" s="1006"/>
      <c r="O153" s="1006"/>
      <c r="P153" s="1006"/>
      <c r="Q153" s="1006"/>
      <c r="R153" s="1006"/>
      <c r="S153" s="1006"/>
      <c r="T153" s="1006">
        <f t="shared" ref="T153" si="84">T150/T148*1000</f>
        <v>4.4605481447754163E-2</v>
      </c>
      <c r="U153" s="1007"/>
      <c r="V153" s="1007"/>
      <c r="W153" s="936"/>
      <c r="X153" s="937"/>
      <c r="Y153" s="937"/>
      <c r="Z153" s="937"/>
      <c r="AA153" s="937"/>
      <c r="AB153" s="937"/>
      <c r="AC153" s="937"/>
      <c r="AD153" s="937"/>
      <c r="AE153" s="937"/>
      <c r="AF153" s="937"/>
      <c r="AG153" s="937"/>
      <c r="AH153" s="937"/>
      <c r="AI153" s="937"/>
      <c r="AJ153" s="937"/>
    </row>
    <row r="154" spans="1:36" ht="23.25" hidden="1">
      <c r="A154" s="1011"/>
      <c r="B154" s="1003"/>
      <c r="C154" s="1008" t="s">
        <v>388</v>
      </c>
      <c r="D154" s="1003" t="s">
        <v>374</v>
      </c>
      <c r="E154" s="1003"/>
      <c r="F154" s="1003"/>
      <c r="G154" s="1011"/>
      <c r="H154" s="1006">
        <f>H151/H148*1000</f>
        <v>4.4067009536665723E-2</v>
      </c>
      <c r="I154" s="1006">
        <f t="shared" ref="I154:J154" si="85">I151/I148*1000</f>
        <v>4.2940556818413939E-2</v>
      </c>
      <c r="J154" s="1006">
        <f t="shared" si="85"/>
        <v>4.6858621605339212E-2</v>
      </c>
      <c r="K154" s="1006"/>
      <c r="L154" s="1006"/>
      <c r="M154" s="1006"/>
      <c r="N154" s="1006"/>
      <c r="O154" s="1006"/>
      <c r="P154" s="1006"/>
      <c r="Q154" s="1006"/>
      <c r="R154" s="1006"/>
      <c r="S154" s="1006"/>
      <c r="T154" s="1021">
        <f>T151/T148*1000</f>
        <v>4.4605481447754163E-2</v>
      </c>
      <c r="U154" s="1007"/>
      <c r="V154" s="1007"/>
      <c r="W154" s="936"/>
      <c r="X154" s="937"/>
      <c r="Y154" s="937"/>
      <c r="Z154" s="937"/>
      <c r="AA154" s="937"/>
      <c r="AB154" s="937"/>
      <c r="AC154" s="937"/>
      <c r="AD154" s="937"/>
      <c r="AE154" s="937"/>
      <c r="AF154" s="937"/>
      <c r="AG154" s="937"/>
      <c r="AH154" s="937"/>
      <c r="AI154" s="937"/>
      <c r="AJ154" s="937"/>
    </row>
    <row r="155" spans="1:36" ht="21" hidden="1">
      <c r="A155" s="1011"/>
      <c r="B155" s="1003"/>
      <c r="C155" s="1008" t="s">
        <v>389</v>
      </c>
      <c r="D155" s="1003"/>
      <c r="E155" s="1003"/>
      <c r="F155" s="1003"/>
      <c r="G155" s="1011"/>
      <c r="H155" s="1009">
        <f>H151/H152*100</f>
        <v>93.547532123996248</v>
      </c>
      <c r="I155" s="1009">
        <f>I151/I152*100</f>
        <v>88.171821967743981</v>
      </c>
      <c r="J155" s="1009">
        <f>J151/J152*100</f>
        <v>95.738377107112541</v>
      </c>
      <c r="K155" s="1009"/>
      <c r="L155" s="1009"/>
      <c r="M155" s="1009"/>
      <c r="N155" s="1009"/>
      <c r="O155" s="1009"/>
      <c r="P155" s="1009"/>
      <c r="Q155" s="1009"/>
      <c r="R155" s="1009"/>
      <c r="S155" s="1009"/>
      <c r="T155" s="1009">
        <f>T151/T152*100</f>
        <v>92.490477900204255</v>
      </c>
      <c r="U155" s="1007"/>
      <c r="V155" s="1007"/>
      <c r="W155" s="936"/>
      <c r="X155" s="937"/>
      <c r="Y155" s="937"/>
      <c r="Z155" s="937"/>
      <c r="AA155" s="937"/>
      <c r="AB155" s="937"/>
      <c r="AC155" s="937"/>
      <c r="AD155" s="937"/>
      <c r="AE155" s="937"/>
      <c r="AF155" s="937"/>
      <c r="AG155" s="937"/>
      <c r="AH155" s="937"/>
      <c r="AI155" s="937"/>
      <c r="AJ155" s="937"/>
    </row>
    <row r="156" spans="1:36" ht="21" hidden="1">
      <c r="A156" s="964"/>
      <c r="B156" s="1027">
        <v>6.7</v>
      </c>
      <c r="C156" s="1028" t="s">
        <v>175</v>
      </c>
      <c r="D156" s="964"/>
      <c r="E156" s="964"/>
      <c r="F156" s="964"/>
      <c r="G156" s="964"/>
      <c r="H156" s="966"/>
      <c r="I156" s="966"/>
      <c r="J156" s="966"/>
      <c r="K156" s="966"/>
      <c r="L156" s="966"/>
      <c r="M156" s="966"/>
      <c r="N156" s="966"/>
      <c r="O156" s="966"/>
      <c r="P156" s="966"/>
      <c r="Q156" s="966"/>
      <c r="R156" s="966"/>
      <c r="S156" s="966"/>
      <c r="T156" s="966"/>
      <c r="U156" s="966"/>
      <c r="V156" s="966"/>
      <c r="W156" s="936" t="s">
        <v>29</v>
      </c>
      <c r="X156" s="937" t="s">
        <v>30</v>
      </c>
      <c r="Y156" s="937" t="s">
        <v>31</v>
      </c>
      <c r="Z156" s="937" t="s">
        <v>32</v>
      </c>
      <c r="AA156" s="937" t="s">
        <v>33</v>
      </c>
      <c r="AB156" s="937" t="s">
        <v>34</v>
      </c>
      <c r="AC156" s="937" t="s">
        <v>35</v>
      </c>
      <c r="AD156" s="937" t="s">
        <v>36</v>
      </c>
      <c r="AE156" s="937" t="s">
        <v>37</v>
      </c>
      <c r="AF156" s="937" t="s">
        <v>38</v>
      </c>
      <c r="AG156" s="937" t="s">
        <v>39</v>
      </c>
      <c r="AH156" s="937" t="s">
        <v>40</v>
      </c>
      <c r="AI156" s="937" t="s">
        <v>25</v>
      </c>
      <c r="AJ156" s="946" t="s">
        <v>158</v>
      </c>
    </row>
    <row r="157" spans="1:36" ht="21" hidden="1">
      <c r="A157" s="964"/>
      <c r="B157" s="1052"/>
      <c r="C157" s="1031" t="s">
        <v>138</v>
      </c>
      <c r="D157" s="964" t="s">
        <v>90</v>
      </c>
      <c r="E157" s="984">
        <f>'[11]Price&amp;Heating-Value'!$R$6</f>
        <v>3.6</v>
      </c>
      <c r="F157" s="964"/>
      <c r="G157" s="1014">
        <f>'[11]Price&amp;Heating-Value'!$P$6</f>
        <v>2.7124999999999999</v>
      </c>
      <c r="H157" s="1015">
        <v>76168</v>
      </c>
      <c r="I157" s="1015">
        <v>77441</v>
      </c>
      <c r="J157" s="966">
        <v>74408.135999999999</v>
      </c>
      <c r="K157" s="966"/>
      <c r="L157" s="966"/>
      <c r="M157" s="966"/>
      <c r="N157" s="966"/>
      <c r="O157" s="966"/>
      <c r="P157" s="966"/>
      <c r="Q157" s="966"/>
      <c r="R157" s="966"/>
      <c r="S157" s="966"/>
      <c r="T157" s="966">
        <f>SUM(H157:S157)</f>
        <v>228017.136</v>
      </c>
      <c r="U157" s="966">
        <f>T157*E157</f>
        <v>820861.68960000004</v>
      </c>
      <c r="V157" s="966">
        <f>AI157</f>
        <v>681771.23664000002</v>
      </c>
      <c r="W157" s="954">
        <f>H157*'[11]Transfer Price2011'!$HE$459</f>
        <v>227742.32</v>
      </c>
      <c r="X157" s="954">
        <f>I157*'[11]Transfer Price2011'!$HE$459</f>
        <v>231548.59000000003</v>
      </c>
      <c r="Y157" s="954">
        <f>J157*'[11]Transfer Price2011'!$HE$459</f>
        <v>222480.32664000001</v>
      </c>
      <c r="Z157" s="954">
        <f>K157*'[11]Transfer Price2011'!$HE$459</f>
        <v>0</v>
      </c>
      <c r="AA157" s="954">
        <f>L157*'[11]Transfer Price2011'!$HE$459</f>
        <v>0</v>
      </c>
      <c r="AB157" s="954">
        <f>M157*'[11]Transfer Price2011'!$HE$459</f>
        <v>0</v>
      </c>
      <c r="AC157" s="954">
        <f>N157*'[11]Transfer Price2011'!$HE$459</f>
        <v>0</v>
      </c>
      <c r="AD157" s="954">
        <f>O157*'[11]Transfer Price2011'!$HE$459</f>
        <v>0</v>
      </c>
      <c r="AE157" s="954">
        <f>P157*'[11]Transfer Price2011'!$HE$459</f>
        <v>0</v>
      </c>
      <c r="AF157" s="954">
        <f>Q157*'[11]Transfer Price2011'!$HE$459</f>
        <v>0</v>
      </c>
      <c r="AG157" s="954">
        <f>R157*'[11]Transfer Price2011'!$HE$459</f>
        <v>0</v>
      </c>
      <c r="AH157" s="954">
        <f>S157*'[11]Transfer Price2011'!$HE$459</f>
        <v>0</v>
      </c>
      <c r="AI157" s="936">
        <f>SUM(W157:AH157)</f>
        <v>681771.23664000002</v>
      </c>
      <c r="AJ157" s="955">
        <f>AI157/U157*1000</f>
        <v>830.55555555555554</v>
      </c>
    </row>
    <row r="158" spans="1:36" ht="21" hidden="1">
      <c r="A158" s="956"/>
      <c r="B158" s="956"/>
      <c r="C158" s="983" t="s">
        <v>383</v>
      </c>
      <c r="D158" s="956"/>
      <c r="E158" s="956"/>
      <c r="F158" s="956"/>
      <c r="G158" s="956"/>
      <c r="H158" s="1029">
        <f>H157*$E$157</f>
        <v>274204.79999999999</v>
      </c>
      <c r="I158" s="1029">
        <f t="shared" ref="I158:J158" si="86">I157*$E$157</f>
        <v>278787.60000000003</v>
      </c>
      <c r="J158" s="1029">
        <f t="shared" si="86"/>
        <v>267869.28960000002</v>
      </c>
      <c r="K158" s="1029"/>
      <c r="L158" s="1029"/>
      <c r="M158" s="1029"/>
      <c r="N158" s="1029"/>
      <c r="O158" s="1029"/>
      <c r="P158" s="1029"/>
      <c r="Q158" s="1029"/>
      <c r="R158" s="1029"/>
      <c r="S158" s="1029"/>
      <c r="T158" s="1029">
        <f>SUM(H158:S158)</f>
        <v>820861.68960000004</v>
      </c>
      <c r="U158" s="961"/>
      <c r="V158" s="961">
        <f>SUM(V157)</f>
        <v>681771.23664000002</v>
      </c>
      <c r="W158" s="936"/>
      <c r="X158" s="937"/>
      <c r="Y158" s="937"/>
      <c r="Z158" s="937"/>
      <c r="AA158" s="937"/>
      <c r="AB158" s="937"/>
      <c r="AC158" s="937"/>
      <c r="AD158" s="937"/>
      <c r="AE158" s="937"/>
      <c r="AF158" s="937"/>
      <c r="AG158" s="937"/>
      <c r="AH158" s="946" t="s">
        <v>158</v>
      </c>
      <c r="AI158" s="946">
        <f>AI157/T162</f>
        <v>830.55555555555543</v>
      </c>
      <c r="AJ158" s="937"/>
    </row>
    <row r="159" spans="1:36" ht="21" hidden="1">
      <c r="A159" s="1011"/>
      <c r="B159" s="989"/>
      <c r="C159" s="990" t="s">
        <v>107</v>
      </c>
      <c r="D159" s="989" t="s">
        <v>163</v>
      </c>
      <c r="E159" s="989"/>
      <c r="F159" s="989"/>
      <c r="G159" s="1011"/>
      <c r="H159" s="1023">
        <v>2653010</v>
      </c>
      <c r="I159" s="1023">
        <v>2447970</v>
      </c>
      <c r="J159" s="994">
        <v>2695308</v>
      </c>
      <c r="K159" s="994"/>
      <c r="L159" s="994"/>
      <c r="M159" s="994"/>
      <c r="N159" s="994"/>
      <c r="O159" s="994"/>
      <c r="P159" s="994"/>
      <c r="Q159" s="994"/>
      <c r="R159" s="994"/>
      <c r="S159" s="994"/>
      <c r="T159" s="996">
        <f>SUM(H159:S159)</f>
        <v>7796288</v>
      </c>
      <c r="U159" s="995"/>
      <c r="V159" s="1026">
        <f>V157/T159</f>
        <v>8.7448185167094905E-2</v>
      </c>
      <c r="W159" s="936"/>
      <c r="X159" s="937"/>
      <c r="Y159" s="937"/>
      <c r="Z159" s="937"/>
      <c r="AA159" s="937"/>
      <c r="AB159" s="937"/>
      <c r="AC159" s="937"/>
      <c r="AD159" s="937"/>
      <c r="AE159" s="937"/>
      <c r="AF159" s="937"/>
      <c r="AG159" s="937"/>
      <c r="AH159" s="937"/>
      <c r="AI159" s="937"/>
      <c r="AJ159" s="937"/>
    </row>
    <row r="160" spans="1:36" ht="21" hidden="1">
      <c r="A160" s="1011"/>
      <c r="B160" s="1011"/>
      <c r="C160" s="1030"/>
      <c r="D160" s="1011"/>
      <c r="E160" s="1011"/>
      <c r="F160" s="1011"/>
      <c r="G160" s="1011"/>
      <c r="H160" s="981"/>
      <c r="I160" s="981"/>
      <c r="J160" s="981"/>
      <c r="K160" s="981"/>
      <c r="L160" s="981"/>
      <c r="M160" s="981"/>
      <c r="N160" s="981"/>
      <c r="O160" s="981"/>
      <c r="P160" s="981"/>
      <c r="Q160" s="981"/>
      <c r="R160" s="981"/>
      <c r="S160" s="981"/>
      <c r="T160" s="981"/>
      <c r="U160" s="981"/>
      <c r="V160" s="997" t="s">
        <v>137</v>
      </c>
      <c r="W160" s="936"/>
      <c r="X160" s="937"/>
      <c r="Y160" s="937"/>
      <c r="Z160" s="937"/>
      <c r="AA160" s="937"/>
      <c r="AB160" s="937"/>
      <c r="AC160" s="937"/>
      <c r="AD160" s="937"/>
      <c r="AE160" s="937"/>
      <c r="AF160" s="937"/>
      <c r="AG160" s="937"/>
      <c r="AH160" s="937"/>
      <c r="AI160" s="937"/>
      <c r="AJ160" s="937"/>
    </row>
    <row r="161" spans="1:36" ht="21" hidden="1">
      <c r="A161" s="1011"/>
      <c r="B161" s="1011"/>
      <c r="C161" s="1031" t="s">
        <v>138</v>
      </c>
      <c r="D161" s="1011" t="s">
        <v>173</v>
      </c>
      <c r="E161" s="964"/>
      <c r="F161" s="964"/>
      <c r="G161" s="1011"/>
      <c r="H161" s="981">
        <f>H157*$E$157/1000</f>
        <v>274.20479999999998</v>
      </c>
      <c r="I161" s="981">
        <f t="shared" ref="I161:J161" si="87">I157*$E$157/1000</f>
        <v>278.78760000000005</v>
      </c>
      <c r="J161" s="981">
        <f t="shared" si="87"/>
        <v>267.8692896</v>
      </c>
      <c r="K161" s="981"/>
      <c r="L161" s="981"/>
      <c r="M161" s="981"/>
      <c r="N161" s="981"/>
      <c r="O161" s="981"/>
      <c r="P161" s="981"/>
      <c r="Q161" s="981"/>
      <c r="R161" s="981"/>
      <c r="S161" s="981"/>
      <c r="T161" s="981">
        <f>SUM(H161:S161)</f>
        <v>820.86168960000009</v>
      </c>
      <c r="U161" s="981"/>
      <c r="V161" s="981"/>
      <c r="W161" s="936"/>
      <c r="X161" s="937"/>
      <c r="Y161" s="937"/>
      <c r="Z161" s="937"/>
      <c r="AA161" s="937"/>
      <c r="AB161" s="937"/>
      <c r="AC161" s="937"/>
      <c r="AD161" s="937"/>
      <c r="AE161" s="937"/>
      <c r="AF161" s="937"/>
      <c r="AG161" s="937"/>
      <c r="AH161" s="937"/>
      <c r="AI161" s="937"/>
      <c r="AJ161" s="937"/>
    </row>
    <row r="162" spans="1:36" ht="21" hidden="1">
      <c r="A162" s="1011"/>
      <c r="B162" s="964"/>
      <c r="C162" s="983" t="s">
        <v>390</v>
      </c>
      <c r="D162" s="964" t="s">
        <v>173</v>
      </c>
      <c r="E162" s="1011"/>
      <c r="F162" s="1011"/>
      <c r="G162" s="1011"/>
      <c r="H162" s="981">
        <f>SUM(H161)</f>
        <v>274.20479999999998</v>
      </c>
      <c r="I162" s="981">
        <f t="shared" ref="I162:J162" si="88">SUM(I161)</f>
        <v>278.78760000000005</v>
      </c>
      <c r="J162" s="981">
        <f t="shared" si="88"/>
        <v>267.8692896</v>
      </c>
      <c r="K162" s="981"/>
      <c r="L162" s="981"/>
      <c r="M162" s="981"/>
      <c r="N162" s="981"/>
      <c r="O162" s="981"/>
      <c r="P162" s="981"/>
      <c r="Q162" s="981"/>
      <c r="R162" s="981"/>
      <c r="S162" s="981"/>
      <c r="T162" s="1032">
        <f>SUM(H162:S162)</f>
        <v>820.86168960000009</v>
      </c>
      <c r="U162" s="981"/>
      <c r="V162" s="1033">
        <f>V157/T162</f>
        <v>830.55555555555543</v>
      </c>
      <c r="W162" s="936"/>
      <c r="X162" s="937"/>
      <c r="Y162" s="937"/>
      <c r="Z162" s="937"/>
      <c r="AA162" s="937"/>
      <c r="AB162" s="937"/>
      <c r="AC162" s="937"/>
      <c r="AD162" s="937"/>
      <c r="AE162" s="937"/>
      <c r="AF162" s="937"/>
      <c r="AG162" s="937"/>
      <c r="AH162" s="937"/>
      <c r="AI162" s="937"/>
      <c r="AJ162" s="937"/>
    </row>
    <row r="163" spans="1:36" ht="21" hidden="1">
      <c r="A163" s="1011"/>
      <c r="B163" s="1011"/>
      <c r="C163" s="983" t="s">
        <v>345</v>
      </c>
      <c r="D163" s="964" t="s">
        <v>173</v>
      </c>
      <c r="E163" s="1011"/>
      <c r="F163" s="1011"/>
      <c r="G163" s="1011"/>
      <c r="H163" s="981">
        <f xml:space="preserve"> (0.0001*H159 + 37.225)*88.55/100</f>
        <v>267.88677300000001</v>
      </c>
      <c r="I163" s="981">
        <f xml:space="preserve"> (0.0001*I159 + 37.225)*88.55/100</f>
        <v>249.73048100000003</v>
      </c>
      <c r="J163" s="981">
        <f xml:space="preserve"> (0.0001*J159 + 37.225)*88.55/100</f>
        <v>271.63226090000001</v>
      </c>
      <c r="K163" s="981"/>
      <c r="L163" s="981"/>
      <c r="M163" s="981"/>
      <c r="N163" s="981"/>
      <c r="O163" s="981"/>
      <c r="P163" s="981"/>
      <c r="Q163" s="981"/>
      <c r="R163" s="981"/>
      <c r="S163" s="981"/>
      <c r="T163" s="1032">
        <f>SUM(H163:S163)</f>
        <v>789.24951490000001</v>
      </c>
      <c r="U163" s="981"/>
      <c r="V163" s="1001" t="s">
        <v>158</v>
      </c>
      <c r="W163" s="936"/>
      <c r="X163" s="937"/>
      <c r="Y163" s="937"/>
      <c r="Z163" s="937"/>
      <c r="AA163" s="937"/>
      <c r="AB163" s="937"/>
      <c r="AC163" s="937"/>
      <c r="AD163" s="937"/>
      <c r="AE163" s="937"/>
      <c r="AF163" s="937"/>
      <c r="AG163" s="937"/>
      <c r="AH163" s="937"/>
      <c r="AI163" s="937"/>
      <c r="AJ163" s="937"/>
    </row>
    <row r="164" spans="1:36" ht="21" hidden="1">
      <c r="A164" s="1011"/>
      <c r="B164" s="1003" t="s">
        <v>174</v>
      </c>
      <c r="C164" s="1004" t="s">
        <v>138</v>
      </c>
      <c r="D164" s="1003" t="s">
        <v>374</v>
      </c>
      <c r="E164" s="1003"/>
      <c r="F164" s="1003"/>
      <c r="G164" s="1011"/>
      <c r="H164" s="1006">
        <f>H161/H159*1000</f>
        <v>0.10335611249109501</v>
      </c>
      <c r="I164" s="1006">
        <f>I161/I159*1000</f>
        <v>0.11388521918160764</v>
      </c>
      <c r="J164" s="1006">
        <f>J161/J159*1000</f>
        <v>9.9383554532543217E-2</v>
      </c>
      <c r="K164" s="1006"/>
      <c r="L164" s="1006"/>
      <c r="M164" s="1006"/>
      <c r="N164" s="1006"/>
      <c r="O164" s="1006"/>
      <c r="P164" s="1006"/>
      <c r="Q164" s="1006"/>
      <c r="R164" s="1006"/>
      <c r="S164" s="1006"/>
      <c r="T164" s="1006">
        <f t="shared" ref="T164" si="89">T161/T159*1000</f>
        <v>0.10528878481656913</v>
      </c>
      <c r="U164" s="1007"/>
      <c r="V164" s="1007"/>
      <c r="W164" s="936"/>
      <c r="X164" s="937"/>
      <c r="Y164" s="937"/>
      <c r="Z164" s="937"/>
      <c r="AA164" s="937"/>
      <c r="AB164" s="937"/>
      <c r="AC164" s="937"/>
      <c r="AD164" s="937"/>
      <c r="AE164" s="937"/>
      <c r="AF164" s="937"/>
      <c r="AG164" s="937"/>
      <c r="AH164" s="937"/>
      <c r="AI164" s="937"/>
      <c r="AJ164" s="937"/>
    </row>
    <row r="165" spans="1:36" ht="23.25" hidden="1">
      <c r="A165" s="1011"/>
      <c r="B165" s="1003"/>
      <c r="C165" s="1008" t="s">
        <v>391</v>
      </c>
      <c r="D165" s="1003" t="s">
        <v>374</v>
      </c>
      <c r="E165" s="1003"/>
      <c r="F165" s="1003"/>
      <c r="G165" s="1011"/>
      <c r="H165" s="1006">
        <f>H162/H159*1000</f>
        <v>0.10335611249109501</v>
      </c>
      <c r="I165" s="1006">
        <f t="shared" ref="I165:J165" si="90">I162/I159*1000</f>
        <v>0.11388521918160764</v>
      </c>
      <c r="J165" s="1006">
        <f t="shared" si="90"/>
        <v>9.9383554532543217E-2</v>
      </c>
      <c r="K165" s="1006"/>
      <c r="L165" s="1006"/>
      <c r="M165" s="1006"/>
      <c r="N165" s="1006"/>
      <c r="O165" s="1006"/>
      <c r="P165" s="1006"/>
      <c r="Q165" s="1006"/>
      <c r="R165" s="1006"/>
      <c r="S165" s="1006"/>
      <c r="T165" s="1021">
        <f>T162/T159*1000</f>
        <v>0.10528878481656913</v>
      </c>
      <c r="U165" s="1007"/>
      <c r="V165" s="1007"/>
      <c r="W165" s="936"/>
      <c r="X165" s="937"/>
      <c r="Y165" s="937"/>
      <c r="Z165" s="937"/>
      <c r="AA165" s="937"/>
      <c r="AB165" s="937"/>
      <c r="AC165" s="937"/>
      <c r="AD165" s="937"/>
      <c r="AE165" s="937"/>
      <c r="AF165" s="937"/>
      <c r="AG165" s="937"/>
      <c r="AH165" s="937"/>
      <c r="AI165" s="937"/>
      <c r="AJ165" s="937"/>
    </row>
    <row r="166" spans="1:36" ht="21" hidden="1">
      <c r="A166" s="1011"/>
      <c r="B166" s="1003"/>
      <c r="C166" s="1008" t="s">
        <v>392</v>
      </c>
      <c r="D166" s="1003"/>
      <c r="E166" s="1003"/>
      <c r="F166" s="1003"/>
      <c r="G166" s="1011"/>
      <c r="H166" s="1009">
        <f>H165/[11]ข้อมูลการใช้พลังงานปี2550!$T$156*100</f>
        <v>62.225065374367198</v>
      </c>
      <c r="I166" s="1009">
        <f>I165/[11]ข้อมูลการใช้พลังงานปี2550!$T$156*100</f>
        <v>68.564064939654486</v>
      </c>
      <c r="J166" s="1009">
        <f>J165/[11]ข้อมูลการใช้พลังงานปี2550!$T$156*100</f>
        <v>59.833405387197622</v>
      </c>
      <c r="K166" s="1009"/>
      <c r="L166" s="1009"/>
      <c r="M166" s="1009"/>
      <c r="N166" s="1009"/>
      <c r="O166" s="1009"/>
      <c r="P166" s="1009"/>
      <c r="Q166" s="1009"/>
      <c r="R166" s="1009"/>
      <c r="S166" s="1009"/>
      <c r="T166" s="1009">
        <f>T162/T163*100</f>
        <v>104.00534610452125</v>
      </c>
      <c r="U166" s="1007"/>
      <c r="V166" s="1007"/>
      <c r="W166" s="936"/>
      <c r="X166" s="937"/>
      <c r="Y166" s="937"/>
      <c r="Z166" s="937"/>
      <c r="AA166" s="937"/>
      <c r="AB166" s="937"/>
      <c r="AC166" s="937"/>
      <c r="AD166" s="937"/>
      <c r="AE166" s="937"/>
      <c r="AF166" s="937"/>
      <c r="AG166" s="937"/>
      <c r="AH166" s="937"/>
      <c r="AI166" s="937"/>
      <c r="AJ166" s="937"/>
    </row>
    <row r="167" spans="1:36" ht="21" hidden="1">
      <c r="A167" s="964"/>
      <c r="B167" s="964"/>
      <c r="C167" s="958"/>
      <c r="D167" s="964"/>
      <c r="E167" s="964"/>
      <c r="F167" s="964"/>
      <c r="G167" s="964"/>
      <c r="H167" s="966"/>
      <c r="I167" s="966"/>
      <c r="J167" s="966"/>
      <c r="K167" s="966"/>
      <c r="L167" s="966"/>
      <c r="M167" s="966"/>
      <c r="N167" s="966"/>
      <c r="O167" s="966"/>
      <c r="P167" s="966"/>
      <c r="Q167" s="966"/>
      <c r="R167" s="966"/>
      <c r="S167" s="966"/>
      <c r="T167" s="966"/>
      <c r="U167" s="966"/>
      <c r="V167" s="966"/>
      <c r="W167" s="936" t="s">
        <v>29</v>
      </c>
      <c r="X167" s="937" t="s">
        <v>30</v>
      </c>
      <c r="Y167" s="937" t="s">
        <v>31</v>
      </c>
      <c r="Z167" s="937" t="s">
        <v>32</v>
      </c>
      <c r="AA167" s="937" t="s">
        <v>33</v>
      </c>
      <c r="AB167" s="937" t="s">
        <v>34</v>
      </c>
      <c r="AC167" s="937" t="s">
        <v>35</v>
      </c>
      <c r="AD167" s="937" t="s">
        <v>36</v>
      </c>
      <c r="AE167" s="937" t="s">
        <v>37</v>
      </c>
      <c r="AF167" s="937" t="s">
        <v>38</v>
      </c>
      <c r="AG167" s="937" t="s">
        <v>39</v>
      </c>
      <c r="AH167" s="937" t="s">
        <v>40</v>
      </c>
      <c r="AI167" s="937" t="s">
        <v>25</v>
      </c>
      <c r="AJ167" s="946" t="s">
        <v>158</v>
      </c>
    </row>
    <row r="168" spans="1:36" ht="21" hidden="1">
      <c r="A168" s="964">
        <v>7</v>
      </c>
      <c r="B168" s="1013" t="s">
        <v>49</v>
      </c>
      <c r="C168" s="1031" t="s">
        <v>138</v>
      </c>
      <c r="D168" s="964" t="s">
        <v>90</v>
      </c>
      <c r="E168" s="984">
        <f>'[11]Price&amp;Heating-Value'!$R$6</f>
        <v>3.6</v>
      </c>
      <c r="F168" s="964"/>
      <c r="G168" s="1014">
        <f>'[11]Price&amp;Heating-Value'!$P$6</f>
        <v>2.7124999999999999</v>
      </c>
      <c r="H168" s="1053">
        <v>30553.379999999943</v>
      </c>
      <c r="I168" s="1053">
        <v>27020.330000000056</v>
      </c>
      <c r="J168" s="1054">
        <v>39831.025000000001</v>
      </c>
      <c r="K168" s="1054"/>
      <c r="L168" s="1054"/>
      <c r="M168" s="1054"/>
      <c r="N168" s="1054"/>
      <c r="O168" s="1054"/>
      <c r="P168" s="1054"/>
      <c r="Q168" s="1054"/>
      <c r="R168" s="1054"/>
      <c r="S168" s="1054"/>
      <c r="T168" s="966">
        <f>SUM(H168:S168)</f>
        <v>97404.735000000001</v>
      </c>
      <c r="U168" s="966">
        <f>T168*E168</f>
        <v>350657.04600000003</v>
      </c>
      <c r="V168" s="966">
        <f>AI168</f>
        <v>291240.15765000001</v>
      </c>
      <c r="W168" s="954">
        <f>H168*'[11]Transfer Price2011'!$HE$459</f>
        <v>91354.606199999835</v>
      </c>
      <c r="X168" s="954">
        <f>I168*'[11]Transfer Price2011'!$HE$459</f>
        <v>80790.786700000172</v>
      </c>
      <c r="Y168" s="954">
        <f>J168*'[11]Transfer Price2011'!$HE$459</f>
        <v>119094.76475000002</v>
      </c>
      <c r="Z168" s="954">
        <f>K168*'[11]Transfer Price2011'!$HE$459</f>
        <v>0</v>
      </c>
      <c r="AA168" s="954">
        <f>L168*'[11]Transfer Price2011'!$HE$459</f>
        <v>0</v>
      </c>
      <c r="AB168" s="954">
        <f>M168*'[11]Transfer Price2011'!$HE$459</f>
        <v>0</v>
      </c>
      <c r="AC168" s="954">
        <f>N168*'[11]Transfer Price2011'!$HE$459</f>
        <v>0</v>
      </c>
      <c r="AD168" s="954">
        <f>O168*'[11]Transfer Price2011'!$HE$459</f>
        <v>0</v>
      </c>
      <c r="AE168" s="954">
        <f>P168*'[11]Transfer Price2011'!$HE$459</f>
        <v>0</v>
      </c>
      <c r="AF168" s="954">
        <f>Q168*'[11]Transfer Price2011'!$HE$459</f>
        <v>0</v>
      </c>
      <c r="AG168" s="954">
        <f>R168*'[11]Transfer Price2011'!$HE$459</f>
        <v>0</v>
      </c>
      <c r="AH168" s="954">
        <f>S168*'[11]Transfer Price2011'!$HE$459</f>
        <v>0</v>
      </c>
      <c r="AI168" s="936">
        <f>SUM(W168:AH168)</f>
        <v>291240.15765000001</v>
      </c>
      <c r="AJ168" s="955">
        <f>AI168/U168*1000</f>
        <v>830.55555555555554</v>
      </c>
    </row>
    <row r="169" spans="1:36" ht="21" hidden="1">
      <c r="A169" s="964"/>
      <c r="B169" s="964"/>
      <c r="C169" s="958" t="s">
        <v>161</v>
      </c>
      <c r="D169" s="964" t="s">
        <v>176</v>
      </c>
      <c r="E169" s="964">
        <f>'[11]Price&amp;Heating-Value'!$R$18/'[11]Price&amp;Heating-Value'!$T$18/1000</f>
        <v>36.42</v>
      </c>
      <c r="F169" s="984">
        <f>'[11]Price&amp;Heating-Value'!$T$18</f>
        <v>0.83520000000000005</v>
      </c>
      <c r="G169" s="965">
        <f>'[11]Price&amp;Heating-Value'!$P$18*'[11]Price&amp;Heating-Value'!$T$18/1000</f>
        <v>25.160039938320001</v>
      </c>
      <c r="H169" s="1053">
        <v>1979</v>
      </c>
      <c r="I169" s="1053">
        <v>1632</v>
      </c>
      <c r="J169" s="1054">
        <v>1950</v>
      </c>
      <c r="K169" s="1054"/>
      <c r="L169" s="1054"/>
      <c r="M169" s="1054"/>
      <c r="N169" s="1054"/>
      <c r="O169" s="1054"/>
      <c r="P169" s="1054"/>
      <c r="Q169" s="1054"/>
      <c r="R169" s="1054"/>
      <c r="S169" s="1054"/>
      <c r="T169" s="966">
        <f>SUM(H169:S169)</f>
        <v>5561</v>
      </c>
      <c r="U169" s="966">
        <f>T169*E169</f>
        <v>202531.62</v>
      </c>
      <c r="V169" s="966">
        <f>AI169</f>
        <v>214613.3519216954</v>
      </c>
      <c r="W169" s="954">
        <f>H169*'[11]Transfer Price2011'!$HE$327*'[11]Transfer Price2011'!$HE$5/1000/$F$66</f>
        <v>76374.720994971256</v>
      </c>
      <c r="X169" s="954">
        <f>I169*'[11]Transfer Price2011'!$HE$327*'[11]Transfer Price2011'!$HE$5/1000/$F$66</f>
        <v>62983.09482758621</v>
      </c>
      <c r="Y169" s="954">
        <f>J169*'[11]Transfer Price2011'!$HE$327*'[11]Transfer Price2011'!$HE$5/1000/$F$66</f>
        <v>75255.536099137928</v>
      </c>
      <c r="Z169" s="954">
        <f>K169*'[11]Transfer Price2011'!$HE$327*'[11]Transfer Price2011'!$HE$5/1000/$F$66</f>
        <v>0</v>
      </c>
      <c r="AA169" s="954">
        <f>L169*'[11]Transfer Price2011'!$HE$327*'[11]Transfer Price2011'!$HE$5/1000/$F$66</f>
        <v>0</v>
      </c>
      <c r="AB169" s="954">
        <f>M169*'[11]Transfer Price2011'!$HE$327*'[11]Transfer Price2011'!$HE$5/1000/$F$66</f>
        <v>0</v>
      </c>
      <c r="AC169" s="954">
        <f>N169*'[11]Transfer Price2011'!$HE$327*'[11]Transfer Price2011'!$HE$5/1000/$F$66</f>
        <v>0</v>
      </c>
      <c r="AD169" s="954">
        <f>O169*'[11]Transfer Price2011'!$HE$327*'[11]Transfer Price2011'!$HE$5/1000/$F$66</f>
        <v>0</v>
      </c>
      <c r="AE169" s="954">
        <f>P169*'[11]Transfer Price2011'!$HE$327*'[11]Transfer Price2011'!$HE$5/1000/$F$66</f>
        <v>0</v>
      </c>
      <c r="AF169" s="954">
        <f>Q169*'[11]Transfer Price2011'!$HE$327*'[11]Transfer Price2011'!$HE$5/1000/$F$66</f>
        <v>0</v>
      </c>
      <c r="AG169" s="954">
        <f>R169*'[11]Transfer Price2011'!$HE$327*'[11]Transfer Price2011'!$HE$5/1000/$F$66</f>
        <v>0</v>
      </c>
      <c r="AH169" s="954">
        <f>S169*'[11]Transfer Price2011'!$HE$327*'[11]Transfer Price2011'!$HE$5/1000/$F$66</f>
        <v>0</v>
      </c>
      <c r="AI169" s="936">
        <f>SUM(W169:AH169)</f>
        <v>214613.3519216954</v>
      </c>
      <c r="AJ169" s="955">
        <f>AI169/U169*1000</f>
        <v>1059.6535588946331</v>
      </c>
    </row>
    <row r="170" spans="1:36" ht="21" hidden="1">
      <c r="A170" s="1011"/>
      <c r="B170" s="1011"/>
      <c r="C170" s="983"/>
      <c r="D170" s="1011"/>
      <c r="E170" s="1011"/>
      <c r="F170" s="1011"/>
      <c r="G170" s="1011"/>
      <c r="H170" s="1011"/>
      <c r="I170" s="1055"/>
      <c r="J170" s="1056"/>
      <c r="K170" s="1056"/>
      <c r="L170" s="1056"/>
      <c r="M170" s="1056"/>
      <c r="N170" s="1056"/>
      <c r="O170" s="1056"/>
      <c r="P170" s="1056"/>
      <c r="Q170" s="1056"/>
      <c r="R170" s="1056"/>
      <c r="S170" s="1056"/>
      <c r="T170" s="981"/>
      <c r="U170" s="981"/>
      <c r="V170" s="1057">
        <f>SUM(V168:V169)</f>
        <v>505853.50957169541</v>
      </c>
      <c r="W170" s="936">
        <f>SUM(W168:W169)</f>
        <v>167729.32719497109</v>
      </c>
      <c r="X170" s="936">
        <f t="shared" ref="X170:AH170" si="91">SUM(X168:X169)</f>
        <v>143773.88152758637</v>
      </c>
      <c r="Y170" s="936">
        <f t="shared" si="91"/>
        <v>194350.30084913794</v>
      </c>
      <c r="Z170" s="936">
        <f t="shared" si="91"/>
        <v>0</v>
      </c>
      <c r="AA170" s="936">
        <f t="shared" si="91"/>
        <v>0</v>
      </c>
      <c r="AB170" s="936">
        <f t="shared" si="91"/>
        <v>0</v>
      </c>
      <c r="AC170" s="936">
        <f t="shared" si="91"/>
        <v>0</v>
      </c>
      <c r="AD170" s="936">
        <f t="shared" si="91"/>
        <v>0</v>
      </c>
      <c r="AE170" s="936">
        <f t="shared" si="91"/>
        <v>0</v>
      </c>
      <c r="AF170" s="936">
        <f t="shared" si="91"/>
        <v>0</v>
      </c>
      <c r="AG170" s="936">
        <f t="shared" si="91"/>
        <v>0</v>
      </c>
      <c r="AH170" s="936">
        <f t="shared" si="91"/>
        <v>0</v>
      </c>
      <c r="AI170" s="936">
        <f>SUM(W170:AH170)</f>
        <v>505853.50957169541</v>
      </c>
      <c r="AJ170" s="955"/>
    </row>
    <row r="171" spans="1:36" ht="21" hidden="1">
      <c r="A171" s="1011"/>
      <c r="B171" s="989"/>
      <c r="C171" s="990" t="s">
        <v>107</v>
      </c>
      <c r="D171" s="989" t="s">
        <v>121</v>
      </c>
      <c r="E171" s="989"/>
      <c r="F171" s="989"/>
      <c r="G171" s="991"/>
      <c r="H171" s="1023">
        <v>41348.979999999996</v>
      </c>
      <c r="I171" s="1023">
        <v>37046.675000000003</v>
      </c>
      <c r="J171" s="994">
        <v>39831.025000000001</v>
      </c>
      <c r="K171" s="994"/>
      <c r="L171" s="994"/>
      <c r="M171" s="994"/>
      <c r="N171" s="994"/>
      <c r="O171" s="994"/>
      <c r="P171" s="994"/>
      <c r="Q171" s="994"/>
      <c r="R171" s="994"/>
      <c r="S171" s="994"/>
      <c r="T171" s="996">
        <f>SUM(H171:S171)</f>
        <v>118226.68</v>
      </c>
      <c r="U171" s="995"/>
      <c r="V171" s="1026">
        <f>V170/T171</f>
        <v>4.2786747422129716</v>
      </c>
      <c r="W171" s="936"/>
      <c r="X171" s="937"/>
      <c r="Y171" s="937"/>
      <c r="Z171" s="937"/>
      <c r="AA171" s="937"/>
      <c r="AB171" s="937"/>
      <c r="AC171" s="937"/>
      <c r="AD171" s="937"/>
      <c r="AE171" s="937"/>
      <c r="AF171" s="937"/>
      <c r="AG171" s="937"/>
      <c r="AH171" s="946" t="s">
        <v>158</v>
      </c>
      <c r="AI171" s="946">
        <f>AI170/T175</f>
        <v>914.43216512265894</v>
      </c>
      <c r="AJ171" s="937"/>
    </row>
    <row r="172" spans="1:36" ht="21" hidden="1">
      <c r="A172" s="1011"/>
      <c r="B172" s="1011"/>
      <c r="C172" s="1030"/>
      <c r="D172" s="1011"/>
      <c r="E172" s="1011"/>
      <c r="F172" s="1011"/>
      <c r="G172" s="1058"/>
      <c r="H172" s="981"/>
      <c r="I172" s="981"/>
      <c r="J172" s="981"/>
      <c r="K172" s="981"/>
      <c r="L172" s="981"/>
      <c r="M172" s="981"/>
      <c r="N172" s="981"/>
      <c r="O172" s="981"/>
      <c r="P172" s="981"/>
      <c r="Q172" s="981"/>
      <c r="R172" s="981"/>
      <c r="S172" s="981"/>
      <c r="T172" s="981"/>
      <c r="U172" s="981"/>
      <c r="V172" s="997" t="s">
        <v>137</v>
      </c>
      <c r="W172" s="936"/>
      <c r="X172" s="937"/>
      <c r="Y172" s="937"/>
      <c r="Z172" s="937"/>
      <c r="AA172" s="937"/>
      <c r="AB172" s="937"/>
      <c r="AC172" s="937"/>
      <c r="AD172" s="937"/>
      <c r="AE172" s="937"/>
      <c r="AF172" s="937"/>
      <c r="AG172" s="937"/>
      <c r="AH172" s="937"/>
      <c r="AI172" s="937"/>
      <c r="AJ172" s="937"/>
    </row>
    <row r="173" spans="1:36" ht="21" hidden="1">
      <c r="A173" s="1011"/>
      <c r="B173" s="1011"/>
      <c r="C173" s="1031" t="s">
        <v>138</v>
      </c>
      <c r="D173" s="964" t="s">
        <v>173</v>
      </c>
      <c r="E173" s="1011"/>
      <c r="F173" s="1011"/>
      <c r="G173" s="1058"/>
      <c r="H173" s="981">
        <f>H168*$E168/1000</f>
        <v>109.99216799999981</v>
      </c>
      <c r="I173" s="981">
        <f t="shared" ref="I173:J173" si="92">I168*$E168/1000</f>
        <v>97.273188000000204</v>
      </c>
      <c r="J173" s="981">
        <f t="shared" si="92"/>
        <v>143.39169000000001</v>
      </c>
      <c r="K173" s="981"/>
      <c r="L173" s="981"/>
      <c r="M173" s="981"/>
      <c r="N173" s="981"/>
      <c r="O173" s="981"/>
      <c r="P173" s="981"/>
      <c r="Q173" s="981"/>
      <c r="R173" s="981"/>
      <c r="S173" s="981"/>
      <c r="T173" s="1041">
        <f>SUM(H173:S173)</f>
        <v>350.65704600000004</v>
      </c>
      <c r="U173" s="981"/>
      <c r="V173" s="981"/>
      <c r="W173" s="936"/>
      <c r="X173" s="937"/>
      <c r="Y173" s="937"/>
      <c r="Z173" s="937"/>
      <c r="AA173" s="937"/>
      <c r="AB173" s="937"/>
      <c r="AC173" s="937"/>
      <c r="AD173" s="937"/>
      <c r="AE173" s="937"/>
      <c r="AF173" s="937"/>
      <c r="AG173" s="937"/>
      <c r="AH173" s="937"/>
      <c r="AI173" s="937"/>
      <c r="AJ173" s="937"/>
    </row>
    <row r="174" spans="1:36" ht="21" hidden="1">
      <c r="A174" s="1011"/>
      <c r="B174" s="1011"/>
      <c r="C174" s="958" t="s">
        <v>161</v>
      </c>
      <c r="D174" s="964" t="s">
        <v>173</v>
      </c>
      <c r="E174" s="1011"/>
      <c r="F174" s="1011"/>
      <c r="G174" s="1058"/>
      <c r="H174" s="981">
        <f>H169*$E169/1000</f>
        <v>72.075180000000003</v>
      </c>
      <c r="I174" s="981">
        <f>I169*$E169/1000</f>
        <v>59.437440000000002</v>
      </c>
      <c r="J174" s="981">
        <f>J169*$E169/1000</f>
        <v>71.019000000000005</v>
      </c>
      <c r="K174" s="981"/>
      <c r="L174" s="981"/>
      <c r="M174" s="981"/>
      <c r="N174" s="981"/>
      <c r="O174" s="981"/>
      <c r="P174" s="981"/>
      <c r="Q174" s="981"/>
      <c r="R174" s="981"/>
      <c r="S174" s="981"/>
      <c r="T174" s="1041">
        <f>SUM(H174:S174)</f>
        <v>202.53162</v>
      </c>
      <c r="U174" s="981"/>
      <c r="V174" s="981"/>
      <c r="W174" s="936"/>
      <c r="X174" s="937"/>
      <c r="Y174" s="937"/>
      <c r="Z174" s="937"/>
      <c r="AA174" s="937"/>
      <c r="AB174" s="937"/>
      <c r="AC174" s="937"/>
      <c r="AD174" s="937"/>
      <c r="AE174" s="937"/>
      <c r="AF174" s="937"/>
      <c r="AG174" s="937"/>
      <c r="AH174" s="937"/>
      <c r="AI174" s="937"/>
      <c r="AJ174" s="937"/>
    </row>
    <row r="175" spans="1:36" ht="21" hidden="1">
      <c r="A175" s="1011"/>
      <c r="B175" s="1011"/>
      <c r="C175" s="983" t="s">
        <v>393</v>
      </c>
      <c r="D175" s="964" t="s">
        <v>173</v>
      </c>
      <c r="E175" s="1011"/>
      <c r="F175" s="1011"/>
      <c r="G175" s="1058"/>
      <c r="H175" s="981">
        <f>SUM(H173:H174)</f>
        <v>182.06734799999981</v>
      </c>
      <c r="I175" s="981">
        <f t="shared" ref="I175:J175" si="93">SUM(I173:I174)</f>
        <v>156.71062800000021</v>
      </c>
      <c r="J175" s="981">
        <f t="shared" si="93"/>
        <v>214.41069000000002</v>
      </c>
      <c r="K175" s="981"/>
      <c r="L175" s="981"/>
      <c r="M175" s="981"/>
      <c r="N175" s="981"/>
      <c r="O175" s="981"/>
      <c r="P175" s="981"/>
      <c r="Q175" s="981"/>
      <c r="R175" s="981"/>
      <c r="S175" s="981"/>
      <c r="T175" s="1059">
        <f>SUM(H175:S175)</f>
        <v>553.18866600000001</v>
      </c>
      <c r="U175" s="981"/>
      <c r="V175" s="1033">
        <f>V170/T175</f>
        <v>914.43216512265894</v>
      </c>
      <c r="W175" s="936"/>
      <c r="X175" s="937"/>
      <c r="Y175" s="937"/>
      <c r="Z175" s="937"/>
      <c r="AA175" s="937"/>
      <c r="AB175" s="937"/>
      <c r="AC175" s="937"/>
      <c r="AD175" s="937"/>
      <c r="AE175" s="937"/>
      <c r="AF175" s="937"/>
      <c r="AG175" s="937"/>
      <c r="AH175" s="937"/>
      <c r="AI175" s="937"/>
      <c r="AJ175" s="937"/>
    </row>
    <row r="176" spans="1:36" ht="21" hidden="1">
      <c r="A176" s="1011"/>
      <c r="B176" s="1011"/>
      <c r="C176" s="983" t="s">
        <v>345</v>
      </c>
      <c r="D176" s="964" t="s">
        <v>173</v>
      </c>
      <c r="E176" s="1011"/>
      <c r="F176" s="1011"/>
      <c r="G176" s="1058"/>
      <c r="H176" s="981">
        <f xml:space="preserve"> (0.0042*H171 + 21.375)*98.55/100</f>
        <v>192.21262561799998</v>
      </c>
      <c r="I176" s="981">
        <f xml:space="preserve"> (0.0042*I171 + 21.375)*98.55/100</f>
        <v>174.4049549925</v>
      </c>
      <c r="J176" s="981">
        <f xml:space="preserve"> (0.0042*J171 + 21.375)*98.55/100</f>
        <v>185.92965807749999</v>
      </c>
      <c r="K176" s="981"/>
      <c r="L176" s="981"/>
      <c r="M176" s="981"/>
      <c r="N176" s="981"/>
      <c r="O176" s="981"/>
      <c r="P176" s="981"/>
      <c r="Q176" s="981"/>
      <c r="R176" s="981"/>
      <c r="S176" s="981"/>
      <c r="T176" s="981">
        <f>SUM(H176:S176)</f>
        <v>552.54723868799999</v>
      </c>
      <c r="U176" s="981"/>
      <c r="V176" s="1001" t="s">
        <v>158</v>
      </c>
      <c r="W176" s="936"/>
      <c r="X176" s="937"/>
      <c r="Y176" s="937"/>
      <c r="Z176" s="937"/>
      <c r="AA176" s="937"/>
      <c r="AB176" s="937"/>
      <c r="AC176" s="937"/>
      <c r="AD176" s="937"/>
      <c r="AE176" s="937"/>
      <c r="AF176" s="937"/>
      <c r="AG176" s="937"/>
      <c r="AH176" s="937"/>
      <c r="AI176" s="937"/>
      <c r="AJ176" s="937"/>
    </row>
    <row r="177" spans="1:36" ht="21" hidden="1">
      <c r="A177" s="1011"/>
      <c r="B177" s="1003" t="s">
        <v>174</v>
      </c>
      <c r="C177" s="1004" t="s">
        <v>89</v>
      </c>
      <c r="D177" s="1003" t="s">
        <v>394</v>
      </c>
      <c r="E177" s="1003"/>
      <c r="F177" s="1003"/>
      <c r="G177" s="1005"/>
      <c r="H177" s="1006">
        <f>H173/H171*1000</f>
        <v>2.6600938644677528</v>
      </c>
      <c r="I177" s="1006">
        <f t="shared" ref="I177:J177" si="94">I173/I171*1000</f>
        <v>2.6256928050898005</v>
      </c>
      <c r="J177" s="1006">
        <f t="shared" si="94"/>
        <v>3.6000000000000005</v>
      </c>
      <c r="K177" s="1006"/>
      <c r="L177" s="1006"/>
      <c r="M177" s="1006"/>
      <c r="N177" s="1006"/>
      <c r="O177" s="1006"/>
      <c r="P177" s="1006"/>
      <c r="Q177" s="1006"/>
      <c r="R177" s="1006"/>
      <c r="S177" s="1006"/>
      <c r="T177" s="1006">
        <f>T173/T171*11000</f>
        <v>32.625694183411063</v>
      </c>
      <c r="U177" s="981"/>
      <c r="V177" s="981"/>
      <c r="W177" s="936"/>
      <c r="X177" s="937"/>
      <c r="Y177" s="937"/>
      <c r="Z177" s="937"/>
      <c r="AA177" s="937"/>
      <c r="AB177" s="937"/>
      <c r="AC177" s="937"/>
      <c r="AD177" s="937"/>
      <c r="AE177" s="937"/>
      <c r="AF177" s="937"/>
      <c r="AG177" s="937"/>
      <c r="AH177" s="937"/>
      <c r="AI177" s="937"/>
      <c r="AJ177" s="937"/>
    </row>
    <row r="178" spans="1:36" ht="21" hidden="1">
      <c r="A178" s="1011"/>
      <c r="B178" s="1003"/>
      <c r="C178" s="1004" t="s">
        <v>161</v>
      </c>
      <c r="D178" s="1003" t="s">
        <v>394</v>
      </c>
      <c r="E178" s="1003"/>
      <c r="F178" s="1003"/>
      <c r="G178" s="1005"/>
      <c r="H178" s="1006">
        <f>H174/H171*1000</f>
        <v>1.7430945092236863</v>
      </c>
      <c r="I178" s="1006">
        <f t="shared" ref="I178:J178" si="95">I174/I171*1000</f>
        <v>1.6043933767335394</v>
      </c>
      <c r="J178" s="1006">
        <f t="shared" si="95"/>
        <v>1.7830070905782616</v>
      </c>
      <c r="K178" s="1006"/>
      <c r="L178" s="1006"/>
      <c r="M178" s="1006"/>
      <c r="N178" s="1006"/>
      <c r="O178" s="1006"/>
      <c r="P178" s="1006"/>
      <c r="Q178" s="1006"/>
      <c r="R178" s="1006"/>
      <c r="S178" s="1006"/>
      <c r="T178" s="1006">
        <f>T174/T171*1000</f>
        <v>1.7130788075923302</v>
      </c>
      <c r="U178" s="981"/>
      <c r="V178" s="981"/>
      <c r="W178" s="936"/>
      <c r="X178" s="937"/>
      <c r="Y178" s="937"/>
      <c r="Z178" s="937"/>
      <c r="AA178" s="937"/>
      <c r="AB178" s="937"/>
      <c r="AC178" s="937"/>
      <c r="AD178" s="937"/>
      <c r="AE178" s="937"/>
      <c r="AF178" s="937"/>
      <c r="AG178" s="937"/>
      <c r="AH178" s="937"/>
      <c r="AI178" s="937"/>
      <c r="AJ178" s="937"/>
    </row>
    <row r="179" spans="1:36" ht="23.25" hidden="1">
      <c r="A179" s="1011"/>
      <c r="B179" s="1003"/>
      <c r="C179" s="1008" t="s">
        <v>395</v>
      </c>
      <c r="D179" s="1003" t="s">
        <v>394</v>
      </c>
      <c r="E179" s="1003"/>
      <c r="F179" s="1003"/>
      <c r="G179" s="1005"/>
      <c r="H179" s="1006">
        <f>H175/H171*1000</f>
        <v>4.4031883736914388</v>
      </c>
      <c r="I179" s="1006">
        <f t="shared" ref="I179:J179" si="96">I175/I171*1000</f>
        <v>4.2300861818233404</v>
      </c>
      <c r="J179" s="1006">
        <f t="shared" si="96"/>
        <v>5.3830070905782614</v>
      </c>
      <c r="K179" s="1006"/>
      <c r="L179" s="1006"/>
      <c r="M179" s="1006"/>
      <c r="N179" s="1006"/>
      <c r="O179" s="1006"/>
      <c r="P179" s="1006"/>
      <c r="Q179" s="1006"/>
      <c r="R179" s="1006"/>
      <c r="S179" s="1006"/>
      <c r="T179" s="1021">
        <f>T175/T171*1000</f>
        <v>4.6790510060842445</v>
      </c>
      <c r="U179" s="981"/>
      <c r="V179" s="981"/>
      <c r="W179" s="936"/>
      <c r="X179" s="937"/>
      <c r="Y179" s="937"/>
      <c r="Z179" s="937"/>
      <c r="AA179" s="937"/>
      <c r="AB179" s="937"/>
      <c r="AC179" s="937"/>
      <c r="AD179" s="937"/>
      <c r="AE179" s="937"/>
      <c r="AF179" s="937"/>
      <c r="AG179" s="937"/>
      <c r="AH179" s="937"/>
      <c r="AI179" s="937"/>
      <c r="AJ179" s="937"/>
    </row>
    <row r="180" spans="1:36" ht="21" hidden="1">
      <c r="A180" s="1011"/>
      <c r="B180" s="1060"/>
      <c r="C180" s="1008" t="s">
        <v>396</v>
      </c>
      <c r="D180" s="1060"/>
      <c r="E180" s="1060"/>
      <c r="F180" s="1060"/>
      <c r="G180" s="1060"/>
      <c r="H180" s="1061">
        <f>'[11]BIC-2011'!C13</f>
        <v>91.657713828621084</v>
      </c>
      <c r="I180" s="1061">
        <f>'[11]BIC-2011'!D13</f>
        <v>90.461367737134509</v>
      </c>
      <c r="J180" s="1061">
        <f>'[11]BIC-2011'!E13</f>
        <v>92.024060125357934</v>
      </c>
      <c r="K180" s="1061"/>
      <c r="L180" s="1061"/>
      <c r="M180" s="1061"/>
      <c r="N180" s="1061"/>
      <c r="O180" s="1061"/>
      <c r="P180" s="1061"/>
      <c r="Q180" s="1061"/>
      <c r="R180" s="1061"/>
      <c r="S180" s="1061"/>
      <c r="T180" s="1061">
        <f>T175/T176*100</f>
        <v>100.11608551578742</v>
      </c>
      <c r="U180" s="981"/>
      <c r="V180" s="981"/>
      <c r="W180" s="936"/>
      <c r="X180" s="937"/>
      <c r="Y180" s="937"/>
      <c r="Z180" s="937"/>
      <c r="AA180" s="937"/>
      <c r="AB180" s="937"/>
      <c r="AC180" s="937"/>
      <c r="AD180" s="937"/>
      <c r="AE180" s="937"/>
      <c r="AF180" s="937"/>
      <c r="AG180" s="937"/>
      <c r="AH180" s="937"/>
      <c r="AI180" s="937"/>
      <c r="AJ180" s="937"/>
    </row>
    <row r="181" spans="1:36" ht="21" hidden="1">
      <c r="A181" s="1011"/>
      <c r="B181" s="1011"/>
      <c r="C181" s="1062" t="s">
        <v>398</v>
      </c>
      <c r="D181" s="1011" t="s">
        <v>173</v>
      </c>
      <c r="E181" s="1011"/>
      <c r="F181" s="1011"/>
      <c r="G181" s="1011"/>
      <c r="H181" s="1063">
        <f>(H$20+H$38+H$51+H$61+H$72+H$83+H$94+H$105+H$127+H$140+H$151+H$162+H$175)</f>
        <v>124755.45651480003</v>
      </c>
      <c r="I181" s="1063">
        <f>(I$20+I$38+I$51+I$61+I$72+I$83+I$94+I$105+I$127+I$140+I$151+I$162+I$175)</f>
        <v>92782.758217999988</v>
      </c>
      <c r="J181" s="1063">
        <f>(J$20+J$38+J$51+J$61+J$72+J$83+J$94+J$105+J$127+J$140+J$151+J$162+J$175)</f>
        <v>94152.716681599995</v>
      </c>
      <c r="K181" s="1064"/>
      <c r="L181" s="1064"/>
      <c r="M181" s="1064"/>
      <c r="N181" s="1064"/>
      <c r="O181" s="1064"/>
      <c r="P181" s="1064"/>
      <c r="Q181" s="1064"/>
      <c r="R181" s="1064"/>
      <c r="S181" s="1064"/>
      <c r="T181" s="1064"/>
      <c r="U181" s="981"/>
      <c r="V181" s="981"/>
      <c r="W181" s="936"/>
      <c r="X181" s="937"/>
      <c r="Y181" s="937"/>
      <c r="Z181" s="937"/>
      <c r="AA181" s="937"/>
      <c r="AB181" s="937"/>
      <c r="AC181" s="937"/>
      <c r="AD181" s="937"/>
      <c r="AE181" s="937"/>
      <c r="AF181" s="937"/>
      <c r="AG181" s="937"/>
      <c r="AH181" s="937"/>
      <c r="AI181" s="937"/>
      <c r="AJ181" s="937"/>
    </row>
    <row r="182" spans="1:36" ht="21" hidden="1">
      <c r="A182" s="1011"/>
      <c r="B182" s="1011"/>
      <c r="C182" s="1062" t="s">
        <v>399</v>
      </c>
      <c r="D182" s="1011" t="s">
        <v>173</v>
      </c>
      <c r="E182" s="1011"/>
      <c r="F182" s="1011"/>
      <c r="G182" s="1011"/>
      <c r="H182" s="1063">
        <f>(H$21+H$39+H$52+H$62+H$73+H$84+H$95+H$106+H$128+H$141+H$152+H$163+H$176)</f>
        <v>135360.43943324636</v>
      </c>
      <c r="I182" s="1063">
        <f>(I$21+I$39+I$52+I$62+I$73+I$84+I$95+I$106+I$128+I$141+I$152+I$163+I$176)</f>
        <v>92416.601902011171</v>
      </c>
      <c r="J182" s="1063">
        <f>(J$21+J$39+J$52+J$62+J$73+J$84+J$95+J$106+J$128+J$141+J$152+J$163+J$176)</f>
        <v>95320.726051778794</v>
      </c>
      <c r="K182" s="1064"/>
      <c r="L182" s="1064"/>
      <c r="M182" s="1064"/>
      <c r="N182" s="1064"/>
      <c r="O182" s="1064"/>
      <c r="P182" s="1064"/>
      <c r="Q182" s="1064"/>
      <c r="R182" s="1064"/>
      <c r="S182" s="1064"/>
      <c r="T182" s="1064"/>
      <c r="U182" s="981"/>
      <c r="V182" s="981"/>
      <c r="W182" s="936"/>
      <c r="X182" s="937"/>
      <c r="Y182" s="937"/>
      <c r="Z182" s="937"/>
      <c r="AA182" s="937"/>
      <c r="AB182" s="937"/>
      <c r="AC182" s="937"/>
      <c r="AD182" s="937"/>
      <c r="AE182" s="937"/>
      <c r="AF182" s="937"/>
      <c r="AG182" s="937"/>
      <c r="AH182" s="937"/>
      <c r="AI182" s="937"/>
      <c r="AJ182" s="937"/>
    </row>
    <row r="183" spans="1:36" ht="21" hidden="1">
      <c r="A183" s="1065"/>
      <c r="B183" s="1065"/>
      <c r="C183" s="1066" t="s">
        <v>400</v>
      </c>
      <c r="D183" s="1065" t="s">
        <v>401</v>
      </c>
      <c r="E183" s="1065"/>
      <c r="F183" s="1065"/>
      <c r="G183" s="1065"/>
      <c r="H183" s="1063">
        <f>((H$20+H$38+H$51+H$61+H$72+H$83+H$94+H$105+H$127+H$140+H$151+H$162+H$175)/(H$21+H$39+H$52+H$62+H$73+H$84+H$95+H$106+H$128+H$141+H$152+H$163+H$176))*100</f>
        <v>92.165374933141948</v>
      </c>
      <c r="I183" s="1063">
        <f>((I$20+I$38+I$51+I$61+I$72+I$83+I$94+I$105+I$127+I$140+I$151+I$162+I$175)/(I$21+I$39+I$52+I$62+I$73+I$84+I$95+I$106+I$128+I$141+I$152+I$163+I$176))*100</f>
        <v>100.39620188197036</v>
      </c>
      <c r="J183" s="1063">
        <f>((J$20+J$38+J$51+J$61+J$72+J$83+J$94+J$105+J$127+J$140+J$151+J$162+J$175)/(J$21+J$39+J$52+J$62+J$73+J$84+J$95+J$106+J$128+J$141+J$152+J$163+J$176))*100</f>
        <v>98.77465330095751</v>
      </c>
      <c r="K183" s="1063"/>
      <c r="L183" s="1063"/>
      <c r="M183" s="1063"/>
      <c r="N183" s="1063"/>
      <c r="O183" s="1063"/>
      <c r="P183" s="1063"/>
      <c r="Q183" s="1063"/>
      <c r="R183" s="1063"/>
      <c r="S183" s="1063"/>
      <c r="T183" s="1063">
        <f>((T20+T38+T51+T61+T72+T83+T94+T105+T127+T140+T151+T162+T175)/(T21+T39+T52+T62+T73+T84+T95+T106+T128+T141+T152+T163+T176))*100</f>
        <v>96.469540453688069</v>
      </c>
      <c r="U183" s="1067">
        <f>T20+T38+T51+T61+T72+T83+T94+T105+T127+T140+T151+T162+T175</f>
        <v>311690.93141439994</v>
      </c>
      <c r="V183" s="1067">
        <f>V11+V33+V46+V57+V67+V79+V90+V101+V114+V136+V147+V158+V170</f>
        <v>244754703.44361922</v>
      </c>
      <c r="W183" s="936" t="s">
        <v>29</v>
      </c>
      <c r="X183" s="937" t="s">
        <v>30</v>
      </c>
      <c r="Y183" s="937" t="s">
        <v>31</v>
      </c>
      <c r="Z183" s="937" t="s">
        <v>32</v>
      </c>
      <c r="AA183" s="937" t="s">
        <v>33</v>
      </c>
      <c r="AB183" s="937" t="s">
        <v>34</v>
      </c>
      <c r="AC183" s="937" t="s">
        <v>35</v>
      </c>
      <c r="AD183" s="937" t="s">
        <v>36</v>
      </c>
      <c r="AE183" s="937" t="s">
        <v>37</v>
      </c>
      <c r="AF183" s="937" t="s">
        <v>38</v>
      </c>
      <c r="AG183" s="937" t="s">
        <v>39</v>
      </c>
      <c r="AH183" s="937" t="s">
        <v>40</v>
      </c>
      <c r="AI183" s="937" t="s">
        <v>25</v>
      </c>
      <c r="AJ183" s="946" t="s">
        <v>158</v>
      </c>
    </row>
    <row r="184" spans="1:36" ht="21" hidden="1">
      <c r="A184" s="1068"/>
      <c r="B184" s="1069"/>
      <c r="C184" s="1070"/>
      <c r="D184" s="964"/>
      <c r="E184" s="964"/>
      <c r="F184" s="964"/>
      <c r="G184" s="984"/>
      <c r="H184" s="952"/>
      <c r="I184" s="952"/>
      <c r="J184" s="952"/>
      <c r="K184" s="952"/>
      <c r="L184" s="952"/>
      <c r="M184" s="952"/>
      <c r="N184" s="952"/>
      <c r="O184" s="952"/>
      <c r="P184" s="952"/>
      <c r="Q184" s="952"/>
      <c r="R184" s="952"/>
      <c r="S184" s="952"/>
      <c r="T184" s="952"/>
      <c r="U184" s="952"/>
      <c r="V184" s="952"/>
      <c r="W184" s="954">
        <f>H184*'[11]Transfer Price2011'!$HE$459</f>
        <v>0</v>
      </c>
      <c r="X184" s="954">
        <f>I184*'[11]Transfer Price2011'!$HE$459</f>
        <v>0</v>
      </c>
      <c r="Y184" s="954">
        <f>J184*'[11]Transfer Price2011'!$HE$459</f>
        <v>0</v>
      </c>
      <c r="Z184" s="954">
        <f>K184*'[11]Transfer Price2011'!$HE$459</f>
        <v>0</v>
      </c>
      <c r="AA184" s="954">
        <f>L184*'[11]Transfer Price2011'!$HE$459</f>
        <v>0</v>
      </c>
      <c r="AB184" s="954">
        <f>M184*'[11]Transfer Price2011'!$HE$459</f>
        <v>0</v>
      </c>
      <c r="AC184" s="954">
        <f>N184*'[11]Transfer Price2011'!$HE$459</f>
        <v>0</v>
      </c>
      <c r="AD184" s="954">
        <f>O184*'[11]Transfer Price2011'!$HE$459</f>
        <v>0</v>
      </c>
      <c r="AE184" s="954">
        <f>P184*'[11]Transfer Price2011'!$HE$459</f>
        <v>0</v>
      </c>
      <c r="AF184" s="954">
        <f>Q184*'[11]Transfer Price2011'!$HE$459</f>
        <v>0</v>
      </c>
      <c r="AG184" s="954">
        <f>R184*'[11]Transfer Price2011'!$HE$459</f>
        <v>0</v>
      </c>
      <c r="AH184" s="954">
        <f>S184*'[11]Transfer Price2011'!$HE$459</f>
        <v>0</v>
      </c>
      <c r="AI184" s="936">
        <f>SUM(W184:AH184)</f>
        <v>0</v>
      </c>
      <c r="AJ184" s="955" t="e">
        <f>AI184/U184*1000</f>
        <v>#DIV/0!</v>
      </c>
    </row>
    <row r="185" spans="1:36" ht="21" hidden="1">
      <c r="A185" s="1068"/>
      <c r="B185" s="1069"/>
      <c r="C185" s="1070"/>
      <c r="D185" s="964"/>
      <c r="E185" s="964"/>
      <c r="F185" s="964"/>
      <c r="G185" s="964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66"/>
      <c r="T185" s="966"/>
      <c r="U185" s="966"/>
      <c r="V185" s="966"/>
      <c r="W185" s="936"/>
      <c r="X185" s="937"/>
      <c r="Y185" s="937"/>
      <c r="Z185" s="937"/>
      <c r="AA185" s="937"/>
      <c r="AB185" s="937"/>
      <c r="AC185" s="937"/>
      <c r="AD185" s="937"/>
      <c r="AE185" s="937"/>
      <c r="AF185" s="937"/>
      <c r="AG185" s="937"/>
      <c r="AH185" s="937"/>
      <c r="AI185" s="937"/>
      <c r="AJ185" s="937"/>
    </row>
    <row r="186" spans="1:36" ht="21" hidden="1">
      <c r="A186" s="1068"/>
      <c r="B186" s="1069"/>
      <c r="C186" s="1070"/>
      <c r="D186" s="964"/>
      <c r="E186" s="964"/>
      <c r="F186" s="964"/>
      <c r="G186" s="964"/>
      <c r="H186" s="966"/>
      <c r="I186" s="966"/>
      <c r="J186" s="966"/>
      <c r="K186" s="966"/>
      <c r="L186" s="966"/>
      <c r="M186" s="966"/>
      <c r="N186" s="966"/>
      <c r="O186" s="966"/>
      <c r="P186" s="966"/>
      <c r="Q186" s="966"/>
      <c r="R186" s="966"/>
      <c r="S186" s="966"/>
      <c r="T186" s="966"/>
      <c r="U186" s="966"/>
      <c r="V186" s="966"/>
      <c r="W186" s="936"/>
      <c r="X186" s="937"/>
      <c r="Y186" s="937"/>
      <c r="Z186" s="937"/>
      <c r="AA186" s="937"/>
      <c r="AB186" s="937"/>
      <c r="AC186" s="937"/>
      <c r="AD186" s="937"/>
      <c r="AE186" s="937"/>
      <c r="AF186" s="937"/>
      <c r="AG186" s="937"/>
      <c r="AH186" s="937"/>
      <c r="AI186" s="937"/>
      <c r="AJ186" s="937"/>
    </row>
    <row r="187" spans="1:36" ht="21" hidden="1">
      <c r="A187" s="1068"/>
      <c r="B187" s="1069"/>
      <c r="C187" s="1070"/>
      <c r="D187" s="964"/>
      <c r="E187" s="964"/>
      <c r="F187" s="964"/>
      <c r="G187" s="964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66"/>
      <c r="T187" s="966"/>
      <c r="U187" s="966"/>
      <c r="V187" s="966"/>
      <c r="W187" s="936"/>
      <c r="X187" s="937"/>
      <c r="Y187" s="937"/>
      <c r="Z187" s="937"/>
      <c r="AA187" s="937"/>
      <c r="AB187" s="937"/>
      <c r="AC187" s="937"/>
      <c r="AD187" s="937"/>
      <c r="AE187" s="937"/>
      <c r="AF187" s="937"/>
      <c r="AG187" s="937"/>
      <c r="AH187" s="937"/>
      <c r="AI187" s="937"/>
      <c r="AJ187" s="937"/>
    </row>
    <row r="188" spans="1:36" ht="21" hidden="1">
      <c r="A188" s="1068"/>
      <c r="B188" s="1069"/>
      <c r="C188" s="1070"/>
      <c r="D188" s="964"/>
      <c r="E188" s="964"/>
      <c r="F188" s="1071"/>
      <c r="G188" s="984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6"/>
      <c r="T188" s="966"/>
      <c r="U188" s="966"/>
      <c r="V188" s="966"/>
      <c r="W188" s="936"/>
      <c r="X188" s="937"/>
      <c r="Y188" s="937"/>
      <c r="Z188" s="937"/>
      <c r="AA188" s="937"/>
      <c r="AB188" s="937"/>
      <c r="AC188" s="937"/>
      <c r="AD188" s="937"/>
      <c r="AE188" s="937"/>
      <c r="AF188" s="937"/>
      <c r="AG188" s="937"/>
      <c r="AH188" s="937"/>
      <c r="AI188" s="937"/>
      <c r="AJ188" s="937"/>
    </row>
    <row r="189" spans="1:36" ht="21" hidden="1">
      <c r="A189" s="1068"/>
      <c r="B189" s="1069"/>
      <c r="C189" s="1070"/>
      <c r="D189" s="1011"/>
      <c r="E189" s="964"/>
      <c r="F189" s="964"/>
      <c r="G189" s="984"/>
      <c r="H189" s="1072"/>
      <c r="I189" s="1072"/>
      <c r="J189" s="1072"/>
      <c r="K189" s="1072"/>
      <c r="L189" s="1072"/>
      <c r="M189" s="1072"/>
      <c r="N189" s="1072"/>
      <c r="O189" s="1072"/>
      <c r="P189" s="1072"/>
      <c r="Q189" s="1072"/>
      <c r="R189" s="1072"/>
      <c r="S189" s="1072"/>
      <c r="T189" s="1072"/>
      <c r="U189" s="1072"/>
      <c r="V189" s="1072"/>
      <c r="W189" s="936"/>
      <c r="X189" s="937"/>
      <c r="Y189" s="937"/>
      <c r="Z189" s="937"/>
      <c r="AA189" s="937"/>
      <c r="AB189" s="937"/>
      <c r="AC189" s="937"/>
      <c r="AD189" s="937"/>
      <c r="AE189" s="937"/>
      <c r="AF189" s="937"/>
      <c r="AG189" s="937"/>
      <c r="AH189" s="937"/>
      <c r="AI189" s="937"/>
      <c r="AJ189" s="937"/>
    </row>
    <row r="190" spans="1:36" s="1080" customFormat="1" ht="21" hidden="1">
      <c r="A190" s="1073"/>
      <c r="B190" s="1074"/>
      <c r="C190" s="1075" t="s">
        <v>402</v>
      </c>
      <c r="D190" s="1076"/>
      <c r="E190" s="1074"/>
      <c r="F190" s="1074"/>
      <c r="G190" s="1074"/>
      <c r="H190" s="1077"/>
      <c r="I190" s="1077"/>
      <c r="J190" s="1077"/>
      <c r="K190" s="1077"/>
      <c r="L190" s="1077"/>
      <c r="M190" s="1077"/>
      <c r="N190" s="1077"/>
      <c r="O190" s="1077"/>
      <c r="P190" s="1077"/>
      <c r="Q190" s="1077"/>
      <c r="R190" s="1077"/>
      <c r="S190" s="1077"/>
      <c r="T190" s="1078"/>
      <c r="U190" s="1078">
        <f>SUM(U184:U189)</f>
        <v>0</v>
      </c>
      <c r="V190" s="1078">
        <f>SUM(V184:V189)</f>
        <v>0</v>
      </c>
      <c r="W190" s="1079"/>
    </row>
    <row r="191" spans="1:36" ht="21" hidden="1">
      <c r="A191" s="947">
        <v>8</v>
      </c>
      <c r="B191" s="947" t="s">
        <v>118</v>
      </c>
      <c r="C191" s="1081" t="s">
        <v>138</v>
      </c>
      <c r="D191" s="947" t="s">
        <v>90</v>
      </c>
      <c r="E191" s="984">
        <f>'[11]Price&amp;Heating-Value'!$R$6</f>
        <v>3.6</v>
      </c>
      <c r="F191" s="964"/>
      <c r="G191" s="1014">
        <f>'[11]Price&amp;Heating-Value'!$P$6</f>
        <v>2.7124999999999999</v>
      </c>
      <c r="H191" s="953">
        <v>3201272</v>
      </c>
      <c r="I191" s="953">
        <v>2792700.08</v>
      </c>
      <c r="J191" s="952">
        <v>3261640.84</v>
      </c>
      <c r="K191" s="952"/>
      <c r="L191" s="952"/>
      <c r="M191" s="952"/>
      <c r="N191" s="952"/>
      <c r="O191" s="952"/>
      <c r="P191" s="952"/>
      <c r="Q191" s="952"/>
      <c r="R191" s="952"/>
      <c r="S191" s="952"/>
      <c r="T191" s="966">
        <f>SUM(H191:S191)</f>
        <v>9255612.9199999999</v>
      </c>
      <c r="U191" s="952">
        <f>T191*E191</f>
        <v>33320206.512000002</v>
      </c>
      <c r="V191" s="952">
        <f>G191*T191</f>
        <v>25105850.045499999</v>
      </c>
      <c r="W191" s="954">
        <f>'[11]Price&amp;Heating-Value'!D$6</f>
        <v>2.4500000000000002</v>
      </c>
      <c r="X191" s="954">
        <f>'[11]Price&amp;Heating-Value'!E$6</f>
        <v>2.54</v>
      </c>
      <c r="Y191" s="954">
        <f>'[11]Price&amp;Heating-Value'!F$6</f>
        <v>2.58</v>
      </c>
      <c r="Z191" s="954">
        <f>'[11]Price&amp;Heating-Value'!G$6</f>
        <v>2.67</v>
      </c>
      <c r="AA191" s="954">
        <f>'[11]Price&amp;Heating-Value'!H$6</f>
        <v>2.67</v>
      </c>
      <c r="AB191" s="954">
        <f>'[11]Price&amp;Heating-Value'!I$6</f>
        <v>2.67</v>
      </c>
      <c r="AC191" s="954">
        <f>'[11]Price&amp;Heating-Value'!J$6</f>
        <v>2.62</v>
      </c>
      <c r="AD191" s="937"/>
      <c r="AE191" s="937"/>
      <c r="AF191" s="937"/>
      <c r="AG191" s="937"/>
      <c r="AH191" s="937"/>
      <c r="AI191" s="937"/>
      <c r="AJ191" s="937"/>
    </row>
    <row r="192" spans="1:36" ht="21" hidden="1">
      <c r="A192" s="964"/>
      <c r="B192" s="964"/>
      <c r="C192" s="1031" t="s">
        <v>152</v>
      </c>
      <c r="D192" s="964" t="s">
        <v>147</v>
      </c>
      <c r="E192" s="964">
        <f>'[11]Price&amp;Heating-Value'!$R$9</f>
        <v>2803</v>
      </c>
      <c r="F192" s="964"/>
      <c r="G192" s="965">
        <f>'[11]Price&amp;Heating-Value'!$P$9</f>
        <v>1301.5833333333333</v>
      </c>
      <c r="H192" s="1015">
        <v>6606</v>
      </c>
      <c r="I192" s="1015">
        <v>6004.74</v>
      </c>
      <c r="J192" s="966">
        <v>7311.61</v>
      </c>
      <c r="K192" s="966"/>
      <c r="L192" s="966"/>
      <c r="M192" s="966"/>
      <c r="N192" s="966"/>
      <c r="O192" s="966"/>
      <c r="P192" s="966"/>
      <c r="Q192" s="966"/>
      <c r="R192" s="966"/>
      <c r="S192" s="966"/>
      <c r="T192" s="966">
        <f>SUM(H192:S192)</f>
        <v>19922.349999999999</v>
      </c>
      <c r="U192" s="966">
        <f>T192*E192</f>
        <v>55842347.049999997</v>
      </c>
      <c r="V192" s="966">
        <f>G192*T192</f>
        <v>25930598.720833331</v>
      </c>
      <c r="W192" s="982">
        <f>'[11]Price&amp;Heating-Value'!D$9</f>
        <v>1210</v>
      </c>
      <c r="X192" s="982">
        <f>'[11]Price&amp;Heating-Value'!E$9</f>
        <v>1218</v>
      </c>
      <c r="Y192" s="982">
        <f>'[11]Price&amp;Heating-Value'!F$9</f>
        <v>1207</v>
      </c>
      <c r="Z192" s="982">
        <f>'[11]Price&amp;Heating-Value'!G$9</f>
        <v>1232</v>
      </c>
      <c r="AA192" s="982">
        <f>'[11]Price&amp;Heating-Value'!H$9</f>
        <v>1352</v>
      </c>
      <c r="AB192" s="982">
        <f>'[11]Price&amp;Heating-Value'!I$9</f>
        <v>1491</v>
      </c>
      <c r="AC192" s="982">
        <f>'[11]Price&amp;Heating-Value'!J$9</f>
        <v>1588</v>
      </c>
      <c r="AD192" s="937"/>
      <c r="AE192" s="937"/>
      <c r="AF192" s="937"/>
      <c r="AG192" s="937"/>
      <c r="AH192" s="937"/>
      <c r="AI192" s="937"/>
      <c r="AJ192" s="937"/>
    </row>
    <row r="193" spans="1:36" ht="21" hidden="1">
      <c r="A193" s="964"/>
      <c r="B193" s="964"/>
      <c r="C193" s="958" t="s">
        <v>101</v>
      </c>
      <c r="D193" s="964" t="s">
        <v>483</v>
      </c>
      <c r="E193" s="964">
        <f>'[11]Price&amp;Heating-Value'!$R$23/1000</f>
        <v>50.22</v>
      </c>
      <c r="F193" s="964"/>
      <c r="G193" s="965">
        <f>'[11]Price&amp;Heating-Value'!$P$23/1000</f>
        <v>11.61472</v>
      </c>
      <c r="H193" s="1015">
        <v>46719</v>
      </c>
      <c r="I193" s="1015">
        <f>43.46*1000</f>
        <v>43460</v>
      </c>
      <c r="J193" s="966">
        <v>66980</v>
      </c>
      <c r="K193" s="966"/>
      <c r="L193" s="966"/>
      <c r="M193" s="966"/>
      <c r="N193" s="966"/>
      <c r="O193" s="966"/>
      <c r="P193" s="966"/>
      <c r="Q193" s="966"/>
      <c r="R193" s="966"/>
      <c r="S193" s="966"/>
      <c r="T193" s="966">
        <f>SUM(H193:S193)</f>
        <v>157159</v>
      </c>
      <c r="U193" s="966">
        <f>T193*E193</f>
        <v>7892524.9799999995</v>
      </c>
      <c r="V193" s="966">
        <f>G193*T193</f>
        <v>1825357.78048</v>
      </c>
      <c r="W193" s="982">
        <f>'[11]Price&amp;Heating-Value'!D$23/1000</f>
        <v>11.61472</v>
      </c>
      <c r="X193" s="982">
        <f>'[11]Price&amp;Heating-Value'!E$23/1000</f>
        <v>11.61472</v>
      </c>
      <c r="Y193" s="982">
        <f>'[11]Price&amp;Heating-Value'!F$23/1000</f>
        <v>11.61472</v>
      </c>
      <c r="Z193" s="982">
        <f>'[11]Price&amp;Heating-Value'!G$23/1000</f>
        <v>11.61472</v>
      </c>
      <c r="AA193" s="982">
        <f>'[11]Price&amp;Heating-Value'!H$23/1000</f>
        <v>11.61472</v>
      </c>
      <c r="AB193" s="982">
        <f>'[11]Price&amp;Heating-Value'!I$23/1000</f>
        <v>11.61472</v>
      </c>
      <c r="AC193" s="982">
        <f>'[11]Price&amp;Heating-Value'!J$23/1000</f>
        <v>11.61472</v>
      </c>
      <c r="AD193" s="937"/>
      <c r="AE193" s="937"/>
      <c r="AF193" s="937"/>
      <c r="AG193" s="937"/>
      <c r="AH193" s="937"/>
      <c r="AI193" s="937"/>
      <c r="AJ193" s="937"/>
    </row>
    <row r="194" spans="1:36" ht="21" hidden="1">
      <c r="A194" s="964"/>
      <c r="B194" s="989"/>
      <c r="C194" s="990" t="s">
        <v>860</v>
      </c>
      <c r="D194" s="989" t="s">
        <v>147</v>
      </c>
      <c r="E194" s="989"/>
      <c r="F194" s="989"/>
      <c r="G194" s="991"/>
      <c r="H194" s="1082">
        <v>3057.5619999999999</v>
      </c>
      <c r="I194" s="1082">
        <v>2709.232</v>
      </c>
      <c r="J194" s="1083">
        <v>3147.3940000000002</v>
      </c>
      <c r="K194" s="1083"/>
      <c r="L194" s="1083"/>
      <c r="M194" s="1083"/>
      <c r="N194" s="1083"/>
      <c r="O194" s="1083"/>
      <c r="P194" s="1083"/>
      <c r="Q194" s="1083"/>
      <c r="R194" s="1083"/>
      <c r="S194" s="1083"/>
      <c r="T194" s="987"/>
      <c r="U194" s="987">
        <f>SUM(U191:U193)</f>
        <v>97055078.542000011</v>
      </c>
      <c r="V194" s="988">
        <f>SUM(V191:V193)</f>
        <v>52861806.546813324</v>
      </c>
      <c r="W194" s="936"/>
      <c r="X194" s="937"/>
      <c r="Y194" s="937"/>
      <c r="Z194" s="937"/>
      <c r="AA194" s="937"/>
      <c r="AB194" s="937"/>
      <c r="AC194" s="937"/>
      <c r="AD194" s="937"/>
      <c r="AE194" s="937"/>
      <c r="AF194" s="937"/>
      <c r="AG194" s="937"/>
      <c r="AH194" s="937"/>
      <c r="AI194" s="937"/>
      <c r="AJ194" s="937"/>
    </row>
    <row r="195" spans="1:36" ht="21" hidden="1">
      <c r="A195" s="964"/>
      <c r="B195" s="989"/>
      <c r="C195" s="990" t="s">
        <v>861</v>
      </c>
      <c r="D195" s="989" t="s">
        <v>147</v>
      </c>
      <c r="E195" s="989"/>
      <c r="F195" s="989"/>
      <c r="G195" s="991"/>
      <c r="H195" s="1023">
        <f>5693253/1000</f>
        <v>5693.2529999999997</v>
      </c>
      <c r="I195" s="1023">
        <v>4577.9260000000004</v>
      </c>
      <c r="J195" s="994">
        <v>5742.9709999999995</v>
      </c>
      <c r="K195" s="994"/>
      <c r="L195" s="994"/>
      <c r="M195" s="994"/>
      <c r="N195" s="994"/>
      <c r="O195" s="994"/>
      <c r="P195" s="994"/>
      <c r="Q195" s="994"/>
      <c r="R195" s="994"/>
      <c r="S195" s="994"/>
      <c r="T195" s="996">
        <f>SUM(H195:S195)</f>
        <v>16014.15</v>
      </c>
      <c r="U195" s="995"/>
      <c r="V195" s="1026">
        <f>V194/T195</f>
        <v>3300.9436371467314</v>
      </c>
      <c r="W195" s="936"/>
      <c r="X195" s="937"/>
      <c r="Y195" s="937"/>
      <c r="Z195" s="937"/>
      <c r="AA195" s="937"/>
      <c r="AB195" s="937"/>
      <c r="AC195" s="937"/>
      <c r="AD195" s="937"/>
      <c r="AE195" s="937"/>
      <c r="AF195" s="937"/>
      <c r="AG195" s="937"/>
      <c r="AH195" s="937"/>
      <c r="AI195" s="937"/>
      <c r="AJ195" s="937"/>
    </row>
    <row r="196" spans="1:36" ht="21" hidden="1">
      <c r="A196" s="964"/>
      <c r="B196" s="1011"/>
      <c r="C196" s="1030"/>
      <c r="D196" s="1011"/>
      <c r="E196" s="1011"/>
      <c r="F196" s="1011"/>
      <c r="G196" s="1058"/>
      <c r="H196" s="981"/>
      <c r="I196" s="981"/>
      <c r="J196" s="981"/>
      <c r="K196" s="981"/>
      <c r="L196" s="981"/>
      <c r="M196" s="981"/>
      <c r="N196" s="981"/>
      <c r="O196" s="981"/>
      <c r="P196" s="981"/>
      <c r="Q196" s="981"/>
      <c r="R196" s="981"/>
      <c r="S196" s="981"/>
      <c r="T196" s="981"/>
      <c r="U196" s="981"/>
      <c r="V196" s="997" t="s">
        <v>137</v>
      </c>
      <c r="W196" s="936"/>
      <c r="X196" s="937"/>
      <c r="Y196" s="937"/>
      <c r="Z196" s="937"/>
      <c r="AA196" s="937"/>
      <c r="AB196" s="937"/>
      <c r="AC196" s="937"/>
      <c r="AD196" s="937"/>
      <c r="AE196" s="937"/>
      <c r="AF196" s="937"/>
      <c r="AG196" s="937"/>
      <c r="AH196" s="937"/>
      <c r="AI196" s="937"/>
      <c r="AJ196" s="937"/>
    </row>
    <row r="197" spans="1:36" ht="21" hidden="1">
      <c r="A197" s="964"/>
      <c r="B197" s="964"/>
      <c r="C197" s="1031" t="s">
        <v>138</v>
      </c>
      <c r="D197" s="964" t="s">
        <v>173</v>
      </c>
      <c r="E197" s="964"/>
      <c r="F197" s="964"/>
      <c r="G197" s="984"/>
      <c r="H197" s="966">
        <f>H191*$E191/1000</f>
        <v>11524.579200000002</v>
      </c>
      <c r="I197" s="966">
        <f t="shared" ref="I197:S199" si="97">I191*$E191/1000</f>
        <v>10053.720288</v>
      </c>
      <c r="J197" s="966">
        <f>J191*$E191/1000</f>
        <v>11741.907024</v>
      </c>
      <c r="K197" s="966">
        <f t="shared" si="97"/>
        <v>0</v>
      </c>
      <c r="L197" s="966">
        <f t="shared" si="97"/>
        <v>0</v>
      </c>
      <c r="M197" s="966">
        <f t="shared" si="97"/>
        <v>0</v>
      </c>
      <c r="N197" s="966">
        <f t="shared" si="97"/>
        <v>0</v>
      </c>
      <c r="O197" s="966">
        <f t="shared" si="97"/>
        <v>0</v>
      </c>
      <c r="P197" s="966">
        <f t="shared" si="97"/>
        <v>0</v>
      </c>
      <c r="Q197" s="966">
        <f t="shared" si="97"/>
        <v>0</v>
      </c>
      <c r="R197" s="966">
        <f t="shared" si="97"/>
        <v>0</v>
      </c>
      <c r="S197" s="966">
        <f t="shared" si="97"/>
        <v>0</v>
      </c>
      <c r="T197" s="966">
        <f>SUM(H197:S197)</f>
        <v>33320.206512000004</v>
      </c>
      <c r="U197" s="966"/>
      <c r="V197" s="966"/>
      <c r="W197" s="936"/>
      <c r="X197" s="937"/>
      <c r="Y197" s="937"/>
      <c r="Z197" s="937"/>
      <c r="AA197" s="937"/>
      <c r="AB197" s="937"/>
      <c r="AC197" s="937"/>
      <c r="AD197" s="937"/>
      <c r="AE197" s="937"/>
      <c r="AF197" s="937"/>
      <c r="AG197" s="937"/>
      <c r="AH197" s="937"/>
      <c r="AI197" s="937"/>
      <c r="AJ197" s="937"/>
    </row>
    <row r="198" spans="1:36" ht="21" hidden="1">
      <c r="A198" s="964"/>
      <c r="B198" s="964"/>
      <c r="C198" s="1031" t="s">
        <v>152</v>
      </c>
      <c r="D198" s="964" t="s">
        <v>173</v>
      </c>
      <c r="E198" s="964"/>
      <c r="F198" s="964"/>
      <c r="G198" s="984"/>
      <c r="H198" s="966">
        <f>H192*$E192/1000</f>
        <v>18516.617999999999</v>
      </c>
      <c r="I198" s="966">
        <f t="shared" si="97"/>
        <v>16831.286219999998</v>
      </c>
      <c r="J198" s="966">
        <f t="shared" si="97"/>
        <v>20494.44283</v>
      </c>
      <c r="K198" s="966">
        <f t="shared" si="97"/>
        <v>0</v>
      </c>
      <c r="L198" s="966">
        <f>L192*$E192/1000</f>
        <v>0</v>
      </c>
      <c r="M198" s="966">
        <f t="shared" si="97"/>
        <v>0</v>
      </c>
      <c r="N198" s="966">
        <f t="shared" si="97"/>
        <v>0</v>
      </c>
      <c r="O198" s="966">
        <f t="shared" si="97"/>
        <v>0</v>
      </c>
      <c r="P198" s="966">
        <f t="shared" si="97"/>
        <v>0</v>
      </c>
      <c r="Q198" s="966">
        <f t="shared" si="97"/>
        <v>0</v>
      </c>
      <c r="R198" s="966">
        <f t="shared" si="97"/>
        <v>0</v>
      </c>
      <c r="S198" s="966">
        <f t="shared" si="97"/>
        <v>0</v>
      </c>
      <c r="T198" s="966">
        <f>SUM(H198:S198)</f>
        <v>55842.347049999997</v>
      </c>
      <c r="U198" s="966"/>
      <c r="V198" s="966"/>
      <c r="W198" s="936"/>
      <c r="X198" s="937"/>
      <c r="Y198" s="937"/>
      <c r="Z198" s="937"/>
      <c r="AA198" s="937"/>
      <c r="AB198" s="937"/>
      <c r="AC198" s="937"/>
      <c r="AD198" s="937"/>
      <c r="AE198" s="937"/>
      <c r="AF198" s="937"/>
      <c r="AG198" s="937"/>
      <c r="AH198" s="937"/>
      <c r="AI198" s="937"/>
      <c r="AJ198" s="937"/>
    </row>
    <row r="199" spans="1:36" ht="21" hidden="1">
      <c r="A199" s="964"/>
      <c r="B199" s="964"/>
      <c r="C199" s="1031" t="s">
        <v>112</v>
      </c>
      <c r="D199" s="964" t="s">
        <v>173</v>
      </c>
      <c r="E199" s="964"/>
      <c r="F199" s="964"/>
      <c r="G199" s="984"/>
      <c r="H199" s="966">
        <f>H193*$E193/1000</f>
        <v>2346.2281800000001</v>
      </c>
      <c r="I199" s="966">
        <f t="shared" si="97"/>
        <v>2182.5611999999996</v>
      </c>
      <c r="J199" s="966">
        <f t="shared" si="97"/>
        <v>3363.7356</v>
      </c>
      <c r="K199" s="966">
        <f t="shared" si="97"/>
        <v>0</v>
      </c>
      <c r="L199" s="966">
        <f>L193*$E193/1000</f>
        <v>0</v>
      </c>
      <c r="M199" s="966">
        <f t="shared" si="97"/>
        <v>0</v>
      </c>
      <c r="N199" s="966">
        <f t="shared" si="97"/>
        <v>0</v>
      </c>
      <c r="O199" s="966">
        <f t="shared" si="97"/>
        <v>0</v>
      </c>
      <c r="P199" s="966">
        <f t="shared" si="97"/>
        <v>0</v>
      </c>
      <c r="Q199" s="966">
        <f t="shared" si="97"/>
        <v>0</v>
      </c>
      <c r="R199" s="966">
        <f t="shared" si="97"/>
        <v>0</v>
      </c>
      <c r="S199" s="966">
        <f t="shared" si="97"/>
        <v>0</v>
      </c>
      <c r="T199" s="966">
        <f>SUM(H199:S199)</f>
        <v>7892.5249800000001</v>
      </c>
      <c r="U199" s="966"/>
      <c r="V199" s="966"/>
      <c r="W199" s="936"/>
      <c r="X199" s="937"/>
      <c r="Y199" s="937"/>
      <c r="Z199" s="937"/>
      <c r="AA199" s="937"/>
      <c r="AB199" s="937"/>
      <c r="AC199" s="937"/>
      <c r="AD199" s="937"/>
      <c r="AE199" s="937"/>
      <c r="AF199" s="937"/>
      <c r="AG199" s="937"/>
      <c r="AH199" s="937"/>
      <c r="AI199" s="937"/>
      <c r="AJ199" s="937"/>
    </row>
    <row r="200" spans="1:36" ht="21" hidden="1">
      <c r="A200" s="964"/>
      <c r="B200" s="964"/>
      <c r="C200" s="983" t="s">
        <v>403</v>
      </c>
      <c r="D200" s="964" t="s">
        <v>173</v>
      </c>
      <c r="E200" s="1011"/>
      <c r="F200" s="1011"/>
      <c r="G200" s="1058"/>
      <c r="H200" s="1084">
        <v>32063.881449</v>
      </c>
      <c r="I200" s="1084">
        <v>28796.942287999998</v>
      </c>
      <c r="J200" s="1084">
        <f t="shared" ref="J200:S200" si="98">SUM(J197:J199)</f>
        <v>35600.085454</v>
      </c>
      <c r="K200" s="1084">
        <f t="shared" si="98"/>
        <v>0</v>
      </c>
      <c r="L200" s="1084">
        <f t="shared" si="98"/>
        <v>0</v>
      </c>
      <c r="M200" s="1084">
        <f t="shared" si="98"/>
        <v>0</v>
      </c>
      <c r="N200" s="1084">
        <f t="shared" si="98"/>
        <v>0</v>
      </c>
      <c r="O200" s="1084">
        <f t="shared" si="98"/>
        <v>0</v>
      </c>
      <c r="P200" s="1084">
        <f t="shared" si="98"/>
        <v>0</v>
      </c>
      <c r="Q200" s="1084">
        <f t="shared" si="98"/>
        <v>0</v>
      </c>
      <c r="R200" s="1084">
        <f t="shared" si="98"/>
        <v>0</v>
      </c>
      <c r="S200" s="1084">
        <f t="shared" si="98"/>
        <v>0</v>
      </c>
      <c r="T200" s="1032">
        <f>SUM(H200:S200)</f>
        <v>96460.909190999999</v>
      </c>
      <c r="U200" s="981"/>
      <c r="V200" s="1033">
        <f>V194/T200</f>
        <v>548.01273376081178</v>
      </c>
      <c r="W200" s="936"/>
      <c r="X200" s="937"/>
      <c r="Y200" s="937"/>
      <c r="Z200" s="937"/>
      <c r="AA200" s="937"/>
      <c r="AB200" s="937"/>
      <c r="AC200" s="937"/>
      <c r="AD200" s="937"/>
      <c r="AE200" s="937"/>
      <c r="AF200" s="937"/>
      <c r="AG200" s="937"/>
      <c r="AH200" s="937"/>
      <c r="AI200" s="937"/>
      <c r="AJ200" s="937"/>
    </row>
    <row r="201" spans="1:36" ht="21" hidden="1">
      <c r="A201" s="964"/>
      <c r="B201" s="964"/>
      <c r="C201" s="983" t="s">
        <v>345</v>
      </c>
      <c r="D201" s="964" t="s">
        <v>173</v>
      </c>
      <c r="E201" s="1011"/>
      <c r="F201" s="1011"/>
      <c r="G201" s="1058"/>
      <c r="H201" s="1084">
        <v>33159.969710999314</v>
      </c>
      <c r="I201" s="1084">
        <v>29804.22506668288</v>
      </c>
      <c r="J201" s="1084">
        <v>34110.488217892882</v>
      </c>
      <c r="K201" s="1084">
        <f>'[11]ABS+CCM_54'!E22</f>
        <v>0</v>
      </c>
      <c r="L201" s="1084">
        <f>'[11]ABS+CCM_54'!F22</f>
        <v>0</v>
      </c>
      <c r="M201" s="1084">
        <f>'[11]ABS+CCM_54'!G22</f>
        <v>0</v>
      </c>
      <c r="N201" s="1084">
        <f>'[11]ABS+CCM_54'!H22</f>
        <v>0</v>
      </c>
      <c r="O201" s="1084">
        <f>'[11]ABS+CCM_54'!I22</f>
        <v>0</v>
      </c>
      <c r="P201" s="1084">
        <f>'[11]ABS+CCM_54'!J22</f>
        <v>0</v>
      </c>
      <c r="Q201" s="1084">
        <f>'[11]ABS+CCM_54'!K22</f>
        <v>0</v>
      </c>
      <c r="R201" s="1084">
        <f>'[11]ABS+CCM_54'!L22</f>
        <v>0</v>
      </c>
      <c r="S201" s="1084">
        <f>'[11]ABS+CCM_54'!M22</f>
        <v>0</v>
      </c>
      <c r="T201" s="981">
        <f>SUM(H201:S201)</f>
        <v>97074.682995575073</v>
      </c>
      <c r="U201" s="981"/>
      <c r="V201" s="1001" t="s">
        <v>158</v>
      </c>
      <c r="W201" s="936"/>
      <c r="X201" s="937"/>
      <c r="Y201" s="937"/>
      <c r="Z201" s="937"/>
      <c r="AA201" s="937"/>
      <c r="AB201" s="937"/>
      <c r="AC201" s="937"/>
      <c r="AD201" s="937"/>
      <c r="AE201" s="937"/>
      <c r="AF201" s="937"/>
      <c r="AG201" s="937"/>
      <c r="AH201" s="937"/>
      <c r="AI201" s="937"/>
      <c r="AJ201" s="937"/>
    </row>
    <row r="202" spans="1:36" ht="21" hidden="1">
      <c r="A202" s="964"/>
      <c r="B202" s="1003" t="s">
        <v>174</v>
      </c>
      <c r="C202" s="1004" t="s">
        <v>89</v>
      </c>
      <c r="D202" s="1003" t="s">
        <v>347</v>
      </c>
      <c r="E202" s="1003"/>
      <c r="F202" s="1003"/>
      <c r="G202" s="1005"/>
      <c r="H202" s="1006">
        <f>H197/H195</f>
        <v>2.0242520752195632</v>
      </c>
      <c r="I202" s="1006">
        <f t="shared" ref="I202:R202" si="99">I197/I195</f>
        <v>2.1961299260844322</v>
      </c>
      <c r="J202" s="1006">
        <f t="shared" si="99"/>
        <v>2.044570140437763</v>
      </c>
      <c r="K202" s="1006" t="e">
        <f t="shared" si="99"/>
        <v>#DIV/0!</v>
      </c>
      <c r="L202" s="1006" t="e">
        <f t="shared" si="99"/>
        <v>#DIV/0!</v>
      </c>
      <c r="M202" s="1006" t="e">
        <f t="shared" si="99"/>
        <v>#DIV/0!</v>
      </c>
      <c r="N202" s="1006" t="e">
        <f t="shared" si="99"/>
        <v>#DIV/0!</v>
      </c>
      <c r="O202" s="1006" t="e">
        <f t="shared" si="99"/>
        <v>#DIV/0!</v>
      </c>
      <c r="P202" s="1006" t="e">
        <f t="shared" si="99"/>
        <v>#DIV/0!</v>
      </c>
      <c r="Q202" s="1006" t="e">
        <f t="shared" si="99"/>
        <v>#DIV/0!</v>
      </c>
      <c r="R202" s="1006" t="e">
        <f t="shared" si="99"/>
        <v>#DIV/0!</v>
      </c>
      <c r="S202" s="1006" t="e">
        <f>S197/S195</f>
        <v>#DIV/0!</v>
      </c>
      <c r="T202" s="1006">
        <f>T197/T195</f>
        <v>2.0806728119819038</v>
      </c>
      <c r="U202" s="1007"/>
      <c r="V202" s="1007"/>
      <c r="W202" s="936"/>
      <c r="X202" s="937"/>
      <c r="Y202" s="937"/>
      <c r="Z202" s="937"/>
      <c r="AA202" s="937"/>
      <c r="AB202" s="937"/>
      <c r="AC202" s="937"/>
      <c r="AD202" s="937"/>
      <c r="AE202" s="937"/>
      <c r="AF202" s="937"/>
      <c r="AG202" s="937"/>
      <c r="AH202" s="937"/>
      <c r="AI202" s="937"/>
      <c r="AJ202" s="937"/>
    </row>
    <row r="203" spans="1:36" ht="21" hidden="1">
      <c r="A203" s="964"/>
      <c r="B203" s="1003"/>
      <c r="C203" s="1004" t="s">
        <v>152</v>
      </c>
      <c r="D203" s="1003" t="s">
        <v>347</v>
      </c>
      <c r="E203" s="1003"/>
      <c r="F203" s="1003"/>
      <c r="G203" s="1005"/>
      <c r="H203" s="1006">
        <f>H198/H195</f>
        <v>3.2523792636652544</v>
      </c>
      <c r="I203" s="1006">
        <f t="shared" ref="I203:Q203" si="100">I198/I195</f>
        <v>3.6766182371667862</v>
      </c>
      <c r="J203" s="1006">
        <f t="shared" si="100"/>
        <v>3.5686133240094722</v>
      </c>
      <c r="K203" s="1006" t="e">
        <f t="shared" si="100"/>
        <v>#DIV/0!</v>
      </c>
      <c r="L203" s="1006" t="e">
        <f t="shared" si="100"/>
        <v>#DIV/0!</v>
      </c>
      <c r="M203" s="1006" t="e">
        <f t="shared" si="100"/>
        <v>#DIV/0!</v>
      </c>
      <c r="N203" s="1006" t="e">
        <f t="shared" si="100"/>
        <v>#DIV/0!</v>
      </c>
      <c r="O203" s="1006" t="e">
        <f t="shared" si="100"/>
        <v>#DIV/0!</v>
      </c>
      <c r="P203" s="1006" t="e">
        <f t="shared" si="100"/>
        <v>#DIV/0!</v>
      </c>
      <c r="Q203" s="1006" t="e">
        <f t="shared" si="100"/>
        <v>#DIV/0!</v>
      </c>
      <c r="R203" s="1006" t="e">
        <f>R198/R195</f>
        <v>#DIV/0!</v>
      </c>
      <c r="S203" s="1006" t="e">
        <f>S198/S195</f>
        <v>#DIV/0!</v>
      </c>
      <c r="T203" s="1006">
        <f>T198/T195</f>
        <v>3.4870628194440538</v>
      </c>
      <c r="U203" s="1007"/>
      <c r="V203" s="1007"/>
      <c r="W203" s="936"/>
      <c r="X203" s="937"/>
      <c r="Y203" s="937"/>
      <c r="Z203" s="937"/>
      <c r="AA203" s="937"/>
      <c r="AB203" s="937"/>
      <c r="AC203" s="937"/>
      <c r="AD203" s="937"/>
      <c r="AE203" s="937"/>
      <c r="AF203" s="937"/>
      <c r="AG203" s="937"/>
      <c r="AH203" s="937"/>
      <c r="AI203" s="937"/>
      <c r="AJ203" s="937"/>
    </row>
    <row r="204" spans="1:36" ht="21" hidden="1">
      <c r="A204" s="964"/>
      <c r="B204" s="1003"/>
      <c r="C204" s="1004" t="s">
        <v>112</v>
      </c>
      <c r="D204" s="1003" t="s">
        <v>347</v>
      </c>
      <c r="E204" s="1003"/>
      <c r="F204" s="1003"/>
      <c r="G204" s="1005"/>
      <c r="H204" s="1006">
        <f>H199/H195</f>
        <v>0.41210678323974015</v>
      </c>
      <c r="I204" s="1006">
        <f t="shared" ref="I204:Q204" si="101">I199/I195</f>
        <v>0.47675764090551037</v>
      </c>
      <c r="J204" s="1006">
        <f t="shared" si="101"/>
        <v>0.58571349219767965</v>
      </c>
      <c r="K204" s="1006" t="e">
        <f t="shared" si="101"/>
        <v>#DIV/0!</v>
      </c>
      <c r="L204" s="1006" t="e">
        <f t="shared" si="101"/>
        <v>#DIV/0!</v>
      </c>
      <c r="M204" s="1006" t="e">
        <f t="shared" si="101"/>
        <v>#DIV/0!</v>
      </c>
      <c r="N204" s="1006" t="e">
        <f t="shared" si="101"/>
        <v>#DIV/0!</v>
      </c>
      <c r="O204" s="1006" t="e">
        <f t="shared" si="101"/>
        <v>#DIV/0!</v>
      </c>
      <c r="P204" s="1006" t="e">
        <f t="shared" si="101"/>
        <v>#DIV/0!</v>
      </c>
      <c r="Q204" s="1006" t="e">
        <f t="shared" si="101"/>
        <v>#DIV/0!</v>
      </c>
      <c r="R204" s="1006" t="e">
        <f>R199/R195</f>
        <v>#DIV/0!</v>
      </c>
      <c r="S204" s="1006" t="e">
        <f>S199/S195</f>
        <v>#DIV/0!</v>
      </c>
      <c r="T204" s="1006">
        <f>T199/T195</f>
        <v>0.49284694972883358</v>
      </c>
      <c r="U204" s="1007"/>
      <c r="V204" s="1007"/>
      <c r="W204" s="936"/>
      <c r="X204" s="937"/>
      <c r="Y204" s="937"/>
      <c r="Z204" s="937"/>
      <c r="AA204" s="937"/>
      <c r="AB204" s="937"/>
      <c r="AC204" s="937"/>
      <c r="AD204" s="937"/>
      <c r="AE204" s="937"/>
      <c r="AF204" s="937"/>
      <c r="AG204" s="937"/>
      <c r="AH204" s="937"/>
      <c r="AI204" s="937"/>
      <c r="AJ204" s="937"/>
    </row>
    <row r="205" spans="1:36" ht="23.25" hidden="1">
      <c r="A205" s="964"/>
      <c r="B205" s="1003"/>
      <c r="C205" s="1008" t="s">
        <v>404</v>
      </c>
      <c r="D205" s="1003" t="s">
        <v>347</v>
      </c>
      <c r="E205" s="1003"/>
      <c r="F205" s="1003"/>
      <c r="G205" s="1005"/>
      <c r="H205" s="1006">
        <f>(H200)/(H195)</f>
        <v>5.6319087609491447</v>
      </c>
      <c r="I205" s="1006">
        <f t="shared" ref="I205:Q205" si="102">I200/I195</f>
        <v>6.2903905148313877</v>
      </c>
      <c r="J205" s="1006">
        <f t="shared" si="102"/>
        <v>6.1988969566449148</v>
      </c>
      <c r="K205" s="1006" t="e">
        <f t="shared" si="102"/>
        <v>#DIV/0!</v>
      </c>
      <c r="L205" s="1006" t="e">
        <f t="shared" si="102"/>
        <v>#DIV/0!</v>
      </c>
      <c r="M205" s="1006" t="e">
        <f t="shared" si="102"/>
        <v>#DIV/0!</v>
      </c>
      <c r="N205" s="1006" t="e">
        <f t="shared" si="102"/>
        <v>#DIV/0!</v>
      </c>
      <c r="O205" s="1006" t="e">
        <f t="shared" si="102"/>
        <v>#DIV/0!</v>
      </c>
      <c r="P205" s="1006" t="e">
        <f t="shared" si="102"/>
        <v>#DIV/0!</v>
      </c>
      <c r="Q205" s="1006" t="e">
        <f t="shared" si="102"/>
        <v>#DIV/0!</v>
      </c>
      <c r="R205" s="1006" t="e">
        <f>R200/R195</f>
        <v>#DIV/0!</v>
      </c>
      <c r="S205" s="1006" t="e">
        <f>S200/S195</f>
        <v>#DIV/0!</v>
      </c>
      <c r="T205" s="1021">
        <f>T200/T195</f>
        <v>6.0234798094809907</v>
      </c>
      <c r="U205" s="1007"/>
      <c r="V205" s="1007"/>
      <c r="W205" s="936"/>
      <c r="X205" s="937"/>
      <c r="Y205" s="937"/>
      <c r="Z205" s="937"/>
      <c r="AA205" s="937"/>
      <c r="AB205" s="937"/>
      <c r="AC205" s="937"/>
      <c r="AD205" s="937"/>
      <c r="AE205" s="937"/>
      <c r="AF205" s="937"/>
      <c r="AG205" s="937"/>
      <c r="AH205" s="937"/>
      <c r="AI205" s="937"/>
      <c r="AJ205" s="937"/>
    </row>
    <row r="206" spans="1:36" ht="21" hidden="1">
      <c r="A206" s="964"/>
      <c r="B206" s="1003"/>
      <c r="C206" s="1008" t="s">
        <v>405</v>
      </c>
      <c r="D206" s="1003"/>
      <c r="E206" s="1003"/>
      <c r="F206" s="1003"/>
      <c r="G206" s="1003"/>
      <c r="H206" s="1009">
        <f>H200/H201*100</f>
        <v>96.694543838392789</v>
      </c>
      <c r="I206" s="1009">
        <f>I200/I201*100</f>
        <v>96.620335618761359</v>
      </c>
      <c r="J206" s="1009">
        <f>J205/[11]ข้อมูลการใช้พลังงานปี2550!$T$194*100</f>
        <v>156.02483332524383</v>
      </c>
      <c r="K206" s="1009" t="e">
        <f>K205/[11]ข้อมูลการใช้พลังงานปี2550!$T$194*100</f>
        <v>#DIV/0!</v>
      </c>
      <c r="L206" s="1009" t="e">
        <f>L205/[11]ข้อมูลการใช้พลังงานปี2550!$T$194*100</f>
        <v>#DIV/0!</v>
      </c>
      <c r="M206" s="1009" t="e">
        <f>M205/[11]ข้อมูลการใช้พลังงานปี2550!$T$194*100</f>
        <v>#DIV/0!</v>
      </c>
      <c r="N206" s="1009" t="e">
        <f>N205/[11]ข้อมูลการใช้พลังงานปี2550!$T$194*100</f>
        <v>#DIV/0!</v>
      </c>
      <c r="O206" s="1009" t="e">
        <f>O205/[11]ข้อมูลการใช้พลังงานปี2550!$T$194*100</f>
        <v>#DIV/0!</v>
      </c>
      <c r="P206" s="1009" t="e">
        <f>P205/[11]ข้อมูลการใช้พลังงานปี2550!$T$194*100</f>
        <v>#DIV/0!</v>
      </c>
      <c r="Q206" s="1009" t="e">
        <f>Q205/[11]ข้อมูลการใช้พลังงานปี2550!$T$194*100</f>
        <v>#DIV/0!</v>
      </c>
      <c r="R206" s="1009" t="e">
        <f>R205/[11]ข้อมูลการใช้พลังงานปี2550!$T$194*100</f>
        <v>#DIV/0!</v>
      </c>
      <c r="S206" s="1009" t="e">
        <f>S205/[11]ข้อมูลการใช้พลังงานปี2550!$T$194*100</f>
        <v>#DIV/0!</v>
      </c>
      <c r="T206" s="1009">
        <f>T200/T201*100</f>
        <v>99.367730302448635</v>
      </c>
      <c r="U206" s="1007"/>
      <c r="V206" s="1007"/>
      <c r="W206" s="936"/>
      <c r="X206" s="937"/>
      <c r="Y206" s="937"/>
      <c r="Z206" s="937"/>
      <c r="AA206" s="937"/>
      <c r="AB206" s="937"/>
      <c r="AC206" s="937"/>
      <c r="AD206" s="937"/>
      <c r="AE206" s="937"/>
      <c r="AF206" s="937"/>
      <c r="AG206" s="937"/>
      <c r="AH206" s="937"/>
      <c r="AI206" s="937"/>
      <c r="AJ206" s="937"/>
    </row>
    <row r="207" spans="1:36" ht="21" hidden="1">
      <c r="A207" s="964"/>
      <c r="B207" s="1085"/>
      <c r="C207" s="1086" t="s">
        <v>928</v>
      </c>
      <c r="D207" s="1085"/>
      <c r="E207" s="1085"/>
      <c r="F207" s="1085"/>
      <c r="G207" s="1085"/>
      <c r="H207" s="1087">
        <f t="shared" ref="H207:T207" si="103">(H200+H314)/(H201+H315)*100</f>
        <v>96.678497158134988</v>
      </c>
      <c r="I207" s="1087">
        <f t="shared" si="103"/>
        <v>97.152623069289817</v>
      </c>
      <c r="J207" s="1087">
        <f t="shared" si="103"/>
        <v>104.06305948103571</v>
      </c>
      <c r="K207" s="1087" t="e">
        <f t="shared" si="103"/>
        <v>#DIV/0!</v>
      </c>
      <c r="L207" s="1087" t="e">
        <f t="shared" si="103"/>
        <v>#DIV/0!</v>
      </c>
      <c r="M207" s="1087" t="e">
        <f t="shared" si="103"/>
        <v>#DIV/0!</v>
      </c>
      <c r="N207" s="1087" t="e">
        <f t="shared" si="103"/>
        <v>#DIV/0!</v>
      </c>
      <c r="O207" s="1087" t="e">
        <f t="shared" si="103"/>
        <v>#DIV/0!</v>
      </c>
      <c r="P207" s="1087" t="e">
        <f t="shared" si="103"/>
        <v>#DIV/0!</v>
      </c>
      <c r="Q207" s="1087" t="e">
        <f t="shared" si="103"/>
        <v>#DIV/0!</v>
      </c>
      <c r="R207" s="1087" t="e">
        <f t="shared" si="103"/>
        <v>#DIV/0!</v>
      </c>
      <c r="S207" s="1087" t="e">
        <f t="shared" si="103"/>
        <v>#DIV/0!</v>
      </c>
      <c r="T207" s="1087">
        <f t="shared" si="103"/>
        <v>99.404523501135273</v>
      </c>
      <c r="U207" s="966"/>
      <c r="V207" s="966"/>
      <c r="W207" s="936" t="s">
        <v>29</v>
      </c>
      <c r="X207" s="937" t="s">
        <v>30</v>
      </c>
      <c r="Y207" s="937" t="s">
        <v>31</v>
      </c>
      <c r="Z207" s="937" t="s">
        <v>32</v>
      </c>
      <c r="AA207" s="937" t="s">
        <v>33</v>
      </c>
      <c r="AB207" s="937" t="s">
        <v>34</v>
      </c>
      <c r="AC207" s="937" t="s">
        <v>35</v>
      </c>
      <c r="AD207" s="937" t="s">
        <v>36</v>
      </c>
      <c r="AE207" s="937" t="s">
        <v>37</v>
      </c>
      <c r="AF207" s="937" t="s">
        <v>38</v>
      </c>
      <c r="AG207" s="937" t="s">
        <v>39</v>
      </c>
      <c r="AH207" s="937" t="s">
        <v>40</v>
      </c>
      <c r="AI207" s="937" t="s">
        <v>25</v>
      </c>
      <c r="AJ207" s="946" t="s">
        <v>158</v>
      </c>
    </row>
    <row r="208" spans="1:36" ht="21" hidden="1">
      <c r="A208" s="964">
        <v>9</v>
      </c>
      <c r="B208" s="1013" t="s">
        <v>114</v>
      </c>
      <c r="C208" s="1031" t="s">
        <v>138</v>
      </c>
      <c r="D208" s="964" t="s">
        <v>90</v>
      </c>
      <c r="E208" s="984">
        <f>'[11]Price&amp;Heating-Value'!$R$6</f>
        <v>3.6</v>
      </c>
      <c r="F208" s="964"/>
      <c r="G208" s="1014">
        <f>'[11]Price&amp;Heating-Value'!$P$6</f>
        <v>2.7124999999999999</v>
      </c>
      <c r="H208" s="1088">
        <v>1502641.25</v>
      </c>
      <c r="I208" s="1015">
        <v>1422109</v>
      </c>
      <c r="J208" s="966">
        <v>1629867</v>
      </c>
      <c r="K208" s="966"/>
      <c r="L208" s="966"/>
      <c r="M208" s="966"/>
      <c r="N208" s="966"/>
      <c r="O208" s="966"/>
      <c r="P208" s="966"/>
      <c r="Q208" s="966"/>
      <c r="R208" s="966"/>
      <c r="S208" s="966"/>
      <c r="T208" s="966">
        <f>SUM(H208:S208)</f>
        <v>4554617.25</v>
      </c>
      <c r="U208" s="966">
        <f>T208*E208</f>
        <v>16396622.1</v>
      </c>
      <c r="V208" s="966">
        <f>G208*T208</f>
        <v>12354399.290625</v>
      </c>
      <c r="W208" s="954">
        <f>H208*'[11]Transfer Price2011'!$HE$459</f>
        <v>4492897.3375000004</v>
      </c>
      <c r="X208" s="954">
        <f>I208*'[11]Transfer Price2011'!$HE$459</f>
        <v>4252105.91</v>
      </c>
      <c r="Y208" s="954">
        <f>J208*'[11]Transfer Price2011'!$HE$459</f>
        <v>4873302.33</v>
      </c>
      <c r="Z208" s="954">
        <f>K208*'[11]Transfer Price2011'!$HE$459</f>
        <v>0</v>
      </c>
      <c r="AA208" s="954">
        <f>L208*'[11]Transfer Price2011'!$HE$459</f>
        <v>0</v>
      </c>
      <c r="AB208" s="954">
        <f>M208*'[11]Transfer Price2011'!$HE$459</f>
        <v>0</v>
      </c>
      <c r="AC208" s="954">
        <f>N208*'[11]Transfer Price2011'!$HE$459</f>
        <v>0</v>
      </c>
      <c r="AD208" s="954">
        <f>O208*'[11]Transfer Price2011'!$HE$459</f>
        <v>0</v>
      </c>
      <c r="AE208" s="954">
        <f>P208*'[11]Transfer Price2011'!$HE$459</f>
        <v>0</v>
      </c>
      <c r="AF208" s="954">
        <f>Q208*'[11]Transfer Price2011'!$HE$459</f>
        <v>0</v>
      </c>
      <c r="AG208" s="954">
        <f>R208*'[11]Transfer Price2011'!$HE$459</f>
        <v>0</v>
      </c>
      <c r="AH208" s="954">
        <f>S208*'[11]Transfer Price2011'!$HE$459</f>
        <v>0</v>
      </c>
      <c r="AI208" s="936">
        <f>SUM(W208:AH208)</f>
        <v>13618305.577500001</v>
      </c>
      <c r="AJ208" s="955">
        <f>AI208/U208*1000</f>
        <v>830.55555555555566</v>
      </c>
    </row>
    <row r="209" spans="1:30" ht="21" hidden="1">
      <c r="A209" s="964"/>
      <c r="B209" s="964"/>
      <c r="C209" s="1031" t="s">
        <v>152</v>
      </c>
      <c r="D209" s="964" t="s">
        <v>121</v>
      </c>
      <c r="E209" s="964">
        <f>'[11]Price&amp;Heating-Value'!$R$9</f>
        <v>2803</v>
      </c>
      <c r="F209" s="964"/>
      <c r="G209" s="965">
        <f>'[11]Price&amp;Heating-Value'!$P$9</f>
        <v>1301.5833333333333</v>
      </c>
      <c r="H209" s="1015">
        <v>18465.445166666672</v>
      </c>
      <c r="I209" s="1015">
        <v>17629</v>
      </c>
      <c r="J209" s="966">
        <v>18237.472000000002</v>
      </c>
      <c r="K209" s="966"/>
      <c r="L209" s="966"/>
      <c r="M209" s="966"/>
      <c r="N209" s="966"/>
      <c r="O209" s="966"/>
      <c r="P209" s="966"/>
      <c r="Q209" s="966"/>
      <c r="R209" s="966"/>
      <c r="S209" s="1089"/>
      <c r="T209" s="966">
        <f>SUM(H209:S209)</f>
        <v>54331.917166666673</v>
      </c>
      <c r="U209" s="966">
        <f>T209*E209</f>
        <v>152292363.81816667</v>
      </c>
      <c r="V209" s="966">
        <f>G209*T209</f>
        <v>70717517.852180555</v>
      </c>
      <c r="W209" s="982">
        <f>'[11]Price&amp;Heating-Value'!D$9</f>
        <v>1210</v>
      </c>
      <c r="X209" s="982">
        <f>'[11]Price&amp;Heating-Value'!E$9</f>
        <v>1218</v>
      </c>
      <c r="Y209" s="982">
        <f>'[11]Price&amp;Heating-Value'!F$9</f>
        <v>1207</v>
      </c>
      <c r="Z209" s="982">
        <f>'[11]Price&amp;Heating-Value'!G$9</f>
        <v>1232</v>
      </c>
      <c r="AA209" s="982">
        <f>'[11]Price&amp;Heating-Value'!H$9</f>
        <v>1352</v>
      </c>
      <c r="AB209" s="982">
        <f>'[11]Price&amp;Heating-Value'!I$9</f>
        <v>1491</v>
      </c>
      <c r="AC209" s="982">
        <f>'[11]Price&amp;Heating-Value'!J$9</f>
        <v>1588</v>
      </c>
      <c r="AD209" s="937"/>
    </row>
    <row r="210" spans="1:30" ht="21" hidden="1">
      <c r="A210" s="964"/>
      <c r="B210" s="964"/>
      <c r="C210" s="958" t="s">
        <v>408</v>
      </c>
      <c r="D210" s="964" t="s">
        <v>176</v>
      </c>
      <c r="E210" s="984">
        <f>'[11]Price&amp;Heating-Value'!$S$16/1000</f>
        <v>39.770000000000003</v>
      </c>
      <c r="F210" s="1036">
        <f>'[11]Price&amp;Heating-Value'!$T$16</f>
        <v>0.98550000000000004</v>
      </c>
      <c r="G210" s="965">
        <f>'[11]Price&amp;Heating-Value'!$P$16*'[11]Price&amp;Heating-Value'!$T$16/1000</f>
        <v>17.944656726937499</v>
      </c>
      <c r="H210" s="1015">
        <v>44526</v>
      </c>
      <c r="I210" s="1015">
        <v>0</v>
      </c>
      <c r="J210" s="966">
        <v>0</v>
      </c>
      <c r="K210" s="966"/>
      <c r="L210" s="966"/>
      <c r="M210" s="966"/>
      <c r="N210" s="966"/>
      <c r="O210" s="966"/>
      <c r="P210" s="966"/>
      <c r="Q210" s="966"/>
      <c r="R210" s="966"/>
      <c r="S210" s="966"/>
      <c r="T210" s="966">
        <f>SUM(H210:S210)</f>
        <v>44526</v>
      </c>
      <c r="U210" s="966">
        <f>T210*E210</f>
        <v>1770799.0200000003</v>
      </c>
      <c r="V210" s="966">
        <f>F210*G210*T210</f>
        <v>787418.23053497658</v>
      </c>
      <c r="W210" s="1037">
        <f>'[11]Price&amp;Heating-Value'!D$16*'[11]Price&amp;Heating-Value'!$T$16/1000</f>
        <v>16.779635460000002</v>
      </c>
      <c r="X210" s="982">
        <f>'[11]Price&amp;Heating-Value'!E$16*'[11]Price&amp;Heating-Value'!$T$16/1000</f>
        <v>16.47036585</v>
      </c>
      <c r="Y210" s="982">
        <f>'[11]Price&amp;Heating-Value'!F$16*'[11]Price&amp;Heating-Value'!$T$16/1000</f>
        <v>16.780118354999999</v>
      </c>
      <c r="Z210" s="982">
        <f>'[11]Price&amp;Heating-Value'!G$16*'[11]Price&amp;Heating-Value'!$T$16/1000</f>
        <v>18.287135100000004</v>
      </c>
      <c r="AA210" s="982">
        <f>'[11]Price&amp;Heating-Value'!H$16*'[11]Price&amp;Heating-Value'!$T$16/1000</f>
        <v>20.715278985000001</v>
      </c>
      <c r="AB210" s="982">
        <f>'[11]Price&amp;Heating-Value'!I$16*'[11]Price&amp;Heating-Value'!$T$16/1000</f>
        <v>22.335056640000001</v>
      </c>
      <c r="AC210" s="982">
        <f>'[11]Price&amp;Heating-Value'!J$16*'[11]Price&amp;Heating-Value'!$T$16/1000</f>
        <v>25.718475240000004</v>
      </c>
      <c r="AD210" s="982"/>
    </row>
    <row r="211" spans="1:30" ht="21" hidden="1">
      <c r="A211" s="964"/>
      <c r="B211" s="964"/>
      <c r="C211" s="958" t="s">
        <v>409</v>
      </c>
      <c r="D211" s="964" t="s">
        <v>102</v>
      </c>
      <c r="E211" s="964">
        <v>51.89</v>
      </c>
      <c r="F211" s="964"/>
      <c r="G211" s="965">
        <f>'[11]Price&amp;Heating-Value'!$P$23/1000</f>
        <v>11.61472</v>
      </c>
      <c r="H211" s="1015">
        <v>563643</v>
      </c>
      <c r="I211" s="1015">
        <v>602642</v>
      </c>
      <c r="J211" s="966">
        <v>667087</v>
      </c>
      <c r="K211" s="966"/>
      <c r="L211" s="966"/>
      <c r="M211" s="966"/>
      <c r="N211" s="966"/>
      <c r="O211" s="966"/>
      <c r="P211" s="966"/>
      <c r="Q211" s="966"/>
      <c r="R211" s="966"/>
      <c r="S211" s="966"/>
      <c r="T211" s="966">
        <f>SUM(H211:S211)</f>
        <v>1833372</v>
      </c>
      <c r="U211" s="966">
        <f>T211*E211</f>
        <v>95133673.079999998</v>
      </c>
      <c r="V211" s="966">
        <f>G211*T211</f>
        <v>21294102.435839999</v>
      </c>
      <c r="W211" s="1037">
        <f>'[11]Price&amp;Heating-Value'!D$23/1000</f>
        <v>11.61472</v>
      </c>
      <c r="X211" s="982">
        <f>'[11]Price&amp;Heating-Value'!E$23/1000</f>
        <v>11.61472</v>
      </c>
      <c r="Y211" s="982">
        <f>'[11]Price&amp;Heating-Value'!F$23/1000</f>
        <v>11.61472</v>
      </c>
      <c r="Z211" s="982">
        <f>'[11]Price&amp;Heating-Value'!G$23/1000</f>
        <v>11.61472</v>
      </c>
      <c r="AA211" s="982">
        <f>'[11]Price&amp;Heating-Value'!H$23/1000</f>
        <v>11.61472</v>
      </c>
      <c r="AB211" s="982">
        <f>'[11]Price&amp;Heating-Value'!I$23/1000</f>
        <v>11.61472</v>
      </c>
      <c r="AC211" s="982">
        <f>'[11]Price&amp;Heating-Value'!J$23/1000</f>
        <v>11.61472</v>
      </c>
      <c r="AD211" s="937"/>
    </row>
    <row r="212" spans="1:30" ht="21" hidden="1">
      <c r="A212" s="964"/>
      <c r="B212" s="964"/>
      <c r="C212" s="983"/>
      <c r="D212" s="964"/>
      <c r="E212" s="964"/>
      <c r="F212" s="1036"/>
      <c r="G212" s="984"/>
      <c r="H212" s="994"/>
      <c r="I212" s="1015"/>
      <c r="J212" s="987"/>
      <c r="K212" s="987"/>
      <c r="L212" s="987"/>
      <c r="M212" s="987"/>
      <c r="N212" s="987"/>
      <c r="O212" s="987"/>
      <c r="P212" s="987"/>
      <c r="Q212" s="987"/>
      <c r="R212" s="987"/>
      <c r="S212" s="987"/>
      <c r="T212" s="987"/>
      <c r="U212" s="987">
        <f>SUM(U208:U211)</f>
        <v>265593458.01816666</v>
      </c>
      <c r="V212" s="988">
        <f>SUM(V208:V211)</f>
        <v>105153437.80918053</v>
      </c>
      <c r="W212" s="936"/>
      <c r="X212" s="937"/>
      <c r="Y212" s="937"/>
      <c r="Z212" s="937"/>
      <c r="AA212" s="937"/>
      <c r="AB212" s="937"/>
      <c r="AC212" s="937"/>
      <c r="AD212" s="937"/>
    </row>
    <row r="213" spans="1:30" ht="21" hidden="1">
      <c r="A213" s="964"/>
      <c r="B213" s="989"/>
      <c r="C213" s="990" t="s">
        <v>862</v>
      </c>
      <c r="D213" s="989" t="s">
        <v>121</v>
      </c>
      <c r="E213" s="989"/>
      <c r="F213" s="989"/>
      <c r="G213" s="991"/>
      <c r="H213" s="1023">
        <v>48354.401999999995</v>
      </c>
      <c r="I213" s="1023">
        <v>45889.826999999997</v>
      </c>
      <c r="J213" s="994">
        <v>53114.479999999996</v>
      </c>
      <c r="K213" s="994"/>
      <c r="L213" s="994"/>
      <c r="M213" s="994"/>
      <c r="N213" s="994"/>
      <c r="O213" s="994"/>
      <c r="P213" s="994"/>
      <c r="Q213" s="994"/>
      <c r="R213" s="994"/>
      <c r="S213" s="994"/>
      <c r="T213" s="996">
        <f>SUM(H213:S213)</f>
        <v>147358.70899999997</v>
      </c>
      <c r="U213" s="995"/>
      <c r="V213" s="1026">
        <f>V212/T213</f>
        <v>713.58821289063098</v>
      </c>
      <c r="W213" s="936"/>
      <c r="X213" s="937"/>
      <c r="Y213" s="937"/>
      <c r="Z213" s="937"/>
      <c r="AA213" s="937"/>
      <c r="AB213" s="937"/>
      <c r="AC213" s="937"/>
      <c r="AD213" s="937"/>
    </row>
    <row r="214" spans="1:30" ht="21" hidden="1">
      <c r="A214" s="964"/>
      <c r="B214" s="964"/>
      <c r="C214" s="1031" t="s">
        <v>138</v>
      </c>
      <c r="D214" s="964" t="s">
        <v>173</v>
      </c>
      <c r="E214" s="964"/>
      <c r="F214" s="964"/>
      <c r="G214" s="984"/>
      <c r="H214" s="966">
        <f>H208*$E208/1000</f>
        <v>5409.5084999999999</v>
      </c>
      <c r="I214" s="966">
        <f t="shared" ref="I214:J214" si="104">I208*$E208/1000</f>
        <v>5119.5924000000005</v>
      </c>
      <c r="J214" s="966">
        <f t="shared" si="104"/>
        <v>5867.5212000000001</v>
      </c>
      <c r="K214" s="966"/>
      <c r="L214" s="966"/>
      <c r="M214" s="966"/>
      <c r="N214" s="966"/>
      <c r="O214" s="966"/>
      <c r="P214" s="966"/>
      <c r="Q214" s="966"/>
      <c r="R214" s="966"/>
      <c r="S214" s="966"/>
      <c r="T214" s="966">
        <f t="shared" ref="T214:T219" si="105">SUM(H214:S214)</f>
        <v>16396.622100000001</v>
      </c>
      <c r="U214" s="966"/>
      <c r="V214" s="966"/>
      <c r="W214" s="936"/>
      <c r="X214" s="937"/>
      <c r="Y214" s="937"/>
      <c r="Z214" s="937"/>
      <c r="AA214" s="937"/>
      <c r="AB214" s="937"/>
      <c r="AC214" s="937"/>
      <c r="AD214" s="937"/>
    </row>
    <row r="215" spans="1:30" ht="21" hidden="1">
      <c r="A215" s="964"/>
      <c r="B215" s="964"/>
      <c r="C215" s="1031" t="s">
        <v>152</v>
      </c>
      <c r="D215" s="964" t="s">
        <v>173</v>
      </c>
      <c r="E215" s="964"/>
      <c r="F215" s="964"/>
      <c r="G215" s="984"/>
      <c r="H215" s="966">
        <f>$H$209*$E$209/1000</f>
        <v>51758.64280216668</v>
      </c>
      <c r="I215" s="966">
        <f t="shared" ref="I215:J215" si="106">$H$209*$E$209/1000</f>
        <v>51758.64280216668</v>
      </c>
      <c r="J215" s="966">
        <f t="shared" si="106"/>
        <v>51758.64280216668</v>
      </c>
      <c r="K215" s="966"/>
      <c r="L215" s="966"/>
      <c r="M215" s="966"/>
      <c r="N215" s="966"/>
      <c r="O215" s="966"/>
      <c r="P215" s="966"/>
      <c r="Q215" s="966"/>
      <c r="R215" s="966"/>
      <c r="S215" s="966"/>
      <c r="T215" s="966">
        <f t="shared" si="105"/>
        <v>155275.92840650002</v>
      </c>
      <c r="U215" s="966"/>
      <c r="V215" s="966"/>
      <c r="W215" s="936"/>
      <c r="X215" s="937"/>
      <c r="Y215" s="937"/>
      <c r="Z215" s="937"/>
      <c r="AA215" s="937"/>
      <c r="AB215" s="937"/>
      <c r="AC215" s="937"/>
      <c r="AD215" s="937"/>
    </row>
    <row r="216" spans="1:30" ht="21" hidden="1">
      <c r="A216" s="964"/>
      <c r="B216" s="964"/>
      <c r="C216" s="958" t="s">
        <v>408</v>
      </c>
      <c r="D216" s="964" t="s">
        <v>173</v>
      </c>
      <c r="E216" s="964"/>
      <c r="F216" s="964"/>
      <c r="G216" s="984"/>
      <c r="H216" s="966">
        <f>H210*$E210/1000</f>
        <v>1770.7990200000002</v>
      </c>
      <c r="I216" s="966">
        <f t="shared" ref="I216:J216" si="107">I210*$E210/1000</f>
        <v>0</v>
      </c>
      <c r="J216" s="966">
        <f t="shared" si="107"/>
        <v>0</v>
      </c>
      <c r="K216" s="966"/>
      <c r="L216" s="966"/>
      <c r="M216" s="966"/>
      <c r="N216" s="966"/>
      <c r="O216" s="966"/>
      <c r="P216" s="966"/>
      <c r="Q216" s="966"/>
      <c r="R216" s="966"/>
      <c r="S216" s="966"/>
      <c r="T216" s="966">
        <f t="shared" si="105"/>
        <v>1770.7990200000002</v>
      </c>
      <c r="U216" s="966"/>
      <c r="V216" s="966"/>
      <c r="W216" s="936"/>
      <c r="X216" s="937"/>
      <c r="Y216" s="937"/>
      <c r="Z216" s="937"/>
      <c r="AA216" s="937"/>
      <c r="AB216" s="937"/>
      <c r="AC216" s="937"/>
      <c r="AD216" s="937"/>
    </row>
    <row r="217" spans="1:30" ht="21" hidden="1">
      <c r="A217" s="964"/>
      <c r="B217" s="964"/>
      <c r="C217" s="958" t="s">
        <v>409</v>
      </c>
      <c r="D217" s="964" t="s">
        <v>173</v>
      </c>
      <c r="E217" s="964"/>
      <c r="F217" s="964"/>
      <c r="G217" s="984"/>
      <c r="H217" s="966">
        <f>H211*$E211/1000</f>
        <v>29247.435269999998</v>
      </c>
      <c r="I217" s="966">
        <f>I211*$E211/1000</f>
        <v>31271.093379999998</v>
      </c>
      <c r="J217" s="966">
        <f>J211*$E211/1000</f>
        <v>34615.14443</v>
      </c>
      <c r="K217" s="966"/>
      <c r="L217" s="966"/>
      <c r="M217" s="966"/>
      <c r="N217" s="966"/>
      <c r="O217" s="966"/>
      <c r="P217" s="966"/>
      <c r="Q217" s="966"/>
      <c r="R217" s="966"/>
      <c r="S217" s="966"/>
      <c r="T217" s="966">
        <f t="shared" si="105"/>
        <v>95133.673079999993</v>
      </c>
      <c r="U217" s="966"/>
      <c r="V217" s="966"/>
      <c r="W217" s="936"/>
      <c r="X217" s="937"/>
      <c r="Y217" s="937"/>
      <c r="Z217" s="937"/>
      <c r="AA217" s="937"/>
      <c r="AB217" s="937"/>
      <c r="AC217" s="937"/>
      <c r="AD217" s="937"/>
    </row>
    <row r="218" spans="1:30" ht="21" hidden="1">
      <c r="A218" s="964"/>
      <c r="B218" s="964"/>
      <c r="C218" s="983" t="s">
        <v>412</v>
      </c>
      <c r="D218" s="964" t="s">
        <v>173</v>
      </c>
      <c r="E218" s="1011"/>
      <c r="F218" s="1011"/>
      <c r="G218" s="1058"/>
      <c r="H218" s="981">
        <f>SUM(H214:H217)</f>
        <v>88186.385592166669</v>
      </c>
      <c r="I218" s="981">
        <f t="shared" ref="I218:J218" si="108">SUM(I214:I217)</f>
        <v>88149.32858216668</v>
      </c>
      <c r="J218" s="981">
        <f t="shared" si="108"/>
        <v>92241.308432166683</v>
      </c>
      <c r="K218" s="981"/>
      <c r="L218" s="981"/>
      <c r="M218" s="981"/>
      <c r="N218" s="981"/>
      <c r="O218" s="981"/>
      <c r="P218" s="981"/>
      <c r="Q218" s="981"/>
      <c r="R218" s="981"/>
      <c r="S218" s="981"/>
      <c r="T218" s="1032">
        <f>SUM(H218:S218)</f>
        <v>268577.02260650002</v>
      </c>
      <c r="U218" s="981"/>
      <c r="V218" s="1033">
        <f>V212/T218</f>
        <v>391.52060287466912</v>
      </c>
      <c r="W218" s="936"/>
      <c r="X218" s="937"/>
      <c r="Y218" s="937"/>
      <c r="Z218" s="937"/>
      <c r="AA218" s="937"/>
      <c r="AB218" s="937"/>
      <c r="AC218" s="937"/>
      <c r="AD218" s="937"/>
    </row>
    <row r="219" spans="1:30" ht="21" hidden="1">
      <c r="A219" s="964"/>
      <c r="B219" s="964"/>
      <c r="C219" s="983" t="s">
        <v>345</v>
      </c>
      <c r="D219" s="964" t="s">
        <v>173</v>
      </c>
      <c r="E219" s="1011"/>
      <c r="F219" s="1011"/>
      <c r="G219" s="1058"/>
      <c r="H219" s="1090">
        <f>(1.3738*H213 + 24051)*99.69/100</f>
        <v>90199.78860745042</v>
      </c>
      <c r="I219" s="1090">
        <f t="shared" ref="I219:J219" si="109">(1.3738*I213 + 24051)*99.69/100</f>
        <v>86824.451555168926</v>
      </c>
      <c r="J219" s="1090">
        <f t="shared" si="109"/>
        <v>96718.911638865582</v>
      </c>
      <c r="K219" s="1090"/>
      <c r="L219" s="1090"/>
      <c r="M219" s="1090"/>
      <c r="N219" s="1090"/>
      <c r="O219" s="1090"/>
      <c r="P219" s="1090"/>
      <c r="Q219" s="1090"/>
      <c r="R219" s="1090"/>
      <c r="S219" s="1090"/>
      <c r="T219" s="1032">
        <f t="shared" si="105"/>
        <v>273743.15180148493</v>
      </c>
      <c r="U219" s="981"/>
      <c r="V219" s="1001" t="s">
        <v>158</v>
      </c>
      <c r="W219" s="936"/>
      <c r="X219" s="937"/>
      <c r="Y219" s="937"/>
      <c r="Z219" s="937"/>
      <c r="AA219" s="937"/>
      <c r="AB219" s="937"/>
      <c r="AC219" s="937"/>
      <c r="AD219" s="937"/>
    </row>
    <row r="220" spans="1:30" ht="21" hidden="1">
      <c r="A220" s="964"/>
      <c r="B220" s="1003" t="s">
        <v>174</v>
      </c>
      <c r="C220" s="1004" t="s">
        <v>89</v>
      </c>
      <c r="D220" s="1003" t="s">
        <v>347</v>
      </c>
      <c r="E220" s="1003"/>
      <c r="F220" s="1003"/>
      <c r="G220" s="1005"/>
      <c r="H220" s="1006">
        <f>H214/H213</f>
        <v>0.11187210008304933</v>
      </c>
      <c r="I220" s="1006">
        <f>I214/I213</f>
        <v>0.11156268686739658</v>
      </c>
      <c r="J220" s="1006">
        <f>J214/J213</f>
        <v>0.1104693334096465</v>
      </c>
      <c r="K220" s="1006"/>
      <c r="L220" s="1006"/>
      <c r="M220" s="1006"/>
      <c r="N220" s="1006"/>
      <c r="O220" s="1006"/>
      <c r="P220" s="1006"/>
      <c r="Q220" s="1006"/>
      <c r="R220" s="1006"/>
      <c r="S220" s="1006"/>
      <c r="T220" s="1006">
        <f>T214/T213</f>
        <v>0.11127012588037809</v>
      </c>
      <c r="U220" s="1007"/>
      <c r="V220" s="1007"/>
      <c r="W220" s="936"/>
      <c r="X220" s="937"/>
      <c r="Y220" s="937"/>
      <c r="Z220" s="937"/>
      <c r="AA220" s="937"/>
      <c r="AB220" s="937"/>
      <c r="AC220" s="937"/>
      <c r="AD220" s="937"/>
    </row>
    <row r="221" spans="1:30" ht="21" hidden="1">
      <c r="A221" s="964"/>
      <c r="B221" s="1003"/>
      <c r="C221" s="1004" t="s">
        <v>152</v>
      </c>
      <c r="D221" s="1003" t="s">
        <v>347</v>
      </c>
      <c r="E221" s="1003"/>
      <c r="F221" s="1003"/>
      <c r="G221" s="1005"/>
      <c r="H221" s="1006">
        <f>H215/H213</f>
        <v>1.0704018798984771</v>
      </c>
      <c r="I221" s="1006">
        <f>I215/I213</f>
        <v>1.1278892553281292</v>
      </c>
      <c r="J221" s="1006">
        <f>J215/J213</f>
        <v>0.97447330374253283</v>
      </c>
      <c r="K221" s="1006"/>
      <c r="L221" s="1006"/>
      <c r="M221" s="1006"/>
      <c r="N221" s="1006"/>
      <c r="O221" s="1006"/>
      <c r="P221" s="1006"/>
      <c r="Q221" s="1006"/>
      <c r="R221" s="1006"/>
      <c r="S221" s="1006"/>
      <c r="T221" s="1006">
        <f>T215/T213</f>
        <v>1.0537275296467212</v>
      </c>
      <c r="U221" s="1007"/>
      <c r="V221" s="1007"/>
      <c r="W221" s="936"/>
      <c r="X221" s="937"/>
      <c r="Y221" s="937"/>
      <c r="Z221" s="937"/>
      <c r="AA221" s="937"/>
      <c r="AB221" s="937"/>
      <c r="AC221" s="937"/>
      <c r="AD221" s="937"/>
    </row>
    <row r="222" spans="1:30" ht="21" hidden="1">
      <c r="A222" s="964"/>
      <c r="B222" s="1003"/>
      <c r="C222" s="1004" t="s">
        <v>408</v>
      </c>
      <c r="D222" s="1003" t="s">
        <v>347</v>
      </c>
      <c r="E222" s="1003"/>
      <c r="F222" s="1003"/>
      <c r="G222" s="1005"/>
      <c r="H222" s="1006">
        <f>H216/H213</f>
        <v>3.6621257770905746E-2</v>
      </c>
      <c r="I222" s="1006">
        <f>I216/I213</f>
        <v>0</v>
      </c>
      <c r="J222" s="1006">
        <f>J216/J213</f>
        <v>0</v>
      </c>
      <c r="K222" s="1006"/>
      <c r="L222" s="1006"/>
      <c r="M222" s="1006"/>
      <c r="N222" s="1006"/>
      <c r="O222" s="1006"/>
      <c r="P222" s="1006"/>
      <c r="Q222" s="1006"/>
      <c r="R222" s="1006"/>
      <c r="S222" s="1006"/>
      <c r="T222" s="1006">
        <f>T216/T213</f>
        <v>1.2016928161334532E-2</v>
      </c>
      <c r="U222" s="1007"/>
      <c r="V222" s="1007"/>
      <c r="W222" s="936"/>
      <c r="X222" s="937"/>
      <c r="Y222" s="937"/>
      <c r="Z222" s="937"/>
      <c r="AA222" s="937"/>
      <c r="AB222" s="937"/>
      <c r="AC222" s="937"/>
      <c r="AD222" s="937"/>
    </row>
    <row r="223" spans="1:30" ht="21" hidden="1">
      <c r="A223" s="964"/>
      <c r="B223" s="1003"/>
      <c r="C223" s="1004" t="s">
        <v>409</v>
      </c>
      <c r="D223" s="1003" t="s">
        <v>347</v>
      </c>
      <c r="E223" s="1003"/>
      <c r="F223" s="1003"/>
      <c r="G223" s="1005"/>
      <c r="H223" s="1006">
        <f>H217/H213</f>
        <v>0.60485569173205789</v>
      </c>
      <c r="I223" s="1006">
        <f>I217/I213</f>
        <v>0.68143846739714231</v>
      </c>
      <c r="J223" s="1006">
        <f>J217/J213</f>
        <v>0.65170824283698159</v>
      </c>
      <c r="K223" s="1006"/>
      <c r="L223" s="1006"/>
      <c r="M223" s="1006"/>
      <c r="N223" s="1006"/>
      <c r="O223" s="1006"/>
      <c r="P223" s="1006"/>
      <c r="Q223" s="1006"/>
      <c r="R223" s="1006"/>
      <c r="S223" s="1006"/>
      <c r="T223" s="1006">
        <f>T217/T213</f>
        <v>0.64559247109039219</v>
      </c>
      <c r="U223" s="1007"/>
      <c r="V223" s="1007"/>
      <c r="W223" s="936"/>
      <c r="X223" s="937"/>
      <c r="Y223" s="937"/>
      <c r="Z223" s="937"/>
      <c r="AA223" s="937"/>
      <c r="AB223" s="937"/>
      <c r="AC223" s="937"/>
      <c r="AD223" s="937"/>
    </row>
    <row r="224" spans="1:30" ht="23.25" hidden="1">
      <c r="A224" s="964"/>
      <c r="B224" s="1003"/>
      <c r="C224" s="1008" t="s">
        <v>413</v>
      </c>
      <c r="D224" s="1003" t="s">
        <v>347</v>
      </c>
      <c r="E224" s="1003"/>
      <c r="F224" s="1003"/>
      <c r="G224" s="1005"/>
      <c r="H224" s="1006">
        <f>H218/H213</f>
        <v>1.82375092948449</v>
      </c>
      <c r="I224" s="1006">
        <f>I218/I213</f>
        <v>1.9208904095926682</v>
      </c>
      <c r="J224" s="1006">
        <f>J218/J213</f>
        <v>1.7366508799891609</v>
      </c>
      <c r="K224" s="1006"/>
      <c r="L224" s="1006"/>
      <c r="M224" s="1006"/>
      <c r="N224" s="1006"/>
      <c r="O224" s="1006"/>
      <c r="P224" s="1006"/>
      <c r="Q224" s="1006"/>
      <c r="R224" s="1006"/>
      <c r="S224" s="1006"/>
      <c r="T224" s="1021">
        <f>T218/T213</f>
        <v>1.822607054778826</v>
      </c>
      <c r="U224" s="1007"/>
      <c r="V224" s="1007"/>
      <c r="W224" s="936"/>
      <c r="X224" s="937"/>
      <c r="Y224" s="937"/>
      <c r="Z224" s="937"/>
      <c r="AA224" s="937"/>
      <c r="AB224" s="937"/>
      <c r="AC224" s="937"/>
      <c r="AD224" s="937"/>
    </row>
    <row r="225" spans="1:36" ht="21" hidden="1">
      <c r="A225" s="964"/>
      <c r="B225" s="1003"/>
      <c r="C225" s="1008" t="s">
        <v>414</v>
      </c>
      <c r="D225" s="1003"/>
      <c r="E225" s="1003"/>
      <c r="F225" s="1003"/>
      <c r="G225" s="1003"/>
      <c r="H225" s="1009">
        <f>H218/H219*100</f>
        <v>97.767840649775707</v>
      </c>
      <c r="I225" s="1009">
        <f>I218/I219*100</f>
        <v>101.52592616857005</v>
      </c>
      <c r="J225" s="1009">
        <f>J218/J219*100</f>
        <v>95.370498767172222</v>
      </c>
      <c r="K225" s="1009"/>
      <c r="L225" s="1009"/>
      <c r="M225" s="1009"/>
      <c r="N225" s="1009"/>
      <c r="O225" s="1009"/>
      <c r="P225" s="1009"/>
      <c r="Q225" s="1009"/>
      <c r="R225" s="1009"/>
      <c r="S225" s="1009"/>
      <c r="T225" s="1009">
        <f>T218/T219*100</f>
        <v>98.112782306703565</v>
      </c>
      <c r="U225" s="1007"/>
      <c r="V225" s="1007"/>
      <c r="W225" s="936" t="s">
        <v>29</v>
      </c>
      <c r="X225" s="937" t="s">
        <v>30</v>
      </c>
      <c r="Y225" s="937" t="s">
        <v>31</v>
      </c>
      <c r="Z225" s="937" t="s">
        <v>32</v>
      </c>
      <c r="AA225" s="937" t="s">
        <v>33</v>
      </c>
      <c r="AB225" s="937" t="s">
        <v>34</v>
      </c>
      <c r="AC225" s="937" t="s">
        <v>35</v>
      </c>
      <c r="AD225" s="937" t="s">
        <v>36</v>
      </c>
      <c r="AE225" s="937" t="s">
        <v>37</v>
      </c>
      <c r="AF225" s="937" t="s">
        <v>38</v>
      </c>
      <c r="AG225" s="937" t="s">
        <v>39</v>
      </c>
      <c r="AH225" s="937" t="s">
        <v>40</v>
      </c>
      <c r="AI225" s="937" t="s">
        <v>25</v>
      </c>
      <c r="AJ225" s="946" t="s">
        <v>158</v>
      </c>
    </row>
    <row r="226" spans="1:36" ht="21" hidden="1">
      <c r="A226" s="964">
        <v>10</v>
      </c>
      <c r="B226" s="1013" t="s">
        <v>410</v>
      </c>
      <c r="C226" s="1031" t="s">
        <v>138</v>
      </c>
      <c r="D226" s="964" t="s">
        <v>90</v>
      </c>
      <c r="E226" s="984">
        <f>'[11]Price&amp;Heating-Value'!$R$6</f>
        <v>3.6</v>
      </c>
      <c r="F226" s="964"/>
      <c r="G226" s="1014">
        <f>'[11]Price&amp;Heating-Value'!$P$6</f>
        <v>2.7124999999999999</v>
      </c>
      <c r="H226" s="1015">
        <v>2688078</v>
      </c>
      <c r="I226" s="966">
        <v>2605156</v>
      </c>
      <c r="J226" s="966">
        <v>2668380.0019999999</v>
      </c>
      <c r="K226" s="966"/>
      <c r="L226" s="966"/>
      <c r="M226" s="966"/>
      <c r="N226" s="966"/>
      <c r="O226" s="966"/>
      <c r="P226" s="966"/>
      <c r="Q226" s="966"/>
      <c r="R226" s="966"/>
      <c r="S226" s="966"/>
      <c r="T226" s="966">
        <f t="shared" ref="T226:T231" si="110">SUM(H226:S226)</f>
        <v>7961614.0020000003</v>
      </c>
      <c r="U226" s="966">
        <f>T226*E226</f>
        <v>28661810.407200001</v>
      </c>
      <c r="V226" s="966">
        <f>G226*T226</f>
        <v>21595877.980425</v>
      </c>
      <c r="W226" s="954">
        <f>H226*'[11]Transfer Price2011'!$HE$459</f>
        <v>8037353.2200000007</v>
      </c>
      <c r="X226" s="954">
        <f>I226*'[11]Transfer Price2011'!$HE$459</f>
        <v>7789416.4400000004</v>
      </c>
      <c r="Y226" s="954">
        <f>J226*'[11]Transfer Price2011'!$HE$459</f>
        <v>7978456.2059800001</v>
      </c>
      <c r="Z226" s="954">
        <f>K226*'[11]Transfer Price2011'!$HE$459</f>
        <v>0</v>
      </c>
      <c r="AA226" s="954">
        <f>L226*'[11]Transfer Price2011'!$HE$459</f>
        <v>0</v>
      </c>
      <c r="AB226" s="954">
        <f>M226*'[11]Transfer Price2011'!$HE$459</f>
        <v>0</v>
      </c>
      <c r="AC226" s="954">
        <f>N226*'[11]Transfer Price2011'!$HE$459</f>
        <v>0</v>
      </c>
      <c r="AD226" s="954">
        <f>O226*'[11]Transfer Price2011'!$HE$459</f>
        <v>0</v>
      </c>
      <c r="AE226" s="954">
        <f>P226*'[11]Transfer Price2011'!$HE$459</f>
        <v>0</v>
      </c>
      <c r="AF226" s="954">
        <f>Q226*'[11]Transfer Price2011'!$HE$459</f>
        <v>0</v>
      </c>
      <c r="AG226" s="954">
        <f>R226*'[11]Transfer Price2011'!$HE$459</f>
        <v>0</v>
      </c>
      <c r="AH226" s="954">
        <f>S226*'[11]Transfer Price2011'!$HE$459</f>
        <v>0</v>
      </c>
      <c r="AI226" s="936">
        <f>SUM(W226:AH226)</f>
        <v>23805225.865979999</v>
      </c>
      <c r="AJ226" s="955">
        <f>AI226/U226*1000</f>
        <v>830.55555555555554</v>
      </c>
    </row>
    <row r="227" spans="1:36" ht="21" hidden="1">
      <c r="A227" s="964"/>
      <c r="B227" s="964"/>
      <c r="C227" s="1031" t="s">
        <v>415</v>
      </c>
      <c r="D227" s="964" t="s">
        <v>121</v>
      </c>
      <c r="E227" s="964">
        <f>'[11]Price&amp;Heating-Value'!$R$10</f>
        <v>3180</v>
      </c>
      <c r="F227" s="964"/>
      <c r="G227" s="965">
        <f>'[11]Price&amp;Heating-Value'!$P$10</f>
        <v>1321.5833333333333</v>
      </c>
      <c r="H227" s="1015">
        <v>15585</v>
      </c>
      <c r="I227" s="966">
        <v>16376</v>
      </c>
      <c r="J227" s="966">
        <v>15820.6</v>
      </c>
      <c r="K227" s="966"/>
      <c r="L227" s="966"/>
      <c r="M227" s="966"/>
      <c r="N227" s="966"/>
      <c r="O227" s="966"/>
      <c r="P227" s="966"/>
      <c r="Q227" s="966"/>
      <c r="R227" s="966"/>
      <c r="S227" s="966"/>
      <c r="T227" s="966">
        <f t="shared" si="110"/>
        <v>47781.599999999999</v>
      </c>
      <c r="U227" s="966">
        <f>T227*E227</f>
        <v>151945488</v>
      </c>
      <c r="V227" s="966">
        <f>G227*T227</f>
        <v>63147366.199999996</v>
      </c>
      <c r="W227" s="954">
        <f>H227*'[11]Transfer Price2011'!$HE$464</f>
        <v>25013925</v>
      </c>
      <c r="X227" s="954">
        <f>I227*'[11]Transfer Price2011'!$HE$464</f>
        <v>26283480</v>
      </c>
      <c r="Y227" s="954">
        <f>J227*'[11]Transfer Price2011'!$HE$464</f>
        <v>25392063</v>
      </c>
      <c r="Z227" s="954">
        <f>K227*'[11]Transfer Price2011'!$HE$464</f>
        <v>0</v>
      </c>
      <c r="AA227" s="954">
        <f>L227*'[11]Transfer Price2011'!$HE$464</f>
        <v>0</v>
      </c>
      <c r="AB227" s="954">
        <f>M227*'[11]Transfer Price2011'!$HE$464</f>
        <v>0</v>
      </c>
      <c r="AC227" s="954">
        <f>N227*'[11]Transfer Price2011'!$HE$464</f>
        <v>0</v>
      </c>
      <c r="AD227" s="954">
        <f>O227*'[11]Transfer Price2011'!$HE$464</f>
        <v>0</v>
      </c>
      <c r="AE227" s="954">
        <f>P227*'[11]Transfer Price2011'!$HE$464</f>
        <v>0</v>
      </c>
      <c r="AF227" s="954">
        <f>Q227*'[11]Transfer Price2011'!$HE$464</f>
        <v>0</v>
      </c>
      <c r="AG227" s="954">
        <f>R227*'[11]Transfer Price2011'!$HE$464</f>
        <v>0</v>
      </c>
      <c r="AH227" s="954">
        <f>S227*'[11]Transfer Price2011'!$HE$464</f>
        <v>0</v>
      </c>
      <c r="AI227" s="936">
        <f t="shared" ref="AI227:AI230" si="111">SUM(W227:AH227)</f>
        <v>76689468</v>
      </c>
      <c r="AJ227" s="955">
        <f t="shared" ref="AJ227:AJ230" si="112">AI227/U227*1000</f>
        <v>504.71698113207555</v>
      </c>
    </row>
    <row r="228" spans="1:36" ht="21" hidden="1">
      <c r="A228" s="964"/>
      <c r="B228" s="964"/>
      <c r="C228" s="1031" t="s">
        <v>408</v>
      </c>
      <c r="D228" s="964" t="s">
        <v>176</v>
      </c>
      <c r="E228" s="984">
        <f>'[11]Price&amp;Heating-Value'!$S$16/1000</f>
        <v>39.770000000000003</v>
      </c>
      <c r="F228" s="1036">
        <f>'[11]Price&amp;Heating-Value'!$T$16</f>
        <v>0.98550000000000004</v>
      </c>
      <c r="G228" s="965">
        <f>'[11]Price&amp;Heating-Value'!$P$16*'[11]Price&amp;Heating-Value'!$T$16/1000</f>
        <v>17.944656726937499</v>
      </c>
      <c r="H228" s="1015">
        <v>0</v>
      </c>
      <c r="I228" s="966">
        <v>0</v>
      </c>
      <c r="J228" s="966">
        <v>0</v>
      </c>
      <c r="K228" s="968"/>
      <c r="L228" s="966"/>
      <c r="M228" s="966"/>
      <c r="N228" s="966"/>
      <c r="O228" s="966"/>
      <c r="P228" s="966"/>
      <c r="Q228" s="966"/>
      <c r="R228" s="966"/>
      <c r="S228" s="966"/>
      <c r="T228" s="966">
        <f t="shared" si="110"/>
        <v>0</v>
      </c>
      <c r="U228" s="966">
        <f>T228*E228</f>
        <v>0</v>
      </c>
      <c r="V228" s="966">
        <f>F228*G228*T228</f>
        <v>0</v>
      </c>
      <c r="W228" s="954">
        <f>H228*'[11]Transfer Price2011'!$HE$331*'[11]Transfer Price2011'!$HE$5/1000/$F$228</f>
        <v>0</v>
      </c>
      <c r="X228" s="954">
        <f>I228*'[11]Transfer Price2011'!$HE$331*'[11]Transfer Price2011'!$HE$5/1000/$F$228</f>
        <v>0</v>
      </c>
      <c r="Y228" s="954">
        <f>J228*'[11]Transfer Price2011'!$HE$331*'[11]Transfer Price2011'!$HE$5/1000/$F$228</f>
        <v>0</v>
      </c>
      <c r="Z228" s="954">
        <f>K228*'[11]Transfer Price2011'!$HE$331*'[11]Transfer Price2011'!$HE$5/1000/$F$228</f>
        <v>0</v>
      </c>
      <c r="AA228" s="954">
        <f>L228*'[11]Transfer Price2011'!$HE$331*'[11]Transfer Price2011'!$HE$5/1000/$F$228</f>
        <v>0</v>
      </c>
      <c r="AB228" s="954">
        <f>M228*'[11]Transfer Price2011'!$HE$331*'[11]Transfer Price2011'!$HE$5/1000/$F$228</f>
        <v>0</v>
      </c>
      <c r="AC228" s="954">
        <f>N228*'[11]Transfer Price2011'!$HE$331*'[11]Transfer Price2011'!$HE$5/1000/$F$228</f>
        <v>0</v>
      </c>
      <c r="AD228" s="954">
        <f>O228*'[11]Transfer Price2011'!$HE$331*'[11]Transfer Price2011'!$HE$5/1000/$F$228</f>
        <v>0</v>
      </c>
      <c r="AE228" s="954">
        <f>P228*'[11]Transfer Price2011'!$HE$331*'[11]Transfer Price2011'!$HE$5/1000/$F$228</f>
        <v>0</v>
      </c>
      <c r="AF228" s="954">
        <f>Q228*'[11]Transfer Price2011'!$HE$331*'[11]Transfer Price2011'!$HE$5/1000/$F$228</f>
        <v>0</v>
      </c>
      <c r="AG228" s="954">
        <f>R228*'[11]Transfer Price2011'!$HE$331*'[11]Transfer Price2011'!$HE$5/1000/$F$228</f>
        <v>0</v>
      </c>
      <c r="AH228" s="954">
        <f>S228*'[11]Transfer Price2011'!$HE$331*'[11]Transfer Price2011'!$HE$5/1000/$F$228</f>
        <v>0</v>
      </c>
      <c r="AI228" s="936">
        <f t="shared" si="111"/>
        <v>0</v>
      </c>
      <c r="AJ228" s="955" t="e">
        <f t="shared" si="112"/>
        <v>#DIV/0!</v>
      </c>
    </row>
    <row r="229" spans="1:36" ht="21" hidden="1">
      <c r="A229" s="964"/>
      <c r="B229" s="964"/>
      <c r="C229" s="1031" t="s">
        <v>429</v>
      </c>
      <c r="D229" s="964" t="s">
        <v>102</v>
      </c>
      <c r="E229" s="964">
        <f>'[11]Price&amp;Heating-Value'!$R$23/1000</f>
        <v>50.22</v>
      </c>
      <c r="F229" s="964"/>
      <c r="G229" s="965">
        <f>'[11]Price&amp;Heating-Value'!$P$23/1000</f>
        <v>11.61472</v>
      </c>
      <c r="H229" s="1015">
        <v>1602913</v>
      </c>
      <c r="I229" s="966">
        <v>1689679</v>
      </c>
      <c r="J229" s="966">
        <v>1755895.5</v>
      </c>
      <c r="K229" s="966"/>
      <c r="L229" s="966"/>
      <c r="M229" s="966"/>
      <c r="N229" s="966"/>
      <c r="O229" s="966"/>
      <c r="P229" s="966"/>
      <c r="Q229" s="966"/>
      <c r="R229" s="966"/>
      <c r="S229" s="966"/>
      <c r="T229" s="966">
        <f t="shared" si="110"/>
        <v>5048487.5</v>
      </c>
      <c r="U229" s="966">
        <f>T229*E229</f>
        <v>253535042.25</v>
      </c>
      <c r="V229" s="966">
        <f>G229*T229</f>
        <v>58636768.736000001</v>
      </c>
      <c r="W229" s="954">
        <f>H229*'[11]Transfer Price2011'!$HE$339*'[11]Transfer Price2011'!$HE$5/1000</f>
        <v>37908732.158700004</v>
      </c>
      <c r="X229" s="954">
        <f>I229*'[11]Transfer Price2011'!$HE$339*'[11]Transfer Price2011'!$HE$5/1000</f>
        <v>39960739.382100001</v>
      </c>
      <c r="Y229" s="954">
        <f>J229*'[11]Transfer Price2011'!$HE$339*'[11]Transfer Price2011'!$HE$5/1000</f>
        <v>41526752.985450007</v>
      </c>
      <c r="Z229" s="954">
        <f>K229*'[11]Transfer Price2011'!$HE$339*'[11]Transfer Price2011'!$HE$5/1000</f>
        <v>0</v>
      </c>
      <c r="AA229" s="954">
        <f>L229*'[11]Transfer Price2011'!$HE$339*'[11]Transfer Price2011'!$HE$5/1000</f>
        <v>0</v>
      </c>
      <c r="AB229" s="954">
        <f>M229*'[11]Transfer Price2011'!$HE$339*'[11]Transfer Price2011'!$HE$5/1000</f>
        <v>0</v>
      </c>
      <c r="AC229" s="954">
        <f>N229*'[11]Transfer Price2011'!$HE$339*'[11]Transfer Price2011'!$HE$5/1000</f>
        <v>0</v>
      </c>
      <c r="AD229" s="954">
        <f>O229*'[11]Transfer Price2011'!$HE$339*'[11]Transfer Price2011'!$HE$5/1000</f>
        <v>0</v>
      </c>
      <c r="AE229" s="954">
        <f>P229*'[11]Transfer Price2011'!$HE$339*'[11]Transfer Price2011'!$HE$5/1000</f>
        <v>0</v>
      </c>
      <c r="AF229" s="954">
        <f>Q229*'[11]Transfer Price2011'!$HE$339*'[11]Transfer Price2011'!$HE$5/1000</f>
        <v>0</v>
      </c>
      <c r="AG229" s="954">
        <f>R229*'[11]Transfer Price2011'!$HE$339*'[11]Transfer Price2011'!$HE$5/1000</f>
        <v>0</v>
      </c>
      <c r="AH229" s="954">
        <f>S229*'[11]Transfer Price2011'!$HE$339*'[11]Transfer Price2011'!$HE$5/1000</f>
        <v>0</v>
      </c>
      <c r="AI229" s="936">
        <f t="shared" si="111"/>
        <v>119396224.52625</v>
      </c>
      <c r="AJ229" s="955">
        <f t="shared" si="112"/>
        <v>470.92592592592598</v>
      </c>
    </row>
    <row r="230" spans="1:36" ht="21" hidden="1">
      <c r="A230" s="964"/>
      <c r="B230" s="964"/>
      <c r="C230" s="1031" t="s">
        <v>430</v>
      </c>
      <c r="D230" s="964" t="s">
        <v>176</v>
      </c>
      <c r="E230" s="964">
        <f>'[11]Price&amp;Heating-Value'!$R$18/'[11]Price&amp;Heating-Value'!$T$18/1000</f>
        <v>36.42</v>
      </c>
      <c r="F230" s="1036">
        <f>'[11]Price&amp;Heating-Value'!$T$18</f>
        <v>0.83520000000000005</v>
      </c>
      <c r="G230" s="965">
        <f>'[11]Price&amp;Heating-Value'!$P$18*'[11]Price&amp;Heating-Value'!$T$18/1000</f>
        <v>25.160039938320001</v>
      </c>
      <c r="H230" s="1015">
        <v>777206</v>
      </c>
      <c r="I230" s="987">
        <v>570018</v>
      </c>
      <c r="J230" s="966">
        <v>557126.98800000001</v>
      </c>
      <c r="K230" s="968"/>
      <c r="L230" s="966"/>
      <c r="M230" s="966"/>
      <c r="N230" s="966"/>
      <c r="O230" s="966"/>
      <c r="P230" s="966"/>
      <c r="Q230" s="966"/>
      <c r="R230" s="966"/>
      <c r="S230" s="966"/>
      <c r="T230" s="966">
        <f t="shared" si="110"/>
        <v>1904350.9879999999</v>
      </c>
      <c r="U230" s="966">
        <f>T230*E230</f>
        <v>69356462.982960001</v>
      </c>
      <c r="V230" s="966">
        <f>G230*T230</f>
        <v>47913546.91465915</v>
      </c>
      <c r="W230" s="954">
        <f>H230*'[11]Transfer Price2011'!$HE$327*'[11]Transfer Price2011'!$HE$5/1000/$F$230</f>
        <v>29994386.763829023</v>
      </c>
      <c r="X230" s="954">
        <f>I230*'[11]Transfer Price2011'!$HE$327*'[11]Transfer Price2011'!$HE$5/1000/$F$230</f>
        <v>21998466.757004313</v>
      </c>
      <c r="Y230" s="954">
        <f>J230*'[11]Transfer Price2011'!$HE$327*'[11]Transfer Price2011'!$HE$5/1000/$F$230</f>
        <v>21500969.311404094</v>
      </c>
      <c r="Z230" s="954">
        <f>K230*'[11]Transfer Price2011'!$HE$327*'[11]Transfer Price2011'!$HE$5/1000/$F$230</f>
        <v>0</v>
      </c>
      <c r="AA230" s="954">
        <f>L230*'[11]Transfer Price2011'!$HE$327*'[11]Transfer Price2011'!$HE$5/1000/$F$230</f>
        <v>0</v>
      </c>
      <c r="AB230" s="954">
        <f>M230*'[11]Transfer Price2011'!$HE$327*'[11]Transfer Price2011'!$HE$5/1000/$F$230</f>
        <v>0</v>
      </c>
      <c r="AC230" s="954">
        <f>N230*'[11]Transfer Price2011'!$HE$327*'[11]Transfer Price2011'!$HE$5/1000/$F$230</f>
        <v>0</v>
      </c>
      <c r="AD230" s="954">
        <f>O230*'[11]Transfer Price2011'!$HE$327*'[11]Transfer Price2011'!$HE$5/1000/$F$230</f>
        <v>0</v>
      </c>
      <c r="AE230" s="954">
        <f>P230*'[11]Transfer Price2011'!$HE$327*'[11]Transfer Price2011'!$HE$5/1000/$F$230</f>
        <v>0</v>
      </c>
      <c r="AF230" s="954">
        <f>Q230*'[11]Transfer Price2011'!$HE$327*'[11]Transfer Price2011'!$HE$5/1000/$F$230</f>
        <v>0</v>
      </c>
      <c r="AG230" s="954">
        <f>R230*'[11]Transfer Price2011'!$HE$327*'[11]Transfer Price2011'!$HE$5/1000/$F$230</f>
        <v>0</v>
      </c>
      <c r="AH230" s="954">
        <f>S230*'[11]Transfer Price2011'!$HE$327*'[11]Transfer Price2011'!$HE$5/1000/$F$230</f>
        <v>0</v>
      </c>
      <c r="AI230" s="936">
        <f t="shared" si="111"/>
        <v>73493822.832237422</v>
      </c>
      <c r="AJ230" s="955">
        <f t="shared" si="112"/>
        <v>1059.6535588946329</v>
      </c>
    </row>
    <row r="231" spans="1:36" ht="21" hidden="1">
      <c r="A231" s="964"/>
      <c r="B231" s="989"/>
      <c r="C231" s="990" t="s">
        <v>421</v>
      </c>
      <c r="D231" s="989" t="s">
        <v>147</v>
      </c>
      <c r="E231" s="989"/>
      <c r="F231" s="989"/>
      <c r="G231" s="991"/>
      <c r="H231" s="1023">
        <v>17478.566999999999</v>
      </c>
      <c r="I231" s="994">
        <v>17937.900000000001</v>
      </c>
      <c r="J231" s="994">
        <v>19233.248046000001</v>
      </c>
      <c r="K231" s="994"/>
      <c r="L231" s="994"/>
      <c r="M231" s="994"/>
      <c r="N231" s="994"/>
      <c r="O231" s="994"/>
      <c r="P231" s="994"/>
      <c r="Q231" s="994"/>
      <c r="R231" s="994"/>
      <c r="S231" s="994"/>
      <c r="T231" s="996">
        <f t="shared" si="110"/>
        <v>54649.715046000005</v>
      </c>
      <c r="U231" s="995"/>
      <c r="V231" s="1026" t="e">
        <f>#REF!/T231</f>
        <v>#REF!</v>
      </c>
      <c r="W231" s="936">
        <f>SUM(W226:W230)</f>
        <v>100954397.14252903</v>
      </c>
      <c r="X231" s="936">
        <f t="shared" ref="X231:AJ231" si="113">SUM(X226:X230)</f>
        <v>96032102.579104304</v>
      </c>
      <c r="Y231" s="936">
        <f t="shared" si="113"/>
        <v>96398241.502834097</v>
      </c>
      <c r="Z231" s="936">
        <f t="shared" si="113"/>
        <v>0</v>
      </c>
      <c r="AA231" s="936">
        <f t="shared" si="113"/>
        <v>0</v>
      </c>
      <c r="AB231" s="936">
        <f t="shared" si="113"/>
        <v>0</v>
      </c>
      <c r="AC231" s="936">
        <f t="shared" si="113"/>
        <v>0</v>
      </c>
      <c r="AD231" s="936">
        <f t="shared" si="113"/>
        <v>0</v>
      </c>
      <c r="AE231" s="936">
        <f t="shared" si="113"/>
        <v>0</v>
      </c>
      <c r="AF231" s="936">
        <f t="shared" si="113"/>
        <v>0</v>
      </c>
      <c r="AG231" s="936">
        <f t="shared" si="113"/>
        <v>0</v>
      </c>
      <c r="AH231" s="936">
        <f t="shared" si="113"/>
        <v>0</v>
      </c>
      <c r="AI231" s="936">
        <f t="shared" si="113"/>
        <v>293384741.2244674</v>
      </c>
      <c r="AJ231" s="936" t="e">
        <f t="shared" si="113"/>
        <v>#DIV/0!</v>
      </c>
    </row>
    <row r="232" spans="1:36" ht="21" hidden="1">
      <c r="A232" s="964"/>
      <c r="B232" s="1011"/>
      <c r="C232" s="1030"/>
      <c r="D232" s="1011"/>
      <c r="E232" s="1011"/>
      <c r="F232" s="1011"/>
      <c r="G232" s="1058"/>
      <c r="H232" s="981"/>
      <c r="I232" s="981"/>
      <c r="J232" s="981"/>
      <c r="K232" s="981"/>
      <c r="L232" s="981"/>
      <c r="M232" s="981"/>
      <c r="N232" s="981"/>
      <c r="O232" s="981"/>
      <c r="P232" s="981"/>
      <c r="Q232" s="981"/>
      <c r="R232" s="981"/>
      <c r="S232" s="981"/>
      <c r="T232" s="981"/>
      <c r="U232" s="981"/>
      <c r="V232" s="997" t="s">
        <v>137</v>
      </c>
      <c r="W232" s="936"/>
      <c r="X232" s="937"/>
      <c r="Y232" s="937"/>
      <c r="Z232" s="937"/>
      <c r="AA232" s="937"/>
      <c r="AB232" s="937"/>
      <c r="AC232" s="937"/>
      <c r="AD232" s="937"/>
      <c r="AE232" s="937"/>
      <c r="AF232" s="937"/>
      <c r="AG232" s="937"/>
      <c r="AH232" s="937"/>
      <c r="AI232" s="937"/>
      <c r="AJ232" s="937"/>
    </row>
    <row r="233" spans="1:36" ht="21" hidden="1">
      <c r="A233" s="964"/>
      <c r="B233" s="964"/>
      <c r="C233" s="1031" t="s">
        <v>138</v>
      </c>
      <c r="D233" s="964" t="s">
        <v>173</v>
      </c>
      <c r="E233" s="964"/>
      <c r="F233" s="964"/>
      <c r="G233" s="1091"/>
      <c r="H233" s="966">
        <f t="shared" ref="H233:J237" si="114">H226*$E226/1000</f>
        <v>9677.0808000000015</v>
      </c>
      <c r="I233" s="966">
        <f t="shared" si="114"/>
        <v>9378.5615999999991</v>
      </c>
      <c r="J233" s="966">
        <f t="shared" si="114"/>
        <v>9606.1680071999981</v>
      </c>
      <c r="K233" s="966"/>
      <c r="L233" s="966"/>
      <c r="M233" s="966"/>
      <c r="N233" s="966"/>
      <c r="O233" s="966"/>
      <c r="P233" s="966"/>
      <c r="Q233" s="966"/>
      <c r="R233" s="966"/>
      <c r="S233" s="966"/>
      <c r="T233" s="966">
        <f t="shared" ref="T233:T237" si="115">SUM(H233:S233)</f>
        <v>28661.810407199999</v>
      </c>
      <c r="U233" s="966"/>
      <c r="V233" s="966"/>
      <c r="W233" s="936"/>
      <c r="X233" s="937"/>
      <c r="Y233" s="937"/>
      <c r="Z233" s="937"/>
      <c r="AA233" s="937"/>
      <c r="AB233" s="937"/>
      <c r="AC233" s="937"/>
      <c r="AD233" s="937"/>
      <c r="AE233" s="937"/>
      <c r="AF233" s="937"/>
      <c r="AG233" s="937"/>
      <c r="AH233" s="937"/>
      <c r="AI233" s="937"/>
      <c r="AJ233" s="937"/>
    </row>
    <row r="234" spans="1:36" ht="21" hidden="1">
      <c r="A234" s="964"/>
      <c r="B234" s="964"/>
      <c r="C234" s="1031" t="s">
        <v>152</v>
      </c>
      <c r="D234" s="964" t="s">
        <v>173</v>
      </c>
      <c r="E234" s="964"/>
      <c r="F234" s="964"/>
      <c r="G234" s="1091"/>
      <c r="H234" s="966">
        <f>H227*$E227/1000</f>
        <v>49560.3</v>
      </c>
      <c r="I234" s="966">
        <f t="shared" si="114"/>
        <v>52075.68</v>
      </c>
      <c r="J234" s="966">
        <f t="shared" si="114"/>
        <v>50309.508000000002</v>
      </c>
      <c r="K234" s="966"/>
      <c r="L234" s="966"/>
      <c r="M234" s="966"/>
      <c r="N234" s="966"/>
      <c r="O234" s="966"/>
      <c r="P234" s="966"/>
      <c r="Q234" s="966"/>
      <c r="R234" s="966"/>
      <c r="S234" s="966"/>
      <c r="T234" s="966">
        <f t="shared" si="115"/>
        <v>151945.48800000001</v>
      </c>
      <c r="U234" s="966"/>
      <c r="V234" s="966"/>
      <c r="W234" s="936"/>
      <c r="X234" s="937"/>
      <c r="Y234" s="937"/>
      <c r="Z234" s="937"/>
      <c r="AA234" s="937"/>
      <c r="AB234" s="937"/>
      <c r="AC234" s="937"/>
      <c r="AD234" s="937"/>
      <c r="AE234" s="937"/>
      <c r="AF234" s="937"/>
      <c r="AG234" s="937"/>
      <c r="AH234" s="937"/>
      <c r="AI234" s="937"/>
      <c r="AJ234" s="937"/>
    </row>
    <row r="235" spans="1:36" ht="21" hidden="1">
      <c r="A235" s="964"/>
      <c r="B235" s="964"/>
      <c r="C235" s="958" t="s">
        <v>408</v>
      </c>
      <c r="D235" s="964" t="s">
        <v>173</v>
      </c>
      <c r="E235" s="964"/>
      <c r="F235" s="964"/>
      <c r="G235" s="1091"/>
      <c r="H235" s="966">
        <f t="shared" si="114"/>
        <v>0</v>
      </c>
      <c r="I235" s="966">
        <f t="shared" si="114"/>
        <v>0</v>
      </c>
      <c r="J235" s="966">
        <f t="shared" si="114"/>
        <v>0</v>
      </c>
      <c r="K235" s="966"/>
      <c r="L235" s="966"/>
      <c r="M235" s="966"/>
      <c r="N235" s="966"/>
      <c r="O235" s="966"/>
      <c r="P235" s="966"/>
      <c r="Q235" s="966"/>
      <c r="R235" s="966"/>
      <c r="S235" s="966"/>
      <c r="T235" s="966">
        <f t="shared" si="115"/>
        <v>0</v>
      </c>
      <c r="U235" s="966"/>
      <c r="V235" s="966"/>
      <c r="W235" s="936"/>
      <c r="X235" s="937"/>
      <c r="Y235" s="937"/>
      <c r="Z235" s="937"/>
      <c r="AA235" s="937"/>
      <c r="AB235" s="937"/>
      <c r="AC235" s="937"/>
      <c r="AD235" s="937"/>
      <c r="AE235" s="937"/>
      <c r="AF235" s="937"/>
      <c r="AG235" s="937"/>
      <c r="AH235" s="937"/>
      <c r="AI235" s="937"/>
      <c r="AJ235" s="937"/>
    </row>
    <row r="236" spans="1:36" ht="21" hidden="1">
      <c r="A236" s="964"/>
      <c r="B236" s="964"/>
      <c r="C236" s="958" t="s">
        <v>429</v>
      </c>
      <c r="D236" s="964" t="s">
        <v>173</v>
      </c>
      <c r="E236" s="964"/>
      <c r="F236" s="964"/>
      <c r="G236" s="1091"/>
      <c r="H236" s="966">
        <f t="shared" si="114"/>
        <v>80498.290859999994</v>
      </c>
      <c r="I236" s="966">
        <f t="shared" si="114"/>
        <v>84855.679380000001</v>
      </c>
      <c r="J236" s="966">
        <f t="shared" si="114"/>
        <v>88181.072010000004</v>
      </c>
      <c r="K236" s="966"/>
      <c r="L236" s="966"/>
      <c r="M236" s="966"/>
      <c r="N236" s="966"/>
      <c r="O236" s="966"/>
      <c r="P236" s="966"/>
      <c r="Q236" s="966"/>
      <c r="R236" s="966"/>
      <c r="S236" s="966"/>
      <c r="T236" s="966">
        <f t="shared" si="115"/>
        <v>253535.04225</v>
      </c>
      <c r="U236" s="966"/>
      <c r="V236" s="966"/>
      <c r="W236" s="936"/>
      <c r="X236" s="937"/>
      <c r="Y236" s="937"/>
      <c r="Z236" s="937"/>
      <c r="AA236" s="937"/>
      <c r="AB236" s="937"/>
      <c r="AC236" s="937"/>
      <c r="AD236" s="937"/>
      <c r="AE236" s="937"/>
      <c r="AF236" s="937"/>
      <c r="AG236" s="937"/>
      <c r="AH236" s="937"/>
      <c r="AI236" s="937"/>
      <c r="AJ236" s="937"/>
    </row>
    <row r="237" spans="1:36" ht="21" hidden="1">
      <c r="A237" s="964"/>
      <c r="B237" s="964"/>
      <c r="C237" s="958" t="s">
        <v>430</v>
      </c>
      <c r="D237" s="964" t="s">
        <v>173</v>
      </c>
      <c r="E237" s="964"/>
      <c r="F237" s="964"/>
      <c r="G237" s="1091"/>
      <c r="H237" s="966">
        <f t="shared" si="114"/>
        <v>28305.842519999998</v>
      </c>
      <c r="I237" s="966">
        <f t="shared" si="114"/>
        <v>20760.055560000001</v>
      </c>
      <c r="J237" s="966">
        <f t="shared" si="114"/>
        <v>20290.564902960003</v>
      </c>
      <c r="K237" s="966"/>
      <c r="L237" s="966"/>
      <c r="M237" s="966"/>
      <c r="N237" s="966"/>
      <c r="O237" s="966"/>
      <c r="P237" s="966"/>
      <c r="Q237" s="966"/>
      <c r="R237" s="966"/>
      <c r="S237" s="966"/>
      <c r="T237" s="966">
        <f t="shared" si="115"/>
        <v>69356.462982960002</v>
      </c>
      <c r="U237" s="966"/>
      <c r="V237" s="966"/>
      <c r="W237" s="936"/>
      <c r="X237" s="937"/>
      <c r="Y237" s="937"/>
      <c r="Z237" s="937"/>
      <c r="AA237" s="937"/>
      <c r="AB237" s="937"/>
      <c r="AC237" s="937"/>
      <c r="AD237" s="937"/>
      <c r="AE237" s="937"/>
      <c r="AF237" s="937"/>
      <c r="AG237" s="937"/>
      <c r="AH237" s="937"/>
      <c r="AI237" s="937"/>
      <c r="AJ237" s="937"/>
    </row>
    <row r="238" spans="1:36" ht="21" hidden="1">
      <c r="A238" s="964"/>
      <c r="B238" s="964"/>
      <c r="C238" s="983" t="s">
        <v>425</v>
      </c>
      <c r="D238" s="964" t="s">
        <v>173</v>
      </c>
      <c r="E238" s="1011"/>
      <c r="F238" s="1011"/>
      <c r="G238" s="1058"/>
      <c r="H238" s="981">
        <f>SUM(H233:H237)</f>
        <v>168041.51418</v>
      </c>
      <c r="I238" s="981">
        <f>SUM(I233:I237)</f>
        <v>167069.97654</v>
      </c>
      <c r="J238" s="981">
        <f>SUM(J233:J237)</f>
        <v>168387.31292016001</v>
      </c>
      <c r="K238" s="981"/>
      <c r="L238" s="981"/>
      <c r="M238" s="981"/>
      <c r="N238" s="981"/>
      <c r="O238" s="981"/>
      <c r="P238" s="981"/>
      <c r="Q238" s="981"/>
      <c r="R238" s="981"/>
      <c r="S238" s="981"/>
      <c r="T238" s="1032">
        <f>SUM(H238:S238)</f>
        <v>503498.80364016001</v>
      </c>
      <c r="U238" s="981"/>
      <c r="V238" s="1033" t="e">
        <f>#REF!/T238</f>
        <v>#REF!</v>
      </c>
      <c r="W238" s="936"/>
      <c r="X238" s="937"/>
      <c r="Y238" s="937"/>
      <c r="Z238" s="937"/>
      <c r="AA238" s="937"/>
      <c r="AB238" s="937"/>
      <c r="AC238" s="937"/>
      <c r="AD238" s="937"/>
      <c r="AE238" s="937"/>
      <c r="AF238" s="937"/>
      <c r="AG238" s="937"/>
      <c r="AH238" s="937"/>
      <c r="AI238" s="937"/>
      <c r="AJ238" s="937"/>
    </row>
    <row r="239" spans="1:36" ht="21" hidden="1">
      <c r="A239" s="964"/>
      <c r="B239" s="964"/>
      <c r="C239" s="983" t="s">
        <v>345</v>
      </c>
      <c r="D239" s="964" t="s">
        <v>173</v>
      </c>
      <c r="E239" s="1011"/>
      <c r="F239" s="1011"/>
      <c r="G239" s="1058"/>
      <c r="H239" s="1090">
        <f>(9.8692*H231 + 10144)*99.76/100</f>
        <v>182205.12910015264</v>
      </c>
      <c r="I239" s="1090">
        <f>(9.8692*I231 + 10144)*99.76/100</f>
        <v>186727.49854556803</v>
      </c>
      <c r="J239" s="1090">
        <f>(9.8692*J231 + 10144)*99.76/100</f>
        <v>199480.86576370578</v>
      </c>
      <c r="K239" s="1090"/>
      <c r="L239" s="1090"/>
      <c r="M239" s="1090"/>
      <c r="N239" s="1090"/>
      <c r="O239" s="1090"/>
      <c r="P239" s="1090"/>
      <c r="Q239" s="1090"/>
      <c r="R239" s="1090"/>
      <c r="S239" s="1090"/>
      <c r="T239" s="1032">
        <f>SUM(H239:S239)</f>
        <v>568413.49340942642</v>
      </c>
      <c r="U239" s="981"/>
      <c r="V239" s="1001" t="s">
        <v>158</v>
      </c>
      <c r="W239" s="936"/>
      <c r="X239" s="937"/>
      <c r="Y239" s="937"/>
      <c r="Z239" s="937"/>
      <c r="AA239" s="937"/>
      <c r="AB239" s="937"/>
      <c r="AC239" s="937"/>
      <c r="AD239" s="937"/>
      <c r="AE239" s="937"/>
      <c r="AF239" s="937"/>
      <c r="AG239" s="937"/>
      <c r="AH239" s="937"/>
      <c r="AI239" s="937"/>
      <c r="AJ239" s="937"/>
    </row>
    <row r="240" spans="1:36" ht="21" hidden="1">
      <c r="A240" s="964"/>
      <c r="B240" s="1003" t="s">
        <v>174</v>
      </c>
      <c r="C240" s="1004" t="s">
        <v>138</v>
      </c>
      <c r="D240" s="1003" t="s">
        <v>347</v>
      </c>
      <c r="E240" s="1003"/>
      <c r="F240" s="1003"/>
      <c r="G240" s="1005"/>
      <c r="H240" s="1006">
        <f>H233/H231</f>
        <v>0.55365412965490834</v>
      </c>
      <c r="I240" s="1006">
        <f t="shared" ref="I240:S240" si="116">I233/I231</f>
        <v>0.52283498068335754</v>
      </c>
      <c r="J240" s="1006">
        <f t="shared" si="116"/>
        <v>0.4994563572530758</v>
      </c>
      <c r="K240" s="1006" t="e">
        <f t="shared" si="116"/>
        <v>#DIV/0!</v>
      </c>
      <c r="L240" s="1006" t="e">
        <f t="shared" si="116"/>
        <v>#DIV/0!</v>
      </c>
      <c r="M240" s="1006" t="e">
        <f t="shared" si="116"/>
        <v>#DIV/0!</v>
      </c>
      <c r="N240" s="1006" t="e">
        <f t="shared" si="116"/>
        <v>#DIV/0!</v>
      </c>
      <c r="O240" s="1006" t="e">
        <f t="shared" si="116"/>
        <v>#DIV/0!</v>
      </c>
      <c r="P240" s="1006" t="e">
        <f t="shared" si="116"/>
        <v>#DIV/0!</v>
      </c>
      <c r="Q240" s="1006" t="e">
        <f t="shared" si="116"/>
        <v>#DIV/0!</v>
      </c>
      <c r="R240" s="1006" t="e">
        <f t="shared" si="116"/>
        <v>#DIV/0!</v>
      </c>
      <c r="S240" s="1006" t="e">
        <f t="shared" si="116"/>
        <v>#DIV/0!</v>
      </c>
      <c r="T240" s="1006">
        <f>T233/T231</f>
        <v>0.52446404126855284</v>
      </c>
      <c r="U240" s="1007"/>
      <c r="V240" s="1007"/>
      <c r="W240" s="936"/>
      <c r="X240" s="937"/>
      <c r="Y240" s="937"/>
      <c r="Z240" s="937"/>
      <c r="AA240" s="937"/>
      <c r="AB240" s="937"/>
      <c r="AC240" s="937"/>
      <c r="AD240" s="937"/>
      <c r="AE240" s="937"/>
      <c r="AF240" s="937"/>
      <c r="AG240" s="937"/>
      <c r="AH240" s="937"/>
      <c r="AI240" s="937"/>
      <c r="AJ240" s="937"/>
    </row>
    <row r="241" spans="1:36" ht="21" hidden="1">
      <c r="A241" s="964"/>
      <c r="B241" s="1003"/>
      <c r="C241" s="1004" t="s">
        <v>152</v>
      </c>
      <c r="D241" s="1003" t="s">
        <v>347</v>
      </c>
      <c r="E241" s="1003"/>
      <c r="F241" s="1003"/>
      <c r="G241" s="1005"/>
      <c r="H241" s="1006">
        <f>H234/H231</f>
        <v>2.8354898888450069</v>
      </c>
      <c r="I241" s="1006">
        <f t="shared" ref="I241:S241" si="117">I234/I231</f>
        <v>2.9031090595889149</v>
      </c>
      <c r="J241" s="1006">
        <f t="shared" si="117"/>
        <v>2.6157572490967289</v>
      </c>
      <c r="K241" s="1006" t="e">
        <f t="shared" si="117"/>
        <v>#DIV/0!</v>
      </c>
      <c r="L241" s="1006" t="e">
        <f t="shared" si="117"/>
        <v>#DIV/0!</v>
      </c>
      <c r="M241" s="1006" t="e">
        <f t="shared" si="117"/>
        <v>#DIV/0!</v>
      </c>
      <c r="N241" s="1006" t="e">
        <f t="shared" si="117"/>
        <v>#DIV/0!</v>
      </c>
      <c r="O241" s="1006" t="e">
        <f t="shared" si="117"/>
        <v>#DIV/0!</v>
      </c>
      <c r="P241" s="1006" t="e">
        <f t="shared" si="117"/>
        <v>#DIV/0!</v>
      </c>
      <c r="Q241" s="1006" t="e">
        <f t="shared" si="117"/>
        <v>#DIV/0!</v>
      </c>
      <c r="R241" s="1006" t="e">
        <f t="shared" si="117"/>
        <v>#DIV/0!</v>
      </c>
      <c r="S241" s="1006" t="e">
        <f t="shared" si="117"/>
        <v>#DIV/0!</v>
      </c>
      <c r="T241" s="1006">
        <f>T234/T231</f>
        <v>2.7803527954739335</v>
      </c>
      <c r="U241" s="1007"/>
      <c r="V241" s="1007"/>
      <c r="W241" s="936"/>
      <c r="X241" s="937"/>
      <c r="Y241" s="937"/>
      <c r="Z241" s="937"/>
      <c r="AA241" s="937"/>
      <c r="AB241" s="937"/>
      <c r="AC241" s="937"/>
      <c r="AD241" s="937"/>
      <c r="AE241" s="937"/>
      <c r="AF241" s="937"/>
      <c r="AG241" s="937"/>
      <c r="AH241" s="937"/>
      <c r="AI241" s="937"/>
      <c r="AJ241" s="937"/>
    </row>
    <row r="242" spans="1:36" ht="21" hidden="1">
      <c r="A242" s="964"/>
      <c r="B242" s="1003"/>
      <c r="C242" s="1004" t="s">
        <v>408</v>
      </c>
      <c r="D242" s="1003" t="s">
        <v>347</v>
      </c>
      <c r="E242" s="1003"/>
      <c r="F242" s="1003"/>
      <c r="G242" s="1005"/>
      <c r="H242" s="1006">
        <f>H235/H231</f>
        <v>0</v>
      </c>
      <c r="I242" s="1006">
        <f t="shared" ref="I242:S242" si="118">I235/I231</f>
        <v>0</v>
      </c>
      <c r="J242" s="1006">
        <f t="shared" si="118"/>
        <v>0</v>
      </c>
      <c r="K242" s="1006" t="e">
        <f t="shared" si="118"/>
        <v>#DIV/0!</v>
      </c>
      <c r="L242" s="1006" t="e">
        <f t="shared" si="118"/>
        <v>#DIV/0!</v>
      </c>
      <c r="M242" s="1006" t="e">
        <f t="shared" si="118"/>
        <v>#DIV/0!</v>
      </c>
      <c r="N242" s="1006" t="e">
        <f t="shared" si="118"/>
        <v>#DIV/0!</v>
      </c>
      <c r="O242" s="1006" t="e">
        <f t="shared" si="118"/>
        <v>#DIV/0!</v>
      </c>
      <c r="P242" s="1006" t="e">
        <f t="shared" si="118"/>
        <v>#DIV/0!</v>
      </c>
      <c r="Q242" s="1006" t="e">
        <f t="shared" si="118"/>
        <v>#DIV/0!</v>
      </c>
      <c r="R242" s="1006" t="e">
        <f t="shared" si="118"/>
        <v>#DIV/0!</v>
      </c>
      <c r="S242" s="1006" t="e">
        <f t="shared" si="118"/>
        <v>#DIV/0!</v>
      </c>
      <c r="T242" s="1006">
        <f>T235/T231</f>
        <v>0</v>
      </c>
      <c r="U242" s="1007"/>
      <c r="V242" s="1007"/>
      <c r="W242" s="936"/>
      <c r="X242" s="937"/>
      <c r="Y242" s="937"/>
      <c r="Z242" s="937"/>
      <c r="AA242" s="937"/>
      <c r="AB242" s="937"/>
      <c r="AC242" s="937"/>
      <c r="AD242" s="937"/>
      <c r="AE242" s="937"/>
      <c r="AF242" s="937"/>
      <c r="AG242" s="937"/>
      <c r="AH242" s="937"/>
      <c r="AI242" s="937"/>
      <c r="AJ242" s="937"/>
    </row>
    <row r="243" spans="1:36" ht="21" hidden="1">
      <c r="A243" s="964"/>
      <c r="B243" s="1003"/>
      <c r="C243" s="1004" t="s">
        <v>429</v>
      </c>
      <c r="D243" s="1003" t="s">
        <v>347</v>
      </c>
      <c r="E243" s="1003"/>
      <c r="F243" s="1003"/>
      <c r="G243" s="1005"/>
      <c r="H243" s="1006">
        <f>H236/H231</f>
        <v>4.6055429406770019</v>
      </c>
      <c r="I243" s="1006">
        <f t="shared" ref="I243:T243" si="119">I236/I231</f>
        <v>4.7305247202849827</v>
      </c>
      <c r="J243" s="1006">
        <f t="shared" si="119"/>
        <v>4.5848247679798053</v>
      </c>
      <c r="K243" s="1006" t="e">
        <f t="shared" si="119"/>
        <v>#DIV/0!</v>
      </c>
      <c r="L243" s="1006" t="e">
        <f t="shared" si="119"/>
        <v>#DIV/0!</v>
      </c>
      <c r="M243" s="1006" t="e">
        <f t="shared" si="119"/>
        <v>#DIV/0!</v>
      </c>
      <c r="N243" s="1006" t="e">
        <f t="shared" si="119"/>
        <v>#DIV/0!</v>
      </c>
      <c r="O243" s="1006" t="e">
        <f t="shared" si="119"/>
        <v>#DIV/0!</v>
      </c>
      <c r="P243" s="1006" t="e">
        <f t="shared" si="119"/>
        <v>#DIV/0!</v>
      </c>
      <c r="Q243" s="1006" t="e">
        <f t="shared" si="119"/>
        <v>#DIV/0!</v>
      </c>
      <c r="R243" s="1006" t="e">
        <f t="shared" si="119"/>
        <v>#DIV/0!</v>
      </c>
      <c r="S243" s="1006" t="e">
        <f t="shared" si="119"/>
        <v>#DIV/0!</v>
      </c>
      <c r="T243" s="1006">
        <f t="shared" si="119"/>
        <v>4.6392747343072758</v>
      </c>
      <c r="U243" s="1007"/>
      <c r="V243" s="1007"/>
      <c r="W243" s="936"/>
      <c r="X243" s="937"/>
      <c r="Y243" s="937"/>
      <c r="Z243" s="937"/>
      <c r="AA243" s="937"/>
      <c r="AB243" s="937"/>
      <c r="AC243" s="937"/>
      <c r="AD243" s="937"/>
      <c r="AE243" s="937"/>
      <c r="AF243" s="937"/>
      <c r="AG243" s="937"/>
      <c r="AH243" s="937"/>
      <c r="AI243" s="937"/>
      <c r="AJ243" s="937"/>
    </row>
    <row r="244" spans="1:36" ht="21" hidden="1">
      <c r="A244" s="964"/>
      <c r="B244" s="1003"/>
      <c r="C244" s="1004" t="s">
        <v>430</v>
      </c>
      <c r="D244" s="1003" t="s">
        <v>347</v>
      </c>
      <c r="E244" s="1003"/>
      <c r="F244" s="1003"/>
      <c r="G244" s="1005"/>
      <c r="H244" s="1006">
        <f>H237/H231</f>
        <v>1.6194601376646038</v>
      </c>
      <c r="I244" s="1006">
        <f t="shared" ref="I244:S244" si="120">I237/I231</f>
        <v>1.1573292057598714</v>
      </c>
      <c r="J244" s="1006">
        <f t="shared" si="120"/>
        <v>1.0549733905802716</v>
      </c>
      <c r="K244" s="1006" t="e">
        <f t="shared" si="120"/>
        <v>#DIV/0!</v>
      </c>
      <c r="L244" s="1006" t="e">
        <f t="shared" si="120"/>
        <v>#DIV/0!</v>
      </c>
      <c r="M244" s="1006" t="e">
        <f t="shared" si="120"/>
        <v>#DIV/0!</v>
      </c>
      <c r="N244" s="1006" t="e">
        <f t="shared" si="120"/>
        <v>#DIV/0!</v>
      </c>
      <c r="O244" s="1006" t="e">
        <f t="shared" si="120"/>
        <v>#DIV/0!</v>
      </c>
      <c r="P244" s="1006" t="e">
        <f t="shared" si="120"/>
        <v>#DIV/0!</v>
      </c>
      <c r="Q244" s="1006" t="e">
        <f t="shared" si="120"/>
        <v>#DIV/0!</v>
      </c>
      <c r="R244" s="1006" t="e">
        <f t="shared" si="120"/>
        <v>#DIV/0!</v>
      </c>
      <c r="S244" s="1006" t="e">
        <f t="shared" si="120"/>
        <v>#DIV/0!</v>
      </c>
      <c r="T244" s="1006">
        <f>T237/T231</f>
        <v>1.2691093251736256</v>
      </c>
      <c r="U244" s="1007"/>
      <c r="V244" s="1007"/>
      <c r="W244" s="936"/>
      <c r="X244" s="937"/>
      <c r="Y244" s="937"/>
      <c r="Z244" s="937"/>
      <c r="AA244" s="937"/>
      <c r="AB244" s="937"/>
      <c r="AC244" s="937"/>
      <c r="AD244" s="937"/>
      <c r="AE244" s="937"/>
      <c r="AF244" s="937"/>
      <c r="AG244" s="937"/>
      <c r="AH244" s="937"/>
      <c r="AI244" s="937"/>
      <c r="AJ244" s="937"/>
    </row>
    <row r="245" spans="1:36" ht="23.25" hidden="1">
      <c r="A245" s="964"/>
      <c r="B245" s="1003"/>
      <c r="C245" s="1008" t="s">
        <v>431</v>
      </c>
      <c r="D245" s="1003" t="s">
        <v>347</v>
      </c>
      <c r="E245" s="1003"/>
      <c r="F245" s="1003"/>
      <c r="G245" s="1005"/>
      <c r="H245" s="1006">
        <f>H238/H231</f>
        <v>9.6141470968415206</v>
      </c>
      <c r="I245" s="1006">
        <f t="shared" ref="I245:S245" si="121">I238/I231</f>
        <v>9.3137979663171269</v>
      </c>
      <c r="J245" s="1006">
        <f t="shared" si="121"/>
        <v>8.7550117649098826</v>
      </c>
      <c r="K245" s="1006" t="e">
        <f t="shared" si="121"/>
        <v>#DIV/0!</v>
      </c>
      <c r="L245" s="1006" t="e">
        <f t="shared" si="121"/>
        <v>#DIV/0!</v>
      </c>
      <c r="M245" s="1006" t="e">
        <f t="shared" si="121"/>
        <v>#DIV/0!</v>
      </c>
      <c r="N245" s="1006" t="e">
        <f t="shared" si="121"/>
        <v>#DIV/0!</v>
      </c>
      <c r="O245" s="1006" t="e">
        <f t="shared" si="121"/>
        <v>#DIV/0!</v>
      </c>
      <c r="P245" s="1006" t="e">
        <f t="shared" si="121"/>
        <v>#DIV/0!</v>
      </c>
      <c r="Q245" s="1006" t="e">
        <f t="shared" si="121"/>
        <v>#DIV/0!</v>
      </c>
      <c r="R245" s="1006" t="e">
        <f t="shared" si="121"/>
        <v>#DIV/0!</v>
      </c>
      <c r="S245" s="1006" t="e">
        <f t="shared" si="121"/>
        <v>#DIV/0!</v>
      </c>
      <c r="T245" s="1021">
        <f>T238/T231</f>
        <v>9.2132008962233876</v>
      </c>
      <c r="U245" s="1007"/>
      <c r="V245" s="1007"/>
      <c r="W245" s="936"/>
      <c r="X245" s="937"/>
      <c r="Y245" s="937"/>
      <c r="Z245" s="937"/>
      <c r="AA245" s="937"/>
      <c r="AB245" s="937"/>
      <c r="AC245" s="937"/>
      <c r="AD245" s="937"/>
      <c r="AE245" s="937"/>
      <c r="AF245" s="937"/>
      <c r="AG245" s="937"/>
      <c r="AH245" s="937"/>
      <c r="AI245" s="937"/>
      <c r="AJ245" s="937"/>
    </row>
    <row r="246" spans="1:36" ht="21" hidden="1">
      <c r="A246" s="964"/>
      <c r="B246" s="1003"/>
      <c r="C246" s="1008" t="s">
        <v>432</v>
      </c>
      <c r="D246" s="1003"/>
      <c r="E246" s="1003"/>
      <c r="F246" s="1003"/>
      <c r="G246" s="1003"/>
      <c r="H246" s="1009">
        <f>H238/H239*100</f>
        <v>92.226555317020015</v>
      </c>
      <c r="I246" s="1009">
        <f>I238/I239*100</f>
        <v>89.472615357308555</v>
      </c>
      <c r="J246" s="1009">
        <f t="shared" ref="J246:S246" si="122">J238/J239*100</f>
        <v>84.412764239564964</v>
      </c>
      <c r="K246" s="1009" t="e">
        <f t="shared" si="122"/>
        <v>#DIV/0!</v>
      </c>
      <c r="L246" s="1009" t="e">
        <f>L238/L239*100</f>
        <v>#DIV/0!</v>
      </c>
      <c r="M246" s="1009" t="e">
        <f t="shared" si="122"/>
        <v>#DIV/0!</v>
      </c>
      <c r="N246" s="1009" t="e">
        <f t="shared" si="122"/>
        <v>#DIV/0!</v>
      </c>
      <c r="O246" s="1009" t="e">
        <f>O238/O239*100</f>
        <v>#DIV/0!</v>
      </c>
      <c r="P246" s="1009" t="e">
        <f t="shared" si="122"/>
        <v>#DIV/0!</v>
      </c>
      <c r="Q246" s="1009" t="e">
        <f t="shared" si="122"/>
        <v>#DIV/0!</v>
      </c>
      <c r="R246" s="1009" t="e">
        <f>R238/R239*100</f>
        <v>#DIV/0!</v>
      </c>
      <c r="S246" s="1009" t="e">
        <f t="shared" si="122"/>
        <v>#DIV/0!</v>
      </c>
      <c r="T246" s="1009">
        <f>T238/T239*100</f>
        <v>88.579671221402805</v>
      </c>
      <c r="U246" s="1007"/>
      <c r="V246" s="1007"/>
      <c r="W246" s="936"/>
      <c r="X246" s="937"/>
      <c r="Y246" s="937"/>
      <c r="Z246" s="937"/>
      <c r="AA246" s="937"/>
      <c r="AB246" s="937"/>
      <c r="AC246" s="937"/>
      <c r="AD246" s="937"/>
      <c r="AE246" s="937"/>
      <c r="AF246" s="937"/>
      <c r="AG246" s="937"/>
      <c r="AH246" s="937"/>
      <c r="AI246" s="937"/>
      <c r="AJ246" s="937"/>
    </row>
    <row r="247" spans="1:36" ht="21" hidden="1">
      <c r="A247" s="964"/>
      <c r="B247" s="1003"/>
      <c r="C247" s="1008" t="s">
        <v>398</v>
      </c>
      <c r="D247" s="1003" t="s">
        <v>173</v>
      </c>
      <c r="E247" s="1003"/>
      <c r="F247" s="1003"/>
      <c r="G247" s="1003"/>
      <c r="H247" s="1009">
        <f>H218+H238</f>
        <v>256227.89977216668</v>
      </c>
      <c r="I247" s="1009">
        <f>I218+I238</f>
        <v>255219.3051221667</v>
      </c>
      <c r="J247" s="1009">
        <f t="shared" ref="J247:S248" si="123">J218+J238</f>
        <v>260628.62135232671</v>
      </c>
      <c r="K247" s="1009">
        <f t="shared" si="123"/>
        <v>0</v>
      </c>
      <c r="L247" s="1009">
        <f t="shared" si="123"/>
        <v>0</v>
      </c>
      <c r="M247" s="1009">
        <f t="shared" si="123"/>
        <v>0</v>
      </c>
      <c r="N247" s="1009">
        <f t="shared" si="123"/>
        <v>0</v>
      </c>
      <c r="O247" s="1009">
        <f t="shared" si="123"/>
        <v>0</v>
      </c>
      <c r="P247" s="1009">
        <f t="shared" si="123"/>
        <v>0</v>
      </c>
      <c r="Q247" s="1009">
        <f t="shared" si="123"/>
        <v>0</v>
      </c>
      <c r="R247" s="1009">
        <f t="shared" si="123"/>
        <v>0</v>
      </c>
      <c r="S247" s="1009">
        <f t="shared" si="123"/>
        <v>0</v>
      </c>
      <c r="T247" s="1009">
        <f>SUM(H247:S247)</f>
        <v>772075.82624666009</v>
      </c>
      <c r="U247" s="1007"/>
      <c r="V247" s="1007"/>
      <c r="W247" s="936"/>
      <c r="X247" s="937"/>
      <c r="Y247" s="937"/>
      <c r="Z247" s="937"/>
      <c r="AA247" s="937"/>
      <c r="AB247" s="937"/>
      <c r="AC247" s="937"/>
      <c r="AD247" s="937"/>
      <c r="AE247" s="937"/>
      <c r="AF247" s="937"/>
      <c r="AG247" s="937"/>
      <c r="AH247" s="937"/>
      <c r="AI247" s="937"/>
      <c r="AJ247" s="937"/>
    </row>
    <row r="248" spans="1:36" ht="21" hidden="1">
      <c r="A248" s="964"/>
      <c r="B248" s="1003"/>
      <c r="C248" s="1008" t="s">
        <v>399</v>
      </c>
      <c r="D248" s="1003" t="s">
        <v>173</v>
      </c>
      <c r="E248" s="1003"/>
      <c r="F248" s="1003"/>
      <c r="G248" s="1003"/>
      <c r="H248" s="1009">
        <f>H219+H239</f>
        <v>272404.91770760308</v>
      </c>
      <c r="I248" s="1009">
        <f>I219+I239</f>
        <v>273551.95010073693</v>
      </c>
      <c r="J248" s="1009">
        <f t="shared" si="123"/>
        <v>296199.77740257134</v>
      </c>
      <c r="K248" s="1009">
        <f t="shared" si="123"/>
        <v>0</v>
      </c>
      <c r="L248" s="1009">
        <f t="shared" si="123"/>
        <v>0</v>
      </c>
      <c r="M248" s="1009">
        <f t="shared" si="123"/>
        <v>0</v>
      </c>
      <c r="N248" s="1009">
        <f t="shared" si="123"/>
        <v>0</v>
      </c>
      <c r="O248" s="1009">
        <f t="shared" si="123"/>
        <v>0</v>
      </c>
      <c r="P248" s="1009">
        <f t="shared" si="123"/>
        <v>0</v>
      </c>
      <c r="Q248" s="1009">
        <f t="shared" si="123"/>
        <v>0</v>
      </c>
      <c r="R248" s="1009">
        <f t="shared" si="123"/>
        <v>0</v>
      </c>
      <c r="S248" s="1009">
        <f t="shared" si="123"/>
        <v>0</v>
      </c>
      <c r="T248" s="1009">
        <f>SUM(H248:S248)</f>
        <v>842156.64521091129</v>
      </c>
      <c r="U248" s="1007"/>
      <c r="V248" s="1007"/>
      <c r="W248" s="936"/>
      <c r="X248" s="937"/>
      <c r="Y248" s="937"/>
      <c r="Z248" s="937"/>
      <c r="AA248" s="937"/>
      <c r="AB248" s="937"/>
      <c r="AC248" s="937"/>
      <c r="AD248" s="937"/>
      <c r="AE248" s="937"/>
      <c r="AF248" s="937"/>
      <c r="AG248" s="937"/>
      <c r="AH248" s="937"/>
      <c r="AI248" s="937"/>
      <c r="AJ248" s="937"/>
    </row>
    <row r="249" spans="1:36" ht="21" hidden="1">
      <c r="A249" s="964"/>
      <c r="B249" s="1003"/>
      <c r="C249" s="1008" t="s">
        <v>433</v>
      </c>
      <c r="D249" s="1003"/>
      <c r="E249" s="1003"/>
      <c r="F249" s="1003"/>
      <c r="G249" s="1003"/>
      <c r="H249" s="1009">
        <f>H247/H248*100</f>
        <v>94.061407528332268</v>
      </c>
      <c r="I249" s="1009">
        <f>I247/I248*100</f>
        <v>93.298294904562312</v>
      </c>
      <c r="J249" s="1009">
        <f t="shared" ref="J249:T249" si="124">J247/J248*100</f>
        <v>87.990822828371293</v>
      </c>
      <c r="K249" s="1009" t="e">
        <f t="shared" si="124"/>
        <v>#DIV/0!</v>
      </c>
      <c r="L249" s="1009" t="e">
        <f t="shared" si="124"/>
        <v>#DIV/0!</v>
      </c>
      <c r="M249" s="1009" t="e">
        <f t="shared" si="124"/>
        <v>#DIV/0!</v>
      </c>
      <c r="N249" s="1009" t="e">
        <f t="shared" si="124"/>
        <v>#DIV/0!</v>
      </c>
      <c r="O249" s="1009" t="e">
        <f t="shared" si="124"/>
        <v>#DIV/0!</v>
      </c>
      <c r="P249" s="1009" t="e">
        <f t="shared" si="124"/>
        <v>#DIV/0!</v>
      </c>
      <c r="Q249" s="1009" t="e">
        <f t="shared" si="124"/>
        <v>#DIV/0!</v>
      </c>
      <c r="R249" s="1009" t="e">
        <f t="shared" si="124"/>
        <v>#DIV/0!</v>
      </c>
      <c r="S249" s="1009" t="e">
        <f t="shared" si="124"/>
        <v>#DIV/0!</v>
      </c>
      <c r="T249" s="1009">
        <f t="shared" si="124"/>
        <v>91.678410499664224</v>
      </c>
      <c r="U249" s="1007"/>
      <c r="V249" s="1007"/>
      <c r="W249" s="936" t="s">
        <v>29</v>
      </c>
      <c r="X249" s="937" t="s">
        <v>30</v>
      </c>
      <c r="Y249" s="937" t="s">
        <v>31</v>
      </c>
      <c r="Z249" s="937" t="s">
        <v>32</v>
      </c>
      <c r="AA249" s="937" t="s">
        <v>33</v>
      </c>
      <c r="AB249" s="937" t="s">
        <v>34</v>
      </c>
      <c r="AC249" s="937" t="s">
        <v>35</v>
      </c>
      <c r="AD249" s="937" t="s">
        <v>36</v>
      </c>
      <c r="AE249" s="937" t="s">
        <v>37</v>
      </c>
      <c r="AF249" s="937" t="s">
        <v>38</v>
      </c>
      <c r="AG249" s="937" t="s">
        <v>39</v>
      </c>
      <c r="AH249" s="937" t="s">
        <v>40</v>
      </c>
      <c r="AI249" s="937" t="s">
        <v>25</v>
      </c>
      <c r="AJ249" s="946" t="s">
        <v>158</v>
      </c>
    </row>
    <row r="250" spans="1:36" ht="21" hidden="1">
      <c r="A250" s="964">
        <v>11</v>
      </c>
      <c r="B250" s="1013" t="s">
        <v>122</v>
      </c>
      <c r="C250" s="1031" t="s">
        <v>138</v>
      </c>
      <c r="D250" s="964" t="s">
        <v>90</v>
      </c>
      <c r="E250" s="984">
        <f>'[11]Price&amp;Heating-Value'!$R$6</f>
        <v>3.6</v>
      </c>
      <c r="F250" s="964"/>
      <c r="G250" s="1014">
        <f>'[11]Price&amp;Heating-Value'!$P$6</f>
        <v>2.7124999999999999</v>
      </c>
      <c r="H250" s="1015">
        <v>501400</v>
      </c>
      <c r="I250" s="966">
        <v>377320</v>
      </c>
      <c r="J250" s="966">
        <v>546960</v>
      </c>
      <c r="K250" s="966"/>
      <c r="L250" s="966"/>
      <c r="M250" s="966"/>
      <c r="N250" s="966"/>
      <c r="O250" s="966"/>
      <c r="P250" s="966"/>
      <c r="Q250" s="966"/>
      <c r="R250" s="966"/>
      <c r="S250" s="966"/>
      <c r="T250" s="966">
        <f>SUM(H250:S250)</f>
        <v>1425680</v>
      </c>
      <c r="U250" s="966">
        <f>T250*E250</f>
        <v>5132448</v>
      </c>
      <c r="V250" s="966">
        <f>G250*T250</f>
        <v>3867157</v>
      </c>
      <c r="W250" s="954">
        <f>H250*'[11]Transfer Price2011'!$HE$459</f>
        <v>1499186</v>
      </c>
      <c r="X250" s="954">
        <f>I250*'[11]Transfer Price2011'!$HE$459</f>
        <v>1128186.8</v>
      </c>
      <c r="Y250" s="954">
        <f>J250*'[11]Transfer Price2011'!$HE$459</f>
        <v>1635410.4000000001</v>
      </c>
      <c r="Z250" s="954">
        <f>K250*'[11]Transfer Price2011'!$HE$459</f>
        <v>0</v>
      </c>
      <c r="AA250" s="954">
        <f>L250*'[11]Transfer Price2011'!$HE$459</f>
        <v>0</v>
      </c>
      <c r="AB250" s="954">
        <f>M250*'[11]Transfer Price2011'!$HE$459</f>
        <v>0</v>
      </c>
      <c r="AC250" s="954">
        <f>N250*'[11]Transfer Price2011'!$HE$459</f>
        <v>0</v>
      </c>
      <c r="AD250" s="954">
        <f>O250*'[11]Transfer Price2011'!$HE$459</f>
        <v>0</v>
      </c>
      <c r="AE250" s="954">
        <f>P250*'[11]Transfer Price2011'!$HE$459</f>
        <v>0</v>
      </c>
      <c r="AF250" s="954">
        <f>Q250*'[11]Transfer Price2011'!$HE$459</f>
        <v>0</v>
      </c>
      <c r="AG250" s="954">
        <f>R250*'[11]Transfer Price2011'!$HE$459</f>
        <v>0</v>
      </c>
      <c r="AH250" s="954">
        <f>S250*'[11]Transfer Price2011'!$HE$459</f>
        <v>0</v>
      </c>
      <c r="AI250" s="936">
        <f>SUM(W250:AH250)</f>
        <v>4262783.2</v>
      </c>
      <c r="AJ250" s="955">
        <f>AI250/U250*1000</f>
        <v>830.55555555555566</v>
      </c>
    </row>
    <row r="251" spans="1:36" ht="21" hidden="1">
      <c r="A251" s="964"/>
      <c r="B251" s="964"/>
      <c r="C251" s="1031" t="s">
        <v>152</v>
      </c>
      <c r="D251" s="964" t="s">
        <v>121</v>
      </c>
      <c r="E251" s="964">
        <f>'[11]Price&amp;Heating-Value'!$R$9</f>
        <v>2803</v>
      </c>
      <c r="F251" s="964"/>
      <c r="G251" s="965">
        <f>'[11]Price&amp;Heating-Value'!$P$9</f>
        <v>1301.5833333333333</v>
      </c>
      <c r="H251" s="1015">
        <v>308</v>
      </c>
      <c r="I251" s="966">
        <v>243</v>
      </c>
      <c r="J251" s="966">
        <v>413</v>
      </c>
      <c r="K251" s="966"/>
      <c r="L251" s="966"/>
      <c r="M251" s="966"/>
      <c r="N251" s="966"/>
      <c r="O251" s="966"/>
      <c r="P251" s="966"/>
      <c r="Q251" s="966"/>
      <c r="R251" s="966"/>
      <c r="S251" s="966"/>
      <c r="T251" s="966">
        <f>SUM(H251:S251)</f>
        <v>964</v>
      </c>
      <c r="U251" s="966">
        <f>T251*E251</f>
        <v>2702092</v>
      </c>
      <c r="V251" s="966">
        <f>G251*T251</f>
        <v>1254726.3333333333</v>
      </c>
      <c r="W251" s="982">
        <f>'[11]Price&amp;Heating-Value'!D$9</f>
        <v>1210</v>
      </c>
      <c r="X251" s="982">
        <f>'[11]Price&amp;Heating-Value'!E$9</f>
        <v>1218</v>
      </c>
      <c r="Y251" s="982">
        <f>'[11]Price&amp;Heating-Value'!F$9</f>
        <v>1207</v>
      </c>
      <c r="Z251" s="982">
        <f>'[11]Price&amp;Heating-Value'!G$9</f>
        <v>1232</v>
      </c>
      <c r="AA251" s="982">
        <f>'[11]Price&amp;Heating-Value'!H$9</f>
        <v>1352</v>
      </c>
      <c r="AB251" s="982">
        <f>'[11]Price&amp;Heating-Value'!I$9</f>
        <v>1491</v>
      </c>
      <c r="AC251" s="982">
        <f>'[11]Price&amp;Heating-Value'!J$9</f>
        <v>1588</v>
      </c>
      <c r="AD251" s="937"/>
      <c r="AE251" s="937"/>
      <c r="AF251" s="937"/>
      <c r="AG251" s="937"/>
      <c r="AH251" s="937"/>
      <c r="AI251" s="937"/>
      <c r="AJ251" s="937"/>
    </row>
    <row r="252" spans="1:36" ht="21" hidden="1">
      <c r="A252" s="964"/>
      <c r="B252" s="964"/>
      <c r="C252" s="1031" t="s">
        <v>434</v>
      </c>
      <c r="D252" s="964" t="s">
        <v>176</v>
      </c>
      <c r="E252" s="964">
        <f>'[11]Price&amp;Heating-Value'!$R$18/'[11]Price&amp;Heating-Value'!$T$18/1000</f>
        <v>36.42</v>
      </c>
      <c r="F252" s="984">
        <f>'[11]Price&amp;Heating-Value'!$T$18</f>
        <v>0.83520000000000005</v>
      </c>
      <c r="G252" s="965">
        <f>'[11]Price&amp;Heating-Value'!$P$18*'[11]Price&amp;Heating-Value'!$T$18/1000</f>
        <v>25.160039938320001</v>
      </c>
      <c r="H252" s="1015">
        <v>587</v>
      </c>
      <c r="I252" s="966">
        <v>40</v>
      </c>
      <c r="J252" s="968">
        <v>520.4</v>
      </c>
      <c r="K252" s="968"/>
      <c r="L252" s="966"/>
      <c r="M252" s="966"/>
      <c r="N252" s="966"/>
      <c r="O252" s="966"/>
      <c r="P252" s="966"/>
      <c r="Q252" s="968"/>
      <c r="R252" s="966"/>
      <c r="S252" s="966"/>
      <c r="T252" s="966">
        <f>SUM(H252:S252)</f>
        <v>1147.4000000000001</v>
      </c>
      <c r="U252" s="966">
        <f>T252*E252</f>
        <v>41788.308000000005</v>
      </c>
      <c r="V252" s="966">
        <f>F252*G252*T252</f>
        <v>24111.079630030734</v>
      </c>
      <c r="W252" s="954">
        <f>'[11]Price&amp;Heating-Value'!D$18*'[11]Price&amp;Heating-Value'!$T$18/1000</f>
        <v>22.986641664000004</v>
      </c>
      <c r="X252" s="954">
        <f>'[11]Price&amp;Heating-Value'!E$18*'[11]Price&amp;Heating-Value'!$T$18/1000</f>
        <v>22.963013856000003</v>
      </c>
      <c r="Y252" s="954">
        <f>'[11]Price&amp;Heating-Value'!F$18*'[11]Price&amp;Heating-Value'!$T$18/1000</f>
        <v>24.774545952</v>
      </c>
      <c r="Z252" s="954">
        <f>'[11]Price&amp;Heating-Value'!G$18*'[11]Price&amp;Heating-Value'!$T$18/1000</f>
        <v>27.366797952000002</v>
      </c>
      <c r="AA252" s="954">
        <f>'[11]Price&amp;Heating-Value'!H$18*'[11]Price&amp;Heating-Value'!$T$18/1000</f>
        <v>31.132931903999999</v>
      </c>
      <c r="AB252" s="954">
        <f>'[11]Price&amp;Heating-Value'!I$18*'[11]Price&amp;Heating-Value'!$T$18/1000</f>
        <v>34.244001792000006</v>
      </c>
      <c r="AC252" s="954">
        <f>'[11]Price&amp;Heating-Value'!J$18*'[11]Price&amp;Heating-Value'!$T$18/1000</f>
        <v>35.755738848000007</v>
      </c>
      <c r="AD252" s="937"/>
      <c r="AE252" s="937"/>
      <c r="AF252" s="937"/>
      <c r="AG252" s="937"/>
      <c r="AH252" s="937"/>
      <c r="AI252" s="937"/>
      <c r="AJ252" s="937"/>
    </row>
    <row r="253" spans="1:36" ht="21" hidden="1">
      <c r="A253" s="964"/>
      <c r="B253" s="964"/>
      <c r="C253" s="983" t="s">
        <v>383</v>
      </c>
      <c r="D253" s="964"/>
      <c r="E253" s="964"/>
      <c r="F253" s="964"/>
      <c r="G253" s="984"/>
      <c r="H253" s="1092">
        <f t="shared" ref="H253" si="125">(H250*3.6)+(H251*2690)+(H252*36.42)</f>
        <v>2654938.54</v>
      </c>
      <c r="I253" s="987">
        <v>2013478.8</v>
      </c>
      <c r="J253" s="987">
        <v>3098978.9679999999</v>
      </c>
      <c r="K253" s="987"/>
      <c r="L253" s="987"/>
      <c r="M253" s="987"/>
      <c r="N253" s="987"/>
      <c r="O253" s="987"/>
      <c r="P253" s="987"/>
      <c r="Q253" s="987"/>
      <c r="R253" s="987"/>
      <c r="S253" s="987"/>
      <c r="T253" s="987">
        <f>SUM(H253:S253)</f>
        <v>7767396.3080000002</v>
      </c>
      <c r="U253" s="966"/>
      <c r="V253" s="988">
        <f>SUM(V250:V252)</f>
        <v>5145994.4129633633</v>
      </c>
      <c r="W253" s="936"/>
      <c r="X253" s="937"/>
      <c r="Y253" s="937"/>
      <c r="Z253" s="937"/>
      <c r="AA253" s="937"/>
      <c r="AB253" s="937"/>
      <c r="AC253" s="937"/>
      <c r="AD253" s="937"/>
      <c r="AE253" s="937"/>
      <c r="AF253" s="937"/>
      <c r="AG253" s="937"/>
      <c r="AH253" s="937"/>
      <c r="AI253" s="937"/>
      <c r="AJ253" s="937"/>
    </row>
    <row r="254" spans="1:36" ht="21" hidden="1">
      <c r="A254" s="964"/>
      <c r="B254" s="989"/>
      <c r="C254" s="990" t="s">
        <v>107</v>
      </c>
      <c r="D254" s="989" t="s">
        <v>147</v>
      </c>
      <c r="E254" s="989"/>
      <c r="F254" s="989"/>
      <c r="G254" s="984"/>
      <c r="H254" s="1023">
        <v>634.85</v>
      </c>
      <c r="I254" s="994">
        <v>945.7</v>
      </c>
      <c r="J254" s="994">
        <v>1928.5</v>
      </c>
      <c r="K254" s="994"/>
      <c r="L254" s="994"/>
      <c r="M254" s="994"/>
      <c r="N254" s="994"/>
      <c r="O254" s="994"/>
      <c r="P254" s="994"/>
      <c r="Q254" s="994"/>
      <c r="R254" s="994"/>
      <c r="S254" s="994"/>
      <c r="T254" s="996">
        <f>SUM(H254:S254)</f>
        <v>3509.05</v>
      </c>
      <c r="U254" s="995"/>
      <c r="V254" s="1026">
        <f>V253/T254</f>
        <v>1466.4921881886446</v>
      </c>
      <c r="W254" s="936"/>
      <c r="X254" s="937"/>
      <c r="Y254" s="937"/>
      <c r="Z254" s="937"/>
      <c r="AA254" s="937"/>
      <c r="AB254" s="937"/>
      <c r="AC254" s="937"/>
      <c r="AD254" s="937"/>
      <c r="AE254" s="937"/>
      <c r="AF254" s="937"/>
      <c r="AG254" s="937"/>
      <c r="AH254" s="937"/>
      <c r="AI254" s="937"/>
      <c r="AJ254" s="937"/>
    </row>
    <row r="255" spans="1:36" ht="21" hidden="1">
      <c r="A255" s="964"/>
      <c r="B255" s="1011"/>
      <c r="C255" s="1030"/>
      <c r="D255" s="1011"/>
      <c r="E255" s="1011"/>
      <c r="F255" s="1011"/>
      <c r="G255" s="984"/>
      <c r="H255" s="981"/>
      <c r="I255" s="981"/>
      <c r="J255" s="981"/>
      <c r="K255" s="981"/>
      <c r="L255" s="981"/>
      <c r="M255" s="981"/>
      <c r="N255" s="981"/>
      <c r="O255" s="981"/>
      <c r="P255" s="981"/>
      <c r="Q255" s="981"/>
      <c r="R255" s="981"/>
      <c r="S255" s="981"/>
      <c r="T255" s="981"/>
      <c r="U255" s="981"/>
      <c r="V255" s="997" t="s">
        <v>137</v>
      </c>
      <c r="W255" s="936"/>
      <c r="X255" s="937"/>
      <c r="Y255" s="937"/>
      <c r="Z255" s="937"/>
      <c r="AA255" s="937"/>
      <c r="AB255" s="937"/>
      <c r="AC255" s="937"/>
      <c r="AD255" s="937"/>
      <c r="AE255" s="937"/>
      <c r="AF255" s="937"/>
      <c r="AG255" s="937"/>
      <c r="AH255" s="937"/>
      <c r="AI255" s="937"/>
      <c r="AJ255" s="937"/>
    </row>
    <row r="256" spans="1:36" ht="21" hidden="1">
      <c r="A256" s="964"/>
      <c r="B256" s="964"/>
      <c r="C256" s="1031" t="s">
        <v>138</v>
      </c>
      <c r="D256" s="964" t="s">
        <v>173</v>
      </c>
      <c r="E256" s="964"/>
      <c r="F256" s="964"/>
      <c r="G256" s="984"/>
      <c r="H256" s="966">
        <f>H250*$E250/1000</f>
        <v>1805.04</v>
      </c>
      <c r="I256" s="966">
        <f t="shared" ref="I256:S258" si="126">I250*$E250/1000</f>
        <v>1358.3520000000001</v>
      </c>
      <c r="J256" s="966">
        <f t="shared" si="126"/>
        <v>1969.056</v>
      </c>
      <c r="K256" s="966">
        <f t="shared" si="126"/>
        <v>0</v>
      </c>
      <c r="L256" s="966">
        <f t="shared" si="126"/>
        <v>0</v>
      </c>
      <c r="M256" s="966">
        <f t="shared" si="126"/>
        <v>0</v>
      </c>
      <c r="N256" s="966">
        <f t="shared" si="126"/>
        <v>0</v>
      </c>
      <c r="O256" s="966">
        <f t="shared" si="126"/>
        <v>0</v>
      </c>
      <c r="P256" s="966">
        <f t="shared" si="126"/>
        <v>0</v>
      </c>
      <c r="Q256" s="966">
        <f t="shared" si="126"/>
        <v>0</v>
      </c>
      <c r="R256" s="966">
        <f t="shared" si="126"/>
        <v>0</v>
      </c>
      <c r="S256" s="966">
        <f t="shared" si="126"/>
        <v>0</v>
      </c>
      <c r="T256" s="966">
        <f>SUM(H256:S256)</f>
        <v>5132.4480000000003</v>
      </c>
      <c r="U256" s="966"/>
      <c r="V256" s="966"/>
      <c r="W256" s="936"/>
      <c r="X256" s="937"/>
      <c r="Y256" s="937"/>
      <c r="Z256" s="937"/>
      <c r="AA256" s="937"/>
      <c r="AB256" s="937"/>
      <c r="AC256" s="937"/>
      <c r="AD256" s="937"/>
      <c r="AE256" s="937"/>
      <c r="AF256" s="937"/>
      <c r="AG256" s="937"/>
      <c r="AH256" s="937"/>
      <c r="AI256" s="937"/>
      <c r="AJ256" s="937"/>
    </row>
    <row r="257" spans="1:36" ht="21" hidden="1">
      <c r="A257" s="964"/>
      <c r="B257" s="964"/>
      <c r="C257" s="1031" t="s">
        <v>152</v>
      </c>
      <c r="D257" s="964" t="s">
        <v>173</v>
      </c>
      <c r="E257" s="964"/>
      <c r="F257" s="964"/>
      <c r="G257" s="984"/>
      <c r="H257" s="966">
        <f>H251*$E251/1000</f>
        <v>863.32399999999996</v>
      </c>
      <c r="I257" s="966">
        <f t="shared" si="126"/>
        <v>681.12900000000002</v>
      </c>
      <c r="J257" s="966">
        <f t="shared" si="126"/>
        <v>1157.6389999999999</v>
      </c>
      <c r="K257" s="966">
        <f t="shared" si="126"/>
        <v>0</v>
      </c>
      <c r="L257" s="966">
        <f t="shared" si="126"/>
        <v>0</v>
      </c>
      <c r="M257" s="966">
        <f t="shared" si="126"/>
        <v>0</v>
      </c>
      <c r="N257" s="966">
        <f t="shared" si="126"/>
        <v>0</v>
      </c>
      <c r="O257" s="966">
        <f t="shared" si="126"/>
        <v>0</v>
      </c>
      <c r="P257" s="966">
        <f t="shared" si="126"/>
        <v>0</v>
      </c>
      <c r="Q257" s="966">
        <f t="shared" si="126"/>
        <v>0</v>
      </c>
      <c r="R257" s="966">
        <f t="shared" si="126"/>
        <v>0</v>
      </c>
      <c r="S257" s="966">
        <f t="shared" si="126"/>
        <v>0</v>
      </c>
      <c r="T257" s="966">
        <f>SUM(H257:S257)</f>
        <v>2702.0919999999996</v>
      </c>
      <c r="U257" s="966"/>
      <c r="V257" s="966"/>
      <c r="W257" s="936"/>
      <c r="X257" s="937"/>
      <c r="Y257" s="937"/>
      <c r="Z257" s="937"/>
      <c r="AA257" s="937"/>
      <c r="AB257" s="937"/>
      <c r="AC257" s="937"/>
      <c r="AD257" s="937"/>
      <c r="AE257" s="937"/>
      <c r="AF257" s="937"/>
      <c r="AG257" s="937"/>
      <c r="AH257" s="937"/>
      <c r="AI257" s="937"/>
      <c r="AJ257" s="937"/>
    </row>
    <row r="258" spans="1:36" ht="21" hidden="1">
      <c r="A258" s="964"/>
      <c r="B258" s="964"/>
      <c r="C258" s="1031" t="s">
        <v>434</v>
      </c>
      <c r="D258" s="964" t="s">
        <v>173</v>
      </c>
      <c r="E258" s="964"/>
      <c r="F258" s="964"/>
      <c r="G258" s="984"/>
      <c r="H258" s="966">
        <f>H252*$E252/1000</f>
        <v>21.378540000000001</v>
      </c>
      <c r="I258" s="966">
        <f t="shared" si="126"/>
        <v>1.4568000000000001</v>
      </c>
      <c r="J258" s="966">
        <f t="shared" si="126"/>
        <v>18.952968000000002</v>
      </c>
      <c r="K258" s="966">
        <f t="shared" si="126"/>
        <v>0</v>
      </c>
      <c r="L258" s="966">
        <f t="shared" si="126"/>
        <v>0</v>
      </c>
      <c r="M258" s="966">
        <f t="shared" si="126"/>
        <v>0</v>
      </c>
      <c r="N258" s="966">
        <f t="shared" si="126"/>
        <v>0</v>
      </c>
      <c r="O258" s="966">
        <f t="shared" si="126"/>
        <v>0</v>
      </c>
      <c r="P258" s="966">
        <f t="shared" si="126"/>
        <v>0</v>
      </c>
      <c r="Q258" s="966">
        <f t="shared" si="126"/>
        <v>0</v>
      </c>
      <c r="R258" s="966">
        <f t="shared" si="126"/>
        <v>0</v>
      </c>
      <c r="S258" s="966">
        <f t="shared" si="126"/>
        <v>0</v>
      </c>
      <c r="T258" s="966">
        <f>SUM(H258:S258)</f>
        <v>41.788308000000001</v>
      </c>
      <c r="U258" s="966"/>
      <c r="V258" s="966"/>
      <c r="W258" s="936"/>
      <c r="X258" s="937"/>
      <c r="Y258" s="937"/>
      <c r="Z258" s="937"/>
      <c r="AA258" s="937"/>
      <c r="AB258" s="937"/>
      <c r="AC258" s="937"/>
      <c r="AD258" s="937"/>
      <c r="AE258" s="937"/>
      <c r="AF258" s="937"/>
      <c r="AG258" s="937"/>
      <c r="AH258" s="937"/>
      <c r="AI258" s="937"/>
      <c r="AJ258" s="937"/>
    </row>
    <row r="259" spans="1:36" ht="21" hidden="1">
      <c r="A259" s="964"/>
      <c r="B259" s="964"/>
      <c r="C259" s="983" t="s">
        <v>437</v>
      </c>
      <c r="D259" s="964" t="s">
        <v>173</v>
      </c>
      <c r="E259" s="1011"/>
      <c r="F259" s="1011"/>
      <c r="G259" s="984"/>
      <c r="H259" s="1084">
        <v>1688.9114944769271</v>
      </c>
      <c r="I259" s="1084">
        <v>2873.3224232410485</v>
      </c>
      <c r="J259" s="981">
        <f t="shared" ref="J259:S259" si="127">SUM(J256:J258)</f>
        <v>3145.6479679999998</v>
      </c>
      <c r="K259" s="981">
        <f t="shared" si="127"/>
        <v>0</v>
      </c>
      <c r="L259" s="981">
        <f t="shared" si="127"/>
        <v>0</v>
      </c>
      <c r="M259" s="981">
        <f t="shared" si="127"/>
        <v>0</v>
      </c>
      <c r="N259" s="981">
        <f t="shared" si="127"/>
        <v>0</v>
      </c>
      <c r="O259" s="981">
        <f t="shared" si="127"/>
        <v>0</v>
      </c>
      <c r="P259" s="981">
        <f t="shared" si="127"/>
        <v>0</v>
      </c>
      <c r="Q259" s="981">
        <f t="shared" si="127"/>
        <v>0</v>
      </c>
      <c r="R259" s="981">
        <f t="shared" si="127"/>
        <v>0</v>
      </c>
      <c r="S259" s="981">
        <f t="shared" si="127"/>
        <v>0</v>
      </c>
      <c r="T259" s="1032">
        <f>SUM(H259:S259)</f>
        <v>7707.8818857179758</v>
      </c>
      <c r="U259" s="981"/>
      <c r="V259" s="1033">
        <f>V253/T259</f>
        <v>667.62756477865037</v>
      </c>
      <c r="W259" s="936"/>
      <c r="X259" s="937"/>
      <c r="Y259" s="937"/>
      <c r="Z259" s="937"/>
      <c r="AA259" s="937"/>
      <c r="AB259" s="937"/>
      <c r="AC259" s="937"/>
      <c r="AD259" s="937"/>
      <c r="AE259" s="937"/>
      <c r="AF259" s="937"/>
      <c r="AG259" s="937"/>
      <c r="AH259" s="937"/>
      <c r="AI259" s="937"/>
      <c r="AJ259" s="937"/>
    </row>
    <row r="260" spans="1:36" ht="21" hidden="1">
      <c r="A260" s="964"/>
      <c r="B260" s="964"/>
      <c r="C260" s="983" t="s">
        <v>345</v>
      </c>
      <c r="D260" s="964" t="s">
        <v>173</v>
      </c>
      <c r="E260" s="1811" t="s">
        <v>866</v>
      </c>
      <c r="F260" s="1812"/>
      <c r="G260" s="1813"/>
      <c r="H260" s="1090">
        <f>(1.4936*H254 + 638.67)*94.06/100</f>
        <v>1492.6211715760001</v>
      </c>
      <c r="I260" s="1090">
        <f>(1.4936*I254 + 638.67)*94.06/100</f>
        <v>1929.328169312</v>
      </c>
      <c r="J260" s="1090">
        <f>(1.4936*J254 + 638.67)*94.06/100</f>
        <v>3310.0443905600005</v>
      </c>
      <c r="K260" s="1090"/>
      <c r="L260" s="1090"/>
      <c r="M260" s="1090"/>
      <c r="N260" s="1090"/>
      <c r="O260" s="1090"/>
      <c r="P260" s="1090"/>
      <c r="Q260" s="1090"/>
      <c r="R260" s="1090"/>
      <c r="S260" s="1090"/>
      <c r="T260" s="1032">
        <f>SUM(H260:S260)</f>
        <v>6731.9937314480003</v>
      </c>
      <c r="U260" s="981"/>
      <c r="V260" s="1001" t="s">
        <v>158</v>
      </c>
      <c r="W260" s="936"/>
      <c r="X260" s="937"/>
      <c r="Y260" s="937"/>
      <c r="Z260" s="937"/>
      <c r="AA260" s="937"/>
      <c r="AB260" s="937"/>
      <c r="AC260" s="937"/>
      <c r="AD260" s="937"/>
      <c r="AE260" s="937"/>
      <c r="AF260" s="937"/>
      <c r="AG260" s="937"/>
      <c r="AH260" s="937"/>
      <c r="AI260" s="937"/>
      <c r="AJ260" s="937"/>
    </row>
    <row r="261" spans="1:36" ht="21" hidden="1">
      <c r="A261" s="964"/>
      <c r="B261" s="1003" t="s">
        <v>174</v>
      </c>
      <c r="C261" s="1004" t="s">
        <v>138</v>
      </c>
      <c r="D261" s="1003" t="s">
        <v>347</v>
      </c>
      <c r="E261" s="1003"/>
      <c r="F261" s="1003"/>
      <c r="G261" s="984"/>
      <c r="H261" s="1006">
        <f>H256/H254</f>
        <v>2.8432543120422147</v>
      </c>
      <c r="I261" s="1006">
        <f t="shared" ref="I261:T261" si="128">I256/I254</f>
        <v>1.4363455641323888</v>
      </c>
      <c r="J261" s="1006">
        <f t="shared" si="128"/>
        <v>1.0210298159191082</v>
      </c>
      <c r="K261" s="1006" t="e">
        <f t="shared" si="128"/>
        <v>#DIV/0!</v>
      </c>
      <c r="L261" s="1006" t="e">
        <f t="shared" si="128"/>
        <v>#DIV/0!</v>
      </c>
      <c r="M261" s="1006" t="e">
        <f t="shared" si="128"/>
        <v>#DIV/0!</v>
      </c>
      <c r="N261" s="1006" t="e">
        <f t="shared" si="128"/>
        <v>#DIV/0!</v>
      </c>
      <c r="O261" s="1006" t="e">
        <f t="shared" si="128"/>
        <v>#DIV/0!</v>
      </c>
      <c r="P261" s="1006" t="e">
        <f t="shared" si="128"/>
        <v>#DIV/0!</v>
      </c>
      <c r="Q261" s="1006" t="e">
        <f t="shared" si="128"/>
        <v>#DIV/0!</v>
      </c>
      <c r="R261" s="1006" t="e">
        <f t="shared" si="128"/>
        <v>#DIV/0!</v>
      </c>
      <c r="S261" s="1006" t="e">
        <f t="shared" si="128"/>
        <v>#DIV/0!</v>
      </c>
      <c r="T261" s="1006">
        <f t="shared" si="128"/>
        <v>1.4626317664325101</v>
      </c>
      <c r="U261" s="1007"/>
      <c r="V261" s="1007"/>
      <c r="W261" s="936"/>
      <c r="X261" s="937"/>
      <c r="Y261" s="937"/>
      <c r="Z261" s="937"/>
      <c r="AA261" s="937"/>
      <c r="AB261" s="937"/>
      <c r="AC261" s="937"/>
      <c r="AD261" s="937"/>
      <c r="AE261" s="937"/>
      <c r="AF261" s="937"/>
      <c r="AG261" s="937"/>
      <c r="AH261" s="937"/>
      <c r="AI261" s="937"/>
      <c r="AJ261" s="937"/>
    </row>
    <row r="262" spans="1:36" ht="21" hidden="1">
      <c r="A262" s="964"/>
      <c r="B262" s="1003"/>
      <c r="C262" s="1004" t="s">
        <v>152</v>
      </c>
      <c r="D262" s="1003" t="s">
        <v>347</v>
      </c>
      <c r="E262" s="1003"/>
      <c r="F262" s="1003"/>
      <c r="G262" s="984"/>
      <c r="H262" s="1006">
        <f>H257/H254</f>
        <v>1.3598865873828463</v>
      </c>
      <c r="I262" s="1006">
        <f t="shared" ref="I262:S262" si="129">I257/I254</f>
        <v>0.72023791900179757</v>
      </c>
      <c r="J262" s="1006">
        <f t="shared" si="129"/>
        <v>0.60027949183303075</v>
      </c>
      <c r="K262" s="1006" t="e">
        <f t="shared" si="129"/>
        <v>#DIV/0!</v>
      </c>
      <c r="L262" s="1006" t="e">
        <f t="shared" si="129"/>
        <v>#DIV/0!</v>
      </c>
      <c r="M262" s="1006" t="e">
        <f t="shared" si="129"/>
        <v>#DIV/0!</v>
      </c>
      <c r="N262" s="1006" t="e">
        <f t="shared" si="129"/>
        <v>#DIV/0!</v>
      </c>
      <c r="O262" s="1006" t="e">
        <f t="shared" si="129"/>
        <v>#DIV/0!</v>
      </c>
      <c r="P262" s="1006" t="e">
        <f t="shared" si="129"/>
        <v>#DIV/0!</v>
      </c>
      <c r="Q262" s="1006" t="e">
        <f t="shared" si="129"/>
        <v>#DIV/0!</v>
      </c>
      <c r="R262" s="1006" t="e">
        <f t="shared" si="129"/>
        <v>#DIV/0!</v>
      </c>
      <c r="S262" s="1006" t="e">
        <f t="shared" si="129"/>
        <v>#DIV/0!</v>
      </c>
      <c r="T262" s="1006">
        <f>T257/T254</f>
        <v>0.77003519471081905</v>
      </c>
      <c r="U262" s="1007"/>
      <c r="V262" s="1007"/>
      <c r="W262" s="936"/>
      <c r="X262" s="937"/>
      <c r="Y262" s="937"/>
      <c r="Z262" s="937"/>
      <c r="AA262" s="937"/>
      <c r="AB262" s="937"/>
      <c r="AC262" s="937"/>
      <c r="AD262" s="937"/>
      <c r="AE262" s="937"/>
      <c r="AF262" s="937"/>
      <c r="AG262" s="937"/>
      <c r="AH262" s="937"/>
      <c r="AI262" s="937"/>
      <c r="AJ262" s="937"/>
    </row>
    <row r="263" spans="1:36" ht="21" hidden="1">
      <c r="A263" s="964"/>
      <c r="B263" s="1003"/>
      <c r="C263" s="1093" t="s">
        <v>434</v>
      </c>
      <c r="D263" s="1003" t="s">
        <v>347</v>
      </c>
      <c r="E263" s="1003"/>
      <c r="F263" s="1003"/>
      <c r="G263" s="984"/>
      <c r="H263" s="1006">
        <f>H258/H254</f>
        <v>3.3674946837835708E-2</v>
      </c>
      <c r="I263" s="1006">
        <f t="shared" ref="I263:S263" si="130">I258/I254</f>
        <v>1.5404462303055938E-3</v>
      </c>
      <c r="J263" s="1006">
        <f t="shared" si="130"/>
        <v>9.827828882551206E-3</v>
      </c>
      <c r="K263" s="1006" t="e">
        <f t="shared" si="130"/>
        <v>#DIV/0!</v>
      </c>
      <c r="L263" s="1006" t="e">
        <f t="shared" si="130"/>
        <v>#DIV/0!</v>
      </c>
      <c r="M263" s="1006" t="e">
        <f t="shared" si="130"/>
        <v>#DIV/0!</v>
      </c>
      <c r="N263" s="1006" t="e">
        <f t="shared" si="130"/>
        <v>#DIV/0!</v>
      </c>
      <c r="O263" s="1006" t="e">
        <f t="shared" si="130"/>
        <v>#DIV/0!</v>
      </c>
      <c r="P263" s="1006" t="e">
        <f t="shared" si="130"/>
        <v>#DIV/0!</v>
      </c>
      <c r="Q263" s="1006" t="e">
        <f t="shared" si="130"/>
        <v>#DIV/0!</v>
      </c>
      <c r="R263" s="1006" t="e">
        <f t="shared" si="130"/>
        <v>#DIV/0!</v>
      </c>
      <c r="S263" s="1006" t="e">
        <f t="shared" si="130"/>
        <v>#DIV/0!</v>
      </c>
      <c r="T263" s="1006">
        <f>T258/T254</f>
        <v>1.190872401362192E-2</v>
      </c>
      <c r="U263" s="1007"/>
      <c r="V263" s="1007"/>
      <c r="W263" s="936"/>
      <c r="X263" s="937"/>
      <c r="Y263" s="937"/>
      <c r="Z263" s="937"/>
      <c r="AA263" s="937"/>
      <c r="AB263" s="937"/>
      <c r="AC263" s="937"/>
      <c r="AD263" s="937"/>
      <c r="AE263" s="937"/>
      <c r="AF263" s="937"/>
      <c r="AG263" s="937"/>
      <c r="AH263" s="937"/>
      <c r="AI263" s="937"/>
      <c r="AJ263" s="937"/>
    </row>
    <row r="264" spans="1:36" ht="23.25" hidden="1">
      <c r="A264" s="964"/>
      <c r="B264" s="1003"/>
      <c r="C264" s="1008" t="s">
        <v>438</v>
      </c>
      <c r="D264" s="1003" t="s">
        <v>347</v>
      </c>
      <c r="E264" s="1003"/>
      <c r="F264" s="1003"/>
      <c r="G264" s="984"/>
      <c r="H264" s="1006">
        <f t="shared" ref="H264:T264" si="131">H259/H254</f>
        <v>2.660331565687843</v>
      </c>
      <c r="I264" s="1006">
        <f t="shared" si="131"/>
        <v>3.0383022345786701</v>
      </c>
      <c r="J264" s="1006">
        <f t="shared" si="131"/>
        <v>1.6311371366346901</v>
      </c>
      <c r="K264" s="1006" t="e">
        <f t="shared" si="131"/>
        <v>#DIV/0!</v>
      </c>
      <c r="L264" s="1006" t="e">
        <f t="shared" si="131"/>
        <v>#DIV/0!</v>
      </c>
      <c r="M264" s="1006" t="e">
        <f t="shared" si="131"/>
        <v>#DIV/0!</v>
      </c>
      <c r="N264" s="1006" t="e">
        <f t="shared" si="131"/>
        <v>#DIV/0!</v>
      </c>
      <c r="O264" s="1006" t="e">
        <f t="shared" si="131"/>
        <v>#DIV/0!</v>
      </c>
      <c r="P264" s="1006" t="e">
        <f t="shared" si="131"/>
        <v>#DIV/0!</v>
      </c>
      <c r="Q264" s="1006" t="e">
        <f t="shared" si="131"/>
        <v>#DIV/0!</v>
      </c>
      <c r="R264" s="1006" t="e">
        <f t="shared" si="131"/>
        <v>#DIV/0!</v>
      </c>
      <c r="S264" s="1006" t="e">
        <f t="shared" si="131"/>
        <v>#DIV/0!</v>
      </c>
      <c r="T264" s="1021">
        <f t="shared" si="131"/>
        <v>2.1965722590780912</v>
      </c>
      <c r="U264" s="1007"/>
      <c r="V264" s="1007"/>
      <c r="W264" s="936"/>
      <c r="X264" s="937"/>
      <c r="Y264" s="937"/>
      <c r="Z264" s="937"/>
      <c r="AA264" s="937"/>
      <c r="AB264" s="937"/>
      <c r="AC264" s="937"/>
      <c r="AD264" s="937"/>
      <c r="AE264" s="937"/>
      <c r="AF264" s="937"/>
      <c r="AG264" s="937"/>
      <c r="AH264" s="937"/>
      <c r="AI264" s="937"/>
      <c r="AJ264" s="937"/>
    </row>
    <row r="265" spans="1:36" ht="21" hidden="1">
      <c r="A265" s="964"/>
      <c r="B265" s="1003"/>
      <c r="C265" s="1008" t="s">
        <v>439</v>
      </c>
      <c r="D265" s="1003"/>
      <c r="E265" s="1003"/>
      <c r="F265" s="1003"/>
      <c r="G265" s="984"/>
      <c r="H265" s="1009">
        <f>H259/H260*100</f>
        <v>113.15071276214526</v>
      </c>
      <c r="I265" s="1009">
        <f t="shared" ref="I265:T265" si="132">I259/I260*100</f>
        <v>148.92865137949431</v>
      </c>
      <c r="J265" s="1009">
        <f t="shared" si="132"/>
        <v>95.033407315356641</v>
      </c>
      <c r="K265" s="1009" t="e">
        <f t="shared" si="132"/>
        <v>#DIV/0!</v>
      </c>
      <c r="L265" s="1009" t="e">
        <f t="shared" si="132"/>
        <v>#DIV/0!</v>
      </c>
      <c r="M265" s="1009" t="e">
        <f t="shared" si="132"/>
        <v>#DIV/0!</v>
      </c>
      <c r="N265" s="1009" t="e">
        <f t="shared" si="132"/>
        <v>#DIV/0!</v>
      </c>
      <c r="O265" s="1009" t="e">
        <f t="shared" si="132"/>
        <v>#DIV/0!</v>
      </c>
      <c r="P265" s="1009" t="e">
        <f t="shared" si="132"/>
        <v>#DIV/0!</v>
      </c>
      <c r="Q265" s="1009" t="e">
        <f t="shared" si="132"/>
        <v>#DIV/0!</v>
      </c>
      <c r="R265" s="1009" t="e">
        <f t="shared" si="132"/>
        <v>#DIV/0!</v>
      </c>
      <c r="S265" s="1009" t="e">
        <f t="shared" si="132"/>
        <v>#DIV/0!</v>
      </c>
      <c r="T265" s="1009">
        <f t="shared" si="132"/>
        <v>114.49627247439622</v>
      </c>
      <c r="U265" s="1007"/>
      <c r="V265" s="1007"/>
      <c r="W265" s="936" t="s">
        <v>29</v>
      </c>
      <c r="X265" s="937" t="s">
        <v>30</v>
      </c>
      <c r="Y265" s="937" t="s">
        <v>31</v>
      </c>
      <c r="Z265" s="937" t="s">
        <v>32</v>
      </c>
      <c r="AA265" s="937" t="s">
        <v>33</v>
      </c>
      <c r="AB265" s="937" t="s">
        <v>34</v>
      </c>
      <c r="AC265" s="937" t="s">
        <v>35</v>
      </c>
      <c r="AD265" s="937" t="s">
        <v>36</v>
      </c>
      <c r="AE265" s="937" t="s">
        <v>37</v>
      </c>
      <c r="AF265" s="937" t="s">
        <v>38</v>
      </c>
      <c r="AG265" s="937" t="s">
        <v>39</v>
      </c>
      <c r="AH265" s="937" t="s">
        <v>40</v>
      </c>
      <c r="AI265" s="937" t="s">
        <v>25</v>
      </c>
      <c r="AJ265" s="946" t="s">
        <v>158</v>
      </c>
    </row>
    <row r="266" spans="1:36" ht="21" hidden="1">
      <c r="A266" s="964">
        <v>12</v>
      </c>
      <c r="B266" s="1013" t="s">
        <v>126</v>
      </c>
      <c r="C266" s="1031" t="s">
        <v>138</v>
      </c>
      <c r="D266" s="964" t="s">
        <v>90</v>
      </c>
      <c r="E266" s="984">
        <f>'[11]Price&amp;Heating-Value'!$R$6</f>
        <v>3.6</v>
      </c>
      <c r="F266" s="964"/>
      <c r="G266" s="1014">
        <f>'[11]Price&amp;Heating-Value'!$P$6</f>
        <v>2.7124999999999999</v>
      </c>
      <c r="H266" s="1094">
        <v>1086531</v>
      </c>
      <c r="I266" s="966">
        <v>1014685</v>
      </c>
      <c r="J266" s="966">
        <v>1091280</v>
      </c>
      <c r="K266" s="966"/>
      <c r="L266" s="966"/>
      <c r="M266" s="966"/>
      <c r="N266" s="966"/>
      <c r="O266" s="966"/>
      <c r="P266" s="966"/>
      <c r="Q266" s="966"/>
      <c r="R266" s="966"/>
      <c r="S266" s="966"/>
      <c r="T266" s="966">
        <f>SUM(H266:S266)</f>
        <v>3192496</v>
      </c>
      <c r="U266" s="966">
        <f>T266*E266</f>
        <v>11492985.6</v>
      </c>
      <c r="V266" s="966">
        <f>G266*T266</f>
        <v>8659645.4000000004</v>
      </c>
      <c r="W266" s="954">
        <f>H266*'[11]Transfer Price2011'!$HE$459</f>
        <v>3248727.6900000004</v>
      </c>
      <c r="X266" s="954">
        <f>I266*'[11]Transfer Price2011'!$HE$459</f>
        <v>3033908.1500000004</v>
      </c>
      <c r="Y266" s="954">
        <f>J266*'[11]Transfer Price2011'!$HE$459</f>
        <v>3262927.2</v>
      </c>
      <c r="Z266" s="954">
        <f>K266*'[11]Transfer Price2011'!$HE$459</f>
        <v>0</v>
      </c>
      <c r="AA266" s="954">
        <f>L266*'[11]Transfer Price2011'!$HE$459</f>
        <v>0</v>
      </c>
      <c r="AB266" s="954">
        <f>M266*'[11]Transfer Price2011'!$HE$459</f>
        <v>0</v>
      </c>
      <c r="AC266" s="954">
        <f>N266*'[11]Transfer Price2011'!$HE$459</f>
        <v>0</v>
      </c>
      <c r="AD266" s="954">
        <f>O266*'[11]Transfer Price2011'!$HE$459</f>
        <v>0</v>
      </c>
      <c r="AE266" s="954">
        <f>P266*'[11]Transfer Price2011'!$HE$459</f>
        <v>0</v>
      </c>
      <c r="AF266" s="954">
        <f>Q266*'[11]Transfer Price2011'!$HE$459</f>
        <v>0</v>
      </c>
      <c r="AG266" s="954">
        <f>R266*'[11]Transfer Price2011'!$HE$459</f>
        <v>0</v>
      </c>
      <c r="AH266" s="954">
        <f>S266*'[11]Transfer Price2011'!$HE$459</f>
        <v>0</v>
      </c>
      <c r="AI266" s="936">
        <f>SUM(W266:AH266)</f>
        <v>9545563.040000001</v>
      </c>
      <c r="AJ266" s="955">
        <f>AI266/U266*1000</f>
        <v>830.55555555555566</v>
      </c>
    </row>
    <row r="267" spans="1:36" ht="21" hidden="1">
      <c r="A267" s="964"/>
      <c r="B267" s="964"/>
      <c r="C267" s="1031" t="s">
        <v>152</v>
      </c>
      <c r="D267" s="964" t="s">
        <v>121</v>
      </c>
      <c r="E267" s="964">
        <f>'[11]Price&amp;Heating-Value'!$R$9</f>
        <v>2803</v>
      </c>
      <c r="F267" s="964"/>
      <c r="G267" s="965">
        <f>'[11]Price&amp;Heating-Value'!$P$9</f>
        <v>1301.5833333333333</v>
      </c>
      <c r="H267" s="1095">
        <v>195.51399999999995</v>
      </c>
      <c r="I267" s="968">
        <v>179.1</v>
      </c>
      <c r="J267" s="968">
        <v>182.3</v>
      </c>
      <c r="K267" s="968"/>
      <c r="L267" s="968"/>
      <c r="M267" s="968"/>
      <c r="N267" s="968"/>
      <c r="O267" s="968"/>
      <c r="P267" s="968"/>
      <c r="Q267" s="968"/>
      <c r="R267" s="968"/>
      <c r="S267" s="966"/>
      <c r="T267" s="966">
        <f>SUM(H267:S267)</f>
        <v>556.91399999999999</v>
      </c>
      <c r="U267" s="966">
        <f>T267*E267</f>
        <v>1561029.942</v>
      </c>
      <c r="V267" s="966">
        <f>G267*T267</f>
        <v>724869.98049999995</v>
      </c>
      <c r="W267" s="982">
        <f>'[11]Price&amp;Heating-Value'!D$9</f>
        <v>1210</v>
      </c>
      <c r="X267" s="982">
        <f>'[11]Price&amp;Heating-Value'!E$9</f>
        <v>1218</v>
      </c>
      <c r="Y267" s="982">
        <f>'[11]Price&amp;Heating-Value'!F$9</f>
        <v>1207</v>
      </c>
      <c r="Z267" s="982">
        <f>'[11]Price&amp;Heating-Value'!G$9</f>
        <v>1232</v>
      </c>
      <c r="AA267" s="982">
        <f>'[11]Price&amp;Heating-Value'!H$9</f>
        <v>1352</v>
      </c>
      <c r="AB267" s="982">
        <f>'[11]Price&amp;Heating-Value'!I$9</f>
        <v>1491</v>
      </c>
      <c r="AC267" s="982">
        <f>'[11]Price&amp;Heating-Value'!J$9</f>
        <v>1588</v>
      </c>
      <c r="AD267" s="937"/>
      <c r="AE267" s="937"/>
      <c r="AF267" s="937"/>
      <c r="AG267" s="937"/>
      <c r="AH267" s="937"/>
      <c r="AI267" s="937"/>
      <c r="AJ267" s="937"/>
    </row>
    <row r="268" spans="1:36" ht="21" hidden="1">
      <c r="A268" s="964"/>
      <c r="B268" s="964"/>
      <c r="C268" s="1031" t="s">
        <v>408</v>
      </c>
      <c r="D268" s="964" t="s">
        <v>176</v>
      </c>
      <c r="E268" s="984">
        <f>'[11]Price&amp;Heating-Value'!$S$16/1000</f>
        <v>39.770000000000003</v>
      </c>
      <c r="F268" s="1036">
        <f>'[11]Price&amp;Heating-Value'!$T$16</f>
        <v>0.98550000000000004</v>
      </c>
      <c r="G268" s="965">
        <f>'[11]Price&amp;Heating-Value'!$P$16*'[11]Price&amp;Heating-Value'!$T$16/1000</f>
        <v>17.944656726937499</v>
      </c>
      <c r="H268" s="1094">
        <v>0</v>
      </c>
      <c r="I268" s="966">
        <v>0</v>
      </c>
      <c r="J268" s="966"/>
      <c r="K268" s="966"/>
      <c r="L268" s="966"/>
      <c r="M268" s="966"/>
      <c r="N268" s="966"/>
      <c r="O268" s="966"/>
      <c r="P268" s="966"/>
      <c r="Q268" s="968"/>
      <c r="R268" s="966"/>
      <c r="S268" s="966"/>
      <c r="T268" s="966">
        <f>SUM(H268:S268)</f>
        <v>0</v>
      </c>
      <c r="U268" s="966">
        <f>T268*E268</f>
        <v>0</v>
      </c>
      <c r="V268" s="966">
        <f>F268*G268*T268</f>
        <v>0</v>
      </c>
      <c r="W268" s="1037">
        <f>'[11]Price&amp;Heating-Value'!D$16*'[11]Price&amp;Heating-Value'!$T$16/1000</f>
        <v>16.779635460000002</v>
      </c>
      <c r="X268" s="982">
        <f>'[11]Price&amp;Heating-Value'!E$16*'[11]Price&amp;Heating-Value'!$T$16/1000</f>
        <v>16.47036585</v>
      </c>
      <c r="Y268" s="982">
        <f>'[11]Price&amp;Heating-Value'!F$16*'[11]Price&amp;Heating-Value'!$T$16/1000</f>
        <v>16.780118354999999</v>
      </c>
      <c r="Z268" s="982">
        <f>'[11]Price&amp;Heating-Value'!G$16*'[11]Price&amp;Heating-Value'!$T$16/1000</f>
        <v>18.287135100000004</v>
      </c>
      <c r="AA268" s="982">
        <f>'[11]Price&amp;Heating-Value'!H$16*'[11]Price&amp;Heating-Value'!$T$16/1000</f>
        <v>20.715278985000001</v>
      </c>
      <c r="AB268" s="982">
        <f>'[11]Price&amp;Heating-Value'!I$16*'[11]Price&amp;Heating-Value'!$T$16/1000</f>
        <v>22.335056640000001</v>
      </c>
      <c r="AC268" s="982">
        <f>'[11]Price&amp;Heating-Value'!J$16*'[11]Price&amp;Heating-Value'!$T$16/1000</f>
        <v>25.718475240000004</v>
      </c>
      <c r="AD268" s="937"/>
      <c r="AE268" s="937"/>
      <c r="AF268" s="937"/>
      <c r="AG268" s="937"/>
      <c r="AH268" s="937"/>
      <c r="AI268" s="937"/>
      <c r="AJ268" s="937"/>
    </row>
    <row r="269" spans="1:36" ht="21" hidden="1">
      <c r="A269" s="964"/>
      <c r="B269" s="964"/>
      <c r="C269" s="1031" t="s">
        <v>429</v>
      </c>
      <c r="D269" s="964" t="s">
        <v>102</v>
      </c>
      <c r="E269" s="964">
        <f>'[11]Price&amp;Heating-Value'!$R$23/1000</f>
        <v>50.22</v>
      </c>
      <c r="F269" s="964"/>
      <c r="G269" s="965">
        <f>'[11]Price&amp;Heating-Value'!$P$23/1000</f>
        <v>11.61472</v>
      </c>
      <c r="H269" s="1094">
        <v>73804</v>
      </c>
      <c r="I269" s="966">
        <v>55327</v>
      </c>
      <c r="J269" s="966">
        <v>79980</v>
      </c>
      <c r="K269" s="966"/>
      <c r="L269" s="966"/>
      <c r="M269" s="966"/>
      <c r="N269" s="966"/>
      <c r="O269" s="966"/>
      <c r="P269" s="966"/>
      <c r="Q269" s="966"/>
      <c r="R269" s="966"/>
      <c r="S269" s="966"/>
      <c r="T269" s="966">
        <f>SUM(H269:S269)</f>
        <v>209111</v>
      </c>
      <c r="U269" s="966">
        <f>T269*E269</f>
        <v>10501554.42</v>
      </c>
      <c r="V269" s="966">
        <f>G269*T269</f>
        <v>2428765.71392</v>
      </c>
      <c r="W269" s="982">
        <f>'[11]Price&amp;Heating-Value'!D$23/1000</f>
        <v>11.61472</v>
      </c>
      <c r="X269" s="982">
        <f>'[11]Price&amp;Heating-Value'!E$23/1000</f>
        <v>11.61472</v>
      </c>
      <c r="Y269" s="982">
        <f>'[11]Price&amp;Heating-Value'!F$23/1000</f>
        <v>11.61472</v>
      </c>
      <c r="Z269" s="982">
        <f>'[11]Price&amp;Heating-Value'!G$23/1000</f>
        <v>11.61472</v>
      </c>
      <c r="AA269" s="982">
        <f>'[11]Price&amp;Heating-Value'!H$23/1000</f>
        <v>11.61472</v>
      </c>
      <c r="AB269" s="982">
        <f>'[11]Price&amp;Heating-Value'!I$23/1000</f>
        <v>11.61472</v>
      </c>
      <c r="AC269" s="982">
        <f>'[11]Price&amp;Heating-Value'!J$23/1000</f>
        <v>11.61472</v>
      </c>
      <c r="AD269" s="937"/>
      <c r="AE269" s="937"/>
      <c r="AF269" s="937"/>
      <c r="AG269" s="937"/>
      <c r="AH269" s="937"/>
      <c r="AI269" s="937"/>
      <c r="AJ269" s="937"/>
    </row>
    <row r="270" spans="1:36" ht="21" hidden="1">
      <c r="A270" s="964"/>
      <c r="B270" s="964"/>
      <c r="C270" s="1031" t="s">
        <v>441</v>
      </c>
      <c r="D270" s="964" t="s">
        <v>121</v>
      </c>
      <c r="E270" s="964">
        <f>'[11]Price&amp;Heating-Value'!$R$25</f>
        <v>39710</v>
      </c>
      <c r="F270" s="964"/>
      <c r="G270" s="1096">
        <v>0</v>
      </c>
      <c r="H270" s="1095">
        <v>61.982099999999996</v>
      </c>
      <c r="I270" s="968">
        <v>44.36</v>
      </c>
      <c r="J270" s="968">
        <v>48.78</v>
      </c>
      <c r="K270" s="966"/>
      <c r="L270" s="966"/>
      <c r="M270" s="966"/>
      <c r="N270" s="966"/>
      <c r="O270" s="966"/>
      <c r="P270" s="966"/>
      <c r="Q270" s="966"/>
      <c r="R270" s="966"/>
      <c r="S270" s="966"/>
      <c r="T270" s="966">
        <f>SUM(H270:S270)</f>
        <v>155.12209999999999</v>
      </c>
      <c r="U270" s="966">
        <f>T270*E270</f>
        <v>6159898.591</v>
      </c>
      <c r="V270" s="966">
        <f>G270*T270</f>
        <v>0</v>
      </c>
      <c r="W270" s="936">
        <v>0</v>
      </c>
      <c r="X270" s="936">
        <v>0</v>
      </c>
      <c r="Y270" s="936">
        <v>0</v>
      </c>
      <c r="Z270" s="936">
        <v>0</v>
      </c>
      <c r="AA270" s="936">
        <v>0</v>
      </c>
      <c r="AB270" s="936">
        <v>0</v>
      </c>
      <c r="AC270" s="936">
        <v>0</v>
      </c>
      <c r="AD270" s="937"/>
      <c r="AE270" s="937"/>
      <c r="AF270" s="937"/>
      <c r="AG270" s="937"/>
      <c r="AH270" s="937"/>
      <c r="AI270" s="937"/>
      <c r="AJ270" s="937"/>
    </row>
    <row r="271" spans="1:36" ht="21" hidden="1">
      <c r="A271" s="964"/>
      <c r="B271" s="964"/>
      <c r="C271" s="983"/>
      <c r="D271" s="964"/>
      <c r="E271" s="964"/>
      <c r="F271" s="964"/>
      <c r="G271" s="964"/>
      <c r="H271" s="1097"/>
      <c r="I271" s="1098"/>
      <c r="J271" s="985"/>
      <c r="K271" s="985"/>
      <c r="L271" s="985"/>
      <c r="M271" s="985"/>
      <c r="N271" s="985"/>
      <c r="O271" s="985"/>
      <c r="P271" s="985"/>
      <c r="Q271" s="985"/>
      <c r="R271" s="985"/>
      <c r="S271" s="985"/>
      <c r="T271" s="987"/>
      <c r="U271" s="987">
        <f>SUM(U266:U270)</f>
        <v>29715468.552999996</v>
      </c>
      <c r="V271" s="988">
        <f>SUM(V266:V270)</f>
        <v>11813281.094420001</v>
      </c>
      <c r="W271" s="936"/>
      <c r="X271" s="937"/>
      <c r="Y271" s="937"/>
      <c r="Z271" s="937"/>
      <c r="AA271" s="937"/>
      <c r="AB271" s="937"/>
      <c r="AC271" s="937"/>
      <c r="AD271" s="937"/>
      <c r="AE271" s="937"/>
      <c r="AF271" s="937"/>
      <c r="AG271" s="937"/>
      <c r="AH271" s="937"/>
      <c r="AI271" s="937"/>
      <c r="AJ271" s="937"/>
    </row>
    <row r="272" spans="1:36" ht="21" hidden="1">
      <c r="A272" s="964"/>
      <c r="B272" s="964"/>
      <c r="C272" s="983" t="s">
        <v>289</v>
      </c>
      <c r="D272" s="964"/>
      <c r="E272" s="964"/>
      <c r="F272" s="964"/>
      <c r="G272" s="964"/>
      <c r="H272" s="1095">
        <v>4936.7830000000004</v>
      </c>
      <c r="I272" s="1099">
        <v>5814.88</v>
      </c>
      <c r="J272" s="1099">
        <v>5385.1</v>
      </c>
      <c r="K272" s="1099"/>
      <c r="L272" s="1099"/>
      <c r="M272" s="1099"/>
      <c r="N272" s="1099"/>
      <c r="O272" s="1099"/>
      <c r="P272" s="1099"/>
      <c r="Q272" s="1099"/>
      <c r="R272" s="1099"/>
      <c r="S272" s="1099"/>
      <c r="T272" s="1089">
        <f>SUM(H272:S272)</f>
        <v>16136.763000000001</v>
      </c>
      <c r="U272" s="966"/>
      <c r="V272" s="988"/>
      <c r="W272" s="936"/>
      <c r="X272" s="937"/>
      <c r="Y272" s="937"/>
      <c r="Z272" s="937"/>
      <c r="AA272" s="937"/>
      <c r="AB272" s="937"/>
      <c r="AC272" s="937"/>
      <c r="AD272" s="937"/>
      <c r="AE272" s="937"/>
      <c r="AF272" s="937"/>
      <c r="AG272" s="937"/>
      <c r="AH272" s="937"/>
      <c r="AI272" s="937"/>
      <c r="AJ272" s="937"/>
    </row>
    <row r="273" spans="1:29" ht="21" hidden="1">
      <c r="A273" s="964"/>
      <c r="B273" s="964"/>
      <c r="C273" s="983" t="s">
        <v>290</v>
      </c>
      <c r="D273" s="964"/>
      <c r="E273" s="964"/>
      <c r="F273" s="964"/>
      <c r="G273" s="964"/>
      <c r="H273" s="1095">
        <v>5924.6949999999997</v>
      </c>
      <c r="I273" s="1099">
        <v>6080.02</v>
      </c>
      <c r="J273" s="1099">
        <f>J274-J272</f>
        <v>5851.445099999999</v>
      </c>
      <c r="K273" s="1099"/>
      <c r="L273" s="1099"/>
      <c r="M273" s="1099"/>
      <c r="N273" s="1099"/>
      <c r="O273" s="1099"/>
      <c r="P273" s="1099"/>
      <c r="Q273" s="1099"/>
      <c r="R273" s="1099"/>
      <c r="S273" s="1099"/>
      <c r="T273" s="1089">
        <f>SUM(H273:S273)</f>
        <v>17856.160100000001</v>
      </c>
      <c r="U273" s="966"/>
      <c r="V273" s="988"/>
      <c r="W273" s="936"/>
      <c r="X273" s="937"/>
      <c r="Y273" s="937"/>
      <c r="Z273" s="937"/>
      <c r="AA273" s="937"/>
      <c r="AB273" s="937"/>
      <c r="AC273" s="937"/>
    </row>
    <row r="274" spans="1:29" ht="21" hidden="1">
      <c r="A274" s="964"/>
      <c r="B274" s="989"/>
      <c r="C274" s="990" t="s">
        <v>107</v>
      </c>
      <c r="D274" s="989" t="s">
        <v>121</v>
      </c>
      <c r="E274" s="989"/>
      <c r="F274" s="989"/>
      <c r="G274" s="964"/>
      <c r="H274" s="1094">
        <f>H272+H273</f>
        <v>10861.477999999999</v>
      </c>
      <c r="I274" s="1100">
        <v>11894.905699999999</v>
      </c>
      <c r="J274" s="994">
        <v>11236.545099999999</v>
      </c>
      <c r="K274" s="994"/>
      <c r="L274" s="994"/>
      <c r="M274" s="994"/>
      <c r="N274" s="994"/>
      <c r="O274" s="994"/>
      <c r="P274" s="994"/>
      <c r="Q274" s="994"/>
      <c r="R274" s="994"/>
      <c r="S274" s="994"/>
      <c r="T274" s="996">
        <f>SUM(H274:S274)</f>
        <v>33992.928799999994</v>
      </c>
      <c r="U274" s="995"/>
      <c r="V274" s="1026">
        <f>V271/T274</f>
        <v>347.52172029436906</v>
      </c>
      <c r="W274" s="936"/>
      <c r="X274" s="937"/>
      <c r="Y274" s="937"/>
      <c r="Z274" s="937"/>
      <c r="AA274" s="937"/>
      <c r="AB274" s="937"/>
      <c r="AC274" s="937"/>
    </row>
    <row r="275" spans="1:29" ht="21" hidden="1">
      <c r="A275" s="964"/>
      <c r="B275" s="1011"/>
      <c r="C275" s="1030"/>
      <c r="D275" s="1011"/>
      <c r="E275" s="1011"/>
      <c r="F275" s="1011"/>
      <c r="G275" s="964"/>
      <c r="H275" s="981"/>
      <c r="I275" s="981"/>
      <c r="J275" s="981"/>
      <c r="K275" s="981"/>
      <c r="L275" s="981"/>
      <c r="M275" s="981"/>
      <c r="N275" s="981"/>
      <c r="O275" s="981"/>
      <c r="P275" s="981"/>
      <c r="Q275" s="981"/>
      <c r="R275" s="981"/>
      <c r="S275" s="981"/>
      <c r="T275" s="981"/>
      <c r="U275" s="981"/>
      <c r="V275" s="997" t="s">
        <v>137</v>
      </c>
      <c r="W275" s="936"/>
      <c r="X275" s="937"/>
      <c r="Y275" s="937"/>
      <c r="Z275" s="937"/>
      <c r="AA275" s="937"/>
      <c r="AB275" s="937"/>
      <c r="AC275" s="937"/>
    </row>
    <row r="276" spans="1:29" ht="21" hidden="1">
      <c r="A276" s="964"/>
      <c r="B276" s="964"/>
      <c r="C276" s="1031" t="s">
        <v>138</v>
      </c>
      <c r="D276" s="964" t="s">
        <v>173</v>
      </c>
      <c r="E276" s="964"/>
      <c r="F276" s="964"/>
      <c r="G276" s="964"/>
      <c r="H276" s="966">
        <f>H266*$E266/1000</f>
        <v>3911.5116000000003</v>
      </c>
      <c r="I276" s="966">
        <f t="shared" ref="I276:S280" si="133">I266*$E266/1000</f>
        <v>3652.866</v>
      </c>
      <c r="J276" s="966">
        <f>J266*$E266/1000</f>
        <v>3928.6080000000002</v>
      </c>
      <c r="K276" s="966">
        <f t="shared" si="133"/>
        <v>0</v>
      </c>
      <c r="L276" s="966">
        <f t="shared" si="133"/>
        <v>0</v>
      </c>
      <c r="M276" s="966">
        <f t="shared" si="133"/>
        <v>0</v>
      </c>
      <c r="N276" s="966">
        <f t="shared" si="133"/>
        <v>0</v>
      </c>
      <c r="O276" s="966">
        <f t="shared" si="133"/>
        <v>0</v>
      </c>
      <c r="P276" s="966">
        <f t="shared" si="133"/>
        <v>0</v>
      </c>
      <c r="Q276" s="966">
        <f t="shared" si="133"/>
        <v>0</v>
      </c>
      <c r="R276" s="966">
        <f t="shared" si="133"/>
        <v>0</v>
      </c>
      <c r="S276" s="966">
        <f t="shared" si="133"/>
        <v>0</v>
      </c>
      <c r="T276" s="966">
        <f t="shared" ref="T276:T282" si="134">SUM(H276:S276)</f>
        <v>11492.9856</v>
      </c>
      <c r="U276" s="966"/>
      <c r="V276" s="966"/>
      <c r="W276" s="936"/>
      <c r="X276" s="937"/>
      <c r="Y276" s="937"/>
      <c r="Z276" s="937"/>
      <c r="AA276" s="937"/>
      <c r="AB276" s="937"/>
      <c r="AC276" s="937"/>
    </row>
    <row r="277" spans="1:29" ht="21" hidden="1">
      <c r="A277" s="964"/>
      <c r="B277" s="964"/>
      <c r="C277" s="1031" t="s">
        <v>152</v>
      </c>
      <c r="D277" s="964" t="s">
        <v>173</v>
      </c>
      <c r="E277" s="964"/>
      <c r="F277" s="964"/>
      <c r="G277" s="964"/>
      <c r="H277" s="966">
        <f>H267*$E267/1000</f>
        <v>548.02574199999981</v>
      </c>
      <c r="I277" s="966">
        <f t="shared" si="133"/>
        <v>502.01729999999998</v>
      </c>
      <c r="J277" s="966">
        <f t="shared" si="133"/>
        <v>510.98690000000005</v>
      </c>
      <c r="K277" s="966">
        <f t="shared" si="133"/>
        <v>0</v>
      </c>
      <c r="L277" s="966">
        <f t="shared" si="133"/>
        <v>0</v>
      </c>
      <c r="M277" s="966">
        <f t="shared" si="133"/>
        <v>0</v>
      </c>
      <c r="N277" s="966">
        <f t="shared" si="133"/>
        <v>0</v>
      </c>
      <c r="O277" s="966">
        <f t="shared" si="133"/>
        <v>0</v>
      </c>
      <c r="P277" s="966">
        <f t="shared" si="133"/>
        <v>0</v>
      </c>
      <c r="Q277" s="966">
        <f t="shared" si="133"/>
        <v>0</v>
      </c>
      <c r="R277" s="966">
        <f t="shared" si="133"/>
        <v>0</v>
      </c>
      <c r="S277" s="966">
        <f t="shared" si="133"/>
        <v>0</v>
      </c>
      <c r="T277" s="966">
        <f t="shared" si="134"/>
        <v>1561.0299419999999</v>
      </c>
      <c r="U277" s="966"/>
      <c r="V277" s="966"/>
      <c r="W277" s="936"/>
      <c r="X277" s="937"/>
      <c r="Y277" s="937"/>
      <c r="Z277" s="937"/>
      <c r="AA277" s="937"/>
      <c r="AB277" s="937"/>
      <c r="AC277" s="937"/>
    </row>
    <row r="278" spans="1:29" ht="21" hidden="1">
      <c r="A278" s="964"/>
      <c r="B278" s="964"/>
      <c r="C278" s="1031" t="s">
        <v>408</v>
      </c>
      <c r="D278" s="964" t="s">
        <v>173</v>
      </c>
      <c r="E278" s="964"/>
      <c r="F278" s="964"/>
      <c r="G278" s="964"/>
      <c r="H278" s="966">
        <f>H268*$E268/1000</f>
        <v>0</v>
      </c>
      <c r="I278" s="966">
        <f>I268*$E268/1000</f>
        <v>0</v>
      </c>
      <c r="J278" s="966">
        <f t="shared" si="133"/>
        <v>0</v>
      </c>
      <c r="K278" s="966">
        <f t="shared" si="133"/>
        <v>0</v>
      </c>
      <c r="L278" s="966">
        <f t="shared" si="133"/>
        <v>0</v>
      </c>
      <c r="M278" s="966">
        <f t="shared" si="133"/>
        <v>0</v>
      </c>
      <c r="N278" s="966">
        <f t="shared" si="133"/>
        <v>0</v>
      </c>
      <c r="O278" s="966">
        <f t="shared" si="133"/>
        <v>0</v>
      </c>
      <c r="P278" s="966">
        <f t="shared" si="133"/>
        <v>0</v>
      </c>
      <c r="Q278" s="966">
        <f t="shared" si="133"/>
        <v>0</v>
      </c>
      <c r="R278" s="966">
        <f t="shared" si="133"/>
        <v>0</v>
      </c>
      <c r="S278" s="966">
        <f t="shared" si="133"/>
        <v>0</v>
      </c>
      <c r="T278" s="966">
        <f t="shared" si="134"/>
        <v>0</v>
      </c>
      <c r="U278" s="966"/>
      <c r="V278" s="966"/>
      <c r="W278" s="936"/>
      <c r="X278" s="937"/>
      <c r="Y278" s="937"/>
      <c r="Z278" s="937"/>
      <c r="AA278" s="937"/>
      <c r="AB278" s="937"/>
      <c r="AC278" s="937"/>
    </row>
    <row r="279" spans="1:29" ht="21" hidden="1">
      <c r="A279" s="964"/>
      <c r="B279" s="964"/>
      <c r="C279" s="1031" t="s">
        <v>429</v>
      </c>
      <c r="D279" s="964" t="s">
        <v>173</v>
      </c>
      <c r="E279" s="964"/>
      <c r="F279" s="964"/>
      <c r="G279" s="964"/>
      <c r="H279" s="966">
        <f>H269*$E269/1000</f>
        <v>3706.4368799999997</v>
      </c>
      <c r="I279" s="966">
        <f>I269*$E269/1000</f>
        <v>2778.5219400000001</v>
      </c>
      <c r="J279" s="966">
        <f t="shared" si="133"/>
        <v>4016.5956000000001</v>
      </c>
      <c r="K279" s="966">
        <f t="shared" si="133"/>
        <v>0</v>
      </c>
      <c r="L279" s="966">
        <f t="shared" si="133"/>
        <v>0</v>
      </c>
      <c r="M279" s="966">
        <f t="shared" si="133"/>
        <v>0</v>
      </c>
      <c r="N279" s="966">
        <f t="shared" si="133"/>
        <v>0</v>
      </c>
      <c r="O279" s="966">
        <f t="shared" si="133"/>
        <v>0</v>
      </c>
      <c r="P279" s="966">
        <f t="shared" si="133"/>
        <v>0</v>
      </c>
      <c r="Q279" s="966">
        <f t="shared" si="133"/>
        <v>0</v>
      </c>
      <c r="R279" s="966">
        <f t="shared" si="133"/>
        <v>0</v>
      </c>
      <c r="S279" s="966">
        <f t="shared" si="133"/>
        <v>0</v>
      </c>
      <c r="T279" s="966">
        <f t="shared" si="134"/>
        <v>10501.55442</v>
      </c>
      <c r="U279" s="966"/>
      <c r="V279" s="966"/>
      <c r="W279" s="936"/>
      <c r="X279" s="937"/>
      <c r="Y279" s="937"/>
      <c r="Z279" s="937"/>
      <c r="AA279" s="937"/>
      <c r="AB279" s="937"/>
      <c r="AC279" s="937"/>
    </row>
    <row r="280" spans="1:29" ht="21" hidden="1">
      <c r="A280" s="964"/>
      <c r="B280" s="964"/>
      <c r="C280" s="1031" t="s">
        <v>441</v>
      </c>
      <c r="D280" s="964" t="s">
        <v>173</v>
      </c>
      <c r="E280" s="964"/>
      <c r="F280" s="964"/>
      <c r="G280" s="964"/>
      <c r="H280" s="966">
        <f>H270*$E270/1000</f>
        <v>2461.3091909999998</v>
      </c>
      <c r="I280" s="966">
        <f>I270*$E270/1000</f>
        <v>1761.5356000000002</v>
      </c>
      <c r="J280" s="966">
        <f t="shared" si="133"/>
        <v>1937.0538000000001</v>
      </c>
      <c r="K280" s="966">
        <f t="shared" si="133"/>
        <v>0</v>
      </c>
      <c r="L280" s="966">
        <f t="shared" si="133"/>
        <v>0</v>
      </c>
      <c r="M280" s="966">
        <f t="shared" si="133"/>
        <v>0</v>
      </c>
      <c r="N280" s="966">
        <f t="shared" si="133"/>
        <v>0</v>
      </c>
      <c r="O280" s="966">
        <f t="shared" si="133"/>
        <v>0</v>
      </c>
      <c r="P280" s="966">
        <f t="shared" si="133"/>
        <v>0</v>
      </c>
      <c r="Q280" s="966">
        <f t="shared" si="133"/>
        <v>0</v>
      </c>
      <c r="R280" s="966">
        <f t="shared" si="133"/>
        <v>0</v>
      </c>
      <c r="S280" s="966">
        <f t="shared" si="133"/>
        <v>0</v>
      </c>
      <c r="T280" s="966">
        <f t="shared" si="134"/>
        <v>6159.8985909999992</v>
      </c>
      <c r="U280" s="966"/>
      <c r="V280" s="966"/>
      <c r="W280" s="936"/>
      <c r="X280" s="937"/>
      <c r="Y280" s="937"/>
      <c r="Z280" s="937"/>
      <c r="AA280" s="937"/>
      <c r="AB280" s="937"/>
      <c r="AC280" s="937"/>
    </row>
    <row r="281" spans="1:29" ht="21" hidden="1">
      <c r="A281" s="964"/>
      <c r="B281" s="964"/>
      <c r="C281" s="983" t="s">
        <v>442</v>
      </c>
      <c r="D281" s="964" t="s">
        <v>173</v>
      </c>
      <c r="E281" s="1011"/>
      <c r="F281" s="1011"/>
      <c r="G281" s="964"/>
      <c r="H281" s="1084">
        <v>10608.210123339997</v>
      </c>
      <c r="I281" s="1084">
        <v>8765.1177910799997</v>
      </c>
      <c r="J281" s="1084">
        <v>9914.5</v>
      </c>
      <c r="K281" s="981">
        <f t="shared" ref="K281:S281" si="135">SUM(K276:K280)</f>
        <v>0</v>
      </c>
      <c r="L281" s="981">
        <f t="shared" si="135"/>
        <v>0</v>
      </c>
      <c r="M281" s="981">
        <f t="shared" si="135"/>
        <v>0</v>
      </c>
      <c r="N281" s="981">
        <f t="shared" si="135"/>
        <v>0</v>
      </c>
      <c r="O281" s="981">
        <f t="shared" si="135"/>
        <v>0</v>
      </c>
      <c r="P281" s="981">
        <f t="shared" si="135"/>
        <v>0</v>
      </c>
      <c r="Q281" s="981">
        <f t="shared" si="135"/>
        <v>0</v>
      </c>
      <c r="R281" s="981">
        <f t="shared" si="135"/>
        <v>0</v>
      </c>
      <c r="S281" s="981">
        <f t="shared" si="135"/>
        <v>0</v>
      </c>
      <c r="T281" s="1032">
        <f t="shared" si="134"/>
        <v>29287.827914419999</v>
      </c>
      <c r="U281" s="981"/>
      <c r="V281" s="1033">
        <f>V271/T281</f>
        <v>403.35121911187127</v>
      </c>
      <c r="W281" s="936"/>
      <c r="X281" s="937"/>
      <c r="Y281" s="937"/>
      <c r="Z281" s="937"/>
      <c r="AA281" s="937"/>
      <c r="AB281" s="937"/>
      <c r="AC281" s="937"/>
    </row>
    <row r="282" spans="1:29" ht="21" hidden="1">
      <c r="A282" s="964"/>
      <c r="B282" s="964"/>
      <c r="C282" s="983" t="s">
        <v>345</v>
      </c>
      <c r="D282" s="964" t="s">
        <v>173</v>
      </c>
      <c r="E282" s="964"/>
      <c r="F282" s="964"/>
      <c r="G282" s="964"/>
      <c r="H282" s="1101">
        <v>10824.119609793581</v>
      </c>
      <c r="I282" s="1101">
        <v>9676.6144319434607</v>
      </c>
      <c r="J282" s="1101">
        <v>10823.82</v>
      </c>
      <c r="K282" s="966"/>
      <c r="L282" s="966"/>
      <c r="M282" s="966"/>
      <c r="N282" s="966"/>
      <c r="O282" s="966"/>
      <c r="P282" s="966"/>
      <c r="Q282" s="966"/>
      <c r="R282" s="966"/>
      <c r="S282" s="966"/>
      <c r="T282" s="1032">
        <f t="shared" si="134"/>
        <v>31324.554041737043</v>
      </c>
      <c r="U282" s="966"/>
      <c r="V282" s="1001" t="s">
        <v>158</v>
      </c>
      <c r="W282" s="936"/>
      <c r="X282" s="937"/>
      <c r="Y282" s="937"/>
      <c r="Z282" s="937"/>
      <c r="AA282" s="937"/>
      <c r="AB282" s="937"/>
      <c r="AC282" s="937"/>
    </row>
    <row r="283" spans="1:29" ht="21" hidden="1">
      <c r="A283" s="964"/>
      <c r="B283" s="1003" t="s">
        <v>174</v>
      </c>
      <c r="C283" s="1004" t="s">
        <v>138</v>
      </c>
      <c r="D283" s="1003" t="s">
        <v>347</v>
      </c>
      <c r="E283" s="1003"/>
      <c r="F283" s="1003"/>
      <c r="G283" s="964"/>
      <c r="H283" s="1006">
        <f>H276/H274</f>
        <v>0.36012701033874034</v>
      </c>
      <c r="I283" s="1006">
        <f t="shared" ref="I283:T283" si="136">I276/I274</f>
        <v>0.30709499445632427</v>
      </c>
      <c r="J283" s="1006">
        <f t="shared" si="136"/>
        <v>0.34962775168321092</v>
      </c>
      <c r="K283" s="1006" t="e">
        <f t="shared" si="136"/>
        <v>#DIV/0!</v>
      </c>
      <c r="L283" s="1006" t="e">
        <f t="shared" si="136"/>
        <v>#DIV/0!</v>
      </c>
      <c r="M283" s="1006" t="e">
        <f t="shared" si="136"/>
        <v>#DIV/0!</v>
      </c>
      <c r="N283" s="1006" t="e">
        <f t="shared" si="136"/>
        <v>#DIV/0!</v>
      </c>
      <c r="O283" s="1006" t="e">
        <f t="shared" si="136"/>
        <v>#DIV/0!</v>
      </c>
      <c r="P283" s="1006" t="e">
        <f t="shared" si="136"/>
        <v>#DIV/0!</v>
      </c>
      <c r="Q283" s="1006" t="e">
        <f t="shared" si="136"/>
        <v>#DIV/0!</v>
      </c>
      <c r="R283" s="1006" t="e">
        <f t="shared" si="136"/>
        <v>#DIV/0!</v>
      </c>
      <c r="S283" s="1006" t="e">
        <f t="shared" si="136"/>
        <v>#DIV/0!</v>
      </c>
      <c r="T283" s="1006">
        <f t="shared" si="136"/>
        <v>0.33809930493544299</v>
      </c>
      <c r="U283" s="1007"/>
      <c r="V283" s="1007"/>
      <c r="W283" s="954">
        <f>'[11]Price&amp;Heating-Value'!D$6</f>
        <v>2.4500000000000002</v>
      </c>
      <c r="X283" s="954">
        <f>'[11]Price&amp;Heating-Value'!E$6</f>
        <v>2.54</v>
      </c>
      <c r="Y283" s="954">
        <f>'[11]Price&amp;Heating-Value'!F$6</f>
        <v>2.58</v>
      </c>
      <c r="Z283" s="954">
        <f>'[11]Price&amp;Heating-Value'!G$6</f>
        <v>2.67</v>
      </c>
      <c r="AA283" s="954">
        <f>'[11]Price&amp;Heating-Value'!H$6</f>
        <v>2.67</v>
      </c>
      <c r="AB283" s="954">
        <f>'[11]Price&amp;Heating-Value'!I$6</f>
        <v>2.67</v>
      </c>
      <c r="AC283" s="954">
        <f>'[11]Price&amp;Heating-Value'!J$6</f>
        <v>2.62</v>
      </c>
    </row>
    <row r="284" spans="1:29" ht="21" hidden="1">
      <c r="A284" s="964"/>
      <c r="B284" s="1003"/>
      <c r="C284" s="1004" t="s">
        <v>152</v>
      </c>
      <c r="D284" s="1003" t="s">
        <v>347</v>
      </c>
      <c r="E284" s="1003"/>
      <c r="F284" s="1003"/>
      <c r="G284" s="964"/>
      <c r="H284" s="1006">
        <f>H277/H274</f>
        <v>5.0455908670993012E-2</v>
      </c>
      <c r="I284" s="1006">
        <f t="shared" ref="I284:T284" si="137">I277/I274</f>
        <v>4.2204395113447597E-2</v>
      </c>
      <c r="J284" s="1006">
        <f t="shared" si="137"/>
        <v>4.5475446006975943E-2</v>
      </c>
      <c r="K284" s="1006" t="e">
        <f t="shared" si="137"/>
        <v>#DIV/0!</v>
      </c>
      <c r="L284" s="1006" t="e">
        <f t="shared" si="137"/>
        <v>#DIV/0!</v>
      </c>
      <c r="M284" s="1006" t="e">
        <f t="shared" si="137"/>
        <v>#DIV/0!</v>
      </c>
      <c r="N284" s="1006" t="e">
        <f t="shared" si="137"/>
        <v>#DIV/0!</v>
      </c>
      <c r="O284" s="1006" t="e">
        <f t="shared" si="137"/>
        <v>#DIV/0!</v>
      </c>
      <c r="P284" s="1006" t="e">
        <f t="shared" si="137"/>
        <v>#DIV/0!</v>
      </c>
      <c r="Q284" s="1006" t="e">
        <f t="shared" si="137"/>
        <v>#DIV/0!</v>
      </c>
      <c r="R284" s="1006" t="e">
        <f t="shared" si="137"/>
        <v>#DIV/0!</v>
      </c>
      <c r="S284" s="1006" t="e">
        <f t="shared" si="137"/>
        <v>#DIV/0!</v>
      </c>
      <c r="T284" s="1006">
        <f t="shared" si="137"/>
        <v>4.5922196089205475E-2</v>
      </c>
      <c r="U284" s="1007"/>
      <c r="V284" s="1007"/>
      <c r="W284" s="936"/>
      <c r="X284" s="937"/>
      <c r="Y284" s="937"/>
      <c r="Z284" s="937"/>
      <c r="AA284" s="937"/>
      <c r="AB284" s="937"/>
      <c r="AC284" s="937"/>
    </row>
    <row r="285" spans="1:29" ht="21" hidden="1">
      <c r="A285" s="964"/>
      <c r="B285" s="1003"/>
      <c r="C285" s="1093" t="s">
        <v>408</v>
      </c>
      <c r="D285" s="1003" t="s">
        <v>347</v>
      </c>
      <c r="E285" s="1003"/>
      <c r="F285" s="1003"/>
      <c r="G285" s="964"/>
      <c r="H285" s="1006">
        <f>H278/H274</f>
        <v>0</v>
      </c>
      <c r="I285" s="1006">
        <f t="shared" ref="I285:T285" si="138">I278/I274</f>
        <v>0</v>
      </c>
      <c r="J285" s="1006">
        <f t="shared" si="138"/>
        <v>0</v>
      </c>
      <c r="K285" s="1006" t="e">
        <f t="shared" si="138"/>
        <v>#DIV/0!</v>
      </c>
      <c r="L285" s="1006" t="e">
        <f t="shared" si="138"/>
        <v>#DIV/0!</v>
      </c>
      <c r="M285" s="1006" t="e">
        <f t="shared" si="138"/>
        <v>#DIV/0!</v>
      </c>
      <c r="N285" s="1006" t="e">
        <f t="shared" si="138"/>
        <v>#DIV/0!</v>
      </c>
      <c r="O285" s="1006" t="e">
        <f t="shared" si="138"/>
        <v>#DIV/0!</v>
      </c>
      <c r="P285" s="1006" t="e">
        <f t="shared" si="138"/>
        <v>#DIV/0!</v>
      </c>
      <c r="Q285" s="1006" t="e">
        <f t="shared" si="138"/>
        <v>#DIV/0!</v>
      </c>
      <c r="R285" s="1006" t="e">
        <f t="shared" si="138"/>
        <v>#DIV/0!</v>
      </c>
      <c r="S285" s="1006" t="e">
        <f t="shared" si="138"/>
        <v>#DIV/0!</v>
      </c>
      <c r="T285" s="1006">
        <f t="shared" si="138"/>
        <v>0</v>
      </c>
      <c r="U285" s="1007"/>
      <c r="V285" s="1007"/>
      <c r="W285" s="936"/>
      <c r="X285" s="937"/>
      <c r="Y285" s="937"/>
      <c r="Z285" s="937"/>
      <c r="AA285" s="937"/>
      <c r="AB285" s="937"/>
      <c r="AC285" s="937"/>
    </row>
    <row r="286" spans="1:29" ht="21" hidden="1">
      <c r="A286" s="964"/>
      <c r="B286" s="1003"/>
      <c r="C286" s="1093" t="s">
        <v>429</v>
      </c>
      <c r="D286" s="1003" t="s">
        <v>347</v>
      </c>
      <c r="E286" s="1003"/>
      <c r="F286" s="1003"/>
      <c r="G286" s="964"/>
      <c r="H286" s="1006">
        <f>H279/H274</f>
        <v>0.34124608823955638</v>
      </c>
      <c r="I286" s="1006">
        <f t="shared" ref="I286:T286" si="139">I279/I274</f>
        <v>0.23358923644094129</v>
      </c>
      <c r="J286" s="1006">
        <f t="shared" si="139"/>
        <v>0.35745823687389466</v>
      </c>
      <c r="K286" s="1006" t="e">
        <f t="shared" si="139"/>
        <v>#DIV/0!</v>
      </c>
      <c r="L286" s="1006" t="e">
        <f t="shared" si="139"/>
        <v>#DIV/0!</v>
      </c>
      <c r="M286" s="1006" t="e">
        <f t="shared" si="139"/>
        <v>#DIV/0!</v>
      </c>
      <c r="N286" s="1006" t="e">
        <f t="shared" si="139"/>
        <v>#DIV/0!</v>
      </c>
      <c r="O286" s="1006" t="e">
        <f t="shared" si="139"/>
        <v>#DIV/0!</v>
      </c>
      <c r="P286" s="1006" t="e">
        <f t="shared" si="139"/>
        <v>#DIV/0!</v>
      </c>
      <c r="Q286" s="1006" t="e">
        <f t="shared" si="139"/>
        <v>#DIV/0!</v>
      </c>
      <c r="R286" s="1006" t="e">
        <f t="shared" si="139"/>
        <v>#DIV/0!</v>
      </c>
      <c r="S286" s="1006" t="e">
        <f t="shared" si="139"/>
        <v>#DIV/0!</v>
      </c>
      <c r="T286" s="1006">
        <f t="shared" si="139"/>
        <v>0.30893349854573293</v>
      </c>
      <c r="U286" s="1007"/>
      <c r="V286" s="1007"/>
      <c r="W286" s="936"/>
      <c r="X286" s="937"/>
      <c r="Y286" s="937"/>
      <c r="Z286" s="937"/>
      <c r="AA286" s="937"/>
      <c r="AB286" s="937"/>
      <c r="AC286" s="937"/>
    </row>
    <row r="287" spans="1:29" ht="21" hidden="1">
      <c r="A287" s="964"/>
      <c r="B287" s="1003"/>
      <c r="C287" s="1093" t="s">
        <v>441</v>
      </c>
      <c r="D287" s="1003" t="s">
        <v>347</v>
      </c>
      <c r="E287" s="1003"/>
      <c r="F287" s="1003"/>
      <c r="G287" s="964"/>
      <c r="H287" s="1006">
        <f>H280/H274</f>
        <v>0.22660904814243513</v>
      </c>
      <c r="I287" s="1006">
        <f t="shared" ref="I287:T287" si="140">I280/I274</f>
        <v>0.14809159857400134</v>
      </c>
      <c r="J287" s="1006">
        <f t="shared" si="140"/>
        <v>0.17238873539518834</v>
      </c>
      <c r="K287" s="1006" t="e">
        <f t="shared" si="140"/>
        <v>#DIV/0!</v>
      </c>
      <c r="L287" s="1006" t="e">
        <f t="shared" si="140"/>
        <v>#DIV/0!</v>
      </c>
      <c r="M287" s="1006" t="e">
        <f t="shared" si="140"/>
        <v>#DIV/0!</v>
      </c>
      <c r="N287" s="1006" t="e">
        <f t="shared" si="140"/>
        <v>#DIV/0!</v>
      </c>
      <c r="O287" s="1006" t="e">
        <f t="shared" si="140"/>
        <v>#DIV/0!</v>
      </c>
      <c r="P287" s="1006" t="e">
        <f t="shared" si="140"/>
        <v>#DIV/0!</v>
      </c>
      <c r="Q287" s="1006" t="e">
        <f t="shared" si="140"/>
        <v>#DIV/0!</v>
      </c>
      <c r="R287" s="1006" t="e">
        <f t="shared" si="140"/>
        <v>#DIV/0!</v>
      </c>
      <c r="S287" s="1006" t="e">
        <f t="shared" si="140"/>
        <v>#DIV/0!</v>
      </c>
      <c r="T287" s="1006">
        <f t="shared" si="140"/>
        <v>0.18121117563132719</v>
      </c>
      <c r="U287" s="1007"/>
      <c r="V287" s="1007"/>
      <c r="W287" s="936"/>
      <c r="X287" s="937"/>
      <c r="Y287" s="937"/>
      <c r="Z287" s="937"/>
      <c r="AA287" s="937"/>
      <c r="AB287" s="937"/>
      <c r="AC287" s="937"/>
    </row>
    <row r="288" spans="1:29" ht="23.25" hidden="1">
      <c r="A288" s="964"/>
      <c r="B288" s="1003"/>
      <c r="C288" s="1008" t="s">
        <v>443</v>
      </c>
      <c r="D288" s="1003" t="s">
        <v>347</v>
      </c>
      <c r="E288" s="1003"/>
      <c r="F288" s="1003"/>
      <c r="G288" s="964"/>
      <c r="H288" s="1006">
        <f>H281/H274</f>
        <v>0.97668200620026091</v>
      </c>
      <c r="I288" s="1006">
        <f t="shared" ref="I288:S288" si="141">I281/I274</f>
        <v>0.73687997300222396</v>
      </c>
      <c r="J288" s="1006">
        <f t="shared" si="141"/>
        <v>0.88234416466677112</v>
      </c>
      <c r="K288" s="1006" t="e">
        <f t="shared" si="141"/>
        <v>#DIV/0!</v>
      </c>
      <c r="L288" s="1006" t="e">
        <f t="shared" si="141"/>
        <v>#DIV/0!</v>
      </c>
      <c r="M288" s="1006" t="e">
        <f t="shared" si="141"/>
        <v>#DIV/0!</v>
      </c>
      <c r="N288" s="1006" t="e">
        <f t="shared" si="141"/>
        <v>#DIV/0!</v>
      </c>
      <c r="O288" s="1006" t="e">
        <f t="shared" si="141"/>
        <v>#DIV/0!</v>
      </c>
      <c r="P288" s="1006" t="e">
        <f t="shared" si="141"/>
        <v>#DIV/0!</v>
      </c>
      <c r="Q288" s="1006" t="e">
        <f t="shared" si="141"/>
        <v>#DIV/0!</v>
      </c>
      <c r="R288" s="1006" t="e">
        <f t="shared" si="141"/>
        <v>#DIV/0!</v>
      </c>
      <c r="S288" s="1006" t="e">
        <f t="shared" si="141"/>
        <v>#DIV/0!</v>
      </c>
      <c r="T288" s="1021">
        <f>T281/T274</f>
        <v>0.86158589295842036</v>
      </c>
      <c r="U288" s="1007"/>
      <c r="V288" s="1007"/>
      <c r="W288" s="936"/>
      <c r="X288" s="937"/>
      <c r="Y288" s="937"/>
      <c r="Z288" s="937"/>
      <c r="AA288" s="937"/>
      <c r="AB288" s="937"/>
      <c r="AC288" s="937"/>
    </row>
    <row r="289" spans="1:36" ht="21" hidden="1">
      <c r="A289" s="964"/>
      <c r="B289" s="1003"/>
      <c r="C289" s="1008" t="s">
        <v>444</v>
      </c>
      <c r="D289" s="1003"/>
      <c r="E289" s="1003"/>
      <c r="F289" s="1003"/>
      <c r="G289" s="964"/>
      <c r="H289" s="1010">
        <f>H281/H282*100</f>
        <v>98.005292862264469</v>
      </c>
      <c r="I289" s="1010">
        <f t="shared" ref="I289:T289" si="142">I281/I282*100</f>
        <v>90.580417900557038</v>
      </c>
      <c r="J289" s="1010">
        <f t="shared" si="142"/>
        <v>91.598899464329591</v>
      </c>
      <c r="K289" s="1010" t="e">
        <f t="shared" si="142"/>
        <v>#DIV/0!</v>
      </c>
      <c r="L289" s="1010" t="e">
        <f t="shared" si="142"/>
        <v>#DIV/0!</v>
      </c>
      <c r="M289" s="1010" t="e">
        <f t="shared" si="142"/>
        <v>#DIV/0!</v>
      </c>
      <c r="N289" s="1010" t="e">
        <f t="shared" si="142"/>
        <v>#DIV/0!</v>
      </c>
      <c r="O289" s="1010" t="e">
        <f t="shared" si="142"/>
        <v>#DIV/0!</v>
      </c>
      <c r="P289" s="1010" t="e">
        <f t="shared" si="142"/>
        <v>#DIV/0!</v>
      </c>
      <c r="Q289" s="1010" t="e">
        <f t="shared" si="142"/>
        <v>#DIV/0!</v>
      </c>
      <c r="R289" s="1010" t="e">
        <f t="shared" si="142"/>
        <v>#DIV/0!</v>
      </c>
      <c r="S289" s="1010" t="e">
        <f t="shared" si="142"/>
        <v>#DIV/0!</v>
      </c>
      <c r="T289" s="1010">
        <f t="shared" si="142"/>
        <v>93.497988432322771</v>
      </c>
      <c r="U289" s="1007"/>
      <c r="V289" s="1007"/>
      <c r="W289" s="936" t="s">
        <v>29</v>
      </c>
      <c r="X289" s="937" t="s">
        <v>30</v>
      </c>
      <c r="Y289" s="937" t="s">
        <v>31</v>
      </c>
      <c r="Z289" s="937" t="s">
        <v>32</v>
      </c>
      <c r="AA289" s="937" t="s">
        <v>33</v>
      </c>
      <c r="AB289" s="937" t="s">
        <v>34</v>
      </c>
      <c r="AC289" s="937" t="s">
        <v>35</v>
      </c>
      <c r="AD289" s="937" t="s">
        <v>36</v>
      </c>
      <c r="AE289" s="937" t="s">
        <v>37</v>
      </c>
      <c r="AF289" s="937" t="s">
        <v>38</v>
      </c>
      <c r="AG289" s="937" t="s">
        <v>39</v>
      </c>
      <c r="AH289" s="937" t="s">
        <v>40</v>
      </c>
      <c r="AI289" s="937" t="s">
        <v>25</v>
      </c>
      <c r="AJ289" s="946" t="s">
        <v>158</v>
      </c>
    </row>
    <row r="290" spans="1:36" ht="21" hidden="1">
      <c r="A290" s="964">
        <v>13</v>
      </c>
      <c r="B290" s="1013" t="s">
        <v>129</v>
      </c>
      <c r="C290" s="1031" t="s">
        <v>138</v>
      </c>
      <c r="D290" s="964" t="s">
        <v>90</v>
      </c>
      <c r="E290" s="984">
        <f>'[11]Price&amp;Heating-Value'!$R$6</f>
        <v>3.6</v>
      </c>
      <c r="F290" s="964"/>
      <c r="G290" s="1014">
        <f>'[11]Price&amp;Heating-Value'!$P$6</f>
        <v>2.7124999999999999</v>
      </c>
      <c r="H290" s="966">
        <v>1687000</v>
      </c>
      <c r="I290" s="966">
        <v>1620200</v>
      </c>
      <c r="J290" s="966">
        <v>1723000</v>
      </c>
      <c r="K290" s="966"/>
      <c r="L290" s="966"/>
      <c r="M290" s="966"/>
      <c r="N290" s="966"/>
      <c r="O290" s="966"/>
      <c r="P290" s="966"/>
      <c r="Q290" s="966"/>
      <c r="R290" s="966"/>
      <c r="S290" s="966"/>
      <c r="T290" s="966">
        <f>SUM(H290:S290)</f>
        <v>5030200</v>
      </c>
      <c r="U290" s="966">
        <f>T290*E290</f>
        <v>18108720</v>
      </c>
      <c r="V290" s="966">
        <f>G290*T290</f>
        <v>13644417.5</v>
      </c>
      <c r="W290" s="954">
        <f>H290*'[11]Transfer Price2011'!$HE$459</f>
        <v>5044130</v>
      </c>
      <c r="X290" s="954">
        <f>I290*'[11]Transfer Price2011'!$HE$459</f>
        <v>4844398</v>
      </c>
      <c r="Y290" s="954">
        <f>J290*'[11]Transfer Price2011'!$HE$459</f>
        <v>5151770</v>
      </c>
      <c r="Z290" s="954">
        <f>K290*'[11]Transfer Price2011'!$HE$459</f>
        <v>0</v>
      </c>
      <c r="AA290" s="954">
        <f>L290*'[11]Transfer Price2011'!$HE$459</f>
        <v>0</v>
      </c>
      <c r="AB290" s="954">
        <f>M290*'[11]Transfer Price2011'!$HE$459</f>
        <v>0</v>
      </c>
      <c r="AC290" s="954">
        <f>N290*'[11]Transfer Price2011'!$HE$459</f>
        <v>0</v>
      </c>
      <c r="AD290" s="954">
        <f>O290*'[11]Transfer Price2011'!$HE$459</f>
        <v>0</v>
      </c>
      <c r="AE290" s="954">
        <f>P290*'[11]Transfer Price2011'!$HE$459</f>
        <v>0</v>
      </c>
      <c r="AF290" s="954">
        <f>Q290*'[11]Transfer Price2011'!$HE$459</f>
        <v>0</v>
      </c>
      <c r="AG290" s="954">
        <f>R290*'[11]Transfer Price2011'!$HE$459</f>
        <v>0</v>
      </c>
      <c r="AH290" s="954">
        <f>S290*'[11]Transfer Price2011'!$HE$459</f>
        <v>0</v>
      </c>
      <c r="AI290" s="936">
        <f>SUM(W290:AH290)</f>
        <v>15040298</v>
      </c>
      <c r="AJ290" s="955">
        <f>AI290/U290*1000</f>
        <v>830.55555555555566</v>
      </c>
    </row>
    <row r="291" spans="1:36" ht="21" hidden="1">
      <c r="A291" s="964"/>
      <c r="B291" s="964"/>
      <c r="C291" s="1031" t="s">
        <v>152</v>
      </c>
      <c r="D291" s="964" t="s">
        <v>121</v>
      </c>
      <c r="E291" s="964">
        <f>'[11]Price&amp;Heating-Value'!$R$9</f>
        <v>2803</v>
      </c>
      <c r="F291" s="964"/>
      <c r="G291" s="965">
        <f>'[11]Price&amp;Heating-Value'!$P$9</f>
        <v>1301.5833333333333</v>
      </c>
      <c r="H291" s="966">
        <v>345.553</v>
      </c>
      <c r="I291" s="966">
        <v>374.87900000000002</v>
      </c>
      <c r="J291" s="966">
        <v>299.20800000000003</v>
      </c>
      <c r="K291" s="966"/>
      <c r="L291" s="966"/>
      <c r="M291" s="966"/>
      <c r="N291" s="966"/>
      <c r="O291" s="966"/>
      <c r="P291" s="966"/>
      <c r="Q291" s="966"/>
      <c r="R291" s="966"/>
      <c r="S291" s="966"/>
      <c r="T291" s="966">
        <f>SUM(H291:S291)</f>
        <v>1019.6400000000001</v>
      </c>
      <c r="U291" s="966">
        <f>T291*E291</f>
        <v>2858050.9200000004</v>
      </c>
      <c r="V291" s="966">
        <f>G291*T291</f>
        <v>1327146.4300000002</v>
      </c>
      <c r="W291" s="982">
        <f>'[11]Price&amp;Heating-Value'!D$9</f>
        <v>1210</v>
      </c>
      <c r="X291" s="982">
        <f>'[11]Price&amp;Heating-Value'!E$9</f>
        <v>1218</v>
      </c>
      <c r="Y291" s="982">
        <f>'[11]Price&amp;Heating-Value'!F$9</f>
        <v>1207</v>
      </c>
      <c r="Z291" s="982">
        <f>'[11]Price&amp;Heating-Value'!G$9</f>
        <v>1232</v>
      </c>
      <c r="AA291" s="982">
        <f>'[11]Price&amp;Heating-Value'!H$9</f>
        <v>1352</v>
      </c>
      <c r="AB291" s="982">
        <f>'[11]Price&amp;Heating-Value'!I$9</f>
        <v>1491</v>
      </c>
      <c r="AC291" s="982">
        <f>'[11]Price&amp;Heating-Value'!J$9</f>
        <v>1588</v>
      </c>
      <c r="AD291" s="937"/>
      <c r="AE291" s="937"/>
      <c r="AF291" s="937"/>
      <c r="AG291" s="937"/>
      <c r="AH291" s="937"/>
      <c r="AI291" s="937"/>
      <c r="AJ291" s="937"/>
    </row>
    <row r="292" spans="1:36" ht="21" hidden="1">
      <c r="A292" s="1011"/>
      <c r="B292" s="1011"/>
      <c r="C292" s="1102" t="s">
        <v>101</v>
      </c>
      <c r="D292" s="1011" t="s">
        <v>102</v>
      </c>
      <c r="E292" s="1103">
        <f>'[11]Price&amp;Heating-Value'!$R$24/1000</f>
        <v>45.943431119999993</v>
      </c>
      <c r="F292" s="964"/>
      <c r="G292" s="965">
        <f>'[11]Price&amp;Heating-Value'!$P$23/1000</f>
        <v>11.61472</v>
      </c>
      <c r="H292" s="981">
        <v>152719</v>
      </c>
      <c r="I292" s="981">
        <v>152804</v>
      </c>
      <c r="J292" s="981">
        <v>161454</v>
      </c>
      <c r="K292" s="981"/>
      <c r="L292" s="981"/>
      <c r="M292" s="981"/>
      <c r="N292" s="981"/>
      <c r="O292" s="981"/>
      <c r="P292" s="981"/>
      <c r="Q292" s="981"/>
      <c r="R292" s="981"/>
      <c r="S292" s="981"/>
      <c r="T292" s="981">
        <f>SUM(H292:S292)</f>
        <v>466977</v>
      </c>
      <c r="U292" s="981">
        <f>T292*E292</f>
        <v>21454525.634124238</v>
      </c>
      <c r="V292" s="981">
        <f>G292*T292</f>
        <v>5423807.1014400003</v>
      </c>
      <c r="W292" s="1037">
        <f>'[11]Price&amp;Heating-Value'!D$23/1000</f>
        <v>11.61472</v>
      </c>
      <c r="X292" s="982">
        <f>'[11]Price&amp;Heating-Value'!E$23/1000</f>
        <v>11.61472</v>
      </c>
      <c r="Y292" s="982">
        <f>'[11]Price&amp;Heating-Value'!F$23/1000</f>
        <v>11.61472</v>
      </c>
      <c r="Z292" s="982">
        <f>'[11]Price&amp;Heating-Value'!G$23/1000</f>
        <v>11.61472</v>
      </c>
      <c r="AA292" s="982">
        <f>'[11]Price&amp;Heating-Value'!H$23/1000</f>
        <v>11.61472</v>
      </c>
      <c r="AB292" s="982">
        <f>'[11]Price&amp;Heating-Value'!I$23/1000</f>
        <v>11.61472</v>
      </c>
      <c r="AC292" s="982">
        <f>'[11]Price&amp;Heating-Value'!J$23/1000</f>
        <v>11.61472</v>
      </c>
      <c r="AD292" s="937"/>
      <c r="AE292" s="937"/>
      <c r="AF292" s="937"/>
      <c r="AG292" s="937"/>
      <c r="AH292" s="937"/>
      <c r="AI292" s="937"/>
      <c r="AJ292" s="937"/>
    </row>
    <row r="293" spans="1:36" ht="21" hidden="1">
      <c r="A293" s="1011"/>
      <c r="B293" s="1011"/>
      <c r="C293" s="1102" t="s">
        <v>440</v>
      </c>
      <c r="D293" s="1011" t="s">
        <v>102</v>
      </c>
      <c r="E293" s="1103">
        <v>50.22</v>
      </c>
      <c r="F293" s="964"/>
      <c r="G293" s="965"/>
      <c r="H293" s="981"/>
      <c r="I293" s="981"/>
      <c r="J293" s="981"/>
      <c r="K293" s="981"/>
      <c r="L293" s="981"/>
      <c r="M293" s="981"/>
      <c r="N293" s="981"/>
      <c r="O293" s="981"/>
      <c r="P293" s="981"/>
      <c r="Q293" s="981"/>
      <c r="R293" s="981"/>
      <c r="S293" s="981"/>
      <c r="T293" s="981"/>
      <c r="U293" s="981"/>
      <c r="V293" s="981"/>
      <c r="W293" s="982"/>
      <c r="X293" s="982"/>
      <c r="Y293" s="982"/>
      <c r="Z293" s="982"/>
      <c r="AA293" s="982"/>
      <c r="AB293" s="982"/>
      <c r="AC293" s="982"/>
      <c r="AD293" s="937"/>
      <c r="AE293" s="937"/>
      <c r="AF293" s="937"/>
      <c r="AG293" s="937"/>
      <c r="AH293" s="937"/>
      <c r="AI293" s="937"/>
      <c r="AJ293" s="937"/>
    </row>
    <row r="294" spans="1:36" ht="21" hidden="1">
      <c r="A294" s="1011"/>
      <c r="B294" s="1011"/>
      <c r="C294" s="1102" t="s">
        <v>929</v>
      </c>
      <c r="D294" s="1011" t="s">
        <v>102</v>
      </c>
      <c r="E294" s="1104">
        <f>'[11]Price&amp;Heating-Value'!$R$26/1000</f>
        <v>40.887839999999997</v>
      </c>
      <c r="F294" s="964"/>
      <c r="G294" s="964">
        <v>56.63</v>
      </c>
      <c r="H294" s="981"/>
      <c r="I294" s="981"/>
      <c r="J294" s="981"/>
      <c r="K294" s="981"/>
      <c r="L294" s="981"/>
      <c r="M294" s="981"/>
      <c r="N294" s="981"/>
      <c r="O294" s="1089"/>
      <c r="P294" s="981"/>
      <c r="Q294" s="981"/>
      <c r="R294" s="981"/>
      <c r="S294" s="981"/>
      <c r="T294" s="981">
        <f t="shared" ref="T294:T302" si="143">SUM(H294:S294)</f>
        <v>0</v>
      </c>
      <c r="U294" s="981">
        <f>T294*E294</f>
        <v>0</v>
      </c>
      <c r="V294" s="981"/>
      <c r="W294" s="982"/>
      <c r="X294" s="982"/>
      <c r="Y294" s="982"/>
      <c r="Z294" s="982"/>
      <c r="AA294" s="982"/>
      <c r="AB294" s="982"/>
      <c r="AC294" s="982"/>
      <c r="AD294" s="937"/>
      <c r="AE294" s="937"/>
      <c r="AF294" s="937"/>
      <c r="AG294" s="937"/>
      <c r="AH294" s="937"/>
      <c r="AI294" s="937"/>
      <c r="AJ294" s="937"/>
    </row>
    <row r="295" spans="1:36" ht="21" hidden="1">
      <c r="A295" s="1011"/>
      <c r="B295" s="989"/>
      <c r="C295" s="990" t="s">
        <v>107</v>
      </c>
      <c r="D295" s="989" t="s">
        <v>121</v>
      </c>
      <c r="E295" s="989"/>
      <c r="F295" s="989"/>
      <c r="G295" s="1011"/>
      <c r="H295" s="994">
        <v>5671.86</v>
      </c>
      <c r="I295" s="994">
        <v>5543.35</v>
      </c>
      <c r="J295" s="994">
        <v>5711.21</v>
      </c>
      <c r="K295" s="994"/>
      <c r="L295" s="994"/>
      <c r="M295" s="994"/>
      <c r="N295" s="994"/>
      <c r="O295" s="994"/>
      <c r="P295" s="994"/>
      <c r="Q295" s="994"/>
      <c r="R295" s="994"/>
      <c r="S295" s="994"/>
      <c r="T295" s="996">
        <f t="shared" si="143"/>
        <v>16926.419999999998</v>
      </c>
      <c r="U295" s="995"/>
      <c r="V295" s="1026" t="e">
        <f>#REF!/T295</f>
        <v>#REF!</v>
      </c>
      <c r="W295" s="936"/>
      <c r="X295" s="937"/>
      <c r="Y295" s="937"/>
      <c r="Z295" s="937"/>
      <c r="AA295" s="937"/>
      <c r="AB295" s="937"/>
      <c r="AC295" s="937"/>
      <c r="AD295" s="937"/>
      <c r="AE295" s="937"/>
      <c r="AF295" s="937"/>
      <c r="AG295" s="937"/>
      <c r="AH295" s="937"/>
      <c r="AI295" s="937"/>
      <c r="AJ295" s="937"/>
    </row>
    <row r="296" spans="1:36" ht="21" hidden="1">
      <c r="A296" s="1011"/>
      <c r="B296" s="1011"/>
      <c r="C296" s="1031" t="s">
        <v>138</v>
      </c>
      <c r="D296" s="1011" t="s">
        <v>173</v>
      </c>
      <c r="E296" s="964"/>
      <c r="F296" s="964"/>
      <c r="G296" s="1011"/>
      <c r="H296" s="981">
        <f>H290*$E290/1000</f>
        <v>6073.2</v>
      </c>
      <c r="I296" s="981">
        <f t="shared" ref="I296:S300" si="144">I290*$E290/1000</f>
        <v>5832.72</v>
      </c>
      <c r="J296" s="981">
        <f t="shared" si="144"/>
        <v>6202.8</v>
      </c>
      <c r="K296" s="981">
        <f t="shared" si="144"/>
        <v>0</v>
      </c>
      <c r="L296" s="981">
        <f t="shared" si="144"/>
        <v>0</v>
      </c>
      <c r="M296" s="981">
        <f t="shared" si="144"/>
        <v>0</v>
      </c>
      <c r="N296" s="981">
        <f t="shared" si="144"/>
        <v>0</v>
      </c>
      <c r="O296" s="981">
        <f t="shared" si="144"/>
        <v>0</v>
      </c>
      <c r="P296" s="981">
        <f t="shared" si="144"/>
        <v>0</v>
      </c>
      <c r="Q296" s="981">
        <f t="shared" si="144"/>
        <v>0</v>
      </c>
      <c r="R296" s="981">
        <f t="shared" si="144"/>
        <v>0</v>
      </c>
      <c r="S296" s="981">
        <f t="shared" si="144"/>
        <v>0</v>
      </c>
      <c r="T296" s="981">
        <f t="shared" si="143"/>
        <v>18108.72</v>
      </c>
      <c r="U296" s="981"/>
      <c r="V296" s="981"/>
      <c r="W296" s="936"/>
      <c r="X296" s="937"/>
      <c r="Y296" s="937"/>
      <c r="Z296" s="937"/>
      <c r="AA296" s="937"/>
      <c r="AB296" s="937"/>
      <c r="AC296" s="937"/>
      <c r="AD296" s="937"/>
      <c r="AE296" s="937"/>
      <c r="AF296" s="937"/>
      <c r="AG296" s="937"/>
      <c r="AH296" s="937"/>
      <c r="AI296" s="937"/>
      <c r="AJ296" s="937"/>
    </row>
    <row r="297" spans="1:36" ht="21" hidden="1">
      <c r="A297" s="1011"/>
      <c r="B297" s="1011"/>
      <c r="C297" s="1031" t="s">
        <v>152</v>
      </c>
      <c r="D297" s="1011" t="s">
        <v>173</v>
      </c>
      <c r="E297" s="964"/>
      <c r="F297" s="964"/>
      <c r="G297" s="1011"/>
      <c r="H297" s="981">
        <f>H291*$E291/1000</f>
        <v>968.585059</v>
      </c>
      <c r="I297" s="981">
        <f t="shared" si="144"/>
        <v>1050.7858370000001</v>
      </c>
      <c r="J297" s="981">
        <f t="shared" si="144"/>
        <v>838.68002400000012</v>
      </c>
      <c r="K297" s="981">
        <f t="shared" si="144"/>
        <v>0</v>
      </c>
      <c r="L297" s="981">
        <f t="shared" si="144"/>
        <v>0</v>
      </c>
      <c r="M297" s="981">
        <f t="shared" si="144"/>
        <v>0</v>
      </c>
      <c r="N297" s="981">
        <f t="shared" si="144"/>
        <v>0</v>
      </c>
      <c r="O297" s="981">
        <f t="shared" si="144"/>
        <v>0</v>
      </c>
      <c r="P297" s="981">
        <f t="shared" si="144"/>
        <v>0</v>
      </c>
      <c r="Q297" s="981">
        <f t="shared" si="144"/>
        <v>0</v>
      </c>
      <c r="R297" s="981">
        <f t="shared" si="144"/>
        <v>0</v>
      </c>
      <c r="S297" s="981">
        <f t="shared" si="144"/>
        <v>0</v>
      </c>
      <c r="T297" s="981">
        <f t="shared" si="143"/>
        <v>2858.0509200000001</v>
      </c>
      <c r="U297" s="981"/>
      <c r="V297" s="981"/>
      <c r="W297" s="936"/>
      <c r="X297" s="937"/>
      <c r="Y297" s="937"/>
      <c r="Z297" s="937"/>
      <c r="AA297" s="937"/>
      <c r="AB297" s="937"/>
      <c r="AC297" s="937"/>
      <c r="AD297" s="937"/>
      <c r="AE297" s="937"/>
      <c r="AF297" s="937"/>
      <c r="AG297" s="937"/>
      <c r="AH297" s="937"/>
      <c r="AI297" s="937"/>
      <c r="AJ297" s="937"/>
    </row>
    <row r="298" spans="1:36" ht="21" hidden="1">
      <c r="A298" s="1011"/>
      <c r="B298" s="1011"/>
      <c r="C298" s="1102" t="s">
        <v>101</v>
      </c>
      <c r="D298" s="1011" t="s">
        <v>173</v>
      </c>
      <c r="E298" s="964"/>
      <c r="F298" s="964"/>
      <c r="G298" s="1011"/>
      <c r="H298" s="981">
        <f>H292*$E292/1000</f>
        <v>7016.4348572152785</v>
      </c>
      <c r="I298" s="981">
        <f t="shared" si="144"/>
        <v>7020.3400488604793</v>
      </c>
      <c r="J298" s="981">
        <f t="shared" si="144"/>
        <v>7417.7507280484788</v>
      </c>
      <c r="K298" s="981">
        <f t="shared" si="144"/>
        <v>0</v>
      </c>
      <c r="L298" s="981">
        <f t="shared" si="144"/>
        <v>0</v>
      </c>
      <c r="M298" s="981">
        <f t="shared" si="144"/>
        <v>0</v>
      </c>
      <c r="N298" s="981">
        <f t="shared" si="144"/>
        <v>0</v>
      </c>
      <c r="O298" s="981">
        <f t="shared" si="144"/>
        <v>0</v>
      </c>
      <c r="P298" s="981">
        <f t="shared" si="144"/>
        <v>0</v>
      </c>
      <c r="Q298" s="981">
        <f t="shared" si="144"/>
        <v>0</v>
      </c>
      <c r="R298" s="981">
        <f t="shared" si="144"/>
        <v>0</v>
      </c>
      <c r="S298" s="981">
        <f t="shared" si="144"/>
        <v>0</v>
      </c>
      <c r="T298" s="981">
        <f t="shared" si="143"/>
        <v>21454.525634124235</v>
      </c>
      <c r="U298" s="981"/>
      <c r="V298" s="981"/>
      <c r="W298" s="936"/>
      <c r="X298" s="937"/>
      <c r="Y298" s="937"/>
      <c r="Z298" s="937"/>
      <c r="AA298" s="937"/>
      <c r="AB298" s="937"/>
      <c r="AC298" s="937"/>
      <c r="AD298" s="937"/>
      <c r="AE298" s="937"/>
      <c r="AF298" s="937"/>
      <c r="AG298" s="937"/>
      <c r="AH298" s="937"/>
      <c r="AI298" s="937"/>
      <c r="AJ298" s="937"/>
    </row>
    <row r="299" spans="1:36" ht="21" hidden="1">
      <c r="A299" s="1011"/>
      <c r="B299" s="1011"/>
      <c r="C299" s="1102" t="s">
        <v>440</v>
      </c>
      <c r="D299" s="1011" t="s">
        <v>173</v>
      </c>
      <c r="E299" s="1011"/>
      <c r="F299" s="1011"/>
      <c r="G299" s="1011"/>
      <c r="H299" s="981">
        <f>H293*$E293/1000</f>
        <v>0</v>
      </c>
      <c r="I299" s="981">
        <f t="shared" si="144"/>
        <v>0</v>
      </c>
      <c r="J299" s="981">
        <f t="shared" si="144"/>
        <v>0</v>
      </c>
      <c r="K299" s="981">
        <f t="shared" si="144"/>
        <v>0</v>
      </c>
      <c r="L299" s="981">
        <f t="shared" si="144"/>
        <v>0</v>
      </c>
      <c r="M299" s="981">
        <f t="shared" si="144"/>
        <v>0</v>
      </c>
      <c r="N299" s="981">
        <f t="shared" si="144"/>
        <v>0</v>
      </c>
      <c r="O299" s="981">
        <f t="shared" si="144"/>
        <v>0</v>
      </c>
      <c r="P299" s="981">
        <f t="shared" si="144"/>
        <v>0</v>
      </c>
      <c r="Q299" s="981">
        <f t="shared" si="144"/>
        <v>0</v>
      </c>
      <c r="R299" s="981">
        <f t="shared" si="144"/>
        <v>0</v>
      </c>
      <c r="S299" s="981">
        <f t="shared" si="144"/>
        <v>0</v>
      </c>
      <c r="T299" s="981">
        <f t="shared" si="143"/>
        <v>0</v>
      </c>
      <c r="U299" s="981"/>
      <c r="V299" s="981"/>
      <c r="W299" s="936"/>
      <c r="X299" s="937"/>
      <c r="Y299" s="937"/>
      <c r="Z299" s="937"/>
      <c r="AA299" s="937"/>
      <c r="AB299" s="937"/>
      <c r="AC299" s="937"/>
      <c r="AD299" s="937"/>
      <c r="AE299" s="937"/>
      <c r="AF299" s="937"/>
      <c r="AG299" s="937"/>
      <c r="AH299" s="937"/>
      <c r="AI299" s="937"/>
      <c r="AJ299" s="937"/>
    </row>
    <row r="300" spans="1:36" ht="21" hidden="1">
      <c r="A300" s="1011"/>
      <c r="B300" s="1011"/>
      <c r="C300" s="1102" t="s">
        <v>929</v>
      </c>
      <c r="D300" s="1011" t="s">
        <v>173</v>
      </c>
      <c r="E300" s="1011"/>
      <c r="F300" s="1011"/>
      <c r="G300" s="1011"/>
      <c r="H300" s="981">
        <f>H294*$E294/1000</f>
        <v>0</v>
      </c>
      <c r="I300" s="981">
        <f t="shared" si="144"/>
        <v>0</v>
      </c>
      <c r="J300" s="981">
        <f t="shared" si="144"/>
        <v>0</v>
      </c>
      <c r="K300" s="981">
        <f t="shared" si="144"/>
        <v>0</v>
      </c>
      <c r="L300" s="981">
        <f t="shared" si="144"/>
        <v>0</v>
      </c>
      <c r="M300" s="981">
        <f t="shared" si="144"/>
        <v>0</v>
      </c>
      <c r="N300" s="981">
        <f t="shared" si="144"/>
        <v>0</v>
      </c>
      <c r="O300" s="981">
        <f t="shared" si="144"/>
        <v>0</v>
      </c>
      <c r="P300" s="981">
        <f t="shared" si="144"/>
        <v>0</v>
      </c>
      <c r="Q300" s="981">
        <f>Q294*$E294/1000</f>
        <v>0</v>
      </c>
      <c r="R300" s="981">
        <f t="shared" si="144"/>
        <v>0</v>
      </c>
      <c r="S300" s="981">
        <f t="shared" si="144"/>
        <v>0</v>
      </c>
      <c r="T300" s="981">
        <f t="shared" si="143"/>
        <v>0</v>
      </c>
      <c r="U300" s="981"/>
      <c r="V300" s="981"/>
      <c r="W300" s="936"/>
      <c r="X300" s="937"/>
      <c r="Y300" s="937"/>
      <c r="Z300" s="937"/>
      <c r="AA300" s="937"/>
      <c r="AB300" s="937"/>
      <c r="AC300" s="937"/>
      <c r="AD300" s="937"/>
      <c r="AE300" s="937"/>
      <c r="AF300" s="937"/>
      <c r="AG300" s="937"/>
      <c r="AH300" s="937"/>
      <c r="AI300" s="937"/>
      <c r="AJ300" s="937"/>
    </row>
    <row r="301" spans="1:36" ht="21" hidden="1">
      <c r="A301" s="1011"/>
      <c r="B301" s="964"/>
      <c r="C301" s="983" t="s">
        <v>446</v>
      </c>
      <c r="D301" s="964" t="s">
        <v>173</v>
      </c>
      <c r="E301" s="1011"/>
      <c r="F301" s="1011"/>
      <c r="G301" s="1011"/>
      <c r="H301" s="1084">
        <v>13760.352026</v>
      </c>
      <c r="I301" s="1084">
        <v>13605.812209000002</v>
      </c>
      <c r="J301" s="981">
        <v>14144.325846000002</v>
      </c>
      <c r="K301" s="981">
        <f t="shared" ref="K301:S301" si="145">SUM(K296:K300)</f>
        <v>0</v>
      </c>
      <c r="L301" s="981">
        <f t="shared" si="145"/>
        <v>0</v>
      </c>
      <c r="M301" s="981">
        <f t="shared" si="145"/>
        <v>0</v>
      </c>
      <c r="N301" s="981">
        <f t="shared" si="145"/>
        <v>0</v>
      </c>
      <c r="O301" s="981">
        <f t="shared" si="145"/>
        <v>0</v>
      </c>
      <c r="P301" s="981">
        <f t="shared" si="145"/>
        <v>0</v>
      </c>
      <c r="Q301" s="981">
        <f t="shared" si="145"/>
        <v>0</v>
      </c>
      <c r="R301" s="981">
        <f t="shared" si="145"/>
        <v>0</v>
      </c>
      <c r="S301" s="981">
        <f t="shared" si="145"/>
        <v>0</v>
      </c>
      <c r="T301" s="1032">
        <f t="shared" si="143"/>
        <v>41510.490081000004</v>
      </c>
      <c r="U301" s="981"/>
      <c r="V301" s="1033" t="e">
        <f>#REF!/T301</f>
        <v>#REF!</v>
      </c>
      <c r="W301" s="936"/>
      <c r="X301" s="937"/>
      <c r="Y301" s="937"/>
      <c r="Z301" s="937"/>
      <c r="AA301" s="937"/>
      <c r="AB301" s="937"/>
      <c r="AC301" s="937"/>
      <c r="AD301" s="937"/>
      <c r="AE301" s="937"/>
      <c r="AF301" s="937"/>
      <c r="AG301" s="937"/>
      <c r="AH301" s="937"/>
      <c r="AI301" s="937"/>
      <c r="AJ301" s="937"/>
    </row>
    <row r="302" spans="1:36" ht="21" hidden="1">
      <c r="A302" s="1011"/>
      <c r="B302" s="964"/>
      <c r="C302" s="983" t="s">
        <v>345</v>
      </c>
      <c r="D302" s="964" t="s">
        <v>173</v>
      </c>
      <c r="E302" s="964"/>
      <c r="F302" s="964"/>
      <c r="G302" s="1011"/>
      <c r="H302" s="966">
        <f>(1.8531*H295 + 4914.5)*95.53/100</f>
        <v>14735.525203659798</v>
      </c>
      <c r="I302" s="966">
        <f t="shared" ref="I302:J302" si="146">(1.8531*I295 + 4914.5)*95.53/100</f>
        <v>14508.0282647405</v>
      </c>
      <c r="J302" s="966">
        <f t="shared" si="146"/>
        <v>14805.185187680299</v>
      </c>
      <c r="K302" s="966"/>
      <c r="L302" s="966"/>
      <c r="M302" s="966"/>
      <c r="N302" s="966"/>
      <c r="O302" s="966"/>
      <c r="P302" s="966"/>
      <c r="Q302" s="966"/>
      <c r="R302" s="966"/>
      <c r="S302" s="966"/>
      <c r="T302" s="1032">
        <f t="shared" si="143"/>
        <v>44048.738656080597</v>
      </c>
      <c r="U302" s="966"/>
      <c r="V302" s="1001" t="s">
        <v>158</v>
      </c>
      <c r="W302" s="936"/>
      <c r="X302" s="937"/>
      <c r="Y302" s="937"/>
      <c r="Z302" s="937"/>
      <c r="AA302" s="937"/>
      <c r="AB302" s="937"/>
      <c r="AC302" s="937"/>
      <c r="AD302" s="937"/>
      <c r="AE302" s="937"/>
      <c r="AF302" s="937"/>
      <c r="AG302" s="937"/>
      <c r="AH302" s="937"/>
      <c r="AI302" s="937"/>
      <c r="AJ302" s="937"/>
    </row>
    <row r="303" spans="1:36" ht="21" hidden="1">
      <c r="A303" s="1011"/>
      <c r="B303" s="1003" t="s">
        <v>174</v>
      </c>
      <c r="C303" s="1004" t="s">
        <v>138</v>
      </c>
      <c r="D303" s="1003" t="s">
        <v>347</v>
      </c>
      <c r="E303" s="1003"/>
      <c r="F303" s="1003"/>
      <c r="G303" s="1011"/>
      <c r="H303" s="1006">
        <f t="shared" ref="H303:S308" si="147">H296/H$295</f>
        <v>1.0707598565549925</v>
      </c>
      <c r="I303" s="1006">
        <f t="shared" si="147"/>
        <v>1.0522012862258381</v>
      </c>
      <c r="J303" s="1006">
        <f t="shared" si="147"/>
        <v>1.0860745796424927</v>
      </c>
      <c r="K303" s="1006" t="e">
        <f t="shared" si="147"/>
        <v>#DIV/0!</v>
      </c>
      <c r="L303" s="1006" t="e">
        <f t="shared" si="147"/>
        <v>#DIV/0!</v>
      </c>
      <c r="M303" s="1006" t="e">
        <f t="shared" si="147"/>
        <v>#DIV/0!</v>
      </c>
      <c r="N303" s="1006" t="e">
        <f t="shared" si="147"/>
        <v>#DIV/0!</v>
      </c>
      <c r="O303" s="1006" t="e">
        <f t="shared" si="147"/>
        <v>#DIV/0!</v>
      </c>
      <c r="P303" s="1006" t="e">
        <f t="shared" si="147"/>
        <v>#DIV/0!</v>
      </c>
      <c r="Q303" s="1006" t="e">
        <f t="shared" si="147"/>
        <v>#DIV/0!</v>
      </c>
      <c r="R303" s="1006" t="e">
        <f t="shared" si="147"/>
        <v>#DIV/0!</v>
      </c>
      <c r="S303" s="1006" t="e">
        <f t="shared" si="147"/>
        <v>#DIV/0!</v>
      </c>
      <c r="T303" s="1006">
        <f>T296/T$295</f>
        <v>1.0698493833899905</v>
      </c>
      <c r="U303" s="1007"/>
      <c r="V303" s="1007"/>
      <c r="W303" s="936"/>
      <c r="X303" s="937"/>
      <c r="Y303" s="937"/>
      <c r="Z303" s="937"/>
      <c r="AA303" s="937"/>
      <c r="AB303" s="937"/>
      <c r="AC303" s="937"/>
      <c r="AD303" s="937"/>
      <c r="AE303" s="937"/>
      <c r="AF303" s="937"/>
      <c r="AG303" s="937"/>
      <c r="AH303" s="937"/>
      <c r="AI303" s="937"/>
      <c r="AJ303" s="937"/>
    </row>
    <row r="304" spans="1:36" ht="21" hidden="1">
      <c r="A304" s="1011"/>
      <c r="B304" s="1003"/>
      <c r="C304" s="1004" t="s">
        <v>152</v>
      </c>
      <c r="D304" s="1003" t="s">
        <v>347</v>
      </c>
      <c r="E304" s="1003"/>
      <c r="F304" s="1003"/>
      <c r="G304" s="1011"/>
      <c r="H304" s="1006">
        <f t="shared" si="147"/>
        <v>0.1707702691885907</v>
      </c>
      <c r="I304" s="1006">
        <f t="shared" si="147"/>
        <v>0.18955790938692307</v>
      </c>
      <c r="J304" s="1006">
        <f t="shared" si="147"/>
        <v>0.14684804516030756</v>
      </c>
      <c r="K304" s="1006" t="e">
        <f t="shared" si="147"/>
        <v>#DIV/0!</v>
      </c>
      <c r="L304" s="1006" t="e">
        <f t="shared" si="147"/>
        <v>#DIV/0!</v>
      </c>
      <c r="M304" s="1006" t="e">
        <f t="shared" si="147"/>
        <v>#DIV/0!</v>
      </c>
      <c r="N304" s="1006" t="e">
        <f t="shared" si="147"/>
        <v>#DIV/0!</v>
      </c>
      <c r="O304" s="1006" t="e">
        <f t="shared" si="147"/>
        <v>#DIV/0!</v>
      </c>
      <c r="P304" s="1006" t="e">
        <f t="shared" si="147"/>
        <v>#DIV/0!</v>
      </c>
      <c r="Q304" s="1006" t="e">
        <f t="shared" si="147"/>
        <v>#DIV/0!</v>
      </c>
      <c r="R304" s="1006" t="e">
        <f t="shared" si="147"/>
        <v>#DIV/0!</v>
      </c>
      <c r="S304" s="1006" t="e">
        <f t="shared" si="147"/>
        <v>#DIV/0!</v>
      </c>
      <c r="T304" s="1006">
        <f>T297/T$295</f>
        <v>0.16885147125027031</v>
      </c>
      <c r="U304" s="1007"/>
      <c r="V304" s="1007"/>
      <c r="W304" s="936"/>
      <c r="X304" s="937"/>
      <c r="Y304" s="937"/>
      <c r="Z304" s="937"/>
      <c r="AA304" s="937"/>
      <c r="AB304" s="937"/>
      <c r="AC304" s="937"/>
      <c r="AD304" s="937"/>
      <c r="AE304" s="937"/>
      <c r="AF304" s="937"/>
      <c r="AG304" s="937"/>
      <c r="AH304" s="937"/>
      <c r="AI304" s="937"/>
      <c r="AJ304" s="937"/>
    </row>
    <row r="305" spans="1:36" ht="21" hidden="1">
      <c r="A305" s="1011"/>
      <c r="B305" s="1003"/>
      <c r="C305" s="1093" t="s">
        <v>101</v>
      </c>
      <c r="D305" s="1003" t="s">
        <v>347</v>
      </c>
      <c r="E305" s="1003"/>
      <c r="F305" s="1003"/>
      <c r="G305" s="1011"/>
      <c r="H305" s="1006">
        <f t="shared" si="147"/>
        <v>1.2370606568595273</v>
      </c>
      <c r="I305" s="1006">
        <f t="shared" si="147"/>
        <v>1.2664435853519043</v>
      </c>
      <c r="J305" s="1006">
        <f t="shared" si="147"/>
        <v>1.2988054594470311</v>
      </c>
      <c r="K305" s="1006" t="e">
        <f t="shared" si="147"/>
        <v>#DIV/0!</v>
      </c>
      <c r="L305" s="1006" t="e">
        <f t="shared" si="147"/>
        <v>#DIV/0!</v>
      </c>
      <c r="M305" s="1006" t="e">
        <f t="shared" si="147"/>
        <v>#DIV/0!</v>
      </c>
      <c r="N305" s="1006" t="e">
        <f t="shared" si="147"/>
        <v>#DIV/0!</v>
      </c>
      <c r="O305" s="1006" t="e">
        <f t="shared" si="147"/>
        <v>#DIV/0!</v>
      </c>
      <c r="P305" s="1006" t="e">
        <f t="shared" si="147"/>
        <v>#DIV/0!</v>
      </c>
      <c r="Q305" s="1006" t="e">
        <f t="shared" si="147"/>
        <v>#DIV/0!</v>
      </c>
      <c r="R305" s="1006" t="e">
        <f t="shared" si="147"/>
        <v>#DIV/0!</v>
      </c>
      <c r="S305" s="1006" t="e">
        <f t="shared" si="147"/>
        <v>#DIV/0!</v>
      </c>
      <c r="T305" s="1006">
        <f>T298/T$295</f>
        <v>1.2675170316064612</v>
      </c>
      <c r="U305" s="1007"/>
      <c r="V305" s="1007"/>
      <c r="W305" s="936"/>
      <c r="X305" s="937"/>
      <c r="Y305" s="937"/>
      <c r="Z305" s="937"/>
      <c r="AA305" s="937"/>
      <c r="AB305" s="937"/>
      <c r="AC305" s="937"/>
      <c r="AD305" s="937"/>
      <c r="AE305" s="937"/>
      <c r="AF305" s="937"/>
      <c r="AG305" s="937"/>
      <c r="AH305" s="937"/>
      <c r="AI305" s="937"/>
      <c r="AJ305" s="937"/>
    </row>
    <row r="306" spans="1:36" ht="21" hidden="1">
      <c r="A306" s="1011"/>
      <c r="B306" s="1003"/>
      <c r="C306" s="1093" t="s">
        <v>440</v>
      </c>
      <c r="D306" s="1003" t="s">
        <v>347</v>
      </c>
      <c r="E306" s="1003"/>
      <c r="F306" s="1003"/>
      <c r="G306" s="1011"/>
      <c r="H306" s="1006">
        <f t="shared" si="147"/>
        <v>0</v>
      </c>
      <c r="I306" s="1006">
        <f t="shared" si="147"/>
        <v>0</v>
      </c>
      <c r="J306" s="1006">
        <f t="shared" si="147"/>
        <v>0</v>
      </c>
      <c r="K306" s="1006" t="e">
        <f t="shared" si="147"/>
        <v>#DIV/0!</v>
      </c>
      <c r="L306" s="1006" t="e">
        <f t="shared" si="147"/>
        <v>#DIV/0!</v>
      </c>
      <c r="M306" s="1006" t="e">
        <f t="shared" si="147"/>
        <v>#DIV/0!</v>
      </c>
      <c r="N306" s="1006" t="e">
        <f t="shared" si="147"/>
        <v>#DIV/0!</v>
      </c>
      <c r="O306" s="1006" t="e">
        <f t="shared" si="147"/>
        <v>#DIV/0!</v>
      </c>
      <c r="P306" s="1006" t="e">
        <f t="shared" si="147"/>
        <v>#DIV/0!</v>
      </c>
      <c r="Q306" s="1006" t="e">
        <f t="shared" si="147"/>
        <v>#DIV/0!</v>
      </c>
      <c r="R306" s="1006" t="e">
        <f t="shared" si="147"/>
        <v>#DIV/0!</v>
      </c>
      <c r="S306" s="1006" t="e">
        <f t="shared" si="147"/>
        <v>#DIV/0!</v>
      </c>
      <c r="T306" s="1006">
        <f>T299/T$295</f>
        <v>0</v>
      </c>
      <c r="U306" s="1007"/>
      <c r="V306" s="1007"/>
      <c r="W306" s="936"/>
      <c r="X306" s="937"/>
      <c r="Y306" s="937"/>
      <c r="Z306" s="937"/>
      <c r="AA306" s="937"/>
      <c r="AB306" s="937"/>
      <c r="AC306" s="937"/>
      <c r="AD306" s="937"/>
      <c r="AE306" s="937"/>
      <c r="AF306" s="937"/>
      <c r="AG306" s="937"/>
      <c r="AH306" s="937"/>
      <c r="AI306" s="937"/>
      <c r="AJ306" s="937"/>
    </row>
    <row r="307" spans="1:36" ht="21" hidden="1">
      <c r="A307" s="1011"/>
      <c r="B307" s="1003"/>
      <c r="C307" s="1093" t="s">
        <v>929</v>
      </c>
      <c r="D307" s="1003" t="s">
        <v>347</v>
      </c>
      <c r="E307" s="1003"/>
      <c r="F307" s="1003"/>
      <c r="G307" s="1011"/>
      <c r="H307" s="1006">
        <f t="shared" si="147"/>
        <v>0</v>
      </c>
      <c r="I307" s="1006">
        <f t="shared" si="147"/>
        <v>0</v>
      </c>
      <c r="J307" s="1006">
        <f t="shared" si="147"/>
        <v>0</v>
      </c>
      <c r="K307" s="1006" t="e">
        <f t="shared" si="147"/>
        <v>#DIV/0!</v>
      </c>
      <c r="L307" s="1006" t="e">
        <f t="shared" si="147"/>
        <v>#DIV/0!</v>
      </c>
      <c r="M307" s="1006" t="e">
        <f t="shared" si="147"/>
        <v>#DIV/0!</v>
      </c>
      <c r="N307" s="1006" t="e">
        <f t="shared" si="147"/>
        <v>#DIV/0!</v>
      </c>
      <c r="O307" s="1006" t="e">
        <f t="shared" si="147"/>
        <v>#DIV/0!</v>
      </c>
      <c r="P307" s="1006" t="e">
        <f t="shared" si="147"/>
        <v>#DIV/0!</v>
      </c>
      <c r="Q307" s="1006" t="e">
        <f t="shared" si="147"/>
        <v>#DIV/0!</v>
      </c>
      <c r="R307" s="1006" t="e">
        <f t="shared" si="147"/>
        <v>#DIV/0!</v>
      </c>
      <c r="S307" s="1006" t="e">
        <f t="shared" si="147"/>
        <v>#DIV/0!</v>
      </c>
      <c r="T307" s="1006">
        <f>T300/T$295</f>
        <v>0</v>
      </c>
      <c r="U307" s="1007"/>
      <c r="V307" s="1007"/>
      <c r="W307" s="936"/>
      <c r="X307" s="937"/>
      <c r="Y307" s="937"/>
      <c r="Z307" s="937"/>
      <c r="AA307" s="937"/>
      <c r="AB307" s="937"/>
      <c r="AC307" s="937"/>
      <c r="AD307" s="937"/>
      <c r="AE307" s="937"/>
      <c r="AF307" s="937"/>
      <c r="AG307" s="937"/>
      <c r="AH307" s="937"/>
      <c r="AI307" s="937"/>
      <c r="AJ307" s="937"/>
    </row>
    <row r="308" spans="1:36" ht="23.25" hidden="1">
      <c r="A308" s="1011"/>
      <c r="B308" s="1003"/>
      <c r="C308" s="1008" t="s">
        <v>447</v>
      </c>
      <c r="D308" s="1003" t="s">
        <v>347</v>
      </c>
      <c r="E308" s="1003"/>
      <c r="F308" s="1003"/>
      <c r="G308" s="1011"/>
      <c r="H308" s="1006">
        <f t="shared" si="147"/>
        <v>2.4260739908954032</v>
      </c>
      <c r="I308" s="1006">
        <f t="shared" si="147"/>
        <v>2.4544385992224917</v>
      </c>
      <c r="J308" s="1006">
        <f t="shared" si="147"/>
        <v>2.4765900476431444</v>
      </c>
      <c r="K308" s="1006" t="e">
        <f t="shared" si="147"/>
        <v>#DIV/0!</v>
      </c>
      <c r="L308" s="1006" t="e">
        <f t="shared" si="147"/>
        <v>#DIV/0!</v>
      </c>
      <c r="M308" s="1006" t="e">
        <f t="shared" si="147"/>
        <v>#DIV/0!</v>
      </c>
      <c r="N308" s="1006" t="e">
        <f t="shared" si="147"/>
        <v>#DIV/0!</v>
      </c>
      <c r="O308" s="1006" t="e">
        <f t="shared" si="147"/>
        <v>#DIV/0!</v>
      </c>
      <c r="P308" s="1006" t="e">
        <f t="shared" si="147"/>
        <v>#DIV/0!</v>
      </c>
      <c r="Q308" s="1006" t="e">
        <f t="shared" si="147"/>
        <v>#DIV/0!</v>
      </c>
      <c r="R308" s="1006" t="e">
        <f t="shared" si="147"/>
        <v>#DIV/0!</v>
      </c>
      <c r="S308" s="1006" t="e">
        <f t="shared" si="147"/>
        <v>#DIV/0!</v>
      </c>
      <c r="T308" s="1021">
        <f>T301/T295</f>
        <v>2.4524081336159687</v>
      </c>
      <c r="U308" s="1007"/>
      <c r="V308" s="1007"/>
      <c r="W308" s="936"/>
      <c r="X308" s="937"/>
      <c r="Y308" s="937"/>
      <c r="Z308" s="937"/>
      <c r="AA308" s="937"/>
      <c r="AB308" s="937"/>
      <c r="AC308" s="937"/>
      <c r="AD308" s="937"/>
      <c r="AE308" s="937"/>
      <c r="AF308" s="937"/>
      <c r="AG308" s="937"/>
      <c r="AH308" s="937"/>
      <c r="AI308" s="937"/>
      <c r="AJ308" s="937"/>
    </row>
    <row r="309" spans="1:36" ht="21" hidden="1">
      <c r="A309" s="1011"/>
      <c r="B309" s="1003"/>
      <c r="C309" s="1008" t="s">
        <v>448</v>
      </c>
      <c r="D309" s="1003"/>
      <c r="E309" s="1003"/>
      <c r="F309" s="1003"/>
      <c r="G309" s="1011"/>
      <c r="H309" s="1009">
        <f>H301/H302*100</f>
        <v>93.382162059499592</v>
      </c>
      <c r="I309" s="1009">
        <f t="shared" ref="I309:T309" si="148">I301/I302*100</f>
        <v>93.781263454433756</v>
      </c>
      <c r="J309" s="1009">
        <f>J301/J302*100</f>
        <v>95.536298038134561</v>
      </c>
      <c r="K309" s="1009" t="e">
        <f t="shared" si="148"/>
        <v>#DIV/0!</v>
      </c>
      <c r="L309" s="1009" t="e">
        <f t="shared" si="148"/>
        <v>#DIV/0!</v>
      </c>
      <c r="M309" s="1009" t="e">
        <f t="shared" si="148"/>
        <v>#DIV/0!</v>
      </c>
      <c r="N309" s="1009" t="e">
        <f t="shared" si="148"/>
        <v>#DIV/0!</v>
      </c>
      <c r="O309" s="1009" t="e">
        <f t="shared" si="148"/>
        <v>#DIV/0!</v>
      </c>
      <c r="P309" s="1009" t="e">
        <f t="shared" si="148"/>
        <v>#DIV/0!</v>
      </c>
      <c r="Q309" s="1009" t="e">
        <f t="shared" si="148"/>
        <v>#DIV/0!</v>
      </c>
      <c r="R309" s="1009" t="e">
        <f t="shared" si="148"/>
        <v>#DIV/0!</v>
      </c>
      <c r="S309" s="1009" t="e">
        <f t="shared" si="148"/>
        <v>#DIV/0!</v>
      </c>
      <c r="T309" s="1009">
        <f t="shared" si="148"/>
        <v>94.237636189997446</v>
      </c>
      <c r="U309" s="1007"/>
      <c r="V309" s="1007"/>
      <c r="W309" s="936" t="s">
        <v>29</v>
      </c>
      <c r="X309" s="937" t="s">
        <v>30</v>
      </c>
      <c r="Y309" s="937" t="s">
        <v>31</v>
      </c>
      <c r="Z309" s="937" t="s">
        <v>32</v>
      </c>
      <c r="AA309" s="937" t="s">
        <v>33</v>
      </c>
      <c r="AB309" s="937" t="s">
        <v>34</v>
      </c>
      <c r="AC309" s="937" t="s">
        <v>35</v>
      </c>
      <c r="AD309" s="937" t="s">
        <v>36</v>
      </c>
      <c r="AE309" s="937" t="s">
        <v>37</v>
      </c>
      <c r="AF309" s="937" t="s">
        <v>38</v>
      </c>
      <c r="AG309" s="937" t="s">
        <v>39</v>
      </c>
      <c r="AH309" s="937" t="s">
        <v>40</v>
      </c>
      <c r="AI309" s="937" t="s">
        <v>25</v>
      </c>
      <c r="AJ309" s="946" t="s">
        <v>158</v>
      </c>
    </row>
    <row r="310" spans="1:36" ht="21" hidden="1">
      <c r="A310" s="956">
        <v>14</v>
      </c>
      <c r="B310" s="957" t="s">
        <v>131</v>
      </c>
      <c r="C310" s="1105" t="s">
        <v>138</v>
      </c>
      <c r="D310" s="956" t="s">
        <v>90</v>
      </c>
      <c r="E310" s="984">
        <f>'[11]Price&amp;Heating-Value'!$R$6</f>
        <v>3.6</v>
      </c>
      <c r="F310" s="964"/>
      <c r="G310" s="1014">
        <f>'[11]Price&amp;Heating-Value'!$P$6</f>
        <v>2.7124999999999999</v>
      </c>
      <c r="H310" s="1106">
        <v>1020019</v>
      </c>
      <c r="I310" s="1106">
        <v>937039</v>
      </c>
      <c r="J310" s="961">
        <v>997467.96499999997</v>
      </c>
      <c r="K310" s="961"/>
      <c r="L310" s="961"/>
      <c r="M310" s="961"/>
      <c r="N310" s="961"/>
      <c r="O310" s="961"/>
      <c r="P310" s="961"/>
      <c r="Q310" s="961"/>
      <c r="R310" s="961"/>
      <c r="S310" s="961"/>
      <c r="T310" s="961">
        <f>SUM(H310:S310)</f>
        <v>2954525.9649999999</v>
      </c>
      <c r="U310" s="961">
        <f>T310*E310</f>
        <v>10636293.473999999</v>
      </c>
      <c r="V310" s="961">
        <f>G310*T310</f>
        <v>8014151.6800624989</v>
      </c>
      <c r="W310" s="954">
        <f>H310*'[11]Transfer Price2011'!$HE$459</f>
        <v>3049856.81</v>
      </c>
      <c r="X310" s="954">
        <f>I310*'[11]Transfer Price2011'!$HE$459</f>
        <v>2801746.6100000003</v>
      </c>
      <c r="Y310" s="954">
        <f>J310*'[11]Transfer Price2011'!$HE$459</f>
        <v>2982429.2153500002</v>
      </c>
      <c r="Z310" s="954">
        <f>K310*'[11]Transfer Price2011'!$HE$459</f>
        <v>0</v>
      </c>
      <c r="AA310" s="954">
        <f>L310*'[11]Transfer Price2011'!$HE$459</f>
        <v>0</v>
      </c>
      <c r="AB310" s="954">
        <f>M310*'[11]Transfer Price2011'!$HE$459</f>
        <v>0</v>
      </c>
      <c r="AC310" s="954">
        <f>N310*'[11]Transfer Price2011'!$HE$459</f>
        <v>0</v>
      </c>
      <c r="AD310" s="954">
        <f>O310*'[11]Transfer Price2011'!$HE$459</f>
        <v>0</v>
      </c>
      <c r="AE310" s="954">
        <f>P310*'[11]Transfer Price2011'!$HE$459</f>
        <v>0</v>
      </c>
      <c r="AF310" s="954">
        <f>Q310*'[11]Transfer Price2011'!$HE$459</f>
        <v>0</v>
      </c>
      <c r="AG310" s="954">
        <f>R310*'[11]Transfer Price2011'!$HE$459</f>
        <v>0</v>
      </c>
      <c r="AH310" s="954">
        <f>S310*'[11]Transfer Price2011'!$HE$459</f>
        <v>0</v>
      </c>
      <c r="AI310" s="936">
        <f>SUM(W310:AH310)</f>
        <v>8834032.6353500001</v>
      </c>
      <c r="AJ310" s="955">
        <f>AI310/U310*1000</f>
        <v>830.55555555555566</v>
      </c>
    </row>
    <row r="311" spans="1:36" ht="21" hidden="1">
      <c r="A311" s="1011"/>
      <c r="B311" s="989"/>
      <c r="C311" s="990" t="s">
        <v>107</v>
      </c>
      <c r="D311" s="989" t="s">
        <v>147</v>
      </c>
      <c r="E311" s="989"/>
      <c r="F311" s="989"/>
      <c r="G311" s="1011"/>
      <c r="H311" s="1023">
        <v>2838.96</v>
      </c>
      <c r="I311" s="1023">
        <v>2554.4259999999999</v>
      </c>
      <c r="J311" s="994">
        <v>2458.7429999999999</v>
      </c>
      <c r="K311" s="994"/>
      <c r="L311" s="994"/>
      <c r="M311" s="994"/>
      <c r="N311" s="994"/>
      <c r="O311" s="994"/>
      <c r="P311" s="994"/>
      <c r="Q311" s="994"/>
      <c r="R311" s="994"/>
      <c r="S311" s="994"/>
      <c r="T311" s="996">
        <f>SUM(H311:S311)</f>
        <v>7852.1290000000008</v>
      </c>
      <c r="U311" s="995"/>
      <c r="V311" s="1026" t="e">
        <f>#REF!/T311</f>
        <v>#REF!</v>
      </c>
      <c r="W311" s="936"/>
      <c r="X311" s="937"/>
      <c r="Y311" s="937"/>
      <c r="Z311" s="937"/>
      <c r="AA311" s="937"/>
      <c r="AB311" s="937"/>
      <c r="AC311" s="937"/>
      <c r="AD311" s="937"/>
      <c r="AE311" s="937"/>
      <c r="AF311" s="937"/>
      <c r="AG311" s="937"/>
      <c r="AH311" s="937"/>
      <c r="AI311" s="937"/>
      <c r="AJ311" s="937"/>
    </row>
    <row r="312" spans="1:36" ht="21" hidden="1">
      <c r="A312" s="1011"/>
      <c r="B312" s="1011"/>
      <c r="C312" s="1030"/>
      <c r="D312" s="1011"/>
      <c r="E312" s="1011"/>
      <c r="F312" s="1011"/>
      <c r="G312" s="1011"/>
      <c r="H312" s="981"/>
      <c r="I312" s="981"/>
      <c r="J312" s="981"/>
      <c r="K312" s="981"/>
      <c r="L312" s="981"/>
      <c r="M312" s="981"/>
      <c r="N312" s="981"/>
      <c r="O312" s="981"/>
      <c r="P312" s="981"/>
      <c r="Q312" s="981"/>
      <c r="R312" s="981"/>
      <c r="S312" s="981"/>
      <c r="T312" s="981"/>
      <c r="U312" s="981"/>
      <c r="V312" s="997" t="s">
        <v>137</v>
      </c>
      <c r="W312" s="936"/>
      <c r="X312" s="937"/>
      <c r="Y312" s="937"/>
      <c r="Z312" s="937"/>
      <c r="AA312" s="937"/>
      <c r="AB312" s="937"/>
      <c r="AC312" s="937"/>
      <c r="AD312" s="937"/>
      <c r="AE312" s="937"/>
      <c r="AF312" s="937"/>
      <c r="AG312" s="937"/>
      <c r="AH312" s="937"/>
      <c r="AI312" s="937"/>
      <c r="AJ312" s="937"/>
    </row>
    <row r="313" spans="1:36" ht="21" hidden="1">
      <c r="A313" s="1011"/>
      <c r="B313" s="1011"/>
      <c r="C313" s="1031" t="s">
        <v>138</v>
      </c>
      <c r="D313" s="1011" t="s">
        <v>173</v>
      </c>
      <c r="E313" s="964"/>
      <c r="F313" s="964"/>
      <c r="G313" s="1011"/>
      <c r="H313" s="981">
        <f>H310*$E$310/1000</f>
        <v>3672.0684000000001</v>
      </c>
      <c r="I313" s="981">
        <f t="shared" ref="I313:S313" si="149">I310*$E$310/1000</f>
        <v>3373.3404</v>
      </c>
      <c r="J313" s="981">
        <f t="shared" si="149"/>
        <v>3590.8846739999999</v>
      </c>
      <c r="K313" s="981">
        <f t="shared" si="149"/>
        <v>0</v>
      </c>
      <c r="L313" s="981">
        <f t="shared" si="149"/>
        <v>0</v>
      </c>
      <c r="M313" s="981">
        <f t="shared" si="149"/>
        <v>0</v>
      </c>
      <c r="N313" s="981">
        <f t="shared" si="149"/>
        <v>0</v>
      </c>
      <c r="O313" s="981">
        <f t="shared" si="149"/>
        <v>0</v>
      </c>
      <c r="P313" s="981">
        <f t="shared" si="149"/>
        <v>0</v>
      </c>
      <c r="Q313" s="981">
        <f t="shared" si="149"/>
        <v>0</v>
      </c>
      <c r="R313" s="981">
        <f t="shared" si="149"/>
        <v>0</v>
      </c>
      <c r="S313" s="981">
        <f t="shared" si="149"/>
        <v>0</v>
      </c>
      <c r="T313" s="981">
        <f>SUM(H313:S313)</f>
        <v>10636.293474</v>
      </c>
      <c r="U313" s="981"/>
      <c r="V313" s="981"/>
      <c r="W313" s="936"/>
      <c r="X313" s="937"/>
      <c r="Y313" s="937"/>
      <c r="Z313" s="937"/>
      <c r="AA313" s="937"/>
      <c r="AB313" s="937"/>
      <c r="AC313" s="937"/>
      <c r="AD313" s="937"/>
      <c r="AE313" s="937"/>
      <c r="AF313" s="937"/>
      <c r="AG313" s="937"/>
      <c r="AH313" s="937"/>
      <c r="AI313" s="937"/>
      <c r="AJ313" s="937"/>
    </row>
    <row r="314" spans="1:36" ht="21" hidden="1">
      <c r="A314" s="1011"/>
      <c r="B314" s="964"/>
      <c r="C314" s="983" t="s">
        <v>449</v>
      </c>
      <c r="D314" s="964" t="s">
        <v>173</v>
      </c>
      <c r="E314" s="1011"/>
      <c r="F314" s="1011"/>
      <c r="G314" s="1011"/>
      <c r="H314" s="1084">
        <v>3689.0203680000004</v>
      </c>
      <c r="I314" s="1084">
        <v>3373.3404</v>
      </c>
      <c r="J314" s="981">
        <v>3576.402</v>
      </c>
      <c r="K314" s="981">
        <f t="shared" ref="K314:S314" si="150">SUM(K313)</f>
        <v>0</v>
      </c>
      <c r="L314" s="981">
        <f t="shared" si="150"/>
        <v>0</v>
      </c>
      <c r="M314" s="981">
        <f t="shared" si="150"/>
        <v>0</v>
      </c>
      <c r="N314" s="981">
        <f t="shared" si="150"/>
        <v>0</v>
      </c>
      <c r="O314" s="981">
        <f t="shared" si="150"/>
        <v>0</v>
      </c>
      <c r="P314" s="981">
        <f t="shared" si="150"/>
        <v>0</v>
      </c>
      <c r="Q314" s="981">
        <f t="shared" si="150"/>
        <v>0</v>
      </c>
      <c r="R314" s="981">
        <f t="shared" si="150"/>
        <v>0</v>
      </c>
      <c r="S314" s="981">
        <f t="shared" si="150"/>
        <v>0</v>
      </c>
      <c r="T314" s="1032">
        <f>SUM(H314:S314)</f>
        <v>10638.762768000001</v>
      </c>
      <c r="U314" s="981"/>
      <c r="V314" s="1033" t="e">
        <f>#REF!/T314</f>
        <v>#REF!</v>
      </c>
      <c r="W314" s="936"/>
      <c r="X314" s="937"/>
      <c r="Y314" s="937"/>
      <c r="Z314" s="937"/>
      <c r="AA314" s="937"/>
      <c r="AB314" s="937"/>
      <c r="AC314" s="937"/>
      <c r="AD314" s="937"/>
      <c r="AE314" s="937"/>
      <c r="AF314" s="937"/>
      <c r="AG314" s="937"/>
      <c r="AH314" s="937"/>
      <c r="AI314" s="937"/>
      <c r="AJ314" s="937"/>
    </row>
    <row r="315" spans="1:36" ht="21" hidden="1">
      <c r="A315" s="1011"/>
      <c r="B315" s="1011"/>
      <c r="C315" s="983" t="s">
        <v>345</v>
      </c>
      <c r="D315" s="964" t="s">
        <v>173</v>
      </c>
      <c r="E315" s="1011"/>
      <c r="F315" s="1011"/>
      <c r="G315" s="1011"/>
      <c r="H315" s="1084">
        <v>3821.2648633442714</v>
      </c>
      <c r="I315" s="1084">
        <v>3308.9134896029059</v>
      </c>
      <c r="J315" s="1084">
        <v>3536.3844085451833</v>
      </c>
      <c r="K315" s="981"/>
      <c r="L315" s="981"/>
      <c r="M315" s="981"/>
      <c r="N315" s="981"/>
      <c r="O315" s="981"/>
      <c r="P315" s="981"/>
      <c r="Q315" s="981"/>
      <c r="R315" s="981"/>
      <c r="S315" s="981"/>
      <c r="T315" s="1032">
        <f>SUM(H315:S315)</f>
        <v>10666.562761492361</v>
      </c>
      <c r="U315" s="981"/>
      <c r="V315" s="1001" t="s">
        <v>158</v>
      </c>
      <c r="W315" s="936"/>
      <c r="X315" s="937"/>
      <c r="Y315" s="937"/>
      <c r="Z315" s="937"/>
      <c r="AA315" s="937"/>
      <c r="AB315" s="937"/>
      <c r="AC315" s="937"/>
      <c r="AD315" s="937"/>
      <c r="AE315" s="937"/>
      <c r="AF315" s="937"/>
      <c r="AG315" s="937"/>
      <c r="AH315" s="937"/>
      <c r="AI315" s="937"/>
      <c r="AJ315" s="937"/>
    </row>
    <row r="316" spans="1:36" ht="21" hidden="1">
      <c r="A316" s="1011"/>
      <c r="B316" s="1003" t="s">
        <v>174</v>
      </c>
      <c r="C316" s="1004" t="s">
        <v>138</v>
      </c>
      <c r="D316" s="1003" t="s">
        <v>347</v>
      </c>
      <c r="E316" s="1003"/>
      <c r="F316" s="1003"/>
      <c r="G316" s="1011"/>
      <c r="H316" s="1006">
        <f>H313/H311</f>
        <v>1.2934554907430891</v>
      </c>
      <c r="I316" s="1006">
        <f t="shared" ref="I316:S316" si="151">I313/I311</f>
        <v>1.3205864644346714</v>
      </c>
      <c r="J316" s="1006">
        <f t="shared" si="151"/>
        <v>1.4604554741996214</v>
      </c>
      <c r="K316" s="1006" t="e">
        <f t="shared" si="151"/>
        <v>#DIV/0!</v>
      </c>
      <c r="L316" s="1006" t="e">
        <f t="shared" si="151"/>
        <v>#DIV/0!</v>
      </c>
      <c r="M316" s="1006" t="e">
        <f t="shared" si="151"/>
        <v>#DIV/0!</v>
      </c>
      <c r="N316" s="1006" t="e">
        <f t="shared" si="151"/>
        <v>#DIV/0!</v>
      </c>
      <c r="O316" s="1006" t="e">
        <f t="shared" si="151"/>
        <v>#DIV/0!</v>
      </c>
      <c r="P316" s="1006" t="e">
        <f t="shared" si="151"/>
        <v>#DIV/0!</v>
      </c>
      <c r="Q316" s="1006" t="e">
        <f t="shared" si="151"/>
        <v>#DIV/0!</v>
      </c>
      <c r="R316" s="1006" t="e">
        <f t="shared" si="151"/>
        <v>#DIV/0!</v>
      </c>
      <c r="S316" s="1006" t="e">
        <f t="shared" si="151"/>
        <v>#DIV/0!</v>
      </c>
      <c r="T316" s="1006">
        <f>T311/T$295</f>
        <v>0.46389780000732594</v>
      </c>
      <c r="U316" s="1007"/>
      <c r="V316" s="1007"/>
      <c r="W316" s="936"/>
      <c r="X316" s="937"/>
      <c r="Y316" s="937"/>
      <c r="Z316" s="937"/>
      <c r="AA316" s="937"/>
      <c r="AB316" s="937"/>
      <c r="AC316" s="937"/>
      <c r="AD316" s="937"/>
      <c r="AE316" s="937"/>
      <c r="AF316" s="937"/>
      <c r="AG316" s="937"/>
      <c r="AH316" s="937"/>
      <c r="AI316" s="937"/>
      <c r="AJ316" s="937"/>
    </row>
    <row r="317" spans="1:36" ht="23.25" hidden="1">
      <c r="A317" s="1011"/>
      <c r="B317" s="1003"/>
      <c r="C317" s="1008" t="s">
        <v>450</v>
      </c>
      <c r="D317" s="1003" t="s">
        <v>347</v>
      </c>
      <c r="E317" s="1003"/>
      <c r="F317" s="1003"/>
      <c r="G317" s="1011"/>
      <c r="H317" s="1006">
        <f>H314/H311</f>
        <v>1.2994266801927468</v>
      </c>
      <c r="I317" s="1006">
        <f t="shared" ref="I317:S317" si="152">I314/I311</f>
        <v>1.3205864644346714</v>
      </c>
      <c r="J317" s="1006">
        <f t="shared" si="152"/>
        <v>1.4545651985587758</v>
      </c>
      <c r="K317" s="1006" t="e">
        <f t="shared" si="152"/>
        <v>#DIV/0!</v>
      </c>
      <c r="L317" s="1006" t="e">
        <f t="shared" si="152"/>
        <v>#DIV/0!</v>
      </c>
      <c r="M317" s="1006" t="e">
        <f t="shared" si="152"/>
        <v>#DIV/0!</v>
      </c>
      <c r="N317" s="1006" t="e">
        <f t="shared" si="152"/>
        <v>#DIV/0!</v>
      </c>
      <c r="O317" s="1006" t="e">
        <f t="shared" si="152"/>
        <v>#DIV/0!</v>
      </c>
      <c r="P317" s="1006" t="e">
        <f t="shared" si="152"/>
        <v>#DIV/0!</v>
      </c>
      <c r="Q317" s="1006" t="e">
        <f t="shared" si="152"/>
        <v>#DIV/0!</v>
      </c>
      <c r="R317" s="1006" t="e">
        <f t="shared" si="152"/>
        <v>#DIV/0!</v>
      </c>
      <c r="S317" s="1006" t="e">
        <f t="shared" si="152"/>
        <v>#DIV/0!</v>
      </c>
      <c r="T317" s="1021">
        <f>T314/T311</f>
        <v>1.354888943877514</v>
      </c>
      <c r="U317" s="1007"/>
      <c r="V317" s="1007"/>
      <c r="W317" s="936"/>
      <c r="X317" s="937"/>
      <c r="Y317" s="937"/>
      <c r="Z317" s="937"/>
      <c r="AA317" s="937"/>
      <c r="AB317" s="937"/>
      <c r="AC317" s="937"/>
      <c r="AD317" s="937"/>
      <c r="AE317" s="937"/>
      <c r="AF317" s="937"/>
      <c r="AG317" s="937"/>
      <c r="AH317" s="937"/>
      <c r="AI317" s="937"/>
      <c r="AJ317" s="937"/>
    </row>
    <row r="318" spans="1:36" ht="21" hidden="1">
      <c r="A318" s="1011"/>
      <c r="B318" s="1003"/>
      <c r="C318" s="1008" t="s">
        <v>451</v>
      </c>
      <c r="D318" s="1003"/>
      <c r="E318" s="1003"/>
      <c r="F318" s="1003"/>
      <c r="G318" s="1011"/>
      <c r="H318" s="1009">
        <f>H314/H315*100</f>
        <v>96.539248126639038</v>
      </c>
      <c r="I318" s="1009">
        <f t="shared" ref="I318:T318" si="153">I314/I315*100</f>
        <v>101.94707146619375</v>
      </c>
      <c r="J318" s="1009">
        <f t="shared" si="153"/>
        <v>101.13159619633319</v>
      </c>
      <c r="K318" s="1009" t="e">
        <f t="shared" si="153"/>
        <v>#DIV/0!</v>
      </c>
      <c r="L318" s="1009" t="e">
        <f t="shared" si="153"/>
        <v>#DIV/0!</v>
      </c>
      <c r="M318" s="1009" t="e">
        <f t="shared" si="153"/>
        <v>#DIV/0!</v>
      </c>
      <c r="N318" s="1009" t="e">
        <f t="shared" si="153"/>
        <v>#DIV/0!</v>
      </c>
      <c r="O318" s="1009" t="e">
        <f t="shared" si="153"/>
        <v>#DIV/0!</v>
      </c>
      <c r="P318" s="1009" t="e">
        <f t="shared" si="153"/>
        <v>#DIV/0!</v>
      </c>
      <c r="Q318" s="1009" t="e">
        <f t="shared" si="153"/>
        <v>#DIV/0!</v>
      </c>
      <c r="R318" s="1009" t="e">
        <f t="shared" si="153"/>
        <v>#DIV/0!</v>
      </c>
      <c r="S318" s="1009" t="e">
        <f t="shared" si="153"/>
        <v>#DIV/0!</v>
      </c>
      <c r="T318" s="1009">
        <f t="shared" si="153"/>
        <v>99.739372522208157</v>
      </c>
      <c r="U318" s="1007"/>
      <c r="V318" s="1007"/>
      <c r="W318" s="936" t="s">
        <v>29</v>
      </c>
      <c r="X318" s="937" t="s">
        <v>30</v>
      </c>
      <c r="Y318" s="937" t="s">
        <v>31</v>
      </c>
      <c r="Z318" s="937" t="s">
        <v>32</v>
      </c>
      <c r="AA318" s="937" t="s">
        <v>33</v>
      </c>
      <c r="AB318" s="937" t="s">
        <v>34</v>
      </c>
      <c r="AC318" s="937" t="s">
        <v>35</v>
      </c>
      <c r="AD318" s="937" t="s">
        <v>36</v>
      </c>
      <c r="AE318" s="937" t="s">
        <v>37</v>
      </c>
      <c r="AF318" s="937" t="s">
        <v>38</v>
      </c>
      <c r="AG318" s="937" t="s">
        <v>39</v>
      </c>
      <c r="AH318" s="937" t="s">
        <v>40</v>
      </c>
      <c r="AI318" s="937" t="s">
        <v>25</v>
      </c>
      <c r="AJ318" s="946" t="s">
        <v>158</v>
      </c>
    </row>
    <row r="319" spans="1:36" ht="21" hidden="1">
      <c r="A319" s="964">
        <v>15</v>
      </c>
      <c r="B319" s="964" t="s">
        <v>453</v>
      </c>
      <c r="C319" s="1031" t="s">
        <v>138</v>
      </c>
      <c r="D319" s="964" t="s">
        <v>90</v>
      </c>
      <c r="E319" s="984">
        <f>'[11]Price&amp;Heating-Value'!$R$6</f>
        <v>3.6</v>
      </c>
      <c r="F319" s="964"/>
      <c r="G319" s="1014">
        <f>'[11]Price&amp;Heating-Value'!$P$6</f>
        <v>2.7124999999999999</v>
      </c>
      <c r="H319" s="1015">
        <v>297682.12199999997</v>
      </c>
      <c r="I319" s="966">
        <f>1143000.4392/3.6</f>
        <v>317500.12199999997</v>
      </c>
      <c r="J319" s="966">
        <f>1196211.6/3.6</f>
        <v>332281</v>
      </c>
      <c r="K319" s="966"/>
      <c r="L319" s="966"/>
      <c r="M319" s="966"/>
      <c r="N319" s="966"/>
      <c r="O319" s="966"/>
      <c r="P319" s="966"/>
      <c r="Q319" s="1107"/>
      <c r="R319" s="966"/>
      <c r="S319" s="966"/>
      <c r="T319" s="966">
        <f t="shared" ref="T319:T324" si="154">SUM(H319:S319)</f>
        <v>947463.24399999995</v>
      </c>
      <c r="U319" s="966">
        <f>T319*E319</f>
        <v>3410867.6784000001</v>
      </c>
      <c r="V319" s="966">
        <f>G319*T319</f>
        <v>2569994.04935</v>
      </c>
      <c r="W319" s="954">
        <f>H319*'[11]Transfer Price2011'!$HE$459</f>
        <v>890069.54478</v>
      </c>
      <c r="X319" s="954">
        <f>I319*'[11]Transfer Price2011'!$HE$459</f>
        <v>949325.36477999995</v>
      </c>
      <c r="Y319" s="954">
        <f>J319*'[11]Transfer Price2011'!$HE$459</f>
        <v>993520.19000000006</v>
      </c>
      <c r="Z319" s="954">
        <f>K319*'[11]Transfer Price2011'!$HE$459</f>
        <v>0</v>
      </c>
      <c r="AA319" s="954">
        <f>L319*'[11]Transfer Price2011'!$HE$459</f>
        <v>0</v>
      </c>
      <c r="AB319" s="954">
        <f>M319*'[11]Transfer Price2011'!$HE$459</f>
        <v>0</v>
      </c>
      <c r="AC319" s="954">
        <f>N319*'[11]Transfer Price2011'!$HE$459</f>
        <v>0</v>
      </c>
      <c r="AD319" s="954">
        <f>O319*'[11]Transfer Price2011'!$HE$459</f>
        <v>0</v>
      </c>
      <c r="AE319" s="954">
        <f>P319*'[11]Transfer Price2011'!$HE$459</f>
        <v>0</v>
      </c>
      <c r="AF319" s="954">
        <f>Q319*'[11]Transfer Price2011'!$HE$459</f>
        <v>0</v>
      </c>
      <c r="AG319" s="954">
        <f>R319*'[11]Transfer Price2011'!$HE$459</f>
        <v>0</v>
      </c>
      <c r="AH319" s="954">
        <f>S319*'[11]Transfer Price2011'!$HE$459</f>
        <v>0</v>
      </c>
      <c r="AI319" s="936">
        <f>SUM(W319:AH319)</f>
        <v>2832915.09956</v>
      </c>
      <c r="AJ319" s="955">
        <f>AI319/U319*1000</f>
        <v>830.55555555555554</v>
      </c>
    </row>
    <row r="320" spans="1:36" ht="21" hidden="1">
      <c r="A320" s="964"/>
      <c r="B320" s="964" t="s">
        <v>454</v>
      </c>
      <c r="C320" s="1031" t="s">
        <v>455</v>
      </c>
      <c r="D320" s="964" t="s">
        <v>121</v>
      </c>
      <c r="E320" s="964">
        <f>'[11]Price&amp;Heating-Value'!$R$8</f>
        <v>2778</v>
      </c>
      <c r="F320" s="964"/>
      <c r="G320" s="965">
        <f>'[11]Price&amp;Heating-Value'!$P$8</f>
        <v>1290.0382923058626</v>
      </c>
      <c r="H320" s="1015">
        <v>418.1</v>
      </c>
      <c r="I320" s="966">
        <v>368.54</v>
      </c>
      <c r="J320" s="966">
        <v>433.63</v>
      </c>
      <c r="K320" s="966"/>
      <c r="L320" s="966"/>
      <c r="M320" s="966"/>
      <c r="N320" s="966"/>
      <c r="O320" s="966"/>
      <c r="P320" s="966"/>
      <c r="Q320" s="966"/>
      <c r="R320" s="966"/>
      <c r="S320" s="966"/>
      <c r="T320" s="966">
        <f t="shared" si="154"/>
        <v>1220.27</v>
      </c>
      <c r="U320" s="966">
        <f>T320*E320</f>
        <v>3389910.06</v>
      </c>
      <c r="V320" s="966">
        <f>G320*T320</f>
        <v>1574195.0269520748</v>
      </c>
      <c r="W320" s="1037">
        <f>'[11]Price&amp;Heating-Value'!D$8</f>
        <v>1199.2079914377452</v>
      </c>
      <c r="X320" s="982">
        <f>'[11]Price&amp;Heating-Value'!E$8</f>
        <v>1207.1366393150195</v>
      </c>
      <c r="Y320" s="982">
        <f>'[11]Price&amp;Heating-Value'!F$8</f>
        <v>1196.2347484837674</v>
      </c>
      <c r="Z320" s="982">
        <f>'[11]Price&amp;Heating-Value'!G$8</f>
        <v>1221.0117731002497</v>
      </c>
      <c r="AA320" s="982">
        <f>'[11]Price&amp;Heating-Value'!H$8</f>
        <v>1339.941491259365</v>
      </c>
      <c r="AB320" s="982">
        <f>'[11]Price&amp;Heating-Value'!I$8</f>
        <v>1477.7017481270068</v>
      </c>
      <c r="AC320" s="982">
        <f>'[11]Price&amp;Heating-Value'!J$8</f>
        <v>1573.8366036389582</v>
      </c>
      <c r="AD320" s="937"/>
      <c r="AE320" s="937"/>
      <c r="AF320" s="937"/>
      <c r="AG320" s="937"/>
      <c r="AH320" s="937"/>
      <c r="AI320" s="937"/>
      <c r="AJ320" s="937"/>
    </row>
    <row r="321" spans="1:29" ht="21" hidden="1">
      <c r="A321" s="964"/>
      <c r="B321" s="964"/>
      <c r="C321" s="1031" t="s">
        <v>408</v>
      </c>
      <c r="D321" s="964" t="s">
        <v>176</v>
      </c>
      <c r="E321" s="984">
        <f>'[11]Price&amp;Heating-Value'!$S$16/1000</f>
        <v>39.770000000000003</v>
      </c>
      <c r="F321" s="1036">
        <f>'[11]Price&amp;Heating-Value'!$T$16</f>
        <v>0.98550000000000004</v>
      </c>
      <c r="G321" s="965">
        <f>'[11]Price&amp;Heating-Value'!$P$16*'[11]Price&amp;Heating-Value'!$T$16/1000</f>
        <v>17.944656726937499</v>
      </c>
      <c r="H321" s="1015">
        <v>7100</v>
      </c>
      <c r="I321" s="966">
        <v>8820</v>
      </c>
      <c r="J321" s="966">
        <v>8300</v>
      </c>
      <c r="K321" s="966"/>
      <c r="L321" s="966"/>
      <c r="M321" s="966"/>
      <c r="N321" s="966"/>
      <c r="O321" s="966"/>
      <c r="P321" s="966"/>
      <c r="Q321" s="966"/>
      <c r="R321" s="966"/>
      <c r="S321" s="966"/>
      <c r="T321" s="966">
        <f t="shared" si="154"/>
        <v>24220</v>
      </c>
      <c r="U321" s="966">
        <f>T321*E321</f>
        <v>963229.4</v>
      </c>
      <c r="V321" s="966">
        <f>F321*G321*T321</f>
        <v>428317.60193049302</v>
      </c>
      <c r="W321" s="1037">
        <f>'[11]Price&amp;Heating-Value'!D$16*'[11]Price&amp;Heating-Value'!$T$16/1000</f>
        <v>16.779635460000002</v>
      </c>
      <c r="X321" s="982">
        <f>'[11]Price&amp;Heating-Value'!E$16*'[11]Price&amp;Heating-Value'!$T$16/1000</f>
        <v>16.47036585</v>
      </c>
      <c r="Y321" s="982">
        <f>'[11]Price&amp;Heating-Value'!F$16*'[11]Price&amp;Heating-Value'!$T$16/1000</f>
        <v>16.780118354999999</v>
      </c>
      <c r="Z321" s="982">
        <f>'[11]Price&amp;Heating-Value'!G$16*'[11]Price&amp;Heating-Value'!$T$16/1000</f>
        <v>18.287135100000004</v>
      </c>
      <c r="AA321" s="982">
        <f>'[11]Price&amp;Heating-Value'!H$16*'[11]Price&amp;Heating-Value'!$T$16/1000</f>
        <v>20.715278985000001</v>
      </c>
      <c r="AB321" s="982">
        <f>'[11]Price&amp;Heating-Value'!I$16*'[11]Price&amp;Heating-Value'!$T$16/1000</f>
        <v>22.335056640000001</v>
      </c>
      <c r="AC321" s="982">
        <f>'[11]Price&amp;Heating-Value'!J$16*'[11]Price&amp;Heating-Value'!$T$16/1000</f>
        <v>25.718475240000004</v>
      </c>
    </row>
    <row r="322" spans="1:29" ht="21" hidden="1">
      <c r="A322" s="964"/>
      <c r="B322" s="964"/>
      <c r="C322" s="1031" t="s">
        <v>456</v>
      </c>
      <c r="D322" s="964" t="s">
        <v>102</v>
      </c>
      <c r="E322" s="964">
        <f>'[11]Price&amp;Heating-Value'!$R$23/1000</f>
        <v>50.22</v>
      </c>
      <c r="F322" s="964"/>
      <c r="G322" s="965">
        <f>'[11]Price&amp;Heating-Value'!$P$23/1000</f>
        <v>11.61472</v>
      </c>
      <c r="H322" s="1015">
        <v>0</v>
      </c>
      <c r="I322" s="966"/>
      <c r="J322" s="966"/>
      <c r="K322" s="966"/>
      <c r="L322" s="966"/>
      <c r="M322" s="966"/>
      <c r="N322" s="966"/>
      <c r="O322" s="966"/>
      <c r="P322" s="966"/>
      <c r="Q322" s="966"/>
      <c r="R322" s="966"/>
      <c r="S322" s="966"/>
      <c r="T322" s="966">
        <f t="shared" si="154"/>
        <v>0</v>
      </c>
      <c r="U322" s="966">
        <f>T322*E322</f>
        <v>0</v>
      </c>
      <c r="V322" s="966">
        <f>F322*G322*T322</f>
        <v>0</v>
      </c>
      <c r="W322" s="982">
        <f>'[11]Price&amp;Heating-Value'!D$23/1000</f>
        <v>11.61472</v>
      </c>
      <c r="X322" s="982">
        <f>'[11]Price&amp;Heating-Value'!E$23/1000</f>
        <v>11.61472</v>
      </c>
      <c r="Y322" s="982">
        <f>'[11]Price&amp;Heating-Value'!F$23/1000</f>
        <v>11.61472</v>
      </c>
      <c r="Z322" s="982">
        <f>'[11]Price&amp;Heating-Value'!G$23/1000</f>
        <v>11.61472</v>
      </c>
      <c r="AA322" s="982">
        <f>'[11]Price&amp;Heating-Value'!H$23/1000</f>
        <v>11.61472</v>
      </c>
      <c r="AB322" s="982">
        <f>'[11]Price&amp;Heating-Value'!I$23/1000</f>
        <v>11.61472</v>
      </c>
      <c r="AC322" s="982">
        <f>'[11]Price&amp;Heating-Value'!J$23/1000</f>
        <v>11.61472</v>
      </c>
    </row>
    <row r="323" spans="1:29" ht="21" hidden="1">
      <c r="A323" s="1011"/>
      <c r="B323" s="1011"/>
      <c r="C323" s="983"/>
      <c r="D323" s="1011"/>
      <c r="E323" s="1011"/>
      <c r="F323" s="1108"/>
      <c r="G323" s="1058"/>
      <c r="H323" s="1056"/>
      <c r="I323" s="1056"/>
      <c r="J323" s="1056"/>
      <c r="K323" s="1056"/>
      <c r="L323" s="1056"/>
      <c r="M323" s="1056"/>
      <c r="N323" s="1056"/>
      <c r="O323" s="1056"/>
      <c r="P323" s="1056"/>
      <c r="Q323" s="1056"/>
      <c r="R323" s="1056"/>
      <c r="S323" s="1056"/>
      <c r="T323" s="987"/>
      <c r="U323" s="981"/>
      <c r="V323" s="981">
        <f>SUM(V319:V322)</f>
        <v>4572506.6782325674</v>
      </c>
      <c r="W323" s="936"/>
      <c r="X323" s="937"/>
      <c r="Y323" s="937"/>
      <c r="Z323" s="937"/>
      <c r="AA323" s="937"/>
      <c r="AB323" s="937"/>
      <c r="AC323" s="937"/>
    </row>
    <row r="324" spans="1:29" ht="21" hidden="1">
      <c r="A324" s="1011"/>
      <c r="B324" s="989"/>
      <c r="C324" s="990" t="s">
        <v>107</v>
      </c>
      <c r="D324" s="989" t="s">
        <v>121</v>
      </c>
      <c r="E324" s="989"/>
      <c r="F324" s="989"/>
      <c r="G324" s="1011"/>
      <c r="H324" s="1023">
        <v>1213.5</v>
      </c>
      <c r="I324" s="994">
        <v>1569.03</v>
      </c>
      <c r="J324" s="994">
        <v>1379.6329999999998</v>
      </c>
      <c r="K324" s="994"/>
      <c r="L324" s="994"/>
      <c r="M324" s="994"/>
      <c r="N324" s="994"/>
      <c r="O324" s="994"/>
      <c r="P324" s="994"/>
      <c r="Q324" s="994"/>
      <c r="R324" s="994"/>
      <c r="S324" s="994"/>
      <c r="T324" s="996">
        <f t="shared" si="154"/>
        <v>4162.1629999999996</v>
      </c>
      <c r="U324" s="995"/>
      <c r="V324" s="1026">
        <f>V323/T324</f>
        <v>1098.5890457035364</v>
      </c>
      <c r="W324" s="936"/>
      <c r="X324" s="937"/>
      <c r="Y324" s="937"/>
      <c r="Z324" s="937"/>
      <c r="AA324" s="937"/>
      <c r="AB324" s="937"/>
      <c r="AC324" s="937"/>
    </row>
    <row r="325" spans="1:29" ht="21" hidden="1">
      <c r="A325" s="1011"/>
      <c r="B325" s="1011"/>
      <c r="C325" s="1030"/>
      <c r="D325" s="1011"/>
      <c r="E325" s="1011"/>
      <c r="F325" s="1011"/>
      <c r="G325" s="1011"/>
      <c r="H325" s="1041"/>
      <c r="I325" s="1041"/>
      <c r="J325" s="1041"/>
      <c r="K325" s="1041"/>
      <c r="L325" s="1041"/>
      <c r="M325" s="1041"/>
      <c r="N325" s="1041"/>
      <c r="O325" s="1041"/>
      <c r="P325" s="1041"/>
      <c r="Q325" s="1041"/>
      <c r="R325" s="1041"/>
      <c r="S325" s="1041"/>
      <c r="T325" s="981"/>
      <c r="U325" s="981"/>
      <c r="V325" s="997" t="s">
        <v>137</v>
      </c>
      <c r="W325" s="936"/>
      <c r="X325" s="937"/>
      <c r="Y325" s="937"/>
      <c r="Z325" s="937"/>
      <c r="AA325" s="937"/>
      <c r="AB325" s="937"/>
      <c r="AC325" s="937"/>
    </row>
    <row r="326" spans="1:29" ht="21" hidden="1">
      <c r="A326" s="1011"/>
      <c r="B326" s="1011"/>
      <c r="C326" s="1031" t="s">
        <v>138</v>
      </c>
      <c r="D326" s="1011" t="s">
        <v>173</v>
      </c>
      <c r="E326" s="964"/>
      <c r="F326" s="964"/>
      <c r="G326" s="1011"/>
      <c r="H326" s="981">
        <f>H319*$E$319/1000</f>
        <v>1071.6556391999998</v>
      </c>
      <c r="I326" s="981">
        <f t="shared" ref="I326:S326" si="155">I319*$E$319/1000</f>
        <v>1143.0004391999998</v>
      </c>
      <c r="J326" s="981">
        <v>1196.2115999999999</v>
      </c>
      <c r="K326" s="981">
        <f t="shared" si="155"/>
        <v>0</v>
      </c>
      <c r="L326" s="981">
        <f t="shared" si="155"/>
        <v>0</v>
      </c>
      <c r="M326" s="981">
        <f t="shared" si="155"/>
        <v>0</v>
      </c>
      <c r="N326" s="981">
        <f t="shared" si="155"/>
        <v>0</v>
      </c>
      <c r="O326" s="981">
        <f t="shared" si="155"/>
        <v>0</v>
      </c>
      <c r="P326" s="981">
        <f t="shared" si="155"/>
        <v>0</v>
      </c>
      <c r="Q326" s="981">
        <f t="shared" si="155"/>
        <v>0</v>
      </c>
      <c r="R326" s="981">
        <f t="shared" si="155"/>
        <v>0</v>
      </c>
      <c r="S326" s="981">
        <f t="shared" si="155"/>
        <v>0</v>
      </c>
      <c r="T326" s="981">
        <f>SUM(H326:S326)</f>
        <v>3410.867678399999</v>
      </c>
      <c r="U326" s="981"/>
      <c r="V326" s="981"/>
      <c r="W326" s="936"/>
      <c r="X326" s="937"/>
      <c r="Y326" s="937"/>
      <c r="Z326" s="937"/>
      <c r="AA326" s="937"/>
      <c r="AB326" s="937"/>
      <c r="AC326" s="937"/>
    </row>
    <row r="327" spans="1:29" ht="21" hidden="1">
      <c r="A327" s="1011"/>
      <c r="B327" s="1011"/>
      <c r="C327" s="1031" t="s">
        <v>455</v>
      </c>
      <c r="D327" s="1011" t="s">
        <v>173</v>
      </c>
      <c r="E327" s="964"/>
      <c r="F327" s="964"/>
      <c r="G327" s="1011"/>
      <c r="H327" s="981">
        <f>H320*$E$320/1000</f>
        <v>1161.4818</v>
      </c>
      <c r="I327" s="981">
        <f t="shared" ref="I327:S327" si="156">I320*$E$320/1000</f>
        <v>1023.8041200000001</v>
      </c>
      <c r="J327" s="981">
        <v>1204.6241400000001</v>
      </c>
      <c r="K327" s="981">
        <f t="shared" si="156"/>
        <v>0</v>
      </c>
      <c r="L327" s="981">
        <f t="shared" si="156"/>
        <v>0</v>
      </c>
      <c r="M327" s="981">
        <f t="shared" si="156"/>
        <v>0</v>
      </c>
      <c r="N327" s="981">
        <f t="shared" si="156"/>
        <v>0</v>
      </c>
      <c r="O327" s="981">
        <f t="shared" si="156"/>
        <v>0</v>
      </c>
      <c r="P327" s="981">
        <f t="shared" si="156"/>
        <v>0</v>
      </c>
      <c r="Q327" s="981">
        <f t="shared" si="156"/>
        <v>0</v>
      </c>
      <c r="R327" s="981">
        <f t="shared" si="156"/>
        <v>0</v>
      </c>
      <c r="S327" s="981">
        <f t="shared" si="156"/>
        <v>0</v>
      </c>
      <c r="T327" s="981">
        <f>SUM(H327:S327)</f>
        <v>3389.9100600000002</v>
      </c>
      <c r="U327" s="981"/>
      <c r="V327" s="981"/>
      <c r="W327" s="936"/>
      <c r="X327" s="937"/>
      <c r="Y327" s="937"/>
      <c r="Z327" s="937"/>
      <c r="AA327" s="937"/>
      <c r="AB327" s="937"/>
      <c r="AC327" s="937"/>
    </row>
    <row r="328" spans="1:29" ht="21.75" hidden="1" customHeight="1">
      <c r="A328" s="1011"/>
      <c r="B328" s="1011"/>
      <c r="C328" s="1031" t="s">
        <v>408</v>
      </c>
      <c r="D328" s="1011" t="s">
        <v>173</v>
      </c>
      <c r="E328" s="964"/>
      <c r="F328" s="964"/>
      <c r="G328" s="1011"/>
      <c r="H328" s="981">
        <f>H321*$E$321/1000</f>
        <v>282.36700000000002</v>
      </c>
      <c r="I328" s="981">
        <f t="shared" ref="I328:S328" si="157">I321*$E$321/1000</f>
        <v>350.77140000000003</v>
      </c>
      <c r="J328" s="981">
        <v>330.09100000000001</v>
      </c>
      <c r="K328" s="981">
        <f t="shared" si="157"/>
        <v>0</v>
      </c>
      <c r="L328" s="981">
        <f t="shared" si="157"/>
        <v>0</v>
      </c>
      <c r="M328" s="981">
        <f t="shared" si="157"/>
        <v>0</v>
      </c>
      <c r="N328" s="981">
        <f t="shared" si="157"/>
        <v>0</v>
      </c>
      <c r="O328" s="981">
        <f t="shared" si="157"/>
        <v>0</v>
      </c>
      <c r="P328" s="981">
        <f t="shared" si="157"/>
        <v>0</v>
      </c>
      <c r="Q328" s="981">
        <f t="shared" si="157"/>
        <v>0</v>
      </c>
      <c r="R328" s="981">
        <f t="shared" si="157"/>
        <v>0</v>
      </c>
      <c r="S328" s="981">
        <f t="shared" si="157"/>
        <v>0</v>
      </c>
      <c r="T328" s="981">
        <f>SUM(H328:S328)</f>
        <v>963.22940000000006</v>
      </c>
      <c r="U328" s="981"/>
      <c r="V328" s="981"/>
      <c r="W328" s="936"/>
      <c r="X328" s="937"/>
      <c r="Y328" s="937"/>
      <c r="Z328" s="937"/>
      <c r="AA328" s="937"/>
      <c r="AB328" s="937"/>
      <c r="AC328" s="937"/>
    </row>
    <row r="329" spans="1:29" ht="21" hidden="1">
      <c r="A329" s="1011"/>
      <c r="B329" s="1011"/>
      <c r="C329" s="1031" t="s">
        <v>456</v>
      </c>
      <c r="D329" s="1011" t="s">
        <v>173</v>
      </c>
      <c r="E329" s="964"/>
      <c r="F329" s="964"/>
      <c r="G329" s="1011"/>
      <c r="H329" s="981">
        <f>H322*$E$322/1000</f>
        <v>0</v>
      </c>
      <c r="I329" s="981">
        <f t="shared" ref="I329:S329" si="158">I322*$E$322/1000</f>
        <v>0</v>
      </c>
      <c r="J329" s="981">
        <v>4.8211199999999996</v>
      </c>
      <c r="K329" s="981">
        <f t="shared" si="158"/>
        <v>0</v>
      </c>
      <c r="L329" s="981">
        <f t="shared" si="158"/>
        <v>0</v>
      </c>
      <c r="M329" s="981">
        <f t="shared" si="158"/>
        <v>0</v>
      </c>
      <c r="N329" s="981">
        <f t="shared" si="158"/>
        <v>0</v>
      </c>
      <c r="O329" s="981">
        <f t="shared" si="158"/>
        <v>0</v>
      </c>
      <c r="P329" s="981">
        <f t="shared" si="158"/>
        <v>0</v>
      </c>
      <c r="Q329" s="981">
        <f t="shared" si="158"/>
        <v>0</v>
      </c>
      <c r="R329" s="981">
        <f t="shared" si="158"/>
        <v>0</v>
      </c>
      <c r="S329" s="981">
        <f t="shared" si="158"/>
        <v>0</v>
      </c>
      <c r="T329" s="981">
        <f>SUM(H329:S329)</f>
        <v>4.8211199999999996</v>
      </c>
      <c r="U329" s="981"/>
      <c r="V329" s="981"/>
      <c r="W329" s="936"/>
      <c r="X329" s="937"/>
      <c r="Y329" s="937"/>
      <c r="Z329" s="937"/>
      <c r="AA329" s="937"/>
      <c r="AB329" s="937"/>
      <c r="AC329" s="937"/>
    </row>
    <row r="330" spans="1:29" ht="21" hidden="1">
      <c r="A330" s="1011"/>
      <c r="B330" s="964"/>
      <c r="C330" s="983" t="s">
        <v>457</v>
      </c>
      <c r="D330" s="964" t="s">
        <v>173</v>
      </c>
      <c r="E330" s="1011"/>
      <c r="F330" s="1011"/>
      <c r="G330" s="1011"/>
      <c r="H330" s="1084">
        <v>2515.5044392</v>
      </c>
      <c r="I330" s="1084">
        <v>2527.9714992000004</v>
      </c>
      <c r="J330" s="981">
        <v>2735.7478599999999</v>
      </c>
      <c r="K330" s="981">
        <f t="shared" ref="K330:S330" si="159">SUM(K326:K329)</f>
        <v>0</v>
      </c>
      <c r="L330" s="981">
        <f t="shared" si="159"/>
        <v>0</v>
      </c>
      <c r="M330" s="981">
        <f t="shared" si="159"/>
        <v>0</v>
      </c>
      <c r="N330" s="981">
        <f t="shared" si="159"/>
        <v>0</v>
      </c>
      <c r="O330" s="981">
        <f t="shared" si="159"/>
        <v>0</v>
      </c>
      <c r="P330" s="981">
        <f t="shared" si="159"/>
        <v>0</v>
      </c>
      <c r="Q330" s="981">
        <f t="shared" si="159"/>
        <v>0</v>
      </c>
      <c r="R330" s="981">
        <f t="shared" si="159"/>
        <v>0</v>
      </c>
      <c r="S330" s="981">
        <f t="shared" si="159"/>
        <v>0</v>
      </c>
      <c r="T330" s="1032">
        <f>SUM(H330:S330)</f>
        <v>7779.2237984000003</v>
      </c>
      <c r="U330" s="981"/>
      <c r="V330" s="1033">
        <f>V323/T330</f>
        <v>587.7844366905889</v>
      </c>
      <c r="W330" s="936"/>
      <c r="X330" s="937"/>
      <c r="Y330" s="937"/>
      <c r="Z330" s="937"/>
      <c r="AA330" s="937"/>
      <c r="AB330" s="937"/>
      <c r="AC330" s="937"/>
    </row>
    <row r="331" spans="1:29" ht="21" hidden="1">
      <c r="A331" s="1011"/>
      <c r="B331" s="964"/>
      <c r="C331" s="983" t="s">
        <v>345</v>
      </c>
      <c r="D331" s="964" t="s">
        <v>173</v>
      </c>
      <c r="E331" s="964"/>
      <c r="F331" s="964"/>
      <c r="G331" s="1011"/>
      <c r="H331" s="1101">
        <v>2643.6342813705623</v>
      </c>
      <c r="I331" s="1101">
        <v>3031.7281435953669</v>
      </c>
      <c r="J331" s="966">
        <v>2774.2301821266105</v>
      </c>
      <c r="K331" s="966">
        <f>K324*[11]ข้อมูลการใช้พลังงานปี2550!$T$328</f>
        <v>0</v>
      </c>
      <c r="L331" s="966">
        <f>L324*[11]ข้อมูลการใช้พลังงานปี2550!$T$328</f>
        <v>0</v>
      </c>
      <c r="M331" s="966">
        <f>M324*[11]ข้อมูลการใช้พลังงานปี2550!$T$328</f>
        <v>0</v>
      </c>
      <c r="N331" s="966">
        <f>N324*[11]ข้อมูลการใช้พลังงานปี2550!$T$328</f>
        <v>0</v>
      </c>
      <c r="O331" s="966">
        <f>O324*[11]ข้อมูลการใช้พลังงานปี2550!$T$328</f>
        <v>0</v>
      </c>
      <c r="P331" s="966">
        <f>P324*[11]ข้อมูลการใช้พลังงานปี2550!$T$328</f>
        <v>0</v>
      </c>
      <c r="Q331" s="966">
        <f>Q324*[11]ข้อมูลการใช้พลังงานปี2550!$T$328</f>
        <v>0</v>
      </c>
      <c r="R331" s="966">
        <f>R324*[11]ข้อมูลการใช้พลังงานปี2550!$T$328</f>
        <v>0</v>
      </c>
      <c r="S331" s="966">
        <f>S324*[11]ข้อมูลการใช้พลังงานปี2550!$T$328</f>
        <v>0</v>
      </c>
      <c r="T331" s="966">
        <f>T324*[11]ข้อมูลการใช้พลังงานปี2550!$T$328</f>
        <v>7979.3521220454459</v>
      </c>
      <c r="U331" s="966"/>
      <c r="V331" s="1001" t="s">
        <v>158</v>
      </c>
      <c r="W331" s="936"/>
      <c r="X331" s="937"/>
      <c r="Y331" s="937"/>
      <c r="Z331" s="937"/>
      <c r="AA331" s="937"/>
      <c r="AB331" s="937"/>
      <c r="AC331" s="937"/>
    </row>
    <row r="332" spans="1:29" ht="21" hidden="1">
      <c r="A332" s="1011"/>
      <c r="B332" s="1003" t="s">
        <v>174</v>
      </c>
      <c r="C332" s="1004" t="s">
        <v>138</v>
      </c>
      <c r="D332" s="1003" t="s">
        <v>347</v>
      </c>
      <c r="E332" s="1003"/>
      <c r="F332" s="1003"/>
      <c r="G332" s="1011"/>
      <c r="H332" s="1006">
        <f>H326/H$324</f>
        <v>0.88311136316440031</v>
      </c>
      <c r="I332" s="1006">
        <f t="shared" ref="I332:S332" si="160">I326/I$324</f>
        <v>0.72847583487887413</v>
      </c>
      <c r="J332" s="1006">
        <f t="shared" si="160"/>
        <v>0.86705058519185896</v>
      </c>
      <c r="K332" s="1006" t="e">
        <f t="shared" si="160"/>
        <v>#DIV/0!</v>
      </c>
      <c r="L332" s="1006" t="e">
        <f t="shared" si="160"/>
        <v>#DIV/0!</v>
      </c>
      <c r="M332" s="1006" t="e">
        <f t="shared" si="160"/>
        <v>#DIV/0!</v>
      </c>
      <c r="N332" s="1006" t="e">
        <f t="shared" si="160"/>
        <v>#DIV/0!</v>
      </c>
      <c r="O332" s="1006" t="e">
        <f t="shared" si="160"/>
        <v>#DIV/0!</v>
      </c>
      <c r="P332" s="1006" t="e">
        <f t="shared" si="160"/>
        <v>#DIV/0!</v>
      </c>
      <c r="Q332" s="1006" t="e">
        <f t="shared" si="160"/>
        <v>#DIV/0!</v>
      </c>
      <c r="R332" s="1006" t="e">
        <f t="shared" si="160"/>
        <v>#DIV/0!</v>
      </c>
      <c r="S332" s="1006" t="e">
        <f t="shared" si="160"/>
        <v>#DIV/0!</v>
      </c>
      <c r="T332" s="1006">
        <f>T326/T$324</f>
        <v>0.81949401750964568</v>
      </c>
      <c r="U332" s="1007"/>
      <c r="V332" s="1007"/>
      <c r="W332" s="936"/>
      <c r="X332" s="937"/>
      <c r="Y332" s="937"/>
      <c r="Z332" s="937"/>
      <c r="AA332" s="937"/>
      <c r="AB332" s="937"/>
      <c r="AC332" s="937"/>
    </row>
    <row r="333" spans="1:29" ht="21" hidden="1">
      <c r="A333" s="1011"/>
      <c r="B333" s="1003"/>
      <c r="C333" s="1004" t="s">
        <v>455</v>
      </c>
      <c r="D333" s="1003" t="s">
        <v>347</v>
      </c>
      <c r="E333" s="1003"/>
      <c r="F333" s="1003"/>
      <c r="G333" s="1011"/>
      <c r="H333" s="1006">
        <f t="shared" ref="H333:S336" si="161">H327/H$324</f>
        <v>0.95713374536464768</v>
      </c>
      <c r="I333" s="1006">
        <f t="shared" si="161"/>
        <v>0.65250767671746246</v>
      </c>
      <c r="J333" s="1006">
        <f t="shared" si="161"/>
        <v>0.87314825029554988</v>
      </c>
      <c r="K333" s="1006" t="e">
        <f t="shared" si="161"/>
        <v>#DIV/0!</v>
      </c>
      <c r="L333" s="1006" t="e">
        <f t="shared" si="161"/>
        <v>#DIV/0!</v>
      </c>
      <c r="M333" s="1006" t="e">
        <f t="shared" si="161"/>
        <v>#DIV/0!</v>
      </c>
      <c r="N333" s="1006" t="e">
        <f t="shared" si="161"/>
        <v>#DIV/0!</v>
      </c>
      <c r="O333" s="1006" t="e">
        <f t="shared" si="161"/>
        <v>#DIV/0!</v>
      </c>
      <c r="P333" s="1006" t="e">
        <f t="shared" si="161"/>
        <v>#DIV/0!</v>
      </c>
      <c r="Q333" s="1006" t="e">
        <f t="shared" si="161"/>
        <v>#DIV/0!</v>
      </c>
      <c r="R333" s="1006" t="e">
        <f t="shared" si="161"/>
        <v>#DIV/0!</v>
      </c>
      <c r="S333" s="1006" t="e">
        <f t="shared" si="161"/>
        <v>#DIV/0!</v>
      </c>
      <c r="T333" s="1006">
        <f>T327/T$324</f>
        <v>0.81445874656999273</v>
      </c>
      <c r="U333" s="1007"/>
      <c r="V333" s="1007"/>
      <c r="W333" s="936"/>
      <c r="X333" s="937"/>
      <c r="Y333" s="937"/>
      <c r="Z333" s="937"/>
      <c r="AA333" s="937"/>
      <c r="AB333" s="937"/>
      <c r="AC333" s="937"/>
    </row>
    <row r="334" spans="1:29" ht="21" hidden="1">
      <c r="A334" s="1011"/>
      <c r="B334" s="1003"/>
      <c r="C334" s="1093" t="s">
        <v>408</v>
      </c>
      <c r="D334" s="1003" t="s">
        <v>347</v>
      </c>
      <c r="E334" s="1003"/>
      <c r="F334" s="1003"/>
      <c r="G334" s="1011"/>
      <c r="H334" s="1006">
        <f t="shared" si="161"/>
        <v>0.23268809229501444</v>
      </c>
      <c r="I334" s="1006">
        <f t="shared" si="161"/>
        <v>0.2235593965698553</v>
      </c>
      <c r="J334" s="1006">
        <f t="shared" si="161"/>
        <v>0.23926000610307238</v>
      </c>
      <c r="K334" s="1006" t="e">
        <f t="shared" si="161"/>
        <v>#DIV/0!</v>
      </c>
      <c r="L334" s="1006" t="e">
        <f t="shared" si="161"/>
        <v>#DIV/0!</v>
      </c>
      <c r="M334" s="1006" t="e">
        <f t="shared" si="161"/>
        <v>#DIV/0!</v>
      </c>
      <c r="N334" s="1006" t="e">
        <f t="shared" si="161"/>
        <v>#DIV/0!</v>
      </c>
      <c r="O334" s="1006" t="e">
        <f t="shared" si="161"/>
        <v>#DIV/0!</v>
      </c>
      <c r="P334" s="1006" t="e">
        <f t="shared" si="161"/>
        <v>#DIV/0!</v>
      </c>
      <c r="Q334" s="1006" t="e">
        <f t="shared" si="161"/>
        <v>#DIV/0!</v>
      </c>
      <c r="R334" s="1006" t="e">
        <f t="shared" si="161"/>
        <v>#DIV/0!</v>
      </c>
      <c r="S334" s="1006" t="e">
        <f t="shared" si="161"/>
        <v>#DIV/0!</v>
      </c>
      <c r="T334" s="1006">
        <f>T328/T$324</f>
        <v>0.23142519886895352</v>
      </c>
      <c r="U334" s="1007"/>
      <c r="V334" s="1007"/>
      <c r="W334" s="936"/>
      <c r="X334" s="937"/>
      <c r="Y334" s="937"/>
      <c r="Z334" s="937"/>
      <c r="AA334" s="937"/>
      <c r="AB334" s="937"/>
      <c r="AC334" s="937"/>
    </row>
    <row r="335" spans="1:29" ht="21" hidden="1">
      <c r="A335" s="1011"/>
      <c r="B335" s="1003"/>
      <c r="C335" s="1093" t="s">
        <v>456</v>
      </c>
      <c r="D335" s="1003" t="s">
        <v>347</v>
      </c>
      <c r="E335" s="1003"/>
      <c r="F335" s="1003"/>
      <c r="G335" s="1011"/>
      <c r="H335" s="1006">
        <f t="shared" si="161"/>
        <v>0</v>
      </c>
      <c r="I335" s="1006">
        <f t="shared" si="161"/>
        <v>0</v>
      </c>
      <c r="J335" s="1006">
        <f t="shared" si="161"/>
        <v>3.4944945503623068E-3</v>
      </c>
      <c r="K335" s="1006" t="e">
        <f t="shared" si="161"/>
        <v>#DIV/0!</v>
      </c>
      <c r="L335" s="1006" t="e">
        <f t="shared" si="161"/>
        <v>#DIV/0!</v>
      </c>
      <c r="M335" s="1006" t="e">
        <f t="shared" si="161"/>
        <v>#DIV/0!</v>
      </c>
      <c r="N335" s="1006" t="e">
        <f t="shared" si="161"/>
        <v>#DIV/0!</v>
      </c>
      <c r="O335" s="1006" t="e">
        <f t="shared" si="161"/>
        <v>#DIV/0!</v>
      </c>
      <c r="P335" s="1006" t="e">
        <f t="shared" si="161"/>
        <v>#DIV/0!</v>
      </c>
      <c r="Q335" s="1006" t="e">
        <f t="shared" si="161"/>
        <v>#DIV/0!</v>
      </c>
      <c r="R335" s="1006" t="e">
        <f t="shared" si="161"/>
        <v>#DIV/0!</v>
      </c>
      <c r="S335" s="1006" t="e">
        <f t="shared" si="161"/>
        <v>#DIV/0!</v>
      </c>
      <c r="T335" s="1006">
        <f>T329/T$324</f>
        <v>1.1583208057925651E-3</v>
      </c>
      <c r="U335" s="1007"/>
      <c r="V335" s="1007"/>
      <c r="W335" s="936"/>
      <c r="X335" s="937"/>
      <c r="Y335" s="937"/>
      <c r="Z335" s="937"/>
      <c r="AA335" s="937"/>
      <c r="AB335" s="937"/>
      <c r="AC335" s="937"/>
    </row>
    <row r="336" spans="1:29" ht="23.25" hidden="1">
      <c r="A336" s="1011"/>
      <c r="B336" s="1003"/>
      <c r="C336" s="1008" t="s">
        <v>458</v>
      </c>
      <c r="D336" s="1003" t="s">
        <v>347</v>
      </c>
      <c r="E336" s="1003"/>
      <c r="F336" s="1003"/>
      <c r="G336" s="1011"/>
      <c r="H336" s="1006">
        <f t="shared" si="161"/>
        <v>2.0729332008240626</v>
      </c>
      <c r="I336" s="1006">
        <f t="shared" si="161"/>
        <v>1.6111683646584198</v>
      </c>
      <c r="J336" s="1006">
        <f t="shared" si="161"/>
        <v>1.9829533361408436</v>
      </c>
      <c r="K336" s="1006" t="e">
        <f t="shared" si="161"/>
        <v>#DIV/0!</v>
      </c>
      <c r="L336" s="1006" t="e">
        <f t="shared" si="161"/>
        <v>#DIV/0!</v>
      </c>
      <c r="M336" s="1006" t="e">
        <f t="shared" si="161"/>
        <v>#DIV/0!</v>
      </c>
      <c r="N336" s="1006" t="e">
        <f t="shared" si="161"/>
        <v>#DIV/0!</v>
      </c>
      <c r="O336" s="1006" t="e">
        <f t="shared" si="161"/>
        <v>#DIV/0!</v>
      </c>
      <c r="P336" s="1006" t="e">
        <f t="shared" si="161"/>
        <v>#DIV/0!</v>
      </c>
      <c r="Q336" s="1006" t="e">
        <f t="shared" si="161"/>
        <v>#DIV/0!</v>
      </c>
      <c r="R336" s="1006" t="e">
        <f t="shared" si="161"/>
        <v>#DIV/0!</v>
      </c>
      <c r="S336" s="1006" t="e">
        <f t="shared" si="161"/>
        <v>#DIV/0!</v>
      </c>
      <c r="T336" s="1021">
        <f>T330/T324</f>
        <v>1.8690339129918749</v>
      </c>
      <c r="U336" s="1007"/>
      <c r="V336" s="1007"/>
      <c r="W336" s="936"/>
      <c r="X336" s="937"/>
      <c r="Y336" s="937"/>
      <c r="Z336" s="937"/>
      <c r="AA336" s="937"/>
      <c r="AB336" s="937"/>
      <c r="AC336" s="937"/>
    </row>
    <row r="337" spans="1:29" ht="21" hidden="1">
      <c r="A337" s="1011"/>
      <c r="B337" s="1003"/>
      <c r="C337" s="1008" t="s">
        <v>459</v>
      </c>
      <c r="D337" s="1003"/>
      <c r="E337" s="1003"/>
      <c r="F337" s="1003"/>
      <c r="G337" s="1011"/>
      <c r="H337" s="1009">
        <f>H330/H331*100</f>
        <v>95.153269002695225</v>
      </c>
      <c r="I337" s="1009">
        <f>I330/I331*100</f>
        <v>83.383845103012604</v>
      </c>
      <c r="J337" s="1009">
        <f t="shared" ref="J337:T337" si="162">J330/J331*100</f>
        <v>98.612864845370851</v>
      </c>
      <c r="K337" s="1009" t="e">
        <f t="shared" si="162"/>
        <v>#DIV/0!</v>
      </c>
      <c r="L337" s="1009" t="e">
        <f t="shared" si="162"/>
        <v>#DIV/0!</v>
      </c>
      <c r="M337" s="1009" t="e">
        <f t="shared" si="162"/>
        <v>#DIV/0!</v>
      </c>
      <c r="N337" s="1009" t="e">
        <f t="shared" si="162"/>
        <v>#DIV/0!</v>
      </c>
      <c r="O337" s="1009" t="e">
        <f t="shared" si="162"/>
        <v>#DIV/0!</v>
      </c>
      <c r="P337" s="1009" t="e">
        <f t="shared" si="162"/>
        <v>#DIV/0!</v>
      </c>
      <c r="Q337" s="1009" t="e">
        <f t="shared" si="162"/>
        <v>#DIV/0!</v>
      </c>
      <c r="R337" s="1009" t="e">
        <f t="shared" si="162"/>
        <v>#DIV/0!</v>
      </c>
      <c r="S337" s="1009" t="e">
        <f t="shared" si="162"/>
        <v>#DIV/0!</v>
      </c>
      <c r="T337" s="1009">
        <f t="shared" si="162"/>
        <v>97.4919226450412</v>
      </c>
      <c r="U337" s="1007"/>
      <c r="V337" s="1007"/>
      <c r="W337" s="936"/>
      <c r="X337" s="937"/>
      <c r="Y337" s="937"/>
      <c r="Z337" s="937"/>
      <c r="AA337" s="937"/>
      <c r="AB337" s="937"/>
      <c r="AC337" s="937"/>
    </row>
    <row r="338" spans="1:29" ht="21" hidden="1">
      <c r="A338" s="1011"/>
      <c r="B338" s="1060"/>
      <c r="C338" s="1109"/>
      <c r="D338" s="1060"/>
      <c r="E338" s="1060"/>
      <c r="F338" s="1060"/>
      <c r="G338" s="1011"/>
      <c r="H338" s="1110"/>
      <c r="I338" s="1110"/>
      <c r="J338" s="1110"/>
      <c r="K338" s="1110"/>
      <c r="L338" s="1110"/>
      <c r="M338" s="1110"/>
      <c r="N338" s="1110"/>
      <c r="O338" s="1110"/>
      <c r="P338" s="1110"/>
      <c r="Q338" s="1110"/>
      <c r="R338" s="1110"/>
      <c r="S338" s="1110"/>
      <c r="T338" s="1110"/>
      <c r="U338" s="1050"/>
      <c r="V338" s="1007"/>
      <c r="W338" s="936"/>
      <c r="X338" s="937"/>
      <c r="Y338" s="937"/>
      <c r="Z338" s="937"/>
      <c r="AA338" s="937"/>
      <c r="AB338" s="937"/>
      <c r="AC338" s="937"/>
    </row>
    <row r="339" spans="1:29" ht="21" hidden="1">
      <c r="A339" s="1011"/>
      <c r="B339" s="1011"/>
      <c r="C339" s="1062" t="s">
        <v>398</v>
      </c>
      <c r="D339" s="1011" t="s">
        <v>173</v>
      </c>
      <c r="E339" s="1011"/>
      <c r="F339" s="1011"/>
      <c r="G339" s="1011"/>
      <c r="H339" s="1064">
        <f>(H$200+H$259+H$281+H$301+H$314)</f>
        <v>61810.375460816918</v>
      </c>
      <c r="I339" s="1064">
        <f>(I$200+I$259+I$281+I$301+I$314)</f>
        <v>57414.535111321056</v>
      </c>
      <c r="J339" s="1064">
        <f>(J$200+J$259+J$281+J$301+J$314)</f>
        <v>66380.961267999999</v>
      </c>
      <c r="K339" s="1056"/>
      <c r="L339" s="1056"/>
      <c r="M339" s="1056"/>
      <c r="N339" s="1056"/>
      <c r="O339" s="1056"/>
      <c r="P339" s="1056"/>
      <c r="Q339" s="1056"/>
      <c r="R339" s="1056"/>
      <c r="S339" s="1056"/>
      <c r="T339" s="1064"/>
      <c r="U339" s="1056"/>
      <c r="V339" s="987"/>
      <c r="W339" s="936"/>
      <c r="X339" s="937"/>
      <c r="Y339" s="937"/>
      <c r="Z339" s="937"/>
      <c r="AA339" s="937"/>
      <c r="AB339" s="937"/>
      <c r="AC339" s="937"/>
    </row>
    <row r="340" spans="1:29" ht="21" hidden="1">
      <c r="A340" s="1011"/>
      <c r="B340" s="1011"/>
      <c r="C340" s="1062" t="s">
        <v>461</v>
      </c>
      <c r="D340" s="1011" t="s">
        <v>173</v>
      </c>
      <c r="E340" s="1011"/>
      <c r="F340" s="1011"/>
      <c r="G340" s="1011"/>
      <c r="H340" s="1064">
        <f>(H$201+H$260+H$282+H$302+H$315)</f>
        <v>64033.500559372966</v>
      </c>
      <c r="I340" s="1064">
        <f>(I$201+I$260+I$282+I$302+I$315)</f>
        <v>59227.109422281741</v>
      </c>
      <c r="J340" s="1064">
        <f>(J$201+J$260+J$282+J$302+J$315)</f>
        <v>66585.922204678354</v>
      </c>
      <c r="K340" s="1056"/>
      <c r="L340" s="1056"/>
      <c r="M340" s="1056"/>
      <c r="N340" s="1056"/>
      <c r="O340" s="1056"/>
      <c r="P340" s="1056"/>
      <c r="Q340" s="1056"/>
      <c r="R340" s="1056"/>
      <c r="S340" s="1056"/>
      <c r="T340" s="1064"/>
      <c r="U340" s="1056"/>
      <c r="V340" s="987"/>
      <c r="W340" s="936"/>
      <c r="X340" s="937"/>
      <c r="Y340" s="937"/>
      <c r="Z340" s="937"/>
      <c r="AA340" s="937"/>
      <c r="AB340" s="937"/>
      <c r="AC340" s="937"/>
    </row>
    <row r="341" spans="1:29" ht="21" hidden="1">
      <c r="A341" s="1011"/>
      <c r="B341" s="1011"/>
      <c r="C341" s="1062" t="s">
        <v>462</v>
      </c>
      <c r="D341" s="1011" t="s">
        <v>401</v>
      </c>
      <c r="E341" s="1011"/>
      <c r="F341" s="1011"/>
      <c r="G341" s="1011"/>
      <c r="H341" s="1064">
        <f>H339/H340*100</f>
        <v>96.528184342358841</v>
      </c>
      <c r="I341" s="1064">
        <f>I339/I340*100</f>
        <v>96.939620507161237</v>
      </c>
      <c r="J341" s="1064">
        <f>J339/J340*100</f>
        <v>99.692185780579379</v>
      </c>
      <c r="K341" s="1056"/>
      <c r="L341" s="1056"/>
      <c r="M341" s="1056"/>
      <c r="N341" s="1056"/>
      <c r="O341" s="1056"/>
      <c r="P341" s="1056"/>
      <c r="Q341" s="1056"/>
      <c r="R341" s="1056"/>
      <c r="S341" s="1056"/>
      <c r="T341" s="1064">
        <f>(T200+T259+T281+T301+T314)/(T201+T260+T282+T302+T315)*100</f>
        <v>97.766269261093015</v>
      </c>
      <c r="U341" s="1056"/>
      <c r="V341" s="987"/>
      <c r="W341" s="936"/>
      <c r="X341" s="937"/>
      <c r="Y341" s="937"/>
      <c r="Z341" s="937"/>
      <c r="AA341" s="937"/>
      <c r="AB341" s="937"/>
      <c r="AC341" s="937"/>
    </row>
    <row r="342" spans="1:29" ht="21" hidden="1">
      <c r="A342" s="1111"/>
      <c r="B342" s="1112"/>
      <c r="C342" s="1113"/>
      <c r="D342" s="1112"/>
      <c r="E342" s="964"/>
      <c r="F342" s="1036"/>
      <c r="G342" s="984"/>
      <c r="H342" s="1114"/>
      <c r="I342" s="1114"/>
      <c r="J342" s="1114"/>
      <c r="K342" s="1114"/>
      <c r="L342" s="1114"/>
      <c r="M342" s="1114"/>
      <c r="N342" s="1114"/>
      <c r="O342" s="1114"/>
      <c r="P342" s="1114"/>
      <c r="Q342" s="1114"/>
      <c r="R342" s="1114"/>
      <c r="S342" s="1114"/>
      <c r="T342" s="1114"/>
      <c r="U342" s="1115"/>
      <c r="V342" s="1115"/>
      <c r="W342" s="936"/>
      <c r="X342" s="937"/>
      <c r="Y342" s="937"/>
      <c r="Z342" s="937"/>
      <c r="AA342" s="937"/>
      <c r="AB342" s="937"/>
      <c r="AC342" s="937"/>
    </row>
    <row r="343" spans="1:29" ht="21" hidden="1">
      <c r="A343" s="947">
        <v>16</v>
      </c>
      <c r="B343" s="948" t="s">
        <v>109</v>
      </c>
      <c r="C343" s="1081" t="s">
        <v>138</v>
      </c>
      <c r="D343" s="947" t="s">
        <v>90</v>
      </c>
      <c r="E343" s="984">
        <f>'[11]Price&amp;Heating-Value'!$R$6</f>
        <v>3.6</v>
      </c>
      <c r="F343" s="964"/>
      <c r="G343" s="1014">
        <f>'[11]Price&amp;Heating-Value'!$P$6</f>
        <v>2.7124999999999999</v>
      </c>
      <c r="H343" s="953">
        <v>1454936.0000000005</v>
      </c>
      <c r="I343" s="953">
        <v>1359903.4899999995</v>
      </c>
      <c r="J343" s="952">
        <v>1558359.0000000002</v>
      </c>
      <c r="K343" s="952"/>
      <c r="L343" s="952"/>
      <c r="M343" s="952"/>
      <c r="N343" s="952"/>
      <c r="O343" s="952"/>
      <c r="P343" s="952"/>
      <c r="Q343" s="952"/>
      <c r="R343" s="952"/>
      <c r="S343" s="952"/>
      <c r="T343" s="952">
        <f t="shared" ref="T343:T353" si="163">SUM(H343:S343)</f>
        <v>4373198.49</v>
      </c>
      <c r="U343" s="952">
        <f>T343*E343</f>
        <v>15743514.564000001</v>
      </c>
      <c r="V343" s="952">
        <f>G343*T343</f>
        <v>11862300.904124999</v>
      </c>
      <c r="W343" s="954">
        <f>'[11]Price&amp;Heating-Value'!D$6</f>
        <v>2.4500000000000002</v>
      </c>
      <c r="X343" s="954">
        <f>'[11]Price&amp;Heating-Value'!E$6</f>
        <v>2.54</v>
      </c>
      <c r="Y343" s="954">
        <f>'[11]Price&amp;Heating-Value'!F$6</f>
        <v>2.58</v>
      </c>
      <c r="Z343" s="954">
        <f>'[11]Price&amp;Heating-Value'!G$6</f>
        <v>2.67</v>
      </c>
      <c r="AA343" s="954">
        <f>'[11]Price&amp;Heating-Value'!H$6</f>
        <v>2.67</v>
      </c>
      <c r="AB343" s="954">
        <f>'[11]Price&amp;Heating-Value'!I$6</f>
        <v>2.67</v>
      </c>
      <c r="AC343" s="954">
        <f>'[11]Price&amp;Heating-Value'!J$6</f>
        <v>2.62</v>
      </c>
    </row>
    <row r="344" spans="1:29" ht="21" hidden="1">
      <c r="A344" s="964"/>
      <c r="B344" s="964"/>
      <c r="C344" s="1031" t="s">
        <v>464</v>
      </c>
      <c r="D344" s="964" t="s">
        <v>121</v>
      </c>
      <c r="E344" s="964">
        <f>'[11]Price&amp;Heating-Value'!$R$9</f>
        <v>2803</v>
      </c>
      <c r="F344" s="964"/>
      <c r="G344" s="965">
        <f>'[11]Price&amp;Heating-Value'!$P$9</f>
        <v>1301.5833333333333</v>
      </c>
      <c r="H344" s="1015">
        <v>4589.8819999999987</v>
      </c>
      <c r="I344" s="1015">
        <v>4140.9820000000009</v>
      </c>
      <c r="J344" s="966">
        <v>4227.0120000000006</v>
      </c>
      <c r="K344" s="966"/>
      <c r="L344" s="966"/>
      <c r="M344" s="966"/>
      <c r="N344" s="966"/>
      <c r="O344" s="966"/>
      <c r="P344" s="966"/>
      <c r="Q344" s="966"/>
      <c r="R344" s="966"/>
      <c r="S344" s="966"/>
      <c r="T344" s="952">
        <f t="shared" si="163"/>
        <v>12957.876</v>
      </c>
      <c r="U344" s="966">
        <f>T344*E344</f>
        <v>36320926.428000003</v>
      </c>
      <c r="V344" s="966">
        <f>G344*T344</f>
        <v>16865755.436999999</v>
      </c>
      <c r="W344" s="982">
        <f>'[11]Price&amp;Heating-Value'!D$9</f>
        <v>1210</v>
      </c>
      <c r="X344" s="982">
        <f>'[11]Price&amp;Heating-Value'!E$9</f>
        <v>1218</v>
      </c>
      <c r="Y344" s="982">
        <f>'[11]Price&amp;Heating-Value'!F$9</f>
        <v>1207</v>
      </c>
      <c r="Z344" s="982">
        <f>'[11]Price&amp;Heating-Value'!G$9</f>
        <v>1232</v>
      </c>
      <c r="AA344" s="982">
        <f>'[11]Price&amp;Heating-Value'!H$9</f>
        <v>1352</v>
      </c>
      <c r="AB344" s="982">
        <f>'[11]Price&amp;Heating-Value'!I$9</f>
        <v>1491</v>
      </c>
      <c r="AC344" s="982">
        <f>'[11]Price&amp;Heating-Value'!J$9</f>
        <v>1588</v>
      </c>
    </row>
    <row r="345" spans="1:29" ht="21" hidden="1">
      <c r="A345" s="964"/>
      <c r="B345" s="964"/>
      <c r="C345" s="1031" t="s">
        <v>408</v>
      </c>
      <c r="D345" s="964" t="s">
        <v>176</v>
      </c>
      <c r="E345" s="984">
        <f>'[11]Price&amp;Heating-Value'!$S$16/1000</f>
        <v>39.770000000000003</v>
      </c>
      <c r="F345" s="1036">
        <f>'[11]Price&amp;Heating-Value'!$T$16</f>
        <v>0.98550000000000004</v>
      </c>
      <c r="G345" s="965">
        <f>'[11]Price&amp;Heating-Value'!$P$16*'[11]Price&amp;Heating-Value'!$T$16/1000</f>
        <v>17.944656726937499</v>
      </c>
      <c r="H345" s="1116">
        <f>1410.867*1000</f>
        <v>1410867</v>
      </c>
      <c r="I345" s="1015">
        <f>1443.224*1000</f>
        <v>1443224</v>
      </c>
      <c r="J345" s="966">
        <f>1751.511637*1000</f>
        <v>1751511.6370000001</v>
      </c>
      <c r="K345" s="966"/>
      <c r="L345" s="966"/>
      <c r="M345" s="966"/>
      <c r="N345" s="966"/>
      <c r="O345" s="966"/>
      <c r="P345" s="966"/>
      <c r="Q345" s="966"/>
      <c r="R345" s="966"/>
      <c r="S345" s="966"/>
      <c r="T345" s="966">
        <f t="shared" si="163"/>
        <v>4605602.6370000001</v>
      </c>
      <c r="U345" s="966">
        <f>T345*E345</f>
        <v>183164816.87349001</v>
      </c>
      <c r="V345" s="966">
        <f>G345*T345</f>
        <v>82645958.34164314</v>
      </c>
      <c r="W345" s="1037">
        <f>'[11]Price&amp;Heating-Value'!D$16*'[11]Price&amp;Heating-Value'!$T$16/1000</f>
        <v>16.779635460000002</v>
      </c>
      <c r="X345" s="982">
        <f>'[11]Price&amp;Heating-Value'!E$16*'[11]Price&amp;Heating-Value'!$T$16/1000</f>
        <v>16.47036585</v>
      </c>
      <c r="Y345" s="982">
        <f>'[11]Price&amp;Heating-Value'!F$16*'[11]Price&amp;Heating-Value'!$T$16/1000</f>
        <v>16.780118354999999</v>
      </c>
      <c r="Z345" s="982">
        <f>'[11]Price&amp;Heating-Value'!G$16*'[11]Price&amp;Heating-Value'!$T$16/1000</f>
        <v>18.287135100000004</v>
      </c>
      <c r="AA345" s="982">
        <f>'[11]Price&amp;Heating-Value'!H$16*'[11]Price&amp;Heating-Value'!$T$16/1000</f>
        <v>20.715278985000001</v>
      </c>
      <c r="AB345" s="982">
        <f>'[11]Price&amp;Heating-Value'!I$16*'[11]Price&amp;Heating-Value'!$T$16/1000</f>
        <v>22.335056640000001</v>
      </c>
      <c r="AC345" s="982">
        <f>'[11]Price&amp;Heating-Value'!J$16*'[11]Price&amp;Heating-Value'!$T$16/1000</f>
        <v>25.718475240000004</v>
      </c>
    </row>
    <row r="346" spans="1:29" ht="21" hidden="1">
      <c r="A346" s="964"/>
      <c r="B346" s="964"/>
      <c r="C346" s="1031" t="s">
        <v>429</v>
      </c>
      <c r="D346" s="964" t="s">
        <v>102</v>
      </c>
      <c r="E346" s="964">
        <f>'[11]Price&amp;Heating-Value'!$R$23/1000</f>
        <v>50.22</v>
      </c>
      <c r="F346" s="964"/>
      <c r="G346" s="965">
        <f>'[11]Price&amp;Heating-Value'!$P$23/1000</f>
        <v>11.61472</v>
      </c>
      <c r="H346" s="1015">
        <f>1361.38196*1000</f>
        <v>1361381.96</v>
      </c>
      <c r="I346" s="1015">
        <f>1175.116241*1000</f>
        <v>1175116.2409999999</v>
      </c>
      <c r="J346" s="966">
        <f>1361.473588*1000</f>
        <v>1361473.588</v>
      </c>
      <c r="K346" s="966"/>
      <c r="L346" s="966"/>
      <c r="M346" s="966"/>
      <c r="N346" s="966"/>
      <c r="O346" s="966"/>
      <c r="P346" s="966"/>
      <c r="Q346" s="966"/>
      <c r="R346" s="966"/>
      <c r="S346" s="966"/>
      <c r="T346" s="966">
        <f t="shared" si="163"/>
        <v>3897971.7889999999</v>
      </c>
      <c r="U346" s="966">
        <f>T346*E346</f>
        <v>195756143.24357998</v>
      </c>
      <c r="V346" s="966">
        <f>G346*T346</f>
        <v>45273850.897134081</v>
      </c>
      <c r="W346" s="982">
        <f>'[11]Price&amp;Heating-Value'!D$23/1000</f>
        <v>11.61472</v>
      </c>
      <c r="X346" s="982">
        <f>'[11]Price&amp;Heating-Value'!E$23/1000</f>
        <v>11.61472</v>
      </c>
      <c r="Y346" s="982">
        <f>'[11]Price&amp;Heating-Value'!F$23/1000</f>
        <v>11.61472</v>
      </c>
      <c r="Z346" s="982">
        <f>'[11]Price&amp;Heating-Value'!G$23/1000</f>
        <v>11.61472</v>
      </c>
      <c r="AA346" s="982">
        <f>'[11]Price&amp;Heating-Value'!H$23/1000</f>
        <v>11.61472</v>
      </c>
      <c r="AB346" s="982">
        <f>'[11]Price&amp;Heating-Value'!I$23/1000</f>
        <v>11.61472</v>
      </c>
      <c r="AC346" s="982">
        <f>'[11]Price&amp;Heating-Value'!J$23/1000</f>
        <v>11.61472</v>
      </c>
    </row>
    <row r="347" spans="1:29" ht="21" hidden="1">
      <c r="A347" s="1011"/>
      <c r="B347" s="989"/>
      <c r="C347" s="990" t="s">
        <v>468</v>
      </c>
      <c r="D347" s="989" t="s">
        <v>121</v>
      </c>
      <c r="E347" s="989"/>
      <c r="F347" s="989"/>
      <c r="G347" s="1011"/>
      <c r="H347" s="1039">
        <v>209202.91086100001</v>
      </c>
      <c r="I347" s="1039">
        <v>204331.191012</v>
      </c>
      <c r="J347" s="1039">
        <v>220433.61608800004</v>
      </c>
      <c r="K347" s="994"/>
      <c r="L347" s="994"/>
      <c r="M347" s="994"/>
      <c r="N347" s="994"/>
      <c r="O347" s="994"/>
      <c r="P347" s="994"/>
      <c r="Q347" s="994"/>
      <c r="R347" s="994"/>
      <c r="S347" s="994"/>
      <c r="T347" s="996">
        <f t="shared" si="163"/>
        <v>633967.71796100005</v>
      </c>
      <c r="U347" s="995"/>
      <c r="V347" s="1026" t="e">
        <f>#REF!/T347</f>
        <v>#REF!</v>
      </c>
      <c r="W347" s="936"/>
      <c r="X347" s="937"/>
      <c r="Y347" s="937"/>
      <c r="Z347" s="937"/>
      <c r="AA347" s="937"/>
      <c r="AB347" s="937"/>
      <c r="AC347" s="937"/>
    </row>
    <row r="348" spans="1:29" ht="21" hidden="1">
      <c r="A348" s="1011"/>
      <c r="B348" s="1011"/>
      <c r="C348" s="1031" t="s">
        <v>138</v>
      </c>
      <c r="D348" s="1011" t="s">
        <v>173</v>
      </c>
      <c r="E348" s="1015"/>
      <c r="F348" s="1117"/>
      <c r="G348" s="1011"/>
      <c r="H348" s="981">
        <f t="shared" ref="H348:J351" si="164">H343*$E343/1000</f>
        <v>5237.7696000000014</v>
      </c>
      <c r="I348" s="981">
        <f t="shared" si="164"/>
        <v>4895.6525639999982</v>
      </c>
      <c r="J348" s="981">
        <f t="shared" si="164"/>
        <v>5610.0924000000014</v>
      </c>
      <c r="K348" s="981"/>
      <c r="L348" s="981"/>
      <c r="M348" s="981"/>
      <c r="N348" s="981"/>
      <c r="O348" s="981"/>
      <c r="P348" s="981"/>
      <c r="Q348" s="981"/>
      <c r="R348" s="981"/>
      <c r="S348" s="981"/>
      <c r="T348" s="981">
        <f t="shared" si="163"/>
        <v>15743.514564000001</v>
      </c>
      <c r="U348" s="981"/>
      <c r="V348" s="981"/>
      <c r="W348" s="936"/>
      <c r="X348" s="937"/>
      <c r="Y348" s="937"/>
      <c r="Z348" s="937"/>
      <c r="AA348" s="937"/>
      <c r="AB348" s="937"/>
      <c r="AC348" s="937"/>
    </row>
    <row r="349" spans="1:29" ht="21" hidden="1">
      <c r="A349" s="1011"/>
      <c r="B349" s="1011"/>
      <c r="C349" s="1031" t="s">
        <v>464</v>
      </c>
      <c r="D349" s="1011" t="s">
        <v>173</v>
      </c>
      <c r="E349" s="964"/>
      <c r="F349" s="964"/>
      <c r="G349" s="1011"/>
      <c r="H349" s="981">
        <f t="shared" si="164"/>
        <v>12865.439245999996</v>
      </c>
      <c r="I349" s="981">
        <f t="shared" si="164"/>
        <v>11607.172546000002</v>
      </c>
      <c r="J349" s="981">
        <f t="shared" si="164"/>
        <v>11848.314636000001</v>
      </c>
      <c r="K349" s="981"/>
      <c r="L349" s="981"/>
      <c r="M349" s="981"/>
      <c r="N349" s="981"/>
      <c r="O349" s="981"/>
      <c r="P349" s="981"/>
      <c r="Q349" s="981"/>
      <c r="R349" s="981"/>
      <c r="S349" s="981"/>
      <c r="T349" s="981">
        <f t="shared" si="163"/>
        <v>36320.926427999999</v>
      </c>
      <c r="U349" s="981"/>
      <c r="V349" s="981"/>
      <c r="W349" s="936"/>
      <c r="X349" s="937"/>
      <c r="Y349" s="937"/>
      <c r="Z349" s="937"/>
      <c r="AA349" s="937"/>
      <c r="AB349" s="937"/>
      <c r="AC349" s="937"/>
    </row>
    <row r="350" spans="1:29" ht="21.75" hidden="1" customHeight="1">
      <c r="A350" s="1011"/>
      <c r="B350" s="1011"/>
      <c r="C350" s="1031" t="s">
        <v>408</v>
      </c>
      <c r="D350" s="1011" t="s">
        <v>173</v>
      </c>
      <c r="E350" s="964"/>
      <c r="F350" s="964"/>
      <c r="G350" s="1011"/>
      <c r="H350" s="981">
        <f>H345*$E345/1000</f>
        <v>56110.180590000004</v>
      </c>
      <c r="I350" s="981">
        <f t="shared" si="164"/>
        <v>57397.018480000006</v>
      </c>
      <c r="J350" s="981">
        <f t="shared" si="164"/>
        <v>69657.617803490008</v>
      </c>
      <c r="K350" s="981"/>
      <c r="L350" s="981"/>
      <c r="M350" s="981"/>
      <c r="N350" s="981"/>
      <c r="O350" s="981"/>
      <c r="P350" s="981"/>
      <c r="Q350" s="981"/>
      <c r="R350" s="981"/>
      <c r="S350" s="981"/>
      <c r="T350" s="981">
        <f t="shared" si="163"/>
        <v>183164.81687349</v>
      </c>
      <c r="U350" s="981"/>
      <c r="V350" s="981"/>
      <c r="W350" s="936"/>
      <c r="X350" s="937"/>
      <c r="Y350" s="937"/>
      <c r="Z350" s="937"/>
      <c r="AA350" s="937"/>
      <c r="AB350" s="937"/>
      <c r="AC350" s="937"/>
    </row>
    <row r="351" spans="1:29" ht="21" hidden="1">
      <c r="A351" s="1011"/>
      <c r="B351" s="1011"/>
      <c r="C351" s="1031" t="s">
        <v>456</v>
      </c>
      <c r="D351" s="1011" t="s">
        <v>173</v>
      </c>
      <c r="E351" s="964"/>
      <c r="F351" s="964"/>
      <c r="G351" s="1011"/>
      <c r="H351" s="981">
        <f>H346*$E346/1000</f>
        <v>68368.602031199989</v>
      </c>
      <c r="I351" s="981">
        <f t="shared" si="164"/>
        <v>59014.337623019994</v>
      </c>
      <c r="J351" s="981">
        <f t="shared" si="164"/>
        <v>68373.203589359997</v>
      </c>
      <c r="K351" s="981"/>
      <c r="L351" s="981"/>
      <c r="M351" s="981"/>
      <c r="N351" s="981"/>
      <c r="O351" s="981"/>
      <c r="P351" s="981"/>
      <c r="Q351" s="981"/>
      <c r="R351" s="981"/>
      <c r="S351" s="981"/>
      <c r="T351" s="981">
        <f t="shared" si="163"/>
        <v>195756.14324357998</v>
      </c>
      <c r="U351" s="981"/>
      <c r="V351" s="981"/>
      <c r="W351" s="936"/>
      <c r="X351" s="937"/>
      <c r="Y351" s="937"/>
      <c r="Z351" s="937"/>
      <c r="AA351" s="937"/>
      <c r="AB351" s="937"/>
      <c r="AC351" s="937"/>
    </row>
    <row r="352" spans="1:29" ht="21" hidden="1">
      <c r="A352" s="1011"/>
      <c r="B352" s="964"/>
      <c r="C352" s="983" t="s">
        <v>465</v>
      </c>
      <c r="D352" s="964" t="s">
        <v>173</v>
      </c>
      <c r="E352" s="1011"/>
      <c r="F352" s="1011"/>
      <c r="G352" s="1011"/>
      <c r="H352" s="981">
        <f>SUM(H348:H351)</f>
        <v>142581.99146719999</v>
      </c>
      <c r="I352" s="981">
        <f t="shared" ref="I352:J352" si="165">SUM(I348:I351)</f>
        <v>132914.18121302</v>
      </c>
      <c r="J352" s="981">
        <f t="shared" si="165"/>
        <v>155489.22842885001</v>
      </c>
      <c r="K352" s="981"/>
      <c r="L352" s="981"/>
      <c r="M352" s="981"/>
      <c r="N352" s="981"/>
      <c r="O352" s="981"/>
      <c r="P352" s="981"/>
      <c r="Q352" s="981"/>
      <c r="R352" s="981"/>
      <c r="S352" s="981"/>
      <c r="T352" s="1032">
        <f t="shared" si="163"/>
        <v>430985.40110906999</v>
      </c>
      <c r="U352" s="981"/>
      <c r="V352" s="1033" t="e">
        <f>#REF!/T352</f>
        <v>#REF!</v>
      </c>
      <c r="W352" s="936"/>
      <c r="X352" s="937"/>
      <c r="Y352" s="937"/>
      <c r="Z352" s="937"/>
      <c r="AA352" s="937"/>
      <c r="AB352" s="937"/>
      <c r="AC352" s="937"/>
    </row>
    <row r="353" spans="1:29" ht="21" hidden="1">
      <c r="A353" s="1011"/>
      <c r="B353" s="964"/>
      <c r="C353" s="983" t="s">
        <v>345</v>
      </c>
      <c r="D353" s="964" t="s">
        <v>173</v>
      </c>
      <c r="E353" s="1811" t="s">
        <v>930</v>
      </c>
      <c r="F353" s="1812"/>
      <c r="G353" s="1813"/>
      <c r="H353" s="1002">
        <f>((0.5518*H347) + 10358)*104.72/100</f>
        <v>131733.7452583581</v>
      </c>
      <c r="I353" s="1002">
        <f t="shared" ref="I353:J353" si="166">((0.5518*I347) + 10358)*104.72/100</f>
        <v>128918.6464970815</v>
      </c>
      <c r="J353" s="1002">
        <f t="shared" si="166"/>
        <v>138223.35167102571</v>
      </c>
      <c r="K353" s="966"/>
      <c r="L353" s="966"/>
      <c r="M353" s="966"/>
      <c r="N353" s="966"/>
      <c r="O353" s="966"/>
      <c r="P353" s="966"/>
      <c r="Q353" s="966"/>
      <c r="R353" s="966"/>
      <c r="S353" s="966"/>
      <c r="T353" s="966">
        <f t="shared" si="163"/>
        <v>398875.74342646531</v>
      </c>
      <c r="U353" s="966"/>
      <c r="V353" s="1001" t="s">
        <v>158</v>
      </c>
      <c r="W353" s="936"/>
      <c r="X353" s="937"/>
      <c r="Y353" s="937"/>
      <c r="Z353" s="937"/>
      <c r="AA353" s="937"/>
      <c r="AB353" s="937"/>
      <c r="AC353" s="937"/>
    </row>
    <row r="354" spans="1:29" ht="21" hidden="1">
      <c r="A354" s="1011"/>
      <c r="B354" s="1003" t="s">
        <v>174</v>
      </c>
      <c r="C354" s="1004" t="s">
        <v>138</v>
      </c>
      <c r="D354" s="1003" t="s">
        <v>347</v>
      </c>
      <c r="E354" s="1003"/>
      <c r="F354" s="1118">
        <v>3.2377410847252312E-2</v>
      </c>
      <c r="G354" s="1108">
        <v>3.8572855537123661E-2</v>
      </c>
      <c r="H354" s="1006">
        <f>H348/H$347</f>
        <v>2.5036791211189766E-2</v>
      </c>
      <c r="I354" s="1006">
        <f t="shared" ref="I354:S358" si="167">I348/I$347</f>
        <v>2.3959399148769635E-2</v>
      </c>
      <c r="J354" s="1119">
        <f t="shared" si="167"/>
        <v>2.54502579940456E-2</v>
      </c>
      <c r="K354" s="1006" t="e">
        <f t="shared" si="167"/>
        <v>#DIV/0!</v>
      </c>
      <c r="L354" s="1006" t="e">
        <f t="shared" si="167"/>
        <v>#DIV/0!</v>
      </c>
      <c r="M354" s="1006" t="e">
        <f t="shared" si="167"/>
        <v>#DIV/0!</v>
      </c>
      <c r="N354" s="1006" t="e">
        <f t="shared" si="167"/>
        <v>#DIV/0!</v>
      </c>
      <c r="O354" s="1006" t="e">
        <f t="shared" si="167"/>
        <v>#DIV/0!</v>
      </c>
      <c r="P354" s="1006" t="e">
        <f t="shared" si="167"/>
        <v>#DIV/0!</v>
      </c>
      <c r="Q354" s="1006" t="e">
        <f t="shared" si="167"/>
        <v>#DIV/0!</v>
      </c>
      <c r="R354" s="1006" t="e">
        <f t="shared" si="167"/>
        <v>#DIV/0!</v>
      </c>
      <c r="S354" s="1006" t="e">
        <f t="shared" si="167"/>
        <v>#DIV/0!</v>
      </c>
      <c r="T354" s="1006">
        <f>T348/T$347</f>
        <v>2.4833306362404557E-2</v>
      </c>
      <c r="U354" s="1007"/>
      <c r="V354" s="1007"/>
      <c r="W354" s="936"/>
      <c r="X354" s="937"/>
      <c r="Y354" s="937"/>
      <c r="Z354" s="937"/>
      <c r="AA354" s="937"/>
      <c r="AB354" s="937"/>
      <c r="AC354" s="937"/>
    </row>
    <row r="355" spans="1:29" ht="21" hidden="1">
      <c r="A355" s="1011"/>
      <c r="B355" s="1003"/>
      <c r="C355" s="1004" t="s">
        <v>464</v>
      </c>
      <c r="D355" s="1003" t="s">
        <v>347</v>
      </c>
      <c r="E355" s="1003"/>
      <c r="F355" s="1020">
        <v>8.8920880349206075E-2</v>
      </c>
      <c r="G355" s="1040">
        <v>8.6353541339854595E-2</v>
      </c>
      <c r="H355" s="1006">
        <f>H349/H$347</f>
        <v>6.1497419864048337E-2</v>
      </c>
      <c r="I355" s="1006">
        <f t="shared" si="167"/>
        <v>5.6805681445464357E-2</v>
      </c>
      <c r="J355" s="1006">
        <f t="shared" si="167"/>
        <v>5.3750035254468607E-2</v>
      </c>
      <c r="K355" s="1006" t="e">
        <f t="shared" si="167"/>
        <v>#DIV/0!</v>
      </c>
      <c r="L355" s="1006" t="e">
        <f t="shared" si="167"/>
        <v>#DIV/0!</v>
      </c>
      <c r="M355" s="1006" t="e">
        <f t="shared" si="167"/>
        <v>#DIV/0!</v>
      </c>
      <c r="N355" s="1006" t="e">
        <f t="shared" si="167"/>
        <v>#DIV/0!</v>
      </c>
      <c r="O355" s="1006" t="e">
        <f t="shared" si="167"/>
        <v>#DIV/0!</v>
      </c>
      <c r="P355" s="1006" t="e">
        <f t="shared" si="167"/>
        <v>#DIV/0!</v>
      </c>
      <c r="Q355" s="1006" t="e">
        <f t="shared" si="167"/>
        <v>#DIV/0!</v>
      </c>
      <c r="R355" s="1006" t="e">
        <f t="shared" si="167"/>
        <v>#DIV/0!</v>
      </c>
      <c r="S355" s="1006" t="e">
        <f t="shared" si="167"/>
        <v>#DIV/0!</v>
      </c>
      <c r="T355" s="1006">
        <f>T349/T$347</f>
        <v>5.7291444657177892E-2</v>
      </c>
      <c r="U355" s="1007"/>
      <c r="V355" s="1007"/>
      <c r="W355" s="936"/>
      <c r="X355" s="937"/>
      <c r="Y355" s="937"/>
      <c r="Z355" s="937"/>
      <c r="AA355" s="937"/>
      <c r="AB355" s="937"/>
      <c r="AC355" s="937"/>
    </row>
    <row r="356" spans="1:29" ht="21" hidden="1">
      <c r="A356" s="1011"/>
      <c r="B356" s="1003"/>
      <c r="C356" s="1093" t="s">
        <v>408</v>
      </c>
      <c r="D356" s="1003" t="s">
        <v>347</v>
      </c>
      <c r="E356" s="1003"/>
      <c r="F356" s="1020">
        <v>0.31152510543306156</v>
      </c>
      <c r="G356" s="1040">
        <v>0.14728170188153242</v>
      </c>
      <c r="H356" s="1006">
        <f>H350/H$347</f>
        <v>0.26820936840253196</v>
      </c>
      <c r="I356" s="1006">
        <f t="shared" si="167"/>
        <v>0.28090189361559187</v>
      </c>
      <c r="J356" s="1006">
        <f t="shared" si="167"/>
        <v>0.31600269976826839</v>
      </c>
      <c r="K356" s="1006" t="e">
        <f t="shared" si="167"/>
        <v>#DIV/0!</v>
      </c>
      <c r="L356" s="1006" t="e">
        <f t="shared" si="167"/>
        <v>#DIV/0!</v>
      </c>
      <c r="M356" s="1006" t="e">
        <f t="shared" si="167"/>
        <v>#DIV/0!</v>
      </c>
      <c r="N356" s="1006" t="e">
        <f t="shared" si="167"/>
        <v>#DIV/0!</v>
      </c>
      <c r="O356" s="1006" t="e">
        <f t="shared" si="167"/>
        <v>#DIV/0!</v>
      </c>
      <c r="P356" s="1006" t="e">
        <f t="shared" si="167"/>
        <v>#DIV/0!</v>
      </c>
      <c r="Q356" s="1006" t="e">
        <f t="shared" si="167"/>
        <v>#DIV/0!</v>
      </c>
      <c r="R356" s="1006" t="e">
        <f t="shared" si="167"/>
        <v>#DIV/0!</v>
      </c>
      <c r="S356" s="1006" t="e">
        <f t="shared" si="167"/>
        <v>#DIV/0!</v>
      </c>
      <c r="T356" s="1006">
        <f>T350/T$347</f>
        <v>0.28891820779549188</v>
      </c>
      <c r="U356" s="1007"/>
      <c r="V356" s="1007"/>
      <c r="W356" s="936"/>
      <c r="X356" s="937"/>
      <c r="Y356" s="937"/>
      <c r="Z356" s="937"/>
      <c r="AA356" s="937"/>
      <c r="AB356" s="937"/>
      <c r="AC356" s="937"/>
    </row>
    <row r="357" spans="1:29" ht="21" hidden="1">
      <c r="A357" s="1011"/>
      <c r="B357" s="1003"/>
      <c r="C357" s="1093" t="s">
        <v>456</v>
      </c>
      <c r="D357" s="1003" t="s">
        <v>347</v>
      </c>
      <c r="E357" s="1003"/>
      <c r="F357" s="1020">
        <v>0.17779234770649577</v>
      </c>
      <c r="G357" s="1040">
        <v>0.30840673967065468</v>
      </c>
      <c r="H357" s="1006">
        <f>H351/H$347</f>
        <v>0.32680521389411216</v>
      </c>
      <c r="I357" s="1006">
        <f t="shared" si="167"/>
        <v>0.28881707844376137</v>
      </c>
      <c r="J357" s="1006">
        <f t="shared" si="167"/>
        <v>0.31017593778466396</v>
      </c>
      <c r="K357" s="1006" t="e">
        <f t="shared" si="167"/>
        <v>#DIV/0!</v>
      </c>
      <c r="L357" s="1006" t="e">
        <f t="shared" si="167"/>
        <v>#DIV/0!</v>
      </c>
      <c r="M357" s="1006" t="e">
        <f t="shared" si="167"/>
        <v>#DIV/0!</v>
      </c>
      <c r="N357" s="1006" t="e">
        <f t="shared" si="167"/>
        <v>#DIV/0!</v>
      </c>
      <c r="O357" s="1006" t="e">
        <f t="shared" si="167"/>
        <v>#DIV/0!</v>
      </c>
      <c r="P357" s="1006" t="e">
        <f t="shared" si="167"/>
        <v>#DIV/0!</v>
      </c>
      <c r="Q357" s="1006" t="e">
        <f t="shared" si="167"/>
        <v>#DIV/0!</v>
      </c>
      <c r="R357" s="1006" t="e">
        <f t="shared" si="167"/>
        <v>#DIV/0!</v>
      </c>
      <c r="S357" s="1006" t="e">
        <f t="shared" si="167"/>
        <v>#DIV/0!</v>
      </c>
      <c r="T357" s="1006">
        <f>T351/T$347</f>
        <v>0.308779355316673</v>
      </c>
      <c r="U357" s="1007"/>
      <c r="V357" s="1007"/>
      <c r="W357" s="936"/>
      <c r="X357" s="937"/>
      <c r="Y357" s="937"/>
      <c r="Z357" s="937"/>
      <c r="AA357" s="937"/>
      <c r="AB357" s="937"/>
      <c r="AC357" s="937"/>
    </row>
    <row r="358" spans="1:29" ht="23.25" hidden="1">
      <c r="A358" s="1011"/>
      <c r="B358" s="1003"/>
      <c r="C358" s="1008" t="s">
        <v>466</v>
      </c>
      <c r="D358" s="1003" t="s">
        <v>347</v>
      </c>
      <c r="E358" s="1003"/>
      <c r="F358" s="1118">
        <f>SUM(F354:F357)</f>
        <v>0.61061574433601573</v>
      </c>
      <c r="G358" s="1108">
        <f>SUM(G354:G357)</f>
        <v>0.58061483842916539</v>
      </c>
      <c r="H358" s="1006">
        <f>H352/H$347</f>
        <v>0.68154879337188223</v>
      </c>
      <c r="I358" s="1006">
        <f t="shared" si="167"/>
        <v>0.65048405265358722</v>
      </c>
      <c r="J358" s="1006">
        <f t="shared" si="167"/>
        <v>0.70537893080144654</v>
      </c>
      <c r="K358" s="1006" t="e">
        <f t="shared" si="167"/>
        <v>#DIV/0!</v>
      </c>
      <c r="L358" s="1006" t="e">
        <f t="shared" si="167"/>
        <v>#DIV/0!</v>
      </c>
      <c r="M358" s="1006" t="e">
        <f t="shared" si="167"/>
        <v>#DIV/0!</v>
      </c>
      <c r="N358" s="1006" t="e">
        <f t="shared" si="167"/>
        <v>#DIV/0!</v>
      </c>
      <c r="O358" s="1006" t="e">
        <f t="shared" si="167"/>
        <v>#DIV/0!</v>
      </c>
      <c r="P358" s="1006" t="e">
        <f t="shared" si="167"/>
        <v>#DIV/0!</v>
      </c>
      <c r="Q358" s="1006" t="e">
        <f t="shared" si="167"/>
        <v>#DIV/0!</v>
      </c>
      <c r="R358" s="1006" t="e">
        <f t="shared" si="167"/>
        <v>#DIV/0!</v>
      </c>
      <c r="S358" s="1006" t="e">
        <f t="shared" si="167"/>
        <v>#DIV/0!</v>
      </c>
      <c r="T358" s="1021">
        <f>T352/T347</f>
        <v>0.67982231413174732</v>
      </c>
      <c r="U358" s="1007"/>
      <c r="V358" s="1007"/>
      <c r="W358" s="936"/>
      <c r="X358" s="937"/>
      <c r="Y358" s="937"/>
      <c r="Z358" s="937"/>
      <c r="AA358" s="937"/>
      <c r="AB358" s="937"/>
      <c r="AC358" s="937"/>
    </row>
    <row r="359" spans="1:29" ht="21" hidden="1">
      <c r="A359" s="1011"/>
      <c r="B359" s="1003"/>
      <c r="C359" s="1008" t="s">
        <v>467</v>
      </c>
      <c r="D359" s="1003"/>
      <c r="E359" s="1003"/>
      <c r="F359" s="1005">
        <f>J358/F358*100</f>
        <v>115.51928317349176</v>
      </c>
      <c r="G359" s="1058">
        <f>G358/F358*100</f>
        <v>95.086778193137917</v>
      </c>
      <c r="H359" s="1009">
        <f>H352/H353*100</f>
        <v>108.23497896272983</v>
      </c>
      <c r="I359" s="1009">
        <f t="shared" ref="I359:T359" si="168">I352/I353*100</f>
        <v>103.09926827848675</v>
      </c>
      <c r="J359" s="1009">
        <f>J352/J353*100</f>
        <v>112.49128786785421</v>
      </c>
      <c r="K359" s="1009" t="e">
        <f>K352/K353*100</f>
        <v>#DIV/0!</v>
      </c>
      <c r="L359" s="1009" t="e">
        <f t="shared" si="168"/>
        <v>#DIV/0!</v>
      </c>
      <c r="M359" s="1009" t="e">
        <f t="shared" si="168"/>
        <v>#DIV/0!</v>
      </c>
      <c r="N359" s="1009" t="e">
        <f t="shared" si="168"/>
        <v>#DIV/0!</v>
      </c>
      <c r="O359" s="1009" t="e">
        <f t="shared" si="168"/>
        <v>#DIV/0!</v>
      </c>
      <c r="P359" s="1009" t="e">
        <f t="shared" si="168"/>
        <v>#DIV/0!</v>
      </c>
      <c r="Q359" s="1009" t="e">
        <f t="shared" si="168"/>
        <v>#DIV/0!</v>
      </c>
      <c r="R359" s="1009" t="e">
        <f t="shared" si="168"/>
        <v>#DIV/0!</v>
      </c>
      <c r="S359" s="1009" t="e">
        <f t="shared" si="168"/>
        <v>#DIV/0!</v>
      </c>
      <c r="T359" s="1009">
        <f t="shared" si="168"/>
        <v>108.05004019717339</v>
      </c>
      <c r="U359" s="1007"/>
      <c r="V359" s="1007"/>
      <c r="W359" s="936"/>
      <c r="X359" s="937"/>
      <c r="Y359" s="937"/>
      <c r="Z359" s="937"/>
      <c r="AA359" s="937"/>
      <c r="AB359" s="937"/>
      <c r="AC359" s="937"/>
    </row>
    <row r="360" spans="1:29" ht="21" hidden="1">
      <c r="A360" s="947">
        <v>17</v>
      </c>
      <c r="B360" s="947" t="s">
        <v>127</v>
      </c>
      <c r="C360" s="1081" t="s">
        <v>138</v>
      </c>
      <c r="D360" s="947" t="s">
        <v>90</v>
      </c>
      <c r="E360" s="984">
        <f>'[11]Price&amp;Heating-Value'!$R$6</f>
        <v>3.6</v>
      </c>
      <c r="F360" s="964"/>
      <c r="G360" s="1014">
        <f>'[11]Price&amp;Heating-Value'!$P$6</f>
        <v>2.7124999999999999</v>
      </c>
      <c r="H360" s="953">
        <v>1488605</v>
      </c>
      <c r="I360" s="953">
        <v>1318701</v>
      </c>
      <c r="J360" s="952">
        <v>1503864</v>
      </c>
      <c r="K360" s="952"/>
      <c r="L360" s="952"/>
      <c r="M360" s="952"/>
      <c r="N360" s="952"/>
      <c r="O360" s="952"/>
      <c r="P360" s="952"/>
      <c r="Q360" s="952"/>
      <c r="R360" s="952"/>
      <c r="S360" s="952"/>
      <c r="T360" s="952">
        <f t="shared" ref="T360:T370" si="169">SUM(H360:S360)</f>
        <v>4311170</v>
      </c>
      <c r="U360" s="952">
        <f>T360*E360</f>
        <v>15520212</v>
      </c>
      <c r="V360" s="952">
        <f>G360*T360</f>
        <v>11694048.625</v>
      </c>
      <c r="W360" s="954">
        <f>'[11]Price&amp;Heating-Value'!D$6</f>
        <v>2.4500000000000002</v>
      </c>
      <c r="X360" s="954">
        <f>'[11]Price&amp;Heating-Value'!E$6</f>
        <v>2.54</v>
      </c>
      <c r="Y360" s="954">
        <f>'[11]Price&amp;Heating-Value'!F$6</f>
        <v>2.58</v>
      </c>
      <c r="Z360" s="954">
        <f>'[11]Price&amp;Heating-Value'!G$6</f>
        <v>2.67</v>
      </c>
      <c r="AA360" s="954">
        <f>'[11]Price&amp;Heating-Value'!H$6</f>
        <v>2.67</v>
      </c>
      <c r="AB360" s="954">
        <f>'[11]Price&amp;Heating-Value'!I$6</f>
        <v>2.67</v>
      </c>
      <c r="AC360" s="954">
        <f>'[11]Price&amp;Heating-Value'!J$6</f>
        <v>2.62</v>
      </c>
    </row>
    <row r="361" spans="1:29" ht="21" hidden="1">
      <c r="A361" s="964"/>
      <c r="B361" s="964"/>
      <c r="C361" s="1031" t="s">
        <v>464</v>
      </c>
      <c r="D361" s="964" t="s">
        <v>121</v>
      </c>
      <c r="E361" s="964">
        <f>'[11]Price&amp;Heating-Value'!$R$9</f>
        <v>2803</v>
      </c>
      <c r="F361" s="964"/>
      <c r="G361" s="965">
        <f>'[11]Price&amp;Heating-Value'!$P$9</f>
        <v>1301.5833333333333</v>
      </c>
      <c r="H361" s="1015">
        <v>2510.5520000000001</v>
      </c>
      <c r="I361" s="1015">
        <v>2332</v>
      </c>
      <c r="J361" s="966">
        <v>2677.2510000000002</v>
      </c>
      <c r="K361" s="966"/>
      <c r="L361" s="966"/>
      <c r="M361" s="966"/>
      <c r="N361" s="966"/>
      <c r="O361" s="966"/>
      <c r="P361" s="966"/>
      <c r="Q361" s="966"/>
      <c r="R361" s="966"/>
      <c r="S361" s="966"/>
      <c r="T361" s="952">
        <f t="shared" si="169"/>
        <v>7519.8029999999999</v>
      </c>
      <c r="U361" s="966">
        <f>T361*E361</f>
        <v>21078007.809</v>
      </c>
      <c r="V361" s="966">
        <f>G361*T361</f>
        <v>9787650.2547499985</v>
      </c>
      <c r="W361" s="982">
        <f>'[11]Price&amp;Heating-Value'!D$9</f>
        <v>1210</v>
      </c>
      <c r="X361" s="982">
        <f>'[11]Price&amp;Heating-Value'!E$9</f>
        <v>1218</v>
      </c>
      <c r="Y361" s="982">
        <f>'[11]Price&amp;Heating-Value'!F$9</f>
        <v>1207</v>
      </c>
      <c r="Z361" s="982">
        <f>'[11]Price&amp;Heating-Value'!G$9</f>
        <v>1232</v>
      </c>
      <c r="AA361" s="982">
        <f>'[11]Price&amp;Heating-Value'!H$9</f>
        <v>1352</v>
      </c>
      <c r="AB361" s="982">
        <f>'[11]Price&amp;Heating-Value'!I$9</f>
        <v>1491</v>
      </c>
      <c r="AC361" s="982">
        <f>'[11]Price&amp;Heating-Value'!J$9</f>
        <v>1588</v>
      </c>
    </row>
    <row r="362" spans="1:29" ht="21" hidden="1">
      <c r="A362" s="964"/>
      <c r="B362" s="1120" t="s">
        <v>868</v>
      </c>
      <c r="C362" s="1031" t="s">
        <v>408</v>
      </c>
      <c r="D362" s="964" t="s">
        <v>176</v>
      </c>
      <c r="E362" s="984">
        <f>'[11]Price&amp;Heating-Value'!$S$16/1000</f>
        <v>39.770000000000003</v>
      </c>
      <c r="F362" s="1036">
        <f>'[11]Price&amp;Heating-Value'!$T$16</f>
        <v>0.98550000000000004</v>
      </c>
      <c r="G362" s="965">
        <f>'[11]Price&amp;Heating-Value'!$P$16*'[11]Price&amp;Heating-Value'!$T$16/1000</f>
        <v>17.944656726937499</v>
      </c>
      <c r="H362" s="1121">
        <f>6.01*1000</f>
        <v>6010</v>
      </c>
      <c r="I362" s="1015">
        <f>6.574*1000</f>
        <v>6574</v>
      </c>
      <c r="J362" s="966">
        <v>0</v>
      </c>
      <c r="K362" s="966"/>
      <c r="L362" s="966"/>
      <c r="M362" s="966"/>
      <c r="N362" s="966"/>
      <c r="O362" s="966"/>
      <c r="P362" s="966"/>
      <c r="Q362" s="966"/>
      <c r="R362" s="966"/>
      <c r="S362" s="966"/>
      <c r="T362" s="966">
        <f t="shared" si="169"/>
        <v>12584</v>
      </c>
      <c r="U362" s="966">
        <f>T362*E362</f>
        <v>500465.68000000005</v>
      </c>
      <c r="V362" s="966">
        <f>G362*T362</f>
        <v>225815.56025178148</v>
      </c>
      <c r="W362" s="1037">
        <f>'[11]Price&amp;Heating-Value'!D$16*'[11]Price&amp;Heating-Value'!$T$16/1000</f>
        <v>16.779635460000002</v>
      </c>
      <c r="X362" s="982">
        <f>'[11]Price&amp;Heating-Value'!E$16*'[11]Price&amp;Heating-Value'!$T$16/1000</f>
        <v>16.47036585</v>
      </c>
      <c r="Y362" s="982">
        <f>'[11]Price&amp;Heating-Value'!F$16*'[11]Price&amp;Heating-Value'!$T$16/1000</f>
        <v>16.780118354999999</v>
      </c>
      <c r="Z362" s="982">
        <f>'[11]Price&amp;Heating-Value'!G$16*'[11]Price&amp;Heating-Value'!$T$16/1000</f>
        <v>18.287135100000004</v>
      </c>
      <c r="AA362" s="982">
        <f>'[11]Price&amp;Heating-Value'!H$16*'[11]Price&amp;Heating-Value'!$T$16/1000</f>
        <v>20.715278985000001</v>
      </c>
      <c r="AB362" s="982">
        <f>'[11]Price&amp;Heating-Value'!I$16*'[11]Price&amp;Heating-Value'!$T$16/1000</f>
        <v>22.335056640000001</v>
      </c>
      <c r="AC362" s="982">
        <f>'[11]Price&amp;Heating-Value'!J$16*'[11]Price&amp;Heating-Value'!$T$16/1000</f>
        <v>25.718475240000004</v>
      </c>
    </row>
    <row r="363" spans="1:29" ht="21" hidden="1">
      <c r="A363" s="964"/>
      <c r="B363" s="1120" t="s">
        <v>868</v>
      </c>
      <c r="C363" s="1031" t="s">
        <v>429</v>
      </c>
      <c r="D363" s="964" t="s">
        <v>102</v>
      </c>
      <c r="E363" s="964">
        <f>'[11]Price&amp;Heating-Value'!$R$23/1000</f>
        <v>50.22</v>
      </c>
      <c r="F363" s="964"/>
      <c r="G363" s="965">
        <f>'[11]Price&amp;Heating-Value'!$P$23/1000</f>
        <v>11.61472</v>
      </c>
      <c r="H363" s="1122">
        <f>359.605345*1000</f>
        <v>359605.34499999997</v>
      </c>
      <c r="I363" s="1015">
        <f>318*1000</f>
        <v>318000</v>
      </c>
      <c r="J363" s="966">
        <v>385046.679</v>
      </c>
      <c r="K363" s="966"/>
      <c r="L363" s="966"/>
      <c r="M363" s="966"/>
      <c r="N363" s="966"/>
      <c r="O363" s="966"/>
      <c r="P363" s="966"/>
      <c r="Q363" s="966"/>
      <c r="R363" s="966"/>
      <c r="S363" s="966"/>
      <c r="T363" s="966">
        <f t="shared" si="169"/>
        <v>1062652.024</v>
      </c>
      <c r="U363" s="966">
        <f>T363*E363</f>
        <v>53366384.645279996</v>
      </c>
      <c r="V363" s="966">
        <f>G363*T363</f>
        <v>12342405.716193279</v>
      </c>
      <c r="W363" s="982">
        <f>'[11]Price&amp;Heating-Value'!D$23/1000</f>
        <v>11.61472</v>
      </c>
      <c r="X363" s="982">
        <f>'[11]Price&amp;Heating-Value'!E$23/1000</f>
        <v>11.61472</v>
      </c>
      <c r="Y363" s="982">
        <f>'[11]Price&amp;Heating-Value'!F$23/1000</f>
        <v>11.61472</v>
      </c>
      <c r="Z363" s="982">
        <f>'[11]Price&amp;Heating-Value'!G$23/1000</f>
        <v>11.61472</v>
      </c>
      <c r="AA363" s="982">
        <f>'[11]Price&amp;Heating-Value'!H$23/1000</f>
        <v>11.61472</v>
      </c>
      <c r="AB363" s="982">
        <f>'[11]Price&amp;Heating-Value'!I$23/1000</f>
        <v>11.61472</v>
      </c>
      <c r="AC363" s="982">
        <f>'[11]Price&amp;Heating-Value'!J$23/1000</f>
        <v>11.61472</v>
      </c>
    </row>
    <row r="364" spans="1:29" ht="21" hidden="1">
      <c r="A364" s="1011"/>
      <c r="B364" s="989"/>
      <c r="C364" s="990" t="s">
        <v>468</v>
      </c>
      <c r="D364" s="989" t="s">
        <v>121</v>
      </c>
      <c r="E364" s="1123"/>
      <c r="F364" s="989"/>
      <c r="G364" s="1011"/>
      <c r="H364" s="1023">
        <v>98647.398602000001</v>
      </c>
      <c r="I364" s="1023">
        <v>90440.97546500001</v>
      </c>
      <c r="J364" s="994">
        <v>101658.22119600001</v>
      </c>
      <c r="K364" s="994"/>
      <c r="L364" s="994"/>
      <c r="M364" s="994"/>
      <c r="N364" s="994"/>
      <c r="O364" s="994"/>
      <c r="P364" s="994"/>
      <c r="Q364" s="994"/>
      <c r="R364" s="994"/>
      <c r="S364" s="994"/>
      <c r="T364" s="996">
        <f t="shared" si="169"/>
        <v>290746.595263</v>
      </c>
      <c r="U364" s="995"/>
      <c r="V364" s="1026" t="e">
        <f>#REF!/T364</f>
        <v>#REF!</v>
      </c>
      <c r="W364" s="936"/>
      <c r="X364" s="937"/>
      <c r="Y364" s="937"/>
      <c r="Z364" s="937"/>
      <c r="AA364" s="937"/>
      <c r="AB364" s="937"/>
      <c r="AC364" s="937"/>
    </row>
    <row r="365" spans="1:29" ht="21" hidden="1">
      <c r="A365" s="1011"/>
      <c r="B365" s="1011"/>
      <c r="C365" s="1031" t="s">
        <v>138</v>
      </c>
      <c r="D365" s="1011" t="s">
        <v>173</v>
      </c>
      <c r="E365" s="964"/>
      <c r="F365" s="964"/>
      <c r="G365" s="1011"/>
      <c r="H365" s="981">
        <f t="shared" ref="H365:S368" si="170">H360*$E360/1000</f>
        <v>5358.9780000000001</v>
      </c>
      <c r="I365" s="981">
        <f t="shared" si="170"/>
        <v>4747.3236000000006</v>
      </c>
      <c r="J365" s="981">
        <f t="shared" si="170"/>
        <v>5413.9104000000007</v>
      </c>
      <c r="K365" s="981">
        <f t="shared" si="170"/>
        <v>0</v>
      </c>
      <c r="L365" s="981">
        <f t="shared" si="170"/>
        <v>0</v>
      </c>
      <c r="M365" s="981">
        <f t="shared" si="170"/>
        <v>0</v>
      </c>
      <c r="N365" s="981">
        <f t="shared" si="170"/>
        <v>0</v>
      </c>
      <c r="O365" s="981">
        <f t="shared" si="170"/>
        <v>0</v>
      </c>
      <c r="P365" s="981">
        <f t="shared" si="170"/>
        <v>0</v>
      </c>
      <c r="Q365" s="981">
        <f t="shared" si="170"/>
        <v>0</v>
      </c>
      <c r="R365" s="981">
        <f t="shared" si="170"/>
        <v>0</v>
      </c>
      <c r="S365" s="981">
        <f t="shared" si="170"/>
        <v>0</v>
      </c>
      <c r="T365" s="981">
        <f t="shared" si="169"/>
        <v>15520.212000000001</v>
      </c>
      <c r="U365" s="981"/>
      <c r="V365" s="981"/>
      <c r="W365" s="936"/>
      <c r="X365" s="937"/>
      <c r="Y365" s="937"/>
      <c r="Z365" s="937"/>
      <c r="AA365" s="937"/>
      <c r="AB365" s="937"/>
      <c r="AC365" s="937"/>
    </row>
    <row r="366" spans="1:29" ht="21" hidden="1">
      <c r="A366" s="1011"/>
      <c r="B366" s="1011"/>
      <c r="C366" s="1031" t="s">
        <v>464</v>
      </c>
      <c r="D366" s="1011" t="s">
        <v>173</v>
      </c>
      <c r="E366" s="964"/>
      <c r="F366" s="964"/>
      <c r="G366" s="1011"/>
      <c r="H366" s="981">
        <f>H361*$E361/1000</f>
        <v>7037.0772560000005</v>
      </c>
      <c r="I366" s="981">
        <f t="shared" si="170"/>
        <v>6536.5959999999995</v>
      </c>
      <c r="J366" s="981">
        <f t="shared" si="170"/>
        <v>7504.3345530000006</v>
      </c>
      <c r="K366" s="981">
        <f t="shared" si="170"/>
        <v>0</v>
      </c>
      <c r="L366" s="981">
        <f t="shared" si="170"/>
        <v>0</v>
      </c>
      <c r="M366" s="981">
        <f t="shared" si="170"/>
        <v>0</v>
      </c>
      <c r="N366" s="981">
        <f t="shared" si="170"/>
        <v>0</v>
      </c>
      <c r="O366" s="981">
        <f t="shared" si="170"/>
        <v>0</v>
      </c>
      <c r="P366" s="981">
        <f t="shared" si="170"/>
        <v>0</v>
      </c>
      <c r="Q366" s="981">
        <f t="shared" si="170"/>
        <v>0</v>
      </c>
      <c r="R366" s="981">
        <f t="shared" si="170"/>
        <v>0</v>
      </c>
      <c r="S366" s="981">
        <f t="shared" si="170"/>
        <v>0</v>
      </c>
      <c r="T366" s="981">
        <f t="shared" si="169"/>
        <v>21078.007809000002</v>
      </c>
      <c r="U366" s="981"/>
      <c r="V366" s="981"/>
      <c r="W366" s="936"/>
      <c r="X366" s="937"/>
      <c r="Y366" s="937"/>
      <c r="Z366" s="937"/>
      <c r="AA366" s="937"/>
      <c r="AB366" s="937"/>
      <c r="AC366" s="937"/>
    </row>
    <row r="367" spans="1:29" ht="21.75" hidden="1" customHeight="1">
      <c r="A367" s="1011"/>
      <c r="B367" s="1011"/>
      <c r="C367" s="1031" t="s">
        <v>408</v>
      </c>
      <c r="D367" s="1011" t="s">
        <v>173</v>
      </c>
      <c r="E367" s="964"/>
      <c r="F367" s="964"/>
      <c r="G367" s="1011"/>
      <c r="H367" s="981">
        <f>H362*$E362/1000</f>
        <v>239.01770000000002</v>
      </c>
      <c r="I367" s="981">
        <f t="shared" si="170"/>
        <v>261.44798000000003</v>
      </c>
      <c r="J367" s="981">
        <f t="shared" si="170"/>
        <v>0</v>
      </c>
      <c r="K367" s="981">
        <f t="shared" si="170"/>
        <v>0</v>
      </c>
      <c r="L367" s="981">
        <f t="shared" si="170"/>
        <v>0</v>
      </c>
      <c r="M367" s="981">
        <f t="shared" si="170"/>
        <v>0</v>
      </c>
      <c r="N367" s="981">
        <f t="shared" si="170"/>
        <v>0</v>
      </c>
      <c r="O367" s="981">
        <f t="shared" si="170"/>
        <v>0</v>
      </c>
      <c r="P367" s="981">
        <f t="shared" si="170"/>
        <v>0</v>
      </c>
      <c r="Q367" s="981">
        <f t="shared" si="170"/>
        <v>0</v>
      </c>
      <c r="R367" s="981">
        <f t="shared" si="170"/>
        <v>0</v>
      </c>
      <c r="S367" s="981">
        <f t="shared" si="170"/>
        <v>0</v>
      </c>
      <c r="T367" s="981">
        <f t="shared" si="169"/>
        <v>500.46568000000002</v>
      </c>
      <c r="U367" s="981"/>
      <c r="V367" s="981"/>
      <c r="W367" s="936"/>
      <c r="X367" s="937"/>
      <c r="Y367" s="937"/>
      <c r="Z367" s="937"/>
      <c r="AA367" s="937"/>
      <c r="AB367" s="937"/>
      <c r="AC367" s="937"/>
    </row>
    <row r="368" spans="1:29" ht="21" hidden="1">
      <c r="A368" s="1011"/>
      <c r="B368" s="1011"/>
      <c r="C368" s="1031" t="s">
        <v>456</v>
      </c>
      <c r="D368" s="1011" t="s">
        <v>173</v>
      </c>
      <c r="E368" s="964"/>
      <c r="F368" s="964"/>
      <c r="G368" s="1011"/>
      <c r="H368" s="981">
        <f>H363*$E363/1000</f>
        <v>18059.380425899999</v>
      </c>
      <c r="I368" s="981">
        <f t="shared" si="170"/>
        <v>15969.96</v>
      </c>
      <c r="J368" s="981">
        <f t="shared" si="170"/>
        <v>19337.044219379997</v>
      </c>
      <c r="K368" s="981">
        <f t="shared" si="170"/>
        <v>0</v>
      </c>
      <c r="L368" s="981">
        <f t="shared" si="170"/>
        <v>0</v>
      </c>
      <c r="M368" s="981">
        <f t="shared" si="170"/>
        <v>0</v>
      </c>
      <c r="N368" s="981">
        <f t="shared" si="170"/>
        <v>0</v>
      </c>
      <c r="O368" s="981">
        <f t="shared" si="170"/>
        <v>0</v>
      </c>
      <c r="P368" s="981">
        <f t="shared" si="170"/>
        <v>0</v>
      </c>
      <c r="Q368" s="981">
        <f t="shared" si="170"/>
        <v>0</v>
      </c>
      <c r="R368" s="981">
        <f t="shared" si="170"/>
        <v>0</v>
      </c>
      <c r="S368" s="981">
        <f t="shared" si="170"/>
        <v>0</v>
      </c>
      <c r="T368" s="981">
        <f t="shared" si="169"/>
        <v>53366.384645279992</v>
      </c>
      <c r="U368" s="981"/>
      <c r="V368" s="981"/>
      <c r="W368" s="936"/>
      <c r="X368" s="937"/>
      <c r="Y368" s="937"/>
      <c r="Z368" s="937"/>
      <c r="AA368" s="937"/>
      <c r="AB368" s="937"/>
      <c r="AC368" s="937"/>
    </row>
    <row r="369" spans="1:23" ht="21" hidden="1">
      <c r="A369" s="1011"/>
      <c r="B369" s="964"/>
      <c r="C369" s="983" t="s">
        <v>469</v>
      </c>
      <c r="D369" s="964" t="s">
        <v>173</v>
      </c>
      <c r="E369" s="1011"/>
      <c r="F369" s="1011"/>
      <c r="G369" s="1011"/>
      <c r="H369" s="981">
        <f>SUM(H365:H368)</f>
        <v>30694.453381899999</v>
      </c>
      <c r="I369" s="981">
        <f t="shared" ref="I369:S369" si="171">SUM(I365:I368)</f>
        <v>27515.327580000001</v>
      </c>
      <c r="J369" s="981">
        <f t="shared" si="171"/>
        <v>32255.289172379998</v>
      </c>
      <c r="K369" s="981">
        <f t="shared" si="171"/>
        <v>0</v>
      </c>
      <c r="L369" s="981">
        <f t="shared" si="171"/>
        <v>0</v>
      </c>
      <c r="M369" s="981">
        <f t="shared" si="171"/>
        <v>0</v>
      </c>
      <c r="N369" s="981">
        <f t="shared" si="171"/>
        <v>0</v>
      </c>
      <c r="O369" s="981">
        <f t="shared" si="171"/>
        <v>0</v>
      </c>
      <c r="P369" s="981">
        <f t="shared" si="171"/>
        <v>0</v>
      </c>
      <c r="Q369" s="981">
        <f t="shared" si="171"/>
        <v>0</v>
      </c>
      <c r="R369" s="981">
        <f t="shared" si="171"/>
        <v>0</v>
      </c>
      <c r="S369" s="981">
        <f t="shared" si="171"/>
        <v>0</v>
      </c>
      <c r="T369" s="1032">
        <f t="shared" si="169"/>
        <v>90465.070134280002</v>
      </c>
      <c r="U369" s="981"/>
      <c r="V369" s="1033" t="e">
        <f>#REF!/T369</f>
        <v>#REF!</v>
      </c>
      <c r="W369" s="936"/>
    </row>
    <row r="370" spans="1:23" ht="21" hidden="1">
      <c r="A370" s="1011"/>
      <c r="B370" s="964"/>
      <c r="C370" s="983" t="s">
        <v>345</v>
      </c>
      <c r="D370" s="964" t="s">
        <v>173</v>
      </c>
      <c r="E370" s="964"/>
      <c r="F370" s="964">
        <v>2007</v>
      </c>
      <c r="G370" s="1011">
        <v>2009</v>
      </c>
      <c r="H370" s="966">
        <f xml:space="preserve"> (0.4726*H364 - 2393.5)*111.09/100</f>
        <v>49132.063777550153</v>
      </c>
      <c r="I370" s="966">
        <f t="shared" ref="I370:J370" si="172" xml:space="preserve"> (0.4726*I364 - 2393.5)*111.09/100</f>
        <v>44823.59856978678</v>
      </c>
      <c r="J370" s="966">
        <f t="shared" si="172"/>
        <v>50712.779782128375</v>
      </c>
      <c r="K370" s="966"/>
      <c r="L370" s="966"/>
      <c r="M370" s="966"/>
      <c r="N370" s="966"/>
      <c r="O370" s="966"/>
      <c r="P370" s="966"/>
      <c r="Q370" s="966"/>
      <c r="R370" s="966"/>
      <c r="S370" s="966"/>
      <c r="T370" s="966">
        <f t="shared" si="169"/>
        <v>144668.44212946531</v>
      </c>
      <c r="U370" s="966"/>
      <c r="V370" s="1001" t="s">
        <v>158</v>
      </c>
      <c r="W370" s="936"/>
    </row>
    <row r="371" spans="1:23" ht="21" hidden="1">
      <c r="A371" s="1011"/>
      <c r="B371" s="1003" t="s">
        <v>174</v>
      </c>
      <c r="C371" s="1004" t="s">
        <v>138</v>
      </c>
      <c r="D371" s="1003" t="s">
        <v>347</v>
      </c>
      <c r="E371" s="1003"/>
      <c r="F371" s="1118">
        <v>3.2377410847252312E-2</v>
      </c>
      <c r="G371" s="1108">
        <v>3.8572855537123661E-2</v>
      </c>
      <c r="H371" s="1006">
        <f>H365/H$347</f>
        <v>2.561617320688548E-2</v>
      </c>
      <c r="I371" s="1006">
        <f t="shared" ref="I371:S375" si="173">I365/I$347</f>
        <v>2.3233474911430428E-2</v>
      </c>
      <c r="J371" s="1119">
        <f t="shared" si="173"/>
        <v>2.4560275769548213E-2</v>
      </c>
      <c r="K371" s="1006" t="e">
        <f t="shared" si="173"/>
        <v>#DIV/0!</v>
      </c>
      <c r="L371" s="1006" t="e">
        <f t="shared" si="173"/>
        <v>#DIV/0!</v>
      </c>
      <c r="M371" s="1006" t="e">
        <f t="shared" si="173"/>
        <v>#DIV/0!</v>
      </c>
      <c r="N371" s="1006" t="e">
        <f t="shared" si="173"/>
        <v>#DIV/0!</v>
      </c>
      <c r="O371" s="1006" t="e">
        <f t="shared" si="173"/>
        <v>#DIV/0!</v>
      </c>
      <c r="P371" s="1006" t="e">
        <f t="shared" si="173"/>
        <v>#DIV/0!</v>
      </c>
      <c r="Q371" s="1006" t="e">
        <f t="shared" si="173"/>
        <v>#DIV/0!</v>
      </c>
      <c r="R371" s="1006" t="e">
        <f t="shared" si="173"/>
        <v>#DIV/0!</v>
      </c>
      <c r="S371" s="1006" t="e">
        <f t="shared" si="173"/>
        <v>#DIV/0!</v>
      </c>
      <c r="T371" s="1006">
        <f>T365/T$347</f>
        <v>2.4481076181476425E-2</v>
      </c>
      <c r="U371" s="1007"/>
      <c r="V371" s="1007"/>
      <c r="W371" s="936"/>
    </row>
    <row r="372" spans="1:23" ht="21" hidden="1">
      <c r="A372" s="1011"/>
      <c r="B372" s="1003"/>
      <c r="C372" s="1004" t="s">
        <v>464</v>
      </c>
      <c r="D372" s="1003" t="s">
        <v>347</v>
      </c>
      <c r="E372" s="1003"/>
      <c r="F372" s="1020">
        <v>8.8920880349206075E-2</v>
      </c>
      <c r="G372" s="1040">
        <v>8.6353541339854595E-2</v>
      </c>
      <c r="H372" s="1006">
        <f>H366/H$347</f>
        <v>3.3637568555036128E-2</v>
      </c>
      <c r="I372" s="1006">
        <f t="shared" si="173"/>
        <v>3.1990201631116204E-2</v>
      </c>
      <c r="J372" s="1006">
        <f t="shared" si="173"/>
        <v>3.4043512446868221E-2</v>
      </c>
      <c r="K372" s="1006" t="e">
        <f t="shared" si="173"/>
        <v>#DIV/0!</v>
      </c>
      <c r="L372" s="1006" t="e">
        <f t="shared" si="173"/>
        <v>#DIV/0!</v>
      </c>
      <c r="M372" s="1006" t="e">
        <f t="shared" si="173"/>
        <v>#DIV/0!</v>
      </c>
      <c r="N372" s="1006" t="e">
        <f t="shared" si="173"/>
        <v>#DIV/0!</v>
      </c>
      <c r="O372" s="1006" t="e">
        <f t="shared" si="173"/>
        <v>#DIV/0!</v>
      </c>
      <c r="P372" s="1006" t="e">
        <f t="shared" si="173"/>
        <v>#DIV/0!</v>
      </c>
      <c r="Q372" s="1006" t="e">
        <f t="shared" si="173"/>
        <v>#DIV/0!</v>
      </c>
      <c r="R372" s="1006" t="e">
        <f t="shared" si="173"/>
        <v>#DIV/0!</v>
      </c>
      <c r="S372" s="1006" t="e">
        <f t="shared" si="173"/>
        <v>#DIV/0!</v>
      </c>
      <c r="T372" s="1006">
        <f>T366/T$347</f>
        <v>3.3247762010331042E-2</v>
      </c>
      <c r="U372" s="1007"/>
      <c r="V372" s="1007"/>
      <c r="W372" s="936"/>
    </row>
    <row r="373" spans="1:23" ht="21" hidden="1">
      <c r="A373" s="1011"/>
      <c r="B373" s="1003"/>
      <c r="C373" s="1093" t="s">
        <v>408</v>
      </c>
      <c r="D373" s="1003" t="s">
        <v>347</v>
      </c>
      <c r="E373" s="1003"/>
      <c r="F373" s="1020">
        <v>0.31152510543306156</v>
      </c>
      <c r="G373" s="1040">
        <v>0.14728170188153242</v>
      </c>
      <c r="H373" s="1006">
        <f>H367/H$347</f>
        <v>1.1425161295141335E-3</v>
      </c>
      <c r="I373" s="1006">
        <f t="shared" si="173"/>
        <v>1.2795304461600562E-3</v>
      </c>
      <c r="J373" s="1006">
        <f t="shared" si="173"/>
        <v>0</v>
      </c>
      <c r="K373" s="1006" t="e">
        <f t="shared" si="173"/>
        <v>#DIV/0!</v>
      </c>
      <c r="L373" s="1006" t="e">
        <f t="shared" si="173"/>
        <v>#DIV/0!</v>
      </c>
      <c r="M373" s="1006" t="e">
        <f t="shared" si="173"/>
        <v>#DIV/0!</v>
      </c>
      <c r="N373" s="1006" t="e">
        <f t="shared" si="173"/>
        <v>#DIV/0!</v>
      </c>
      <c r="O373" s="1006" t="e">
        <f t="shared" si="173"/>
        <v>#DIV/0!</v>
      </c>
      <c r="P373" s="1006" t="e">
        <f t="shared" si="173"/>
        <v>#DIV/0!</v>
      </c>
      <c r="Q373" s="1006" t="e">
        <f t="shared" si="173"/>
        <v>#DIV/0!</v>
      </c>
      <c r="R373" s="1006" t="e">
        <f t="shared" si="173"/>
        <v>#DIV/0!</v>
      </c>
      <c r="S373" s="1006" t="e">
        <f t="shared" si="173"/>
        <v>#DIV/0!</v>
      </c>
      <c r="T373" s="1006">
        <f>T367/T$347</f>
        <v>7.8941823979559046E-4</v>
      </c>
      <c r="U373" s="1007"/>
      <c r="V373" s="1007"/>
      <c r="W373" s="936"/>
    </row>
    <row r="374" spans="1:23" ht="21" hidden="1">
      <c r="A374" s="1011"/>
      <c r="B374" s="1003"/>
      <c r="C374" s="1093" t="s">
        <v>456</v>
      </c>
      <c r="D374" s="1003" t="s">
        <v>347</v>
      </c>
      <c r="E374" s="1003"/>
      <c r="F374" s="1020">
        <v>0.17779234770649577</v>
      </c>
      <c r="G374" s="1040">
        <v>0.30840673967065468</v>
      </c>
      <c r="H374" s="1006">
        <f>H368/H$347</f>
        <v>8.6324709114105641E-2</v>
      </c>
      <c r="I374" s="1006">
        <f t="shared" si="173"/>
        <v>7.8157230528070054E-2</v>
      </c>
      <c r="J374" s="1006">
        <f t="shared" si="173"/>
        <v>8.7722755551314785E-2</v>
      </c>
      <c r="K374" s="1006" t="e">
        <f t="shared" si="173"/>
        <v>#DIV/0!</v>
      </c>
      <c r="L374" s="1006" t="e">
        <f t="shared" si="173"/>
        <v>#DIV/0!</v>
      </c>
      <c r="M374" s="1006" t="e">
        <f t="shared" si="173"/>
        <v>#DIV/0!</v>
      </c>
      <c r="N374" s="1006" t="e">
        <f t="shared" si="173"/>
        <v>#DIV/0!</v>
      </c>
      <c r="O374" s="1006" t="e">
        <f t="shared" si="173"/>
        <v>#DIV/0!</v>
      </c>
      <c r="P374" s="1006" t="e">
        <f t="shared" si="173"/>
        <v>#DIV/0!</v>
      </c>
      <c r="Q374" s="1006" t="e">
        <f t="shared" si="173"/>
        <v>#DIV/0!</v>
      </c>
      <c r="R374" s="1006" t="e">
        <f t="shared" si="173"/>
        <v>#DIV/0!</v>
      </c>
      <c r="S374" s="1006" t="e">
        <f t="shared" si="173"/>
        <v>#DIV/0!</v>
      </c>
      <c r="T374" s="1006">
        <f>T368/T$347</f>
        <v>8.4178394472386911E-2</v>
      </c>
      <c r="U374" s="1007"/>
      <c r="V374" s="1007"/>
      <c r="W374" s="936"/>
    </row>
    <row r="375" spans="1:23" ht="23.25" hidden="1">
      <c r="A375" s="1011"/>
      <c r="B375" s="1003"/>
      <c r="C375" s="1008" t="s">
        <v>470</v>
      </c>
      <c r="D375" s="1003" t="s">
        <v>347</v>
      </c>
      <c r="E375" s="1003"/>
      <c r="F375" s="1118"/>
      <c r="G375" s="1108">
        <f>SUM(G371:G374)</f>
        <v>0.58061483842916539</v>
      </c>
      <c r="H375" s="1006">
        <f>H369/H$347</f>
        <v>0.14672096700554138</v>
      </c>
      <c r="I375" s="1006">
        <f t="shared" si="173"/>
        <v>0.13466043751677675</v>
      </c>
      <c r="J375" s="1006">
        <f t="shared" si="173"/>
        <v>0.14632654376773122</v>
      </c>
      <c r="K375" s="1006" t="e">
        <f t="shared" si="173"/>
        <v>#DIV/0!</v>
      </c>
      <c r="L375" s="1006" t="e">
        <f t="shared" si="173"/>
        <v>#DIV/0!</v>
      </c>
      <c r="M375" s="1006" t="e">
        <f t="shared" si="173"/>
        <v>#DIV/0!</v>
      </c>
      <c r="N375" s="1006" t="e">
        <f t="shared" si="173"/>
        <v>#DIV/0!</v>
      </c>
      <c r="O375" s="1006" t="e">
        <f t="shared" si="173"/>
        <v>#DIV/0!</v>
      </c>
      <c r="P375" s="1006" t="e">
        <f t="shared" si="173"/>
        <v>#DIV/0!</v>
      </c>
      <c r="Q375" s="1006" t="e">
        <f t="shared" si="173"/>
        <v>#DIV/0!</v>
      </c>
      <c r="R375" s="1006" t="e">
        <f t="shared" si="173"/>
        <v>#DIV/0!</v>
      </c>
      <c r="S375" s="1006" t="e">
        <f t="shared" si="173"/>
        <v>#DIV/0!</v>
      </c>
      <c r="T375" s="1021">
        <f>T369/T364</f>
        <v>0.31114747896685846</v>
      </c>
      <c r="U375" s="1007"/>
      <c r="V375" s="1007"/>
      <c r="W375" s="936"/>
    </row>
    <row r="376" spans="1:23" ht="21" hidden="1">
      <c r="A376" s="1011"/>
      <c r="B376" s="1003"/>
      <c r="C376" s="1008" t="s">
        <v>471</v>
      </c>
      <c r="D376" s="1003"/>
      <c r="E376" s="1003"/>
      <c r="F376" s="1005"/>
      <c r="G376" s="1058"/>
      <c r="H376" s="1009">
        <f>H369/H370*100</f>
        <v>62.473364686799847</v>
      </c>
      <c r="I376" s="1009">
        <f>I369/I370*100</f>
        <v>61.385806713311567</v>
      </c>
      <c r="J376" s="1009">
        <f>J369/J370*100</f>
        <v>63.603867330788766</v>
      </c>
      <c r="K376" s="1009" t="e">
        <f>K369/K370*100</f>
        <v>#DIV/0!</v>
      </c>
      <c r="L376" s="1009" t="e">
        <f t="shared" ref="L376:T376" si="174">L369/L370*100</f>
        <v>#DIV/0!</v>
      </c>
      <c r="M376" s="1009" t="e">
        <f t="shared" si="174"/>
        <v>#DIV/0!</v>
      </c>
      <c r="N376" s="1009" t="e">
        <f t="shared" si="174"/>
        <v>#DIV/0!</v>
      </c>
      <c r="O376" s="1009" t="e">
        <f t="shared" si="174"/>
        <v>#DIV/0!</v>
      </c>
      <c r="P376" s="1009" t="e">
        <f t="shared" si="174"/>
        <v>#DIV/0!</v>
      </c>
      <c r="Q376" s="1009" t="e">
        <f t="shared" si="174"/>
        <v>#DIV/0!</v>
      </c>
      <c r="R376" s="1009" t="e">
        <f t="shared" si="174"/>
        <v>#DIV/0!</v>
      </c>
      <c r="S376" s="1009" t="e">
        <f t="shared" si="174"/>
        <v>#DIV/0!</v>
      </c>
      <c r="T376" s="1009">
        <f t="shared" si="174"/>
        <v>62.532691167934097</v>
      </c>
      <c r="U376" s="1007"/>
      <c r="V376" s="1007"/>
      <c r="W376" s="937"/>
    </row>
    <row r="377" spans="1:23" ht="21" hidden="1">
      <c r="A377" s="1011"/>
      <c r="B377" s="1124"/>
      <c r="C377" s="1125" t="s">
        <v>472</v>
      </c>
      <c r="D377" s="1124"/>
      <c r="E377" s="1003"/>
      <c r="F377" s="1005"/>
      <c r="G377" s="1058"/>
      <c r="H377" s="1126">
        <f>(H369+H352)/(H370+H353)*100</f>
        <v>95.803870158067568</v>
      </c>
      <c r="I377" s="1126">
        <f t="shared" ref="I377:T377" si="175">(I369+I352)/(I370+I353)*100</f>
        <v>92.33765152008678</v>
      </c>
      <c r="J377" s="1126">
        <f t="shared" si="175"/>
        <v>99.369303349889151</v>
      </c>
      <c r="K377" s="1126" t="e">
        <f t="shared" si="175"/>
        <v>#DIV/0!</v>
      </c>
      <c r="L377" s="1126" t="e">
        <f t="shared" si="175"/>
        <v>#DIV/0!</v>
      </c>
      <c r="M377" s="1126" t="e">
        <f t="shared" si="175"/>
        <v>#DIV/0!</v>
      </c>
      <c r="N377" s="1126" t="e">
        <f t="shared" si="175"/>
        <v>#DIV/0!</v>
      </c>
      <c r="O377" s="1126" t="e">
        <f t="shared" si="175"/>
        <v>#DIV/0!</v>
      </c>
      <c r="P377" s="1126" t="e">
        <f t="shared" si="175"/>
        <v>#DIV/0!</v>
      </c>
      <c r="Q377" s="1126" t="e">
        <f t="shared" si="175"/>
        <v>#DIV/0!</v>
      </c>
      <c r="R377" s="1126" t="e">
        <f t="shared" si="175"/>
        <v>#DIV/0!</v>
      </c>
      <c r="S377" s="1126" t="e">
        <f t="shared" si="175"/>
        <v>#DIV/0!</v>
      </c>
      <c r="T377" s="1126">
        <f t="shared" si="175"/>
        <v>95.935249626489266</v>
      </c>
      <c r="U377" s="1127"/>
      <c r="V377" s="1127"/>
      <c r="W377" s="937"/>
    </row>
    <row r="378" spans="1:23" ht="21" hidden="1">
      <c r="A378" s="964">
        <v>18</v>
      </c>
      <c r="B378" s="948" t="s">
        <v>111</v>
      </c>
      <c r="C378" s="1081" t="s">
        <v>138</v>
      </c>
      <c r="D378" s="947" t="s">
        <v>90</v>
      </c>
      <c r="E378" s="984">
        <f>'[11]Price&amp;Heating-Value'!$R$6</f>
        <v>3.6</v>
      </c>
      <c r="F378" s="964"/>
      <c r="G378" s="1014">
        <f>'[11]Price&amp;Heating-Value'!$P$6</f>
        <v>2.7124999999999999</v>
      </c>
      <c r="H378" s="953">
        <v>2709505.03</v>
      </c>
      <c r="I378" s="953">
        <v>2431006.5260000001</v>
      </c>
      <c r="J378" s="952">
        <v>2707019.5260000001</v>
      </c>
      <c r="K378" s="952"/>
      <c r="L378" s="952"/>
      <c r="M378" s="952"/>
      <c r="N378" s="952"/>
      <c r="O378" s="952"/>
      <c r="P378" s="952"/>
      <c r="Q378" s="952"/>
      <c r="R378" s="952"/>
      <c r="S378" s="952"/>
      <c r="T378" s="952">
        <f t="shared" ref="T378:T387" si="176">SUM(H378:S378)</f>
        <v>7847531.0820000004</v>
      </c>
      <c r="U378" s="952">
        <f>T378*E378</f>
        <v>28251111.895200003</v>
      </c>
      <c r="V378" s="952">
        <f>G378*T378</f>
        <v>21286428.059925001</v>
      </c>
      <c r="W378" s="937"/>
    </row>
    <row r="379" spans="1:23" ht="21" hidden="1">
      <c r="A379" s="964"/>
      <c r="B379" s="964"/>
      <c r="C379" s="1031" t="s">
        <v>464</v>
      </c>
      <c r="D379" s="964" t="s">
        <v>121</v>
      </c>
      <c r="E379" s="964">
        <f>'[11]Price&amp;Heating-Value'!$R$9</f>
        <v>2803</v>
      </c>
      <c r="F379" s="964"/>
      <c r="G379" s="965">
        <f>'[11]Price&amp;Heating-Value'!$P$9</f>
        <v>1301.5833333333333</v>
      </c>
      <c r="H379" s="1015">
        <v>14952.958000000001</v>
      </c>
      <c r="I379" s="1015">
        <v>13630.55</v>
      </c>
      <c r="J379" s="966">
        <v>15177.346000000001</v>
      </c>
      <c r="K379" s="966"/>
      <c r="L379" s="966"/>
      <c r="M379" s="966"/>
      <c r="N379" s="966"/>
      <c r="O379" s="966"/>
      <c r="P379" s="966"/>
      <c r="Q379" s="966"/>
      <c r="R379" s="966"/>
      <c r="S379" s="966"/>
      <c r="T379" s="952">
        <f t="shared" si="176"/>
        <v>43760.854000000007</v>
      </c>
      <c r="U379" s="966">
        <f>T379*E379</f>
        <v>122661673.76200002</v>
      </c>
      <c r="V379" s="966">
        <f>G379*T379</f>
        <v>56958398.218833342</v>
      </c>
      <c r="W379" s="937"/>
    </row>
    <row r="380" spans="1:23" ht="21" hidden="1">
      <c r="A380" s="964"/>
      <c r="B380" s="964"/>
      <c r="C380" s="1031" t="s">
        <v>408</v>
      </c>
      <c r="D380" s="964" t="s">
        <v>176</v>
      </c>
      <c r="E380" s="984">
        <f>'[11]Price&amp;Heating-Value'!$S$16/1000</f>
        <v>39.770000000000003</v>
      </c>
      <c r="F380" s="1036">
        <f>'[11]Price&amp;Heating-Value'!$T$16</f>
        <v>0.98550000000000004</v>
      </c>
      <c r="G380" s="965">
        <f>'[11]Price&amp;Heating-Value'!$P$16*'[11]Price&amp;Heating-Value'!$T$16/1000</f>
        <v>17.944656726937499</v>
      </c>
      <c r="H380" s="1128"/>
      <c r="I380" s="966"/>
      <c r="J380" s="966"/>
      <c r="K380" s="966"/>
      <c r="L380" s="966"/>
      <c r="M380" s="966"/>
      <c r="N380" s="966"/>
      <c r="O380" s="966"/>
      <c r="P380" s="966"/>
      <c r="Q380" s="966"/>
      <c r="R380" s="966"/>
      <c r="S380" s="1129"/>
      <c r="T380" s="966">
        <f t="shared" si="176"/>
        <v>0</v>
      </c>
      <c r="U380" s="966">
        <f>T380*E380</f>
        <v>0</v>
      </c>
      <c r="V380" s="966">
        <f>G380*T380</f>
        <v>0</v>
      </c>
      <c r="W380" s="937"/>
    </row>
    <row r="381" spans="1:23" ht="21" hidden="1">
      <c r="A381" s="964"/>
      <c r="B381" s="964"/>
      <c r="C381" s="1031" t="s">
        <v>429</v>
      </c>
      <c r="D381" s="964" t="s">
        <v>102</v>
      </c>
      <c r="E381" s="964">
        <f>'[11]Price&amp;Heating-Value'!$R$23/1000</f>
        <v>50.22</v>
      </c>
      <c r="F381" s="964"/>
      <c r="G381" s="965">
        <f>'[11]Price&amp;Heating-Value'!$P$23/1000</f>
        <v>11.61472</v>
      </c>
      <c r="H381" s="1015">
        <v>2200544</v>
      </c>
      <c r="I381" s="1015">
        <v>2013586</v>
      </c>
      <c r="J381" s="966">
        <v>2135237</v>
      </c>
      <c r="K381" s="966"/>
      <c r="L381" s="966"/>
      <c r="M381" s="966"/>
      <c r="N381" s="966"/>
      <c r="O381" s="966"/>
      <c r="P381" s="966"/>
      <c r="Q381" s="966"/>
      <c r="R381" s="966"/>
      <c r="S381" s="966"/>
      <c r="T381" s="966">
        <f t="shared" si="176"/>
        <v>6349367</v>
      </c>
      <c r="U381" s="966">
        <f>T381*E381</f>
        <v>318865210.74000001</v>
      </c>
      <c r="V381" s="966">
        <f>G381*T381</f>
        <v>73746119.882239997</v>
      </c>
      <c r="W381" s="937"/>
    </row>
    <row r="382" spans="1:23" ht="21" hidden="1">
      <c r="A382" s="964"/>
      <c r="B382" s="989"/>
      <c r="C382" s="990" t="s">
        <v>468</v>
      </c>
      <c r="D382" s="989" t="s">
        <v>121</v>
      </c>
      <c r="E382" s="989"/>
      <c r="F382" s="989"/>
      <c r="G382" s="1011"/>
      <c r="H382" s="1023">
        <v>66918.649210000003</v>
      </c>
      <c r="I382" s="1023">
        <v>54810.749221000005</v>
      </c>
      <c r="J382" s="994">
        <v>67374.675053999992</v>
      </c>
      <c r="K382" s="994"/>
      <c r="L382" s="994"/>
      <c r="M382" s="994"/>
      <c r="N382" s="994"/>
      <c r="O382" s="994"/>
      <c r="P382" s="994"/>
      <c r="Q382" s="994"/>
      <c r="R382" s="994"/>
      <c r="S382" s="994"/>
      <c r="T382" s="996">
        <f t="shared" si="176"/>
        <v>189104.073485</v>
      </c>
      <c r="U382" s="995"/>
      <c r="V382" s="1026" t="e">
        <f>#REF!/T382</f>
        <v>#REF!</v>
      </c>
      <c r="W382" s="937"/>
    </row>
    <row r="383" spans="1:23" ht="21" hidden="1">
      <c r="A383" s="964"/>
      <c r="B383" s="1011"/>
      <c r="C383" s="1031" t="s">
        <v>138</v>
      </c>
      <c r="D383" s="1011" t="s">
        <v>173</v>
      </c>
      <c r="E383" s="964"/>
      <c r="F383" s="964"/>
      <c r="G383" s="1011"/>
      <c r="H383" s="981">
        <f t="shared" ref="H383:J386" si="177">H378*$E378/1000</f>
        <v>9754.2181079999991</v>
      </c>
      <c r="I383" s="981">
        <f t="shared" si="177"/>
        <v>8751.6234936000001</v>
      </c>
      <c r="J383" s="981">
        <f t="shared" si="177"/>
        <v>9745.2702936000005</v>
      </c>
      <c r="K383" s="981"/>
      <c r="L383" s="981"/>
      <c r="M383" s="981"/>
      <c r="N383" s="981"/>
      <c r="O383" s="981"/>
      <c r="P383" s="981"/>
      <c r="Q383" s="981"/>
      <c r="R383" s="981"/>
      <c r="S383" s="981"/>
      <c r="T383" s="981">
        <f t="shared" si="176"/>
        <v>28251.111895199996</v>
      </c>
      <c r="U383" s="981"/>
      <c r="V383" s="981"/>
      <c r="W383" s="937"/>
    </row>
    <row r="384" spans="1:23" ht="21" hidden="1">
      <c r="A384" s="964"/>
      <c r="B384" s="1011"/>
      <c r="C384" s="1031" t="s">
        <v>464</v>
      </c>
      <c r="D384" s="1011" t="s">
        <v>173</v>
      </c>
      <c r="E384" s="964"/>
      <c r="F384" s="964"/>
      <c r="G384" s="1011"/>
      <c r="H384" s="981">
        <f>H379*$E379/1000</f>
        <v>41913.141274000001</v>
      </c>
      <c r="I384" s="981">
        <f t="shared" si="177"/>
        <v>38206.431649999999</v>
      </c>
      <c r="J384" s="981">
        <f t="shared" si="177"/>
        <v>42542.100838000006</v>
      </c>
      <c r="K384" s="981"/>
      <c r="L384" s="981"/>
      <c r="M384" s="981"/>
      <c r="N384" s="981"/>
      <c r="O384" s="981"/>
      <c r="P384" s="981"/>
      <c r="Q384" s="981"/>
      <c r="R384" s="981"/>
      <c r="S384" s="981"/>
      <c r="T384" s="981">
        <f t="shared" si="176"/>
        <v>122661.67376200002</v>
      </c>
      <c r="U384" s="981"/>
      <c r="V384" s="981"/>
      <c r="W384" s="937"/>
    </row>
    <row r="385" spans="1:29" ht="21" hidden="1">
      <c r="A385" s="964"/>
      <c r="B385" s="1011"/>
      <c r="C385" s="1031" t="s">
        <v>408</v>
      </c>
      <c r="D385" s="1011" t="s">
        <v>173</v>
      </c>
      <c r="E385" s="964"/>
      <c r="F385" s="964"/>
      <c r="G385" s="1011"/>
      <c r="H385" s="981">
        <f>H380*$E380/1000</f>
        <v>0</v>
      </c>
      <c r="I385" s="981">
        <f t="shared" si="177"/>
        <v>0</v>
      </c>
      <c r="J385" s="981">
        <f t="shared" si="177"/>
        <v>0</v>
      </c>
      <c r="K385" s="981"/>
      <c r="L385" s="981"/>
      <c r="M385" s="981"/>
      <c r="N385" s="981"/>
      <c r="O385" s="981"/>
      <c r="P385" s="981"/>
      <c r="Q385" s="981"/>
      <c r="R385" s="981"/>
      <c r="S385" s="981"/>
      <c r="T385" s="981">
        <f t="shared" si="176"/>
        <v>0</v>
      </c>
      <c r="U385" s="981"/>
      <c r="V385" s="981"/>
      <c r="W385" s="937"/>
      <c r="X385" s="937"/>
      <c r="Y385" s="937"/>
      <c r="Z385" s="937"/>
      <c r="AA385" s="937"/>
      <c r="AB385" s="937"/>
      <c r="AC385" s="937"/>
    </row>
    <row r="386" spans="1:29" ht="21" hidden="1">
      <c r="A386" s="964"/>
      <c r="B386" s="1011"/>
      <c r="C386" s="1031" t="s">
        <v>456</v>
      </c>
      <c r="D386" s="1011" t="s">
        <v>173</v>
      </c>
      <c r="E386" s="964"/>
      <c r="F386" s="964"/>
      <c r="G386" s="1011"/>
      <c r="H386" s="981">
        <f>H381*$E381/1000</f>
        <v>110511.31967999999</v>
      </c>
      <c r="I386" s="981">
        <f t="shared" si="177"/>
        <v>101122.28892000001</v>
      </c>
      <c r="J386" s="981">
        <f t="shared" si="177"/>
        <v>107231.60214</v>
      </c>
      <c r="K386" s="981"/>
      <c r="L386" s="981"/>
      <c r="M386" s="981"/>
      <c r="N386" s="981"/>
      <c r="O386" s="981"/>
      <c r="P386" s="981"/>
      <c r="Q386" s="981"/>
      <c r="R386" s="981"/>
      <c r="S386" s="981"/>
      <c r="T386" s="981">
        <f t="shared" si="176"/>
        <v>318865.21074000001</v>
      </c>
      <c r="U386" s="981"/>
      <c r="V386" s="981"/>
      <c r="W386" s="937"/>
      <c r="X386" s="937"/>
      <c r="Y386" s="937"/>
      <c r="Z386" s="937"/>
      <c r="AA386" s="937"/>
      <c r="AB386" s="937"/>
      <c r="AC386" s="937"/>
    </row>
    <row r="387" spans="1:29" ht="21" hidden="1">
      <c r="A387" s="964"/>
      <c r="B387" s="964"/>
      <c r="C387" s="983" t="s">
        <v>473</v>
      </c>
      <c r="D387" s="964" t="s">
        <v>173</v>
      </c>
      <c r="E387" s="1011"/>
      <c r="F387" s="1011"/>
      <c r="G387" s="1011"/>
      <c r="H387" s="981">
        <f>SUM(H383:H386)</f>
        <v>162178.67906199998</v>
      </c>
      <c r="I387" s="981">
        <f t="shared" ref="I387:J387" si="178">SUM(I383:I386)</f>
        <v>148080.3440636</v>
      </c>
      <c r="J387" s="981">
        <f t="shared" si="178"/>
        <v>159518.9732716</v>
      </c>
      <c r="K387" s="981"/>
      <c r="L387" s="981"/>
      <c r="M387" s="981"/>
      <c r="N387" s="981"/>
      <c r="O387" s="981"/>
      <c r="P387" s="981"/>
      <c r="Q387" s="981"/>
      <c r="R387" s="981"/>
      <c r="S387" s="981"/>
      <c r="T387" s="1032">
        <f t="shared" si="176"/>
        <v>469777.99639719992</v>
      </c>
      <c r="U387" s="981"/>
      <c r="V387" s="1033" t="e">
        <f>#REF!/T387</f>
        <v>#REF!</v>
      </c>
      <c r="W387" s="937"/>
      <c r="X387" s="937"/>
      <c r="Y387" s="937"/>
      <c r="Z387" s="937"/>
      <c r="AA387" s="937"/>
      <c r="AB387" s="937"/>
      <c r="AC387" s="937"/>
    </row>
    <row r="388" spans="1:29" ht="21" hidden="1">
      <c r="A388" s="964"/>
      <c r="B388" s="964"/>
      <c r="C388" s="983" t="s">
        <v>345</v>
      </c>
      <c r="D388" s="964" t="s">
        <v>173</v>
      </c>
      <c r="E388" s="964"/>
      <c r="F388" s="964"/>
      <c r="G388" s="1011"/>
      <c r="H388" s="1002">
        <f xml:space="preserve"> (2.5028*H382 - 17716)*99.48/100</f>
        <v>148989.20166752551</v>
      </c>
      <c r="I388" s="966">
        <f t="shared" ref="I388:J388" si="179" xml:space="preserve"> (2.5028*I382 - 17716)*99.48/100</f>
        <v>118843.12856593719</v>
      </c>
      <c r="J388" s="966">
        <f t="shared" si="179"/>
        <v>150124.60817418041</v>
      </c>
      <c r="K388" s="966"/>
      <c r="L388" s="966"/>
      <c r="M388" s="966"/>
      <c r="N388" s="966"/>
      <c r="O388" s="966"/>
      <c r="P388" s="966"/>
      <c r="Q388" s="966"/>
      <c r="R388" s="966"/>
      <c r="S388" s="966"/>
      <c r="T388" s="966">
        <f>SUM(H388:S388)</f>
        <v>417956.93840764312</v>
      </c>
      <c r="U388" s="966"/>
      <c r="V388" s="1001" t="s">
        <v>158</v>
      </c>
      <c r="W388" s="937"/>
      <c r="X388" s="937"/>
      <c r="Y388" s="937"/>
      <c r="Z388" s="937"/>
      <c r="AA388" s="937"/>
      <c r="AB388" s="937"/>
      <c r="AC388" s="937"/>
    </row>
    <row r="389" spans="1:29" ht="21" hidden="1">
      <c r="A389" s="964"/>
      <c r="B389" s="1003" t="s">
        <v>174</v>
      </c>
      <c r="C389" s="1004" t="s">
        <v>138</v>
      </c>
      <c r="D389" s="1003" t="s">
        <v>347</v>
      </c>
      <c r="E389" s="1003"/>
      <c r="F389" s="1003"/>
      <c r="G389" s="1011"/>
      <c r="H389" s="1006">
        <f t="shared" ref="H389:S393" si="180">H383/H$382</f>
        <v>0.14576232818731755</v>
      </c>
      <c r="I389" s="1006">
        <f t="shared" si="180"/>
        <v>0.15966983881780131</v>
      </c>
      <c r="J389" s="1006">
        <f t="shared" si="180"/>
        <v>0.14464292830784392</v>
      </c>
      <c r="K389" s="1006" t="e">
        <f t="shared" si="180"/>
        <v>#DIV/0!</v>
      </c>
      <c r="L389" s="1006" t="e">
        <f t="shared" si="180"/>
        <v>#DIV/0!</v>
      </c>
      <c r="M389" s="1006" t="e">
        <f>M383/M$382</f>
        <v>#DIV/0!</v>
      </c>
      <c r="N389" s="1006" t="e">
        <f t="shared" si="180"/>
        <v>#DIV/0!</v>
      </c>
      <c r="O389" s="1006" t="e">
        <f t="shared" si="180"/>
        <v>#DIV/0!</v>
      </c>
      <c r="P389" s="1006" t="e">
        <f t="shared" si="180"/>
        <v>#DIV/0!</v>
      </c>
      <c r="Q389" s="1006" t="e">
        <f t="shared" si="180"/>
        <v>#DIV/0!</v>
      </c>
      <c r="R389" s="1006" t="e">
        <f t="shared" si="180"/>
        <v>#DIV/0!</v>
      </c>
      <c r="S389" s="1006" t="e">
        <f t="shared" si="180"/>
        <v>#DIV/0!</v>
      </c>
      <c r="T389" s="1006">
        <f>T383/T$382</f>
        <v>0.14939451792105851</v>
      </c>
      <c r="U389" s="1007"/>
      <c r="V389" s="1007"/>
      <c r="W389" s="937"/>
      <c r="X389" s="937"/>
      <c r="Y389" s="937"/>
      <c r="Z389" s="937"/>
      <c r="AA389" s="937"/>
      <c r="AB389" s="937"/>
      <c r="AC389" s="937"/>
    </row>
    <row r="390" spans="1:29" ht="21" hidden="1">
      <c r="A390" s="964"/>
      <c r="B390" s="1003"/>
      <c r="C390" s="1004" t="s">
        <v>464</v>
      </c>
      <c r="D390" s="1003" t="s">
        <v>347</v>
      </c>
      <c r="E390" s="1003"/>
      <c r="F390" s="1003"/>
      <c r="G390" s="1011"/>
      <c r="H390" s="1006">
        <f t="shared" si="180"/>
        <v>0.62632975663436885</v>
      </c>
      <c r="I390" s="1006">
        <f t="shared" si="180"/>
        <v>0.69706092678918752</v>
      </c>
      <c r="J390" s="1006">
        <f t="shared" si="180"/>
        <v>0.63142569227833789</v>
      </c>
      <c r="K390" s="1006" t="e">
        <f t="shared" si="180"/>
        <v>#DIV/0!</v>
      </c>
      <c r="L390" s="1006" t="e">
        <f t="shared" si="180"/>
        <v>#DIV/0!</v>
      </c>
      <c r="M390" s="1006" t="e">
        <f t="shared" si="180"/>
        <v>#DIV/0!</v>
      </c>
      <c r="N390" s="1006" t="e">
        <f t="shared" si="180"/>
        <v>#DIV/0!</v>
      </c>
      <c r="O390" s="1006" t="e">
        <f t="shared" si="180"/>
        <v>#DIV/0!</v>
      </c>
      <c r="P390" s="1006" t="e">
        <f t="shared" si="180"/>
        <v>#DIV/0!</v>
      </c>
      <c r="Q390" s="1006" t="e">
        <f t="shared" si="180"/>
        <v>#DIV/0!</v>
      </c>
      <c r="R390" s="1006" t="e">
        <f t="shared" si="180"/>
        <v>#DIV/0!</v>
      </c>
      <c r="S390" s="1006" t="e">
        <f t="shared" si="180"/>
        <v>#DIV/0!</v>
      </c>
      <c r="T390" s="1006">
        <f>T384/T$382</f>
        <v>0.64864638556678011</v>
      </c>
      <c r="U390" s="1007"/>
      <c r="V390" s="1007"/>
      <c r="W390" s="937"/>
      <c r="X390" s="937"/>
      <c r="Y390" s="937"/>
      <c r="Z390" s="937"/>
      <c r="AA390" s="937"/>
      <c r="AB390" s="937"/>
      <c r="AC390" s="937"/>
    </row>
    <row r="391" spans="1:29" ht="21" hidden="1">
      <c r="A391" s="964"/>
      <c r="B391" s="1003"/>
      <c r="C391" s="1093" t="s">
        <v>408</v>
      </c>
      <c r="D391" s="1003" t="s">
        <v>347</v>
      </c>
      <c r="E391" s="1003"/>
      <c r="F391" s="1003"/>
      <c r="G391" s="1011"/>
      <c r="H391" s="1006">
        <f t="shared" si="180"/>
        <v>0</v>
      </c>
      <c r="I391" s="1006">
        <f t="shared" si="180"/>
        <v>0</v>
      </c>
      <c r="J391" s="1006">
        <f t="shared" si="180"/>
        <v>0</v>
      </c>
      <c r="K391" s="1006" t="e">
        <f t="shared" si="180"/>
        <v>#DIV/0!</v>
      </c>
      <c r="L391" s="1006" t="e">
        <f t="shared" si="180"/>
        <v>#DIV/0!</v>
      </c>
      <c r="M391" s="1006" t="e">
        <f t="shared" si="180"/>
        <v>#DIV/0!</v>
      </c>
      <c r="N391" s="1006" t="e">
        <f t="shared" si="180"/>
        <v>#DIV/0!</v>
      </c>
      <c r="O391" s="1006" t="e">
        <f t="shared" si="180"/>
        <v>#DIV/0!</v>
      </c>
      <c r="P391" s="1006" t="e">
        <f t="shared" si="180"/>
        <v>#DIV/0!</v>
      </c>
      <c r="Q391" s="1006" t="e">
        <f t="shared" si="180"/>
        <v>#DIV/0!</v>
      </c>
      <c r="R391" s="1006" t="e">
        <f t="shared" si="180"/>
        <v>#DIV/0!</v>
      </c>
      <c r="S391" s="1006" t="e">
        <f t="shared" si="180"/>
        <v>#DIV/0!</v>
      </c>
      <c r="T391" s="1006">
        <f>T385/T$382</f>
        <v>0</v>
      </c>
      <c r="U391" s="1007"/>
      <c r="V391" s="1007"/>
      <c r="W391" s="937"/>
      <c r="X391" s="937"/>
      <c r="Y391" s="937"/>
      <c r="Z391" s="937"/>
      <c r="AA391" s="937"/>
      <c r="AB391" s="937"/>
      <c r="AC391" s="937"/>
    </row>
    <row r="392" spans="1:29" ht="21" hidden="1">
      <c r="A392" s="964"/>
      <c r="B392" s="1003"/>
      <c r="C392" s="1093" t="s">
        <v>456</v>
      </c>
      <c r="D392" s="1003" t="s">
        <v>347</v>
      </c>
      <c r="E392" s="1003"/>
      <c r="F392" s="1003"/>
      <c r="G392" s="1011"/>
      <c r="H392" s="1006">
        <f t="shared" si="180"/>
        <v>1.6514278304273617</v>
      </c>
      <c r="I392" s="1006">
        <f t="shared" si="180"/>
        <v>1.8449353522293461</v>
      </c>
      <c r="J392" s="1006">
        <f t="shared" si="180"/>
        <v>1.5915713441891211</v>
      </c>
      <c r="K392" s="1006" t="e">
        <f t="shared" si="180"/>
        <v>#DIV/0!</v>
      </c>
      <c r="L392" s="1006" t="e">
        <f t="shared" si="180"/>
        <v>#DIV/0!</v>
      </c>
      <c r="M392" s="1006" t="e">
        <f t="shared" si="180"/>
        <v>#DIV/0!</v>
      </c>
      <c r="N392" s="1006" t="e">
        <f t="shared" si="180"/>
        <v>#DIV/0!</v>
      </c>
      <c r="O392" s="1006" t="e">
        <f t="shared" si="180"/>
        <v>#DIV/0!</v>
      </c>
      <c r="P392" s="1006" t="e">
        <f t="shared" si="180"/>
        <v>#DIV/0!</v>
      </c>
      <c r="Q392" s="1006" t="e">
        <f t="shared" si="180"/>
        <v>#DIV/0!</v>
      </c>
      <c r="R392" s="1006" t="e">
        <f t="shared" si="180"/>
        <v>#DIV/0!</v>
      </c>
      <c r="S392" s="1006" t="e">
        <f t="shared" si="180"/>
        <v>#DIV/0!</v>
      </c>
      <c r="T392" s="1006">
        <f>T386/T$382</f>
        <v>1.6861890114984373</v>
      </c>
      <c r="U392" s="1007"/>
      <c r="V392" s="1007"/>
      <c r="W392" s="936"/>
      <c r="X392" s="937"/>
      <c r="Y392" s="937"/>
      <c r="Z392" s="937"/>
      <c r="AA392" s="937"/>
      <c r="AB392" s="937"/>
      <c r="AC392" s="937"/>
    </row>
    <row r="393" spans="1:29" ht="23.25" hidden="1">
      <c r="A393" s="964"/>
      <c r="B393" s="1003"/>
      <c r="C393" s="1008" t="s">
        <v>474</v>
      </c>
      <c r="D393" s="1003" t="s">
        <v>347</v>
      </c>
      <c r="E393" s="1003"/>
      <c r="F393" s="1003"/>
      <c r="G393" s="1011"/>
      <c r="H393" s="1006">
        <f t="shared" si="180"/>
        <v>2.4235199152490479</v>
      </c>
      <c r="I393" s="1006">
        <f t="shared" si="180"/>
        <v>2.7016661178363348</v>
      </c>
      <c r="J393" s="1006">
        <f t="shared" si="180"/>
        <v>2.3676399647753028</v>
      </c>
      <c r="K393" s="1006" t="e">
        <f t="shared" si="180"/>
        <v>#DIV/0!</v>
      </c>
      <c r="L393" s="1006" t="e">
        <f t="shared" si="180"/>
        <v>#DIV/0!</v>
      </c>
      <c r="M393" s="1006" t="e">
        <f t="shared" si="180"/>
        <v>#DIV/0!</v>
      </c>
      <c r="N393" s="1006" t="e">
        <f t="shared" si="180"/>
        <v>#DIV/0!</v>
      </c>
      <c r="O393" s="1006" t="e">
        <f t="shared" si="180"/>
        <v>#DIV/0!</v>
      </c>
      <c r="P393" s="1006" t="e">
        <f t="shared" si="180"/>
        <v>#DIV/0!</v>
      </c>
      <c r="Q393" s="1006" t="e">
        <f t="shared" si="180"/>
        <v>#DIV/0!</v>
      </c>
      <c r="R393" s="1006" t="e">
        <f t="shared" si="180"/>
        <v>#DIV/0!</v>
      </c>
      <c r="S393" s="1006" t="e">
        <f t="shared" si="180"/>
        <v>#DIV/0!</v>
      </c>
      <c r="T393" s="1021">
        <f>T387/T382</f>
        <v>2.4842299149862752</v>
      </c>
      <c r="U393" s="1007"/>
      <c r="V393" s="1007"/>
      <c r="W393" s="954">
        <f>'[11]Price&amp;Heating-Value'!D$6</f>
        <v>2.4500000000000002</v>
      </c>
      <c r="X393" s="954">
        <f>'[11]Price&amp;Heating-Value'!E$6</f>
        <v>2.54</v>
      </c>
      <c r="Y393" s="954">
        <f>'[11]Price&amp;Heating-Value'!F$6</f>
        <v>2.58</v>
      </c>
      <c r="Z393" s="954">
        <f>'[11]Price&amp;Heating-Value'!G$6</f>
        <v>2.67</v>
      </c>
      <c r="AA393" s="954">
        <f>'[11]Price&amp;Heating-Value'!H$6</f>
        <v>2.67</v>
      </c>
      <c r="AB393" s="954">
        <f>'[11]Price&amp;Heating-Value'!I$6</f>
        <v>2.67</v>
      </c>
      <c r="AC393" s="954">
        <f>'[11]Price&amp;Heating-Value'!J$6</f>
        <v>2.62</v>
      </c>
    </row>
    <row r="394" spans="1:29" ht="21" hidden="1">
      <c r="A394" s="964"/>
      <c r="B394" s="1003"/>
      <c r="C394" s="1008" t="s">
        <v>475</v>
      </c>
      <c r="D394" s="1003"/>
      <c r="E394" s="1003"/>
      <c r="F394" s="1003"/>
      <c r="G394" s="1011"/>
      <c r="H394" s="1009">
        <f>H387/H388*100</f>
        <v>108.85263982010403</v>
      </c>
      <c r="I394" s="1009">
        <f>I387/I388*100</f>
        <v>124.60151954131808</v>
      </c>
      <c r="J394" s="1009">
        <f t="shared" ref="J394:T394" si="181">J387/J388*100</f>
        <v>106.25771165145683</v>
      </c>
      <c r="K394" s="1009" t="e">
        <f t="shared" si="181"/>
        <v>#DIV/0!</v>
      </c>
      <c r="L394" s="1009" t="e">
        <f t="shared" si="181"/>
        <v>#DIV/0!</v>
      </c>
      <c r="M394" s="1009" t="e">
        <f t="shared" si="181"/>
        <v>#DIV/0!</v>
      </c>
      <c r="N394" s="1009" t="e">
        <f t="shared" si="181"/>
        <v>#DIV/0!</v>
      </c>
      <c r="O394" s="1009" t="e">
        <f t="shared" si="181"/>
        <v>#DIV/0!</v>
      </c>
      <c r="P394" s="1009" t="e">
        <f t="shared" si="181"/>
        <v>#DIV/0!</v>
      </c>
      <c r="Q394" s="1009" t="e">
        <f t="shared" si="181"/>
        <v>#DIV/0!</v>
      </c>
      <c r="R394" s="1009" t="e">
        <f t="shared" si="181"/>
        <v>#DIV/0!</v>
      </c>
      <c r="S394" s="1009" t="e">
        <f t="shared" si="181"/>
        <v>#DIV/0!</v>
      </c>
      <c r="T394" s="1009">
        <f t="shared" si="181"/>
        <v>112.39865958129269</v>
      </c>
      <c r="U394" s="1007"/>
      <c r="V394" s="1007"/>
      <c r="W394" s="982">
        <f>'[11]Price&amp;Heating-Value'!D$9</f>
        <v>1210</v>
      </c>
      <c r="X394" s="982">
        <f>'[11]Price&amp;Heating-Value'!E$9</f>
        <v>1218</v>
      </c>
      <c r="Y394" s="982">
        <f>'[11]Price&amp;Heating-Value'!F$9</f>
        <v>1207</v>
      </c>
      <c r="Z394" s="982">
        <f>'[11]Price&amp;Heating-Value'!G$9</f>
        <v>1232</v>
      </c>
      <c r="AA394" s="982">
        <f>'[11]Price&amp;Heating-Value'!H$9</f>
        <v>1352</v>
      </c>
      <c r="AB394" s="982">
        <f>'[11]Price&amp;Heating-Value'!I$9</f>
        <v>1491</v>
      </c>
      <c r="AC394" s="982">
        <f>'[11]Price&amp;Heating-Value'!J$9</f>
        <v>1588</v>
      </c>
    </row>
    <row r="395" spans="1:29" ht="21" hidden="1">
      <c r="A395" s="964">
        <v>17</v>
      </c>
      <c r="B395" s="1013" t="s">
        <v>105</v>
      </c>
      <c r="C395" s="1031" t="s">
        <v>138</v>
      </c>
      <c r="D395" s="964" t="s">
        <v>90</v>
      </c>
      <c r="E395" s="984">
        <f>'[12]Price&amp;Heating-Value'!$R$6</f>
        <v>3.6</v>
      </c>
      <c r="F395" s="964"/>
      <c r="G395" s="1014">
        <f>'[12]Price&amp;Heating-Value'!$P$6</f>
        <v>2.7124999999999999</v>
      </c>
      <c r="H395" s="1015">
        <v>3163761</v>
      </c>
      <c r="I395" s="1015">
        <v>2864838.2</v>
      </c>
      <c r="J395" s="966">
        <v>2941998</v>
      </c>
      <c r="K395" s="966"/>
      <c r="L395" s="966"/>
      <c r="M395" s="966"/>
      <c r="N395" s="966"/>
      <c r="O395" s="966"/>
      <c r="P395" s="966"/>
      <c r="Q395" s="966"/>
      <c r="R395" s="966"/>
      <c r="S395" s="1129"/>
      <c r="T395" s="966">
        <f t="shared" ref="T395:T405" si="182">SUM(H395:S395)</f>
        <v>8970597.1999999993</v>
      </c>
      <c r="U395" s="966">
        <f>T395*E395</f>
        <v>32294149.919999998</v>
      </c>
      <c r="V395" s="966">
        <f>G395*T395</f>
        <v>24332744.904999997</v>
      </c>
      <c r="W395" s="954">
        <f>'[12]Price&amp;Heating-Value'!D$6</f>
        <v>2.4500000000000002</v>
      </c>
      <c r="X395" s="954">
        <f>'[12]Price&amp;Heating-Value'!E$6</f>
        <v>2.54</v>
      </c>
      <c r="Y395" s="954">
        <f>'[12]Price&amp;Heating-Value'!F$6</f>
        <v>2.58</v>
      </c>
      <c r="Z395" s="954">
        <f>'[12]Price&amp;Heating-Value'!G$6</f>
        <v>2.67</v>
      </c>
      <c r="AA395" s="954">
        <f>'[12]Price&amp;Heating-Value'!H$6</f>
        <v>2.67</v>
      </c>
      <c r="AB395" s="954">
        <f>'[12]Price&amp;Heating-Value'!I$6</f>
        <v>2.67</v>
      </c>
      <c r="AC395" s="954">
        <f>'[12]Price&amp;Heating-Value'!J$6</f>
        <v>2.62</v>
      </c>
    </row>
    <row r="396" spans="1:29" ht="21" hidden="1">
      <c r="A396" s="964"/>
      <c r="B396" s="964"/>
      <c r="C396" s="1031" t="s">
        <v>152</v>
      </c>
      <c r="D396" s="964" t="s">
        <v>121</v>
      </c>
      <c r="E396" s="964">
        <f>'[12]Price&amp;Heating-Value'!$R$9</f>
        <v>2803</v>
      </c>
      <c r="F396" s="964"/>
      <c r="G396" s="965">
        <f>'[12]Price&amp;Heating-Value'!$P$9</f>
        <v>1301.5833333333333</v>
      </c>
      <c r="H396" s="1015">
        <v>10912</v>
      </c>
      <c r="I396" s="1015">
        <v>10791.999999999998</v>
      </c>
      <c r="J396" s="966">
        <v>10430</v>
      </c>
      <c r="K396" s="966"/>
      <c r="L396" s="966"/>
      <c r="M396" s="966"/>
      <c r="N396" s="966"/>
      <c r="O396" s="966"/>
      <c r="P396" s="966"/>
      <c r="Q396" s="966"/>
      <c r="R396" s="966"/>
      <c r="S396" s="1129"/>
      <c r="T396" s="966">
        <f t="shared" si="182"/>
        <v>32134</v>
      </c>
      <c r="U396" s="966">
        <f>T396*E396</f>
        <v>90071602</v>
      </c>
      <c r="V396" s="966">
        <f>G396*T396</f>
        <v>41825078.833333328</v>
      </c>
      <c r="W396" s="982">
        <f>'[12]Price&amp;Heating-Value'!D$9</f>
        <v>1210</v>
      </c>
      <c r="X396" s="982">
        <f>'[12]Price&amp;Heating-Value'!E$9</f>
        <v>1218</v>
      </c>
      <c r="Y396" s="982">
        <f>'[12]Price&amp;Heating-Value'!F$9</f>
        <v>1207</v>
      </c>
      <c r="Z396" s="982">
        <f>'[12]Price&amp;Heating-Value'!G$9</f>
        <v>1232</v>
      </c>
      <c r="AA396" s="982">
        <f>'[12]Price&amp;Heating-Value'!H$9</f>
        <v>1352</v>
      </c>
      <c r="AB396" s="982">
        <f>'[12]Price&amp;Heating-Value'!I$9</f>
        <v>1491</v>
      </c>
      <c r="AC396" s="982">
        <f>'[12]Price&amp;Heating-Value'!J$9</f>
        <v>1588</v>
      </c>
    </row>
    <row r="397" spans="1:29" ht="21" hidden="1">
      <c r="A397" s="964"/>
      <c r="B397" s="964"/>
      <c r="C397" s="1031" t="s">
        <v>408</v>
      </c>
      <c r="D397" s="964" t="s">
        <v>176</v>
      </c>
      <c r="E397" s="984">
        <f>'[11]Price&amp;Heating-Value'!$S$16/1000</f>
        <v>39.770000000000003</v>
      </c>
      <c r="F397" s="1036">
        <f>'[11]Price&amp;Heating-Value'!$T$16</f>
        <v>0.98550000000000004</v>
      </c>
      <c r="G397" s="965">
        <f>'[11]Price&amp;Heating-Value'!$P$16*'[11]Price&amp;Heating-Value'!$T$16/1000</f>
        <v>17.944656726937499</v>
      </c>
      <c r="H397" s="1015">
        <v>3001613.3942161337</v>
      </c>
      <c r="I397" s="1015">
        <v>2955593.0999492644</v>
      </c>
      <c r="J397" s="966">
        <v>2953739.2054794515</v>
      </c>
      <c r="K397" s="966"/>
      <c r="L397" s="966"/>
      <c r="M397" s="966"/>
      <c r="N397" s="966"/>
      <c r="O397" s="966"/>
      <c r="P397" s="966"/>
      <c r="Q397" s="966"/>
      <c r="R397" s="966"/>
      <c r="S397" s="1129"/>
      <c r="T397" s="966">
        <f t="shared" si="182"/>
        <v>8910945.6996448487</v>
      </c>
      <c r="U397" s="966">
        <f>T397*E397</f>
        <v>354388310.47487569</v>
      </c>
      <c r="V397" s="966">
        <f>G397*T397</f>
        <v>159903861.6925067</v>
      </c>
      <c r="W397" s="1037">
        <f>'[11]Price&amp;Heating-Value'!D$16*'[11]Price&amp;Heating-Value'!$T$16/1000</f>
        <v>16.779635460000002</v>
      </c>
      <c r="X397" s="982">
        <f>'[11]Price&amp;Heating-Value'!E$16*'[11]Price&amp;Heating-Value'!$T$16/1000</f>
        <v>16.47036585</v>
      </c>
      <c r="Y397" s="982">
        <f>'[11]Price&amp;Heating-Value'!F$16*'[11]Price&amp;Heating-Value'!$T$16/1000</f>
        <v>16.780118354999999</v>
      </c>
      <c r="Z397" s="982">
        <f>'[11]Price&amp;Heating-Value'!G$16*'[11]Price&amp;Heating-Value'!$T$16/1000</f>
        <v>18.287135100000004</v>
      </c>
      <c r="AA397" s="982">
        <f>'[11]Price&amp;Heating-Value'!H$16*'[11]Price&amp;Heating-Value'!$T$16/1000</f>
        <v>20.715278985000001</v>
      </c>
      <c r="AB397" s="982">
        <f>'[11]Price&amp;Heating-Value'!I$16*'[11]Price&amp;Heating-Value'!$T$16/1000</f>
        <v>22.335056640000001</v>
      </c>
      <c r="AC397" s="982">
        <f>'[11]Price&amp;Heating-Value'!J$16*'[11]Price&amp;Heating-Value'!$T$16/1000</f>
        <v>25.718475240000004</v>
      </c>
    </row>
    <row r="398" spans="1:29" ht="21" hidden="1">
      <c r="A398" s="964"/>
      <c r="B398" s="964"/>
      <c r="C398" s="1031" t="s">
        <v>429</v>
      </c>
      <c r="D398" s="964" t="s">
        <v>102</v>
      </c>
      <c r="E398" s="964">
        <f>'[11]Price&amp;Heating-Value'!$R$23/1000</f>
        <v>50.22</v>
      </c>
      <c r="F398" s="964"/>
      <c r="G398" s="965">
        <f>'[11]Price&amp;Heating-Value'!$P$23/1000</f>
        <v>11.61472</v>
      </c>
      <c r="H398" s="1122">
        <v>1277010</v>
      </c>
      <c r="I398" s="1015">
        <f>1294.661*1000</f>
        <v>1294661</v>
      </c>
      <c r="J398" s="966">
        <v>1464931</v>
      </c>
      <c r="K398" s="966"/>
      <c r="L398" s="966"/>
      <c r="M398" s="966"/>
      <c r="N398" s="966"/>
      <c r="O398" s="966"/>
      <c r="P398" s="966"/>
      <c r="Q398" s="966"/>
      <c r="R398" s="966"/>
      <c r="S398" s="1129"/>
      <c r="T398" s="966">
        <f t="shared" si="182"/>
        <v>4036602</v>
      </c>
      <c r="U398" s="966">
        <f>T398*E398</f>
        <v>202718152.44</v>
      </c>
      <c r="V398" s="966">
        <f>G398*T398</f>
        <v>46884001.98144</v>
      </c>
      <c r="W398" s="982">
        <f>'[11]Price&amp;Heating-Value'!D$23/1000</f>
        <v>11.61472</v>
      </c>
      <c r="X398" s="982">
        <f>'[11]Price&amp;Heating-Value'!E$23/1000</f>
        <v>11.61472</v>
      </c>
      <c r="Y398" s="982">
        <f>'[11]Price&amp;Heating-Value'!F$23/1000</f>
        <v>11.61472</v>
      </c>
      <c r="Z398" s="982">
        <f>'[11]Price&amp;Heating-Value'!G$23/1000</f>
        <v>11.61472</v>
      </c>
      <c r="AA398" s="982">
        <f>'[11]Price&amp;Heating-Value'!H$23/1000</f>
        <v>11.61472</v>
      </c>
      <c r="AB398" s="982">
        <f>'[11]Price&amp;Heating-Value'!I$23/1000</f>
        <v>11.61472</v>
      </c>
      <c r="AC398" s="982">
        <f>'[11]Price&amp;Heating-Value'!J$23/1000</f>
        <v>11.61472</v>
      </c>
    </row>
    <row r="399" spans="1:29" ht="21" hidden="1">
      <c r="A399" s="1011"/>
      <c r="B399" s="989"/>
      <c r="C399" s="990" t="s">
        <v>171</v>
      </c>
      <c r="D399" s="989" t="s">
        <v>121</v>
      </c>
      <c r="E399" s="989"/>
      <c r="F399" s="989"/>
      <c r="G399" s="1011"/>
      <c r="H399" s="1023">
        <v>522931.63767099997</v>
      </c>
      <c r="I399" s="1023">
        <v>515559.84368100006</v>
      </c>
      <c r="J399" s="994">
        <v>569942</v>
      </c>
      <c r="K399" s="994"/>
      <c r="L399" s="994"/>
      <c r="M399" s="994"/>
      <c r="N399" s="994"/>
      <c r="O399" s="994"/>
      <c r="P399" s="994"/>
      <c r="Q399" s="994"/>
      <c r="R399" s="994"/>
      <c r="S399" s="1130"/>
      <c r="T399" s="996">
        <f t="shared" si="182"/>
        <v>1608433.481352</v>
      </c>
      <c r="U399" s="995"/>
      <c r="V399" s="1026" t="e">
        <f>#REF!/T399</f>
        <v>#REF!</v>
      </c>
      <c r="W399" s="936"/>
      <c r="X399" s="937"/>
      <c r="Y399" s="937"/>
      <c r="Z399" s="937"/>
      <c r="AA399" s="937"/>
      <c r="AB399" s="937"/>
      <c r="AC399" s="937"/>
    </row>
    <row r="400" spans="1:29" ht="21" hidden="1">
      <c r="A400" s="1011"/>
      <c r="B400" s="1011"/>
      <c r="C400" s="1031" t="s">
        <v>138</v>
      </c>
      <c r="D400" s="1011" t="s">
        <v>173</v>
      </c>
      <c r="E400" s="964"/>
      <c r="F400" s="964"/>
      <c r="G400" s="1011"/>
      <c r="H400" s="981">
        <f>H395*$E395/1000</f>
        <v>11389.5396</v>
      </c>
      <c r="I400" s="981">
        <f t="shared" ref="I400:J403" si="183">I395*$E395/1000</f>
        <v>10313.417520000001</v>
      </c>
      <c r="J400" s="981">
        <f t="shared" si="183"/>
        <v>10591.192800000001</v>
      </c>
      <c r="K400" s="981"/>
      <c r="L400" s="981"/>
      <c r="M400" s="981"/>
      <c r="N400" s="981"/>
      <c r="O400" s="981"/>
      <c r="P400" s="981"/>
      <c r="Q400" s="981"/>
      <c r="R400" s="981"/>
      <c r="S400" s="981"/>
      <c r="T400" s="981">
        <f t="shared" si="182"/>
        <v>32294.14992</v>
      </c>
      <c r="U400" s="981"/>
      <c r="V400" s="981"/>
      <c r="W400" s="936"/>
      <c r="X400" s="937"/>
      <c r="Y400" s="937"/>
      <c r="Z400" s="937"/>
      <c r="AA400" s="937"/>
      <c r="AB400" s="937"/>
      <c r="AC400" s="937"/>
    </row>
    <row r="401" spans="1:29" ht="21" hidden="1">
      <c r="A401" s="1011"/>
      <c r="B401" s="1011"/>
      <c r="C401" s="1031" t="s">
        <v>476</v>
      </c>
      <c r="D401" s="1011" t="s">
        <v>173</v>
      </c>
      <c r="E401" s="964"/>
      <c r="F401" s="964"/>
      <c r="G401" s="1011"/>
      <c r="H401" s="981">
        <f>H396*$E396/1000</f>
        <v>30586.335999999999</v>
      </c>
      <c r="I401" s="981">
        <f t="shared" si="183"/>
        <v>30249.975999999995</v>
      </c>
      <c r="J401" s="981">
        <f t="shared" si="183"/>
        <v>29235.29</v>
      </c>
      <c r="K401" s="981"/>
      <c r="L401" s="981"/>
      <c r="M401" s="981"/>
      <c r="N401" s="981"/>
      <c r="O401" s="981"/>
      <c r="P401" s="981"/>
      <c r="Q401" s="981"/>
      <c r="R401" s="981"/>
      <c r="S401" s="981"/>
      <c r="T401" s="981">
        <f t="shared" si="182"/>
        <v>90071.601999999984</v>
      </c>
      <c r="U401" s="981"/>
      <c r="V401" s="981"/>
      <c r="W401" s="936"/>
      <c r="X401" s="937"/>
      <c r="Y401" s="937"/>
      <c r="Z401" s="937"/>
      <c r="AA401" s="937"/>
      <c r="AB401" s="937"/>
      <c r="AC401" s="937"/>
    </row>
    <row r="402" spans="1:29" ht="21.75" hidden="1" customHeight="1">
      <c r="A402" s="1011"/>
      <c r="B402" s="1011"/>
      <c r="C402" s="1031" t="s">
        <v>408</v>
      </c>
      <c r="D402" s="1011" t="s">
        <v>173</v>
      </c>
      <c r="E402" s="964"/>
      <c r="F402" s="964"/>
      <c r="G402" s="1011"/>
      <c r="H402" s="981">
        <f>H397*$E397/1000</f>
        <v>119374.16468797564</v>
      </c>
      <c r="I402" s="981">
        <f t="shared" si="183"/>
        <v>117543.93758498227</v>
      </c>
      <c r="J402" s="981">
        <f t="shared" si="183"/>
        <v>117470.20820191779</v>
      </c>
      <c r="K402" s="981"/>
      <c r="L402" s="981"/>
      <c r="M402" s="981"/>
      <c r="N402" s="981"/>
      <c r="O402" s="981"/>
      <c r="P402" s="981"/>
      <c r="Q402" s="981"/>
      <c r="R402" s="981"/>
      <c r="S402" s="981"/>
      <c r="T402" s="981">
        <f t="shared" si="182"/>
        <v>354388.31047487573</v>
      </c>
      <c r="U402" s="981"/>
      <c r="V402" s="981"/>
      <c r="W402" s="936"/>
      <c r="X402" s="937"/>
      <c r="Y402" s="937"/>
      <c r="Z402" s="937"/>
      <c r="AA402" s="937"/>
      <c r="AB402" s="937"/>
      <c r="AC402" s="937"/>
    </row>
    <row r="403" spans="1:29" ht="21" hidden="1">
      <c r="A403" s="1011"/>
      <c r="B403" s="1011"/>
      <c r="C403" s="1031" t="s">
        <v>456</v>
      </c>
      <c r="D403" s="1011" t="s">
        <v>173</v>
      </c>
      <c r="E403" s="964"/>
      <c r="F403" s="964"/>
      <c r="G403" s="1011"/>
      <c r="H403" s="981">
        <f>H398*$E398/1000</f>
        <v>64131.442199999998</v>
      </c>
      <c r="I403" s="981">
        <f t="shared" si="183"/>
        <v>65017.875420000004</v>
      </c>
      <c r="J403" s="981">
        <f t="shared" si="183"/>
        <v>73568.834819999989</v>
      </c>
      <c r="K403" s="981"/>
      <c r="L403" s="981"/>
      <c r="M403" s="981"/>
      <c r="N403" s="981"/>
      <c r="O403" s="981"/>
      <c r="P403" s="981"/>
      <c r="Q403" s="981"/>
      <c r="R403" s="981"/>
      <c r="S403" s="981"/>
      <c r="T403" s="981">
        <f t="shared" si="182"/>
        <v>202718.15243999998</v>
      </c>
      <c r="U403" s="981"/>
      <c r="V403" s="981"/>
      <c r="W403" s="936"/>
      <c r="X403" s="937"/>
      <c r="Y403" s="937"/>
      <c r="Z403" s="937"/>
      <c r="AA403" s="937"/>
      <c r="AB403" s="937"/>
      <c r="AC403" s="937"/>
    </row>
    <row r="404" spans="1:29" ht="21" hidden="1">
      <c r="A404" s="1011"/>
      <c r="B404" s="964"/>
      <c r="C404" s="983" t="s">
        <v>477</v>
      </c>
      <c r="D404" s="964" t="s">
        <v>173</v>
      </c>
      <c r="E404" s="1011"/>
      <c r="F404" s="1011"/>
      <c r="G404" s="1011"/>
      <c r="H404" s="981">
        <f>SUM(H400:H403)</f>
        <v>225481.48248797562</v>
      </c>
      <c r="I404" s="981">
        <f t="shared" ref="I404:J404" si="184">SUM(I400:I403)</f>
        <v>223125.20652498226</v>
      </c>
      <c r="J404" s="981">
        <f t="shared" si="184"/>
        <v>230865.52582191778</v>
      </c>
      <c r="K404" s="981"/>
      <c r="L404" s="981"/>
      <c r="M404" s="981"/>
      <c r="N404" s="981"/>
      <c r="O404" s="981"/>
      <c r="P404" s="981"/>
      <c r="Q404" s="981"/>
      <c r="R404" s="981"/>
      <c r="S404" s="981"/>
      <c r="T404" s="1032">
        <f t="shared" si="182"/>
        <v>679472.21483487566</v>
      </c>
      <c r="U404" s="981"/>
      <c r="V404" s="1033" t="e">
        <f>#REF!/T404</f>
        <v>#REF!</v>
      </c>
      <c r="W404" s="936"/>
      <c r="X404" s="937"/>
      <c r="Y404" s="937"/>
      <c r="Z404" s="937"/>
      <c r="AA404" s="937"/>
      <c r="AB404" s="937"/>
      <c r="AC404" s="937"/>
    </row>
    <row r="405" spans="1:29" ht="21" hidden="1">
      <c r="A405" s="1011"/>
      <c r="B405" s="964"/>
      <c r="C405" s="983" t="s">
        <v>345</v>
      </c>
      <c r="D405" s="964" t="s">
        <v>173</v>
      </c>
      <c r="E405" s="964"/>
      <c r="F405" s="964">
        <f>H399/H405</f>
        <v>2.1421952580871575</v>
      </c>
      <c r="G405" s="1011" t="s">
        <v>931</v>
      </c>
      <c r="H405" s="1002">
        <f xml:space="preserve"> (0.4556*H399 - 7497.9)*105.79/100</f>
        <v>244110.16488662397</v>
      </c>
      <c r="I405" s="966">
        <f t="shared" ref="I405:J405" si="185" xml:space="preserve"> (0.4556*I399 - 7497.9)*105.79/100</f>
        <v>240557.11322188721</v>
      </c>
      <c r="J405" s="966">
        <f t="shared" si="185"/>
        <v>266768.18359408004</v>
      </c>
      <c r="K405" s="966"/>
      <c r="L405" s="966"/>
      <c r="M405" s="966"/>
      <c r="N405" s="966"/>
      <c r="O405" s="966"/>
      <c r="P405" s="966"/>
      <c r="Q405" s="966"/>
      <c r="R405" s="966"/>
      <c r="S405" s="966"/>
      <c r="T405" s="1032">
        <f t="shared" si="182"/>
        <v>751435.46170259127</v>
      </c>
      <c r="U405" s="966"/>
      <c r="V405" s="1001" t="s">
        <v>158</v>
      </c>
      <c r="W405" s="936"/>
      <c r="X405" s="937"/>
      <c r="Y405" s="937"/>
      <c r="Z405" s="937"/>
      <c r="AA405" s="937"/>
      <c r="AB405" s="937"/>
      <c r="AC405" s="937"/>
    </row>
    <row r="406" spans="1:29" ht="21" hidden="1">
      <c r="A406" s="1011"/>
      <c r="B406" s="1003" t="s">
        <v>174</v>
      </c>
      <c r="C406" s="1004" t="s">
        <v>138</v>
      </c>
      <c r="D406" s="1003" t="s">
        <v>347</v>
      </c>
      <c r="E406" s="1003"/>
      <c r="F406" s="1020">
        <f>(J406-G406)/G406*100</f>
        <v>-19.893226493755286</v>
      </c>
      <c r="G406" s="1040">
        <v>2.3197702368169894E-2</v>
      </c>
      <c r="H406" s="1006">
        <f>H400/H$399</f>
        <v>2.1780169298468946E-2</v>
      </c>
      <c r="I406" s="1006">
        <f t="shared" ref="I406:S406" si="186">I400/I$399</f>
        <v>2.0004307252411563E-2</v>
      </c>
      <c r="J406" s="1006">
        <f t="shared" si="186"/>
        <v>1.8582930894722623E-2</v>
      </c>
      <c r="K406" s="1006" t="e">
        <f t="shared" si="186"/>
        <v>#DIV/0!</v>
      </c>
      <c r="L406" s="1006" t="e">
        <f t="shared" si="186"/>
        <v>#DIV/0!</v>
      </c>
      <c r="M406" s="1006" t="e">
        <f t="shared" si="186"/>
        <v>#DIV/0!</v>
      </c>
      <c r="N406" s="1006" t="e">
        <f t="shared" si="186"/>
        <v>#DIV/0!</v>
      </c>
      <c r="O406" s="1006" t="e">
        <f t="shared" si="186"/>
        <v>#DIV/0!</v>
      </c>
      <c r="P406" s="1006" t="e">
        <f t="shared" si="186"/>
        <v>#DIV/0!</v>
      </c>
      <c r="Q406" s="1006" t="e">
        <f t="shared" si="186"/>
        <v>#DIV/0!</v>
      </c>
      <c r="R406" s="1006" t="e">
        <f t="shared" si="186"/>
        <v>#DIV/0!</v>
      </c>
      <c r="S406" s="1006" t="e">
        <f t="shared" si="186"/>
        <v>#DIV/0!</v>
      </c>
      <c r="T406" s="1006">
        <f>T400/T$399</f>
        <v>2.0078013977211245E-2</v>
      </c>
      <c r="U406" s="1007"/>
      <c r="V406" s="1007"/>
      <c r="W406" s="936"/>
      <c r="X406" s="937"/>
      <c r="Y406" s="937"/>
      <c r="Z406" s="937"/>
      <c r="AA406" s="937"/>
      <c r="AB406" s="937"/>
      <c r="AC406" s="937"/>
    </row>
    <row r="407" spans="1:29" ht="21" hidden="1">
      <c r="A407" s="1011"/>
      <c r="B407" s="1003"/>
      <c r="C407" s="1004" t="s">
        <v>455</v>
      </c>
      <c r="D407" s="1003" t="s">
        <v>347</v>
      </c>
      <c r="E407" s="1003"/>
      <c r="F407" s="1020">
        <f>(J407-G407)/G407*100</f>
        <v>19.552996750770717</v>
      </c>
      <c r="G407" s="1040">
        <v>4.2905827007292362E-2</v>
      </c>
      <c r="H407" s="1006">
        <f t="shared" ref="H407:S410" si="187">H401/H$399</f>
        <v>5.8490123367221571E-2</v>
      </c>
      <c r="I407" s="1006">
        <f t="shared" si="187"/>
        <v>5.8674034393409832E-2</v>
      </c>
      <c r="J407" s="1006">
        <f t="shared" si="187"/>
        <v>5.1295201967919542E-2</v>
      </c>
      <c r="K407" s="1006" t="e">
        <f t="shared" si="187"/>
        <v>#DIV/0!</v>
      </c>
      <c r="L407" s="1006" t="e">
        <f t="shared" si="187"/>
        <v>#DIV/0!</v>
      </c>
      <c r="M407" s="1006" t="e">
        <f t="shared" si="187"/>
        <v>#DIV/0!</v>
      </c>
      <c r="N407" s="1006" t="e">
        <f t="shared" si="187"/>
        <v>#DIV/0!</v>
      </c>
      <c r="O407" s="1006" t="e">
        <f t="shared" si="187"/>
        <v>#DIV/0!</v>
      </c>
      <c r="P407" s="1006" t="e">
        <f t="shared" si="187"/>
        <v>#DIV/0!</v>
      </c>
      <c r="Q407" s="1006" t="e">
        <f t="shared" si="187"/>
        <v>#DIV/0!</v>
      </c>
      <c r="R407" s="1006" t="e">
        <f t="shared" si="187"/>
        <v>#DIV/0!</v>
      </c>
      <c r="S407" s="1006" t="e">
        <f t="shared" si="187"/>
        <v>#DIV/0!</v>
      </c>
      <c r="T407" s="1006">
        <f>T401/T$399</f>
        <v>5.5999581607993232E-2</v>
      </c>
      <c r="U407" s="1007"/>
      <c r="V407" s="1007"/>
      <c r="W407" s="936"/>
      <c r="X407" s="937"/>
      <c r="Y407" s="937"/>
      <c r="Z407" s="937"/>
      <c r="AA407" s="937"/>
      <c r="AB407" s="937"/>
      <c r="AC407" s="937"/>
    </row>
    <row r="408" spans="1:29" ht="21" hidden="1">
      <c r="A408" s="1011"/>
      <c r="B408" s="1003"/>
      <c r="C408" s="1093" t="s">
        <v>408</v>
      </c>
      <c r="D408" s="1003" t="s">
        <v>347</v>
      </c>
      <c r="E408" s="1003"/>
      <c r="F408" s="1020">
        <f>(J408-G408)/G408*100</f>
        <v>36.793467908141835</v>
      </c>
      <c r="G408" s="1040">
        <v>0.15067170985365749</v>
      </c>
      <c r="H408" s="1006">
        <f t="shared" si="187"/>
        <v>0.22827871960403234</v>
      </c>
      <c r="I408" s="1006">
        <f t="shared" si="187"/>
        <v>0.22799281019588477</v>
      </c>
      <c r="J408" s="1006">
        <f t="shared" si="187"/>
        <v>0.20610905706531155</v>
      </c>
      <c r="K408" s="1006" t="e">
        <f t="shared" si="187"/>
        <v>#DIV/0!</v>
      </c>
      <c r="L408" s="1006" t="e">
        <f t="shared" si="187"/>
        <v>#DIV/0!</v>
      </c>
      <c r="M408" s="1006" t="e">
        <f t="shared" si="187"/>
        <v>#DIV/0!</v>
      </c>
      <c r="N408" s="1006" t="e">
        <f t="shared" si="187"/>
        <v>#DIV/0!</v>
      </c>
      <c r="O408" s="1006" t="e">
        <f t="shared" si="187"/>
        <v>#DIV/0!</v>
      </c>
      <c r="P408" s="1006" t="e">
        <f t="shared" si="187"/>
        <v>#DIV/0!</v>
      </c>
      <c r="Q408" s="1006" t="e">
        <f t="shared" si="187"/>
        <v>#DIV/0!</v>
      </c>
      <c r="R408" s="1006" t="e">
        <f t="shared" si="187"/>
        <v>#DIV/0!</v>
      </c>
      <c r="S408" s="1006" t="e">
        <f t="shared" si="187"/>
        <v>#DIV/0!</v>
      </c>
      <c r="T408" s="1006">
        <f>T402/T$399</f>
        <v>0.22033134387191924</v>
      </c>
      <c r="U408" s="1007"/>
      <c r="V408" s="1007"/>
      <c r="W408" s="936"/>
      <c r="X408" s="937"/>
      <c r="Y408" s="937"/>
      <c r="Z408" s="937"/>
      <c r="AA408" s="937"/>
      <c r="AB408" s="937"/>
      <c r="AC408" s="937"/>
    </row>
    <row r="409" spans="1:29" ht="21" hidden="1">
      <c r="A409" s="1011"/>
      <c r="B409" s="1003"/>
      <c r="C409" s="1093" t="s">
        <v>456</v>
      </c>
      <c r="D409" s="1003" t="s">
        <v>347</v>
      </c>
      <c r="E409" s="1003"/>
      <c r="F409" s="1020">
        <f>(J409-G409)/G409*100</f>
        <v>-37.728006656386626</v>
      </c>
      <c r="G409" s="1040">
        <v>0.20728622759165682</v>
      </c>
      <c r="H409" s="1006">
        <f t="shared" si="187"/>
        <v>0.12263829070588381</v>
      </c>
      <c r="I409" s="1006">
        <f t="shared" si="187"/>
        <v>0.12611120942970391</v>
      </c>
      <c r="J409" s="1006">
        <f t="shared" si="187"/>
        <v>0.12908126584810381</v>
      </c>
      <c r="K409" s="1006" t="e">
        <f t="shared" si="187"/>
        <v>#DIV/0!</v>
      </c>
      <c r="L409" s="1006" t="e">
        <f t="shared" si="187"/>
        <v>#DIV/0!</v>
      </c>
      <c r="M409" s="1006" t="e">
        <f t="shared" si="187"/>
        <v>#DIV/0!</v>
      </c>
      <c r="N409" s="1006" t="e">
        <f t="shared" si="187"/>
        <v>#DIV/0!</v>
      </c>
      <c r="O409" s="1006" t="e">
        <f t="shared" si="187"/>
        <v>#DIV/0!</v>
      </c>
      <c r="P409" s="1006" t="e">
        <f t="shared" si="187"/>
        <v>#DIV/0!</v>
      </c>
      <c r="Q409" s="1006" t="e">
        <f t="shared" si="187"/>
        <v>#DIV/0!</v>
      </c>
      <c r="R409" s="1006" t="e">
        <f t="shared" si="187"/>
        <v>#DIV/0!</v>
      </c>
      <c r="S409" s="1006" t="e">
        <f t="shared" si="187"/>
        <v>#DIV/0!</v>
      </c>
      <c r="T409" s="1006">
        <f>T403/T$399</f>
        <v>0.12603452663121717</v>
      </c>
      <c r="U409" s="1007"/>
      <c r="V409" s="1007"/>
      <c r="W409" s="936"/>
      <c r="X409" s="937"/>
      <c r="Y409" s="937"/>
      <c r="Z409" s="937"/>
      <c r="AA409" s="937"/>
      <c r="AB409" s="937"/>
      <c r="AC409" s="937"/>
    </row>
    <row r="410" spans="1:29" ht="23.25" hidden="1">
      <c r="A410" s="1011"/>
      <c r="B410" s="1003"/>
      <c r="C410" s="1008" t="s">
        <v>479</v>
      </c>
      <c r="D410" s="1003" t="s">
        <v>347</v>
      </c>
      <c r="E410" s="1003"/>
      <c r="F410" s="1020">
        <f>(J410-G410)/G410*100</f>
        <v>-4.4788344451834226</v>
      </c>
      <c r="G410" s="1040">
        <v>0.42406146682077656</v>
      </c>
      <c r="H410" s="1006">
        <f>H404/H$399</f>
        <v>0.43118730297560665</v>
      </c>
      <c r="I410" s="1006">
        <f t="shared" si="187"/>
        <v>0.43278236127141007</v>
      </c>
      <c r="J410" s="1006">
        <f t="shared" si="187"/>
        <v>0.40506845577605755</v>
      </c>
      <c r="K410" s="1006" t="e">
        <f t="shared" si="187"/>
        <v>#DIV/0!</v>
      </c>
      <c r="L410" s="1006" t="e">
        <f t="shared" si="187"/>
        <v>#DIV/0!</v>
      </c>
      <c r="M410" s="1006" t="e">
        <f t="shared" si="187"/>
        <v>#DIV/0!</v>
      </c>
      <c r="N410" s="1006" t="e">
        <f t="shared" si="187"/>
        <v>#DIV/0!</v>
      </c>
      <c r="O410" s="1006" t="e">
        <f t="shared" si="187"/>
        <v>#DIV/0!</v>
      </c>
      <c r="P410" s="1006" t="e">
        <f t="shared" si="187"/>
        <v>#DIV/0!</v>
      </c>
      <c r="Q410" s="1006" t="e">
        <f t="shared" si="187"/>
        <v>#DIV/0!</v>
      </c>
      <c r="R410" s="1006" t="e">
        <f t="shared" si="187"/>
        <v>#DIV/0!</v>
      </c>
      <c r="S410" s="1006" t="e">
        <f t="shared" si="187"/>
        <v>#DIV/0!</v>
      </c>
      <c r="T410" s="1021">
        <f>T404/T399</f>
        <v>0.42244346608834088</v>
      </c>
      <c r="U410" s="1007"/>
      <c r="V410" s="1007"/>
      <c r="W410" s="936"/>
      <c r="X410" s="937"/>
      <c r="Y410" s="937"/>
      <c r="Z410" s="937"/>
      <c r="AA410" s="937"/>
      <c r="AB410" s="937"/>
      <c r="AC410" s="937"/>
    </row>
    <row r="411" spans="1:29" ht="21" hidden="1">
      <c r="A411" s="1011"/>
      <c r="B411" s="1003"/>
      <c r="C411" s="1008" t="s">
        <v>480</v>
      </c>
      <c r="D411" s="1003"/>
      <c r="E411" s="1003"/>
      <c r="F411" s="1003"/>
      <c r="G411" s="1040">
        <v>85.231287930802736</v>
      </c>
      <c r="H411" s="1009">
        <f>H404/H405*100</f>
        <v>92.368739578173503</v>
      </c>
      <c r="I411" s="1009">
        <f t="shared" ref="I411:S411" si="188">I404/I405*100</f>
        <v>92.753526818046765</v>
      </c>
      <c r="J411" s="1009">
        <f t="shared" si="188"/>
        <v>86.541626783052777</v>
      </c>
      <c r="K411" s="1009" t="e">
        <f t="shared" si="188"/>
        <v>#DIV/0!</v>
      </c>
      <c r="L411" s="1009" t="e">
        <f t="shared" si="188"/>
        <v>#DIV/0!</v>
      </c>
      <c r="M411" s="1009" t="e">
        <f t="shared" si="188"/>
        <v>#DIV/0!</v>
      </c>
      <c r="N411" s="1009" t="e">
        <f t="shared" si="188"/>
        <v>#DIV/0!</v>
      </c>
      <c r="O411" s="1009" t="e">
        <f t="shared" si="188"/>
        <v>#DIV/0!</v>
      </c>
      <c r="P411" s="1009" t="e">
        <f t="shared" si="188"/>
        <v>#DIV/0!</v>
      </c>
      <c r="Q411" s="1009" t="e">
        <f t="shared" si="188"/>
        <v>#DIV/0!</v>
      </c>
      <c r="R411" s="1009" t="e">
        <f t="shared" si="188"/>
        <v>#DIV/0!</v>
      </c>
      <c r="S411" s="1009" t="e">
        <f t="shared" si="188"/>
        <v>#DIV/0!</v>
      </c>
      <c r="T411" s="1009">
        <f>T404/T405*100</f>
        <v>90.423229866652505</v>
      </c>
      <c r="U411" s="1007"/>
      <c r="V411" s="1007"/>
      <c r="W411" s="936"/>
      <c r="X411" s="937"/>
      <c r="Y411" s="937"/>
      <c r="Z411" s="937"/>
      <c r="AA411" s="937"/>
      <c r="AB411" s="937"/>
      <c r="AC411" s="937"/>
    </row>
    <row r="412" spans="1:29" ht="21" hidden="1">
      <c r="A412" s="964">
        <v>18</v>
      </c>
      <c r="B412" s="1117" t="s">
        <v>104</v>
      </c>
      <c r="C412" s="1031" t="s">
        <v>138</v>
      </c>
      <c r="D412" s="964" t="s">
        <v>90</v>
      </c>
      <c r="E412" s="984">
        <f>'[11]Price&amp;Heating-Value'!$R$6</f>
        <v>3.6</v>
      </c>
      <c r="F412" s="964"/>
      <c r="G412" s="1014">
        <f>'[11]Price&amp;Heating-Value'!$P$6</f>
        <v>2.7124999999999999</v>
      </c>
      <c r="H412" s="1015">
        <v>15928285.046</v>
      </c>
      <c r="I412" s="966">
        <f>41832.9350352*1000/3.6</f>
        <v>11620259.731999999</v>
      </c>
      <c r="J412" s="966">
        <f>41832.9350352*1000/3.6</f>
        <v>11620259.731999999</v>
      </c>
      <c r="K412" s="966"/>
      <c r="L412" s="966"/>
      <c r="M412" s="1129"/>
      <c r="N412" s="966"/>
      <c r="O412" s="966"/>
      <c r="P412" s="966"/>
      <c r="Q412" s="966"/>
      <c r="R412" s="966"/>
      <c r="S412" s="966"/>
      <c r="T412" s="966">
        <f>SUM(H412:S412)</f>
        <v>39168804.509999998</v>
      </c>
      <c r="U412" s="966">
        <f>T412*E412</f>
        <v>141007696.236</v>
      </c>
      <c r="V412" s="966">
        <f>G412*T412</f>
        <v>106245382.233375</v>
      </c>
      <c r="W412" s="954">
        <f>'[11]Price&amp;Heating-Value'!D$6</f>
        <v>2.4500000000000002</v>
      </c>
      <c r="X412" s="954">
        <f>'[11]Price&amp;Heating-Value'!E$6</f>
        <v>2.54</v>
      </c>
      <c r="Y412" s="954">
        <f>'[11]Price&amp;Heating-Value'!F$6</f>
        <v>2.58</v>
      </c>
      <c r="Z412" s="954">
        <f>'[11]Price&amp;Heating-Value'!G$6</f>
        <v>2.67</v>
      </c>
      <c r="AA412" s="954">
        <f>'[11]Price&amp;Heating-Value'!H$6</f>
        <v>2.67</v>
      </c>
      <c r="AB412" s="954">
        <f>'[11]Price&amp;Heating-Value'!I$6</f>
        <v>2.67</v>
      </c>
      <c r="AC412" s="954">
        <f>'[11]Price&amp;Heating-Value'!J$6</f>
        <v>2.62</v>
      </c>
    </row>
    <row r="413" spans="1:29" ht="21" hidden="1">
      <c r="A413" s="964"/>
      <c r="B413" s="964"/>
      <c r="C413" s="1031" t="s">
        <v>481</v>
      </c>
      <c r="D413" s="964" t="s">
        <v>147</v>
      </c>
      <c r="E413" s="964">
        <v>33913</v>
      </c>
      <c r="F413" s="964"/>
      <c r="G413" s="1014"/>
      <c r="H413" s="1015">
        <v>5801.125</v>
      </c>
      <c r="I413" s="966">
        <f>182884.635967/33.913</f>
        <v>5392.7590000000009</v>
      </c>
      <c r="J413" s="966">
        <f>J418/33.913</f>
        <v>6352.9330000000009</v>
      </c>
      <c r="K413" s="966"/>
      <c r="L413" s="966"/>
      <c r="M413" s="966"/>
      <c r="N413" s="966"/>
      <c r="O413" s="966"/>
      <c r="P413" s="966"/>
      <c r="Q413" s="966"/>
      <c r="R413" s="966"/>
      <c r="S413" s="966"/>
      <c r="T413" s="966">
        <f>SUM(H413:S413)</f>
        <v>17546.817000000003</v>
      </c>
      <c r="U413" s="966">
        <f>T413*E413</f>
        <v>595065204.92100012</v>
      </c>
      <c r="V413" s="966">
        <f>G413*T413</f>
        <v>0</v>
      </c>
      <c r="W413" s="1131">
        <f>'[11]Price&amp;Heating-Value'!D$7</f>
        <v>1179.3506956831968</v>
      </c>
      <c r="X413" s="1132">
        <f>'[11]Price&amp;Heating-Value'!E$7</f>
        <v>1187.148055654656</v>
      </c>
      <c r="Y413" s="1132">
        <f>'[11]Price&amp;Heating-Value'!F$7</f>
        <v>1176.4266856938996</v>
      </c>
      <c r="Z413" s="1132">
        <f>'[11]Price&amp;Heating-Value'!G$7</f>
        <v>1200.7934356047094</v>
      </c>
      <c r="AA413" s="1132">
        <f>'[11]Price&amp;Heating-Value'!H$7</f>
        <v>1317.7538351765968</v>
      </c>
      <c r="AB413" s="1132">
        <f>'[11]Price&amp;Heating-Value'!I$7</f>
        <v>1453.2329646806993</v>
      </c>
      <c r="AC413" s="1132">
        <f>'[11]Price&amp;Heating-Value'!J$7</f>
        <v>1547.7759543346415</v>
      </c>
    </row>
    <row r="414" spans="1:29" ht="21" hidden="1">
      <c r="A414" s="964"/>
      <c r="B414" s="964"/>
      <c r="C414" s="1031" t="s">
        <v>482</v>
      </c>
      <c r="D414" s="964" t="s">
        <v>147</v>
      </c>
      <c r="E414" s="964">
        <f>'[11]Price&amp;Heating-Value'!$R$10</f>
        <v>3180</v>
      </c>
      <c r="F414" s="964"/>
      <c r="G414" s="965">
        <f>'[11]Price&amp;Heating-Value'!$P$10</f>
        <v>1321.5833333333333</v>
      </c>
      <c r="H414" s="1015">
        <v>-3995.4169811320799</v>
      </c>
      <c r="I414" s="966">
        <f>-30736.64871*1000/$E$414</f>
        <v>-9665.612801886793</v>
      </c>
      <c r="J414" s="966">
        <f>J419*1000/$E$414</f>
        <v>4421.8867924528304</v>
      </c>
      <c r="K414" s="966"/>
      <c r="L414" s="966"/>
      <c r="M414" s="966"/>
      <c r="N414" s="966"/>
      <c r="O414" s="966"/>
      <c r="P414" s="966"/>
      <c r="Q414" s="966"/>
      <c r="R414" s="966"/>
      <c r="S414" s="966"/>
      <c r="T414" s="966">
        <f>SUM(H414:S414)</f>
        <v>-9239.1429905660407</v>
      </c>
      <c r="U414" s="966">
        <f>T414*E414</f>
        <v>-29380474.710000008</v>
      </c>
      <c r="V414" s="966">
        <f>G414*T414</f>
        <v>-12210297.390615569</v>
      </c>
      <c r="W414" s="1037">
        <f>'[11]Price&amp;Heating-Value'!D$10</f>
        <v>1230</v>
      </c>
      <c r="X414" s="982">
        <f>'[11]Price&amp;Heating-Value'!E$10</f>
        <v>1238</v>
      </c>
      <c r="Y414" s="982">
        <f>'[11]Price&amp;Heating-Value'!F$10</f>
        <v>1227</v>
      </c>
      <c r="Z414" s="982">
        <f>'[11]Price&amp;Heating-Value'!G$10</f>
        <v>1252</v>
      </c>
      <c r="AA414" s="982">
        <f>'[11]Price&amp;Heating-Value'!H$10</f>
        <v>1372</v>
      </c>
      <c r="AB414" s="982">
        <f>'[11]Price&amp;Heating-Value'!I$10</f>
        <v>1511</v>
      </c>
      <c r="AC414" s="982">
        <f>'[11]Price&amp;Heating-Value'!J$10</f>
        <v>1608</v>
      </c>
    </row>
    <row r="415" spans="1:29" ht="21" hidden="1">
      <c r="A415" s="964"/>
      <c r="B415" s="964"/>
      <c r="C415" s="1031" t="s">
        <v>488</v>
      </c>
      <c r="D415" s="964" t="s">
        <v>483</v>
      </c>
      <c r="E415" s="964">
        <f>'[11]Price&amp;Heating-Value'!$R$19/1000</f>
        <v>43.993000000000002</v>
      </c>
      <c r="F415" s="964"/>
      <c r="G415" s="1133">
        <f>'[11]Price&amp;Heating-Value'!P19/1000</f>
        <v>5.9003324083333331</v>
      </c>
      <c r="H415" s="1015">
        <v>1920379.8720425975</v>
      </c>
      <c r="I415" s="966">
        <f>58534.70166182*1000/$E$415</f>
        <v>1330545.8064196575</v>
      </c>
      <c r="J415" s="966">
        <f>J420*1000/$E$415</f>
        <v>2106780.6953242561</v>
      </c>
      <c r="K415" s="966"/>
      <c r="L415" s="966"/>
      <c r="M415" s="966"/>
      <c r="N415" s="966"/>
      <c r="O415" s="966"/>
      <c r="P415" s="966"/>
      <c r="Q415" s="966"/>
      <c r="R415" s="966"/>
      <c r="S415" s="966"/>
      <c r="T415" s="966">
        <f>SUM(H415:S415)</f>
        <v>5357706.3737865109</v>
      </c>
      <c r="U415" s="966">
        <f>T415*E415</f>
        <v>235701576.50198999</v>
      </c>
      <c r="V415" s="966">
        <f>G415*T415</f>
        <v>31612248.551586613</v>
      </c>
      <c r="W415" s="1134">
        <f>'[11]Price&amp;Heating-Value'!D$19/1000</f>
        <v>5.3311999999999999</v>
      </c>
      <c r="X415" s="1135">
        <f>'[11]Price&amp;Heating-Value'!E$19/1000</f>
        <v>5.3087400000000011</v>
      </c>
      <c r="Y415" s="1135">
        <f>'[11]Price&amp;Heating-Value'!F$19/1000</f>
        <v>5.3071200000000003</v>
      </c>
      <c r="Z415" s="1135">
        <f>'[11]Price&amp;Heating-Value'!G$19/1000</f>
        <v>5.3289600000000004</v>
      </c>
      <c r="AA415" s="1135">
        <f>'[11]Price&amp;Heating-Value'!H$19/1000</f>
        <v>5.3113499999999991</v>
      </c>
      <c r="AB415" s="1135">
        <f>'[11]Price&amp;Heating-Value'!I$19/1000</f>
        <v>5.3247999999999998</v>
      </c>
      <c r="AC415" s="1135">
        <f>'[11]Price&amp;Heating-Value'!J$19/1000</f>
        <v>5.3135399999999997</v>
      </c>
    </row>
    <row r="416" spans="1:29" ht="21" hidden="1">
      <c r="A416" s="1011"/>
      <c r="B416" s="989"/>
      <c r="C416" s="990" t="s">
        <v>107</v>
      </c>
      <c r="D416" s="989" t="s">
        <v>147</v>
      </c>
      <c r="E416" s="989"/>
      <c r="F416" s="989"/>
      <c r="G416" s="1011"/>
      <c r="H416" s="1023">
        <v>100302.849</v>
      </c>
      <c r="I416" s="1023">
        <v>96836</v>
      </c>
      <c r="J416" s="994">
        <v>106242</v>
      </c>
      <c r="K416" s="994"/>
      <c r="L416" s="994"/>
      <c r="M416" s="994"/>
      <c r="N416" s="994"/>
      <c r="O416" s="994"/>
      <c r="P416" s="994"/>
      <c r="Q416" s="994"/>
      <c r="R416" s="994"/>
      <c r="S416" s="994"/>
      <c r="T416" s="996">
        <f>SUM(H416:S416)</f>
        <v>303380.84899999999</v>
      </c>
      <c r="U416" s="995"/>
      <c r="V416" s="1026" t="e">
        <f>#REF!/T416</f>
        <v>#REF!</v>
      </c>
      <c r="W416" s="936"/>
      <c r="X416" s="937"/>
      <c r="Y416" s="937"/>
      <c r="Z416" s="937"/>
      <c r="AA416" s="937"/>
      <c r="AB416" s="937"/>
      <c r="AC416" s="937"/>
    </row>
    <row r="417" spans="1:23" ht="21" hidden="1">
      <c r="A417" s="1011"/>
      <c r="B417" s="1011"/>
      <c r="C417" s="1031" t="s">
        <v>138</v>
      </c>
      <c r="D417" s="1011" t="s">
        <v>173</v>
      </c>
      <c r="E417" s="964"/>
      <c r="F417" s="964"/>
      <c r="G417" s="1011"/>
      <c r="H417" s="981">
        <f>H412*$E412/1000</f>
        <v>57341.826165600003</v>
      </c>
      <c r="I417" s="981">
        <f t="shared" ref="I417:I420" si="189">I412*$E412/1000</f>
        <v>41832.935035199996</v>
      </c>
      <c r="J417" s="981">
        <v>59541.839359199999</v>
      </c>
      <c r="K417" s="981"/>
      <c r="L417" s="981"/>
      <c r="M417" s="981"/>
      <c r="N417" s="981"/>
      <c r="O417" s="981"/>
      <c r="P417" s="981"/>
      <c r="Q417" s="981"/>
      <c r="R417" s="981"/>
      <c r="S417" s="981"/>
      <c r="T417" s="981">
        <f t="shared" ref="T417:T422" si="190">SUM(H417:S417)</f>
        <v>158716.60055999999</v>
      </c>
      <c r="U417" s="981"/>
      <c r="V417" s="981"/>
      <c r="W417" s="936"/>
    </row>
    <row r="418" spans="1:23" ht="21.75" hidden="1" customHeight="1">
      <c r="A418" s="1011"/>
      <c r="B418" s="1011"/>
      <c r="C418" s="1031" t="s">
        <v>481</v>
      </c>
      <c r="D418" s="1011" t="s">
        <v>173</v>
      </c>
      <c r="E418" s="964"/>
      <c r="F418" s="964"/>
      <c r="G418" s="1011"/>
      <c r="H418" s="981">
        <f>H413*$E413/1000</f>
        <v>196733.55212499999</v>
      </c>
      <c r="I418" s="981">
        <f t="shared" si="189"/>
        <v>182884.63596700004</v>
      </c>
      <c r="J418" s="981">
        <v>215447.016829</v>
      </c>
      <c r="K418" s="981"/>
      <c r="L418" s="981"/>
      <c r="M418" s="981"/>
      <c r="N418" s="981"/>
      <c r="O418" s="981"/>
      <c r="P418" s="981"/>
      <c r="Q418" s="981"/>
      <c r="R418" s="981"/>
      <c r="S418" s="981"/>
      <c r="T418" s="981">
        <f t="shared" si="190"/>
        <v>595065.20492100006</v>
      </c>
      <c r="U418" s="981"/>
      <c r="V418" s="981"/>
      <c r="W418" s="936"/>
    </row>
    <row r="419" spans="1:23" ht="21.75" hidden="1" customHeight="1">
      <c r="A419" s="1011"/>
      <c r="B419" s="1011"/>
      <c r="C419" s="1031" t="s">
        <v>482</v>
      </c>
      <c r="D419" s="1011" t="s">
        <v>173</v>
      </c>
      <c r="E419" s="964"/>
      <c r="F419" s="964"/>
      <c r="G419" s="1011"/>
      <c r="H419" s="981">
        <f>H414*$E414/1000</f>
        <v>-12705.426000000012</v>
      </c>
      <c r="I419" s="981">
        <f>I414*$E414/1000</f>
        <v>-30736.648710000001</v>
      </c>
      <c r="J419" s="981">
        <v>14061.6</v>
      </c>
      <c r="K419" s="981"/>
      <c r="L419" s="981"/>
      <c r="M419" s="981"/>
      <c r="N419" s="981"/>
      <c r="O419" s="981"/>
      <c r="P419" s="981"/>
      <c r="Q419" s="981"/>
      <c r="R419" s="981"/>
      <c r="S419" s="981"/>
      <c r="T419" s="981">
        <f t="shared" si="190"/>
        <v>-29380.474710000017</v>
      </c>
      <c r="U419" s="981"/>
      <c r="V419" s="981"/>
      <c r="W419" s="936"/>
    </row>
    <row r="420" spans="1:23" ht="21" hidden="1">
      <c r="A420" s="1011"/>
      <c r="B420" s="1011"/>
      <c r="C420" s="1031" t="s">
        <v>488</v>
      </c>
      <c r="D420" s="1011" t="s">
        <v>173</v>
      </c>
      <c r="E420" s="964"/>
      <c r="F420" s="964"/>
      <c r="G420" s="1011"/>
      <c r="H420" s="981">
        <f>H415*$E415/1000</f>
        <v>84483.271710770001</v>
      </c>
      <c r="I420" s="981">
        <f t="shared" si="189"/>
        <v>58534.701661819992</v>
      </c>
      <c r="J420" s="981">
        <v>92683.603129399999</v>
      </c>
      <c r="K420" s="981"/>
      <c r="L420" s="981"/>
      <c r="M420" s="981"/>
      <c r="N420" s="981"/>
      <c r="O420" s="981"/>
      <c r="P420" s="981"/>
      <c r="Q420" s="981"/>
      <c r="R420" s="981"/>
      <c r="S420" s="981"/>
      <c r="T420" s="981">
        <f t="shared" si="190"/>
        <v>235701.57650199</v>
      </c>
      <c r="U420" s="981"/>
      <c r="V420" s="981"/>
      <c r="W420" s="936"/>
    </row>
    <row r="421" spans="1:23" ht="21" hidden="1">
      <c r="A421" s="1011"/>
      <c r="B421" s="964"/>
      <c r="C421" s="983" t="s">
        <v>484</v>
      </c>
      <c r="D421" s="964" t="s">
        <v>173</v>
      </c>
      <c r="E421" s="1011"/>
      <c r="F421" s="1011"/>
      <c r="G421" s="1011"/>
      <c r="H421" s="981">
        <f t="shared" ref="H421" si="191">SUM(H417:H420)</f>
        <v>325853.22400137002</v>
      </c>
      <c r="I421" s="1136">
        <v>318918.84999999998</v>
      </c>
      <c r="J421" s="1136">
        <f>SUM(J417:J420)</f>
        <v>381734.05931759998</v>
      </c>
      <c r="K421" s="981"/>
      <c r="L421" s="981"/>
      <c r="M421" s="981"/>
      <c r="N421" s="981"/>
      <c r="O421" s="981"/>
      <c r="P421" s="981"/>
      <c r="Q421" s="981"/>
      <c r="R421" s="981"/>
      <c r="S421" s="981"/>
      <c r="T421" s="1032">
        <f t="shared" si="190"/>
        <v>1026506.13331897</v>
      </c>
      <c r="U421" s="981"/>
      <c r="V421" s="1033" t="e">
        <f>#REF!/T421</f>
        <v>#REF!</v>
      </c>
      <c r="W421" s="936"/>
    </row>
    <row r="422" spans="1:23" ht="21" hidden="1">
      <c r="A422" s="1011"/>
      <c r="B422" s="964"/>
      <c r="C422" s="983" t="s">
        <v>345</v>
      </c>
      <c r="D422" s="964" t="s">
        <v>173</v>
      </c>
      <c r="E422" s="964"/>
      <c r="F422" s="964"/>
      <c r="G422" s="1011"/>
      <c r="H422" s="1002">
        <f xml:space="preserve"> 1.7636*H416 + 141346</f>
        <v>318240.10449639999</v>
      </c>
      <c r="I422" s="1002">
        <f xml:space="preserve"> 1.7636*I416 + 141346</f>
        <v>312125.96960000001</v>
      </c>
      <c r="J422" s="1002">
        <v>328714.39120000001</v>
      </c>
      <c r="K422" s="1002"/>
      <c r="L422" s="1002"/>
      <c r="M422" s="1002"/>
      <c r="N422" s="1002"/>
      <c r="O422" s="1002"/>
      <c r="P422" s="1002"/>
      <c r="Q422" s="1002"/>
      <c r="R422" s="1002"/>
      <c r="S422" s="1002"/>
      <c r="T422" s="1032">
        <f t="shared" si="190"/>
        <v>959080.46529640001</v>
      </c>
      <c r="U422" s="966"/>
      <c r="V422" s="1001" t="s">
        <v>158</v>
      </c>
      <c r="W422" s="936"/>
    </row>
    <row r="423" spans="1:23" ht="21" hidden="1">
      <c r="A423" s="1011"/>
      <c r="B423" s="1003" t="s">
        <v>174</v>
      </c>
      <c r="C423" s="1004" t="s">
        <v>138</v>
      </c>
      <c r="D423" s="1003" t="s">
        <v>347</v>
      </c>
      <c r="E423" s="1003"/>
      <c r="F423" s="1020"/>
      <c r="G423" s="1040"/>
      <c r="H423" s="1006">
        <f>H417/H$416</f>
        <v>0.57168691355516732</v>
      </c>
      <c r="I423" s="1006">
        <f t="shared" ref="I423:S427" si="192">I417/I$416</f>
        <v>0.43199775946135732</v>
      </c>
      <c r="J423" s="1006">
        <f t="shared" si="192"/>
        <v>0.56043597973682724</v>
      </c>
      <c r="K423" s="1006" t="e">
        <f t="shared" si="192"/>
        <v>#DIV/0!</v>
      </c>
      <c r="L423" s="1006" t="e">
        <f t="shared" si="192"/>
        <v>#DIV/0!</v>
      </c>
      <c r="M423" s="1006" t="e">
        <f t="shared" si="192"/>
        <v>#DIV/0!</v>
      </c>
      <c r="N423" s="1006" t="e">
        <f t="shared" si="192"/>
        <v>#DIV/0!</v>
      </c>
      <c r="O423" s="1006" t="e">
        <f t="shared" si="192"/>
        <v>#DIV/0!</v>
      </c>
      <c r="P423" s="1006" t="e">
        <f t="shared" si="192"/>
        <v>#DIV/0!</v>
      </c>
      <c r="Q423" s="1006" t="e">
        <f t="shared" si="192"/>
        <v>#DIV/0!</v>
      </c>
      <c r="R423" s="1006" t="e">
        <f t="shared" si="192"/>
        <v>#DIV/0!</v>
      </c>
      <c r="S423" s="1006" t="e">
        <f t="shared" si="192"/>
        <v>#DIV/0!</v>
      </c>
      <c r="T423" s="1006">
        <f>T417/T$416</f>
        <v>0.52315958994498035</v>
      </c>
      <c r="U423" s="1007"/>
      <c r="V423" s="1007"/>
      <c r="W423" s="936"/>
    </row>
    <row r="424" spans="1:23" ht="21" hidden="1">
      <c r="A424" s="1011"/>
      <c r="B424" s="1003"/>
      <c r="C424" s="1093" t="s">
        <v>487</v>
      </c>
      <c r="D424" s="1003" t="s">
        <v>347</v>
      </c>
      <c r="E424" s="1003"/>
      <c r="F424" s="1020"/>
      <c r="G424" s="1040"/>
      <c r="H424" s="1006">
        <f>H418/H$416</f>
        <v>1.9613954547293067</v>
      </c>
      <c r="I424" s="1006">
        <f t="shared" si="192"/>
        <v>1.8886017180284196</v>
      </c>
      <c r="J424" s="1006">
        <f t="shared" si="192"/>
        <v>2.0278893171156418</v>
      </c>
      <c r="K424" s="1006" t="e">
        <f t="shared" si="192"/>
        <v>#DIV/0!</v>
      </c>
      <c r="L424" s="1006" t="e">
        <f t="shared" si="192"/>
        <v>#DIV/0!</v>
      </c>
      <c r="M424" s="1006" t="e">
        <f t="shared" si="192"/>
        <v>#DIV/0!</v>
      </c>
      <c r="N424" s="1006" t="e">
        <f t="shared" si="192"/>
        <v>#DIV/0!</v>
      </c>
      <c r="O424" s="1006" t="e">
        <f t="shared" si="192"/>
        <v>#DIV/0!</v>
      </c>
      <c r="P424" s="1006" t="e">
        <f t="shared" si="192"/>
        <v>#DIV/0!</v>
      </c>
      <c r="Q424" s="1006" t="e">
        <f t="shared" si="192"/>
        <v>#DIV/0!</v>
      </c>
      <c r="R424" s="1006" t="e">
        <f t="shared" si="192"/>
        <v>#DIV/0!</v>
      </c>
      <c r="S424" s="1006" t="e">
        <f t="shared" si="192"/>
        <v>#DIV/0!</v>
      </c>
      <c r="T424" s="1006">
        <f>T418/T$416</f>
        <v>1.9614461719731033</v>
      </c>
      <c r="U424" s="1007"/>
      <c r="V424" s="1007"/>
      <c r="W424" s="937"/>
    </row>
    <row r="425" spans="1:23" ht="21" hidden="1">
      <c r="A425" s="1011"/>
      <c r="B425" s="1003"/>
      <c r="C425" s="1093" t="s">
        <v>482</v>
      </c>
      <c r="D425" s="1003" t="s">
        <v>347</v>
      </c>
      <c r="E425" s="1003"/>
      <c r="F425" s="1020"/>
      <c r="G425" s="1040"/>
      <c r="H425" s="1006">
        <f>H419/H$416</f>
        <v>-0.12667063923578095</v>
      </c>
      <c r="I425" s="1006">
        <f t="shared" si="192"/>
        <v>-0.31740931791895577</v>
      </c>
      <c r="J425" s="1006">
        <f t="shared" si="192"/>
        <v>0.13235443609871803</v>
      </c>
      <c r="K425" s="1006" t="e">
        <f t="shared" si="192"/>
        <v>#DIV/0!</v>
      </c>
      <c r="L425" s="1006" t="e">
        <f t="shared" si="192"/>
        <v>#DIV/0!</v>
      </c>
      <c r="M425" s="1006" t="e">
        <f t="shared" si="192"/>
        <v>#DIV/0!</v>
      </c>
      <c r="N425" s="1006" t="e">
        <f t="shared" si="192"/>
        <v>#DIV/0!</v>
      </c>
      <c r="O425" s="1006" t="e">
        <f t="shared" si="192"/>
        <v>#DIV/0!</v>
      </c>
      <c r="P425" s="1006" t="e">
        <f t="shared" si="192"/>
        <v>#DIV/0!</v>
      </c>
      <c r="Q425" s="1006" t="e">
        <f t="shared" si="192"/>
        <v>#DIV/0!</v>
      </c>
      <c r="R425" s="1006" t="e">
        <f t="shared" si="192"/>
        <v>#DIV/0!</v>
      </c>
      <c r="S425" s="1006" t="e">
        <f t="shared" si="192"/>
        <v>#DIV/0!</v>
      </c>
      <c r="T425" s="1006">
        <f>T419/T$416</f>
        <v>-9.684353777386924E-2</v>
      </c>
      <c r="U425" s="1007"/>
      <c r="V425" s="1007"/>
      <c r="W425" s="937"/>
    </row>
    <row r="426" spans="1:23" ht="21" hidden="1">
      <c r="A426" s="1011"/>
      <c r="B426" s="1003"/>
      <c r="C426" s="1093" t="s">
        <v>488</v>
      </c>
      <c r="D426" s="1003" t="s">
        <v>347</v>
      </c>
      <c r="E426" s="1003"/>
      <c r="F426" s="1020"/>
      <c r="G426" s="1040"/>
      <c r="H426" s="1006">
        <f>H420/H$416</f>
        <v>0.84228187487246753</v>
      </c>
      <c r="I426" s="1006">
        <f t="shared" si="192"/>
        <v>0.60447252738465029</v>
      </c>
      <c r="J426" s="1006">
        <f t="shared" si="192"/>
        <v>0.87238194997646878</v>
      </c>
      <c r="K426" s="1006" t="e">
        <f t="shared" si="192"/>
        <v>#DIV/0!</v>
      </c>
      <c r="L426" s="1006" t="e">
        <f t="shared" si="192"/>
        <v>#DIV/0!</v>
      </c>
      <c r="M426" s="1006" t="e">
        <f t="shared" si="192"/>
        <v>#DIV/0!</v>
      </c>
      <c r="N426" s="1006" t="e">
        <f t="shared" si="192"/>
        <v>#DIV/0!</v>
      </c>
      <c r="O426" s="1006" t="e">
        <f t="shared" si="192"/>
        <v>#DIV/0!</v>
      </c>
      <c r="P426" s="1006" t="e">
        <f t="shared" si="192"/>
        <v>#DIV/0!</v>
      </c>
      <c r="Q426" s="1006" t="e">
        <f t="shared" si="192"/>
        <v>#DIV/0!</v>
      </c>
      <c r="R426" s="1006" t="e">
        <f t="shared" si="192"/>
        <v>#DIV/0!</v>
      </c>
      <c r="S426" s="1006" t="e">
        <f t="shared" si="192"/>
        <v>#DIV/0!</v>
      </c>
      <c r="T426" s="1006">
        <f>T420/T$416</f>
        <v>0.77691646417005711</v>
      </c>
      <c r="U426" s="1007"/>
      <c r="V426" s="1007"/>
      <c r="W426" s="937"/>
    </row>
    <row r="427" spans="1:23" ht="23.25" hidden="1">
      <c r="A427" s="1011"/>
      <c r="B427" s="1003"/>
      <c r="C427" s="1008" t="s">
        <v>489</v>
      </c>
      <c r="D427" s="1003" t="s">
        <v>347</v>
      </c>
      <c r="E427" s="1003"/>
      <c r="F427" s="1020"/>
      <c r="G427" s="1040"/>
      <c r="H427" s="1006">
        <f>H421/H$416</f>
        <v>3.2486936039211609</v>
      </c>
      <c r="I427" s="1006">
        <f t="shared" si="192"/>
        <v>3.2933914040232968</v>
      </c>
      <c r="J427" s="1006">
        <f t="shared" si="192"/>
        <v>3.5930616829276554</v>
      </c>
      <c r="K427" s="1006" t="e">
        <f t="shared" si="192"/>
        <v>#DIV/0!</v>
      </c>
      <c r="L427" s="1006" t="e">
        <f t="shared" si="192"/>
        <v>#DIV/0!</v>
      </c>
      <c r="M427" s="1006" t="e">
        <f t="shared" si="192"/>
        <v>#DIV/0!</v>
      </c>
      <c r="N427" s="1006" t="e">
        <f t="shared" si="192"/>
        <v>#DIV/0!</v>
      </c>
      <c r="O427" s="1006" t="e">
        <f t="shared" si="192"/>
        <v>#DIV/0!</v>
      </c>
      <c r="P427" s="1006" t="e">
        <f t="shared" si="192"/>
        <v>#DIV/0!</v>
      </c>
      <c r="Q427" s="1006" t="e">
        <f t="shared" si="192"/>
        <v>#DIV/0!</v>
      </c>
      <c r="R427" s="1006" t="e">
        <f t="shared" si="192"/>
        <v>#DIV/0!</v>
      </c>
      <c r="S427" s="1006" t="e">
        <f t="shared" si="192"/>
        <v>#DIV/0!</v>
      </c>
      <c r="T427" s="1021">
        <f>T421/T416</f>
        <v>3.3835561364618965</v>
      </c>
      <c r="U427" s="1007"/>
      <c r="V427" s="1007"/>
      <c r="W427" s="937"/>
    </row>
    <row r="428" spans="1:23" ht="21" hidden="1">
      <c r="A428" s="1011"/>
      <c r="B428" s="1003"/>
      <c r="C428" s="1008" t="s">
        <v>490</v>
      </c>
      <c r="D428" s="1003"/>
      <c r="E428" s="1003"/>
      <c r="F428" s="1003"/>
      <c r="G428" s="1040"/>
      <c r="H428" s="1009">
        <f>H421/H422*100</f>
        <v>102.39225647471974</v>
      </c>
      <c r="I428" s="1009">
        <f t="shared" ref="I428:T428" si="193">I421/I422*100</f>
        <v>102.17632656734882</v>
      </c>
      <c r="J428" s="1009">
        <f>J421/J422*100</f>
        <v>116.12940276939112</v>
      </c>
      <c r="K428" s="1009" t="e">
        <f t="shared" si="193"/>
        <v>#DIV/0!</v>
      </c>
      <c r="L428" s="1009" t="e">
        <f t="shared" si="193"/>
        <v>#DIV/0!</v>
      </c>
      <c r="M428" s="1009" t="e">
        <f t="shared" si="193"/>
        <v>#DIV/0!</v>
      </c>
      <c r="N428" s="1009" t="e">
        <f t="shared" si="193"/>
        <v>#DIV/0!</v>
      </c>
      <c r="O428" s="1009" t="e">
        <f t="shared" si="193"/>
        <v>#DIV/0!</v>
      </c>
      <c r="P428" s="1009" t="e">
        <f t="shared" si="193"/>
        <v>#DIV/0!</v>
      </c>
      <c r="Q428" s="1009" t="e">
        <f t="shared" si="193"/>
        <v>#DIV/0!</v>
      </c>
      <c r="R428" s="1009" t="e">
        <f t="shared" si="193"/>
        <v>#DIV/0!</v>
      </c>
      <c r="S428" s="1009" t="e">
        <f t="shared" si="193"/>
        <v>#DIV/0!</v>
      </c>
      <c r="T428" s="1009">
        <f t="shared" si="193"/>
        <v>107.03024099252532</v>
      </c>
      <c r="U428" s="1007"/>
      <c r="V428" s="1007"/>
      <c r="W428" s="937"/>
    </row>
    <row r="429" spans="1:23" ht="21" hidden="1">
      <c r="A429" s="964"/>
      <c r="B429" s="964" t="s">
        <v>491</v>
      </c>
      <c r="C429" s="983" t="s">
        <v>398</v>
      </c>
      <c r="D429" s="964" t="s">
        <v>173</v>
      </c>
      <c r="E429" s="964"/>
      <c r="F429" s="964"/>
      <c r="G429" s="964"/>
      <c r="H429" s="987">
        <f t="shared" ref="H429:Q430" si="194">H421+H689</f>
        <v>454474.74235600804</v>
      </c>
      <c r="I429" s="987">
        <f>I421+I689</f>
        <v>436503.15838604548</v>
      </c>
      <c r="J429" s="987">
        <f t="shared" si="194"/>
        <v>511402.55084122601</v>
      </c>
      <c r="K429" s="987">
        <f t="shared" si="194"/>
        <v>0</v>
      </c>
      <c r="L429" s="987">
        <f t="shared" si="194"/>
        <v>0</v>
      </c>
      <c r="M429" s="987">
        <f t="shared" si="194"/>
        <v>0</v>
      </c>
      <c r="N429" s="987">
        <f t="shared" si="194"/>
        <v>0</v>
      </c>
      <c r="O429" s="987">
        <f t="shared" si="194"/>
        <v>0</v>
      </c>
      <c r="P429" s="987">
        <f t="shared" si="194"/>
        <v>0</v>
      </c>
      <c r="Q429" s="987">
        <f t="shared" si="194"/>
        <v>0</v>
      </c>
      <c r="R429" s="987"/>
      <c r="S429" s="987"/>
      <c r="T429" s="987"/>
      <c r="U429" s="966"/>
      <c r="V429" s="966"/>
      <c r="W429" s="937"/>
    </row>
    <row r="430" spans="1:23" ht="21" hidden="1">
      <c r="A430" s="964"/>
      <c r="B430" s="1011"/>
      <c r="C430" s="1062" t="s">
        <v>492</v>
      </c>
      <c r="D430" s="1011" t="s">
        <v>173</v>
      </c>
      <c r="E430" s="1011"/>
      <c r="F430" s="1011"/>
      <c r="G430" s="1011"/>
      <c r="H430" s="987">
        <f t="shared" si="194"/>
        <v>449940.52721307601</v>
      </c>
      <c r="I430" s="987">
        <f t="shared" si="194"/>
        <v>437696.74915288563</v>
      </c>
      <c r="J430" s="987">
        <f t="shared" si="194"/>
        <v>458975.52386259922</v>
      </c>
      <c r="K430" s="987">
        <f t="shared" si="194"/>
        <v>0</v>
      </c>
      <c r="L430" s="987">
        <f t="shared" si="194"/>
        <v>0</v>
      </c>
      <c r="M430" s="987">
        <f t="shared" si="194"/>
        <v>0</v>
      </c>
      <c r="N430" s="987">
        <f t="shared" si="194"/>
        <v>0</v>
      </c>
      <c r="O430" s="987">
        <f t="shared" si="194"/>
        <v>0</v>
      </c>
      <c r="P430" s="987">
        <f t="shared" si="194"/>
        <v>0</v>
      </c>
      <c r="Q430" s="987">
        <f t="shared" si="194"/>
        <v>0</v>
      </c>
      <c r="R430" s="987"/>
      <c r="S430" s="987"/>
      <c r="T430" s="987"/>
      <c r="U430" s="966"/>
      <c r="V430" s="966"/>
      <c r="W430" s="937"/>
    </row>
    <row r="431" spans="1:23" ht="21" hidden="1">
      <c r="A431" s="964"/>
      <c r="B431" s="1011"/>
      <c r="C431" s="1062" t="s">
        <v>493</v>
      </c>
      <c r="D431" s="1011" t="s">
        <v>401</v>
      </c>
      <c r="E431" s="1011"/>
      <c r="F431" s="1011"/>
      <c r="G431" s="1011"/>
      <c r="H431" s="1114">
        <f t="shared" ref="H431:M431" si="195">H429/H430*100</f>
        <v>101.0077365493206</v>
      </c>
      <c r="I431" s="1114">
        <f t="shared" si="195"/>
        <v>99.727301889001879</v>
      </c>
      <c r="J431" s="1114">
        <f t="shared" si="195"/>
        <v>111.42261934523583</v>
      </c>
      <c r="K431" s="1114" t="e">
        <f t="shared" si="195"/>
        <v>#DIV/0!</v>
      </c>
      <c r="L431" s="1114" t="e">
        <f t="shared" si="195"/>
        <v>#DIV/0!</v>
      </c>
      <c r="M431" s="1114" t="e">
        <f t="shared" si="195"/>
        <v>#DIV/0!</v>
      </c>
      <c r="N431" s="1114" t="e">
        <f>N429/N430*100</f>
        <v>#DIV/0!</v>
      </c>
      <c r="O431" s="1114" t="e">
        <f>O429/O430*100</f>
        <v>#DIV/0!</v>
      </c>
      <c r="P431" s="1114" t="e">
        <f t="shared" ref="P431:Q431" si="196">P429/P430*100</f>
        <v>#DIV/0!</v>
      </c>
      <c r="Q431" s="1114" t="e">
        <f t="shared" si="196"/>
        <v>#DIV/0!</v>
      </c>
      <c r="R431" s="987"/>
      <c r="S431" s="987"/>
      <c r="T431" s="987"/>
      <c r="U431" s="966"/>
      <c r="V431" s="966"/>
      <c r="W431" s="937"/>
    </row>
    <row r="432" spans="1:23" ht="21" hidden="1">
      <c r="A432" s="964"/>
      <c r="B432" s="1011"/>
      <c r="C432" s="1062" t="s">
        <v>494</v>
      </c>
      <c r="D432" s="1011"/>
      <c r="E432" s="1011"/>
      <c r="F432" s="1011"/>
      <c r="G432" s="1011"/>
      <c r="H432" s="1114">
        <f>H431</f>
        <v>101.0077365493206</v>
      </c>
      <c r="I432" s="1114">
        <f>(H429+I429)/(H430+I430)*100</f>
        <v>100.37635016746577</v>
      </c>
      <c r="J432" s="1114">
        <f>(H429+I429+J429)/(H430+I430+J430)*100</f>
        <v>104.14132788172319</v>
      </c>
      <c r="K432" s="1114">
        <f>(H429+I429+J429+K429)/(H430+I430+J430+K430)*100</f>
        <v>104.14132788172319</v>
      </c>
      <c r="L432" s="985">
        <f>(H429+I429+J429+K429+L429)/(H430+I430+J430+K430+L430)*100</f>
        <v>104.14132788172319</v>
      </c>
      <c r="M432" s="985">
        <f>(H429+I429+J429+K429+L429+M429)/(H430+I430+J430+K430+L430+M430)*100</f>
        <v>104.14132788172319</v>
      </c>
      <c r="N432" s="985">
        <f>(H429+I429+J429+K429+L429+M429+N429)/(H430+I430+J430+K430+L430+M430+N430)*100</f>
        <v>104.14132788172319</v>
      </c>
      <c r="O432" s="985">
        <f>(H429+I429+J429+K429+L429+M429+N429+O429)/(H430+I430+J430+K430+L430+M430+N430+O430)*100</f>
        <v>104.14132788172319</v>
      </c>
      <c r="P432" s="985">
        <f>(H429+I429+J429+K429+L429+M429+N429+O429+P429)/(H430+I430+J430+K430+L430+M430+N430+O430+P430)*100</f>
        <v>104.14132788172319</v>
      </c>
      <c r="Q432" s="985">
        <f>(H429+I429+J429+K429+L429+N429+M429+O429+P429+Q429)/(H430+I430+J430+K430+L430+M430+N430+O430+P430+Q430)*100</f>
        <v>104.14132788172319</v>
      </c>
      <c r="R432" s="985">
        <f>(H429+I429+J429+K429+L429+M429+N429+O429+P429+Q429+R429)/(H430+I430+J430+K430+M430+L430+N430+O430+P430+Q430+R430)*100</f>
        <v>104.14132788172319</v>
      </c>
      <c r="S432" s="985">
        <f>(H429+I429+J429+K429+L429+M429+N429+O429+P429+Q429+R429+S429)/(H430+I430+J430+K430+L430+M430+N430+O430+P430+Q430+R430+S430)*100</f>
        <v>104.14132788172319</v>
      </c>
      <c r="T432" s="985"/>
      <c r="U432" s="966"/>
      <c r="V432" s="966"/>
      <c r="W432" s="937"/>
    </row>
    <row r="433" spans="1:29" ht="21" hidden="1">
      <c r="A433" s="964"/>
      <c r="B433" s="1137" t="s">
        <v>496</v>
      </c>
      <c r="C433" s="1030" t="s">
        <v>97</v>
      </c>
      <c r="D433" s="1011" t="s">
        <v>121</v>
      </c>
      <c r="E433" s="1011"/>
      <c r="F433" s="1011"/>
      <c r="G433" s="1011"/>
      <c r="H433" s="1138">
        <v>51108.207020999995</v>
      </c>
      <c r="I433" s="1089">
        <v>52439.808902999997</v>
      </c>
      <c r="J433" s="1089">
        <v>53659.066384999998</v>
      </c>
      <c r="K433" s="1089"/>
      <c r="L433" s="1089"/>
      <c r="M433" s="1089"/>
      <c r="N433" s="1089"/>
      <c r="O433" s="1089"/>
      <c r="P433" s="1089"/>
      <c r="Q433" s="1089"/>
      <c r="R433" s="1089"/>
      <c r="S433" s="1089"/>
      <c r="T433" s="1089">
        <f>SUM(H433:S433)</f>
        <v>157207.08230899999</v>
      </c>
      <c r="U433" s="966"/>
      <c r="V433" s="966"/>
      <c r="W433" s="937"/>
      <c r="X433" s="937"/>
      <c r="Y433" s="937"/>
      <c r="Z433" s="937"/>
      <c r="AA433" s="937"/>
      <c r="AB433" s="937"/>
      <c r="AC433" s="937"/>
    </row>
    <row r="434" spans="1:29" ht="21" hidden="1">
      <c r="A434" s="964"/>
      <c r="B434" s="1011"/>
      <c r="C434" s="1030" t="s">
        <v>370</v>
      </c>
      <c r="D434" s="1011" t="s">
        <v>173</v>
      </c>
      <c r="E434" s="1011"/>
      <c r="F434" s="1011"/>
      <c r="G434" s="1011"/>
      <c r="H434" s="1138">
        <v>66823.511648208296</v>
      </c>
      <c r="I434" s="1089">
        <v>72083.591383631894</v>
      </c>
      <c r="J434" s="1089">
        <v>65446.033913121697</v>
      </c>
      <c r="K434" s="1089"/>
      <c r="L434" s="1089"/>
      <c r="M434" s="1089"/>
      <c r="N434" s="1089"/>
      <c r="O434" s="1089"/>
      <c r="P434" s="1089"/>
      <c r="Q434" s="1089"/>
      <c r="R434" s="1089"/>
      <c r="S434" s="1089"/>
      <c r="T434" s="1089">
        <f>SUM(H434:S434)</f>
        <v>204353.13694496188</v>
      </c>
      <c r="U434" s="966"/>
      <c r="V434" s="966"/>
      <c r="W434" s="937"/>
      <c r="X434" s="937"/>
      <c r="Y434" s="937"/>
      <c r="Z434" s="937"/>
      <c r="AA434" s="937"/>
      <c r="AB434" s="937"/>
      <c r="AC434" s="937"/>
    </row>
    <row r="435" spans="1:29" ht="21" hidden="1">
      <c r="A435" s="964"/>
      <c r="B435" s="1011"/>
      <c r="C435" s="1030" t="s">
        <v>492</v>
      </c>
      <c r="D435" s="1011" t="s">
        <v>173</v>
      </c>
      <c r="E435" s="1011"/>
      <c r="F435" s="1011"/>
      <c r="G435" s="1011"/>
      <c r="H435" s="1139">
        <v>75255.075736869097</v>
      </c>
      <c r="I435" s="1115">
        <v>66907.103600584102</v>
      </c>
      <c r="J435" s="1115">
        <f>63585034.3475343/1000</f>
        <v>63585.034347534296</v>
      </c>
      <c r="K435" s="1115"/>
      <c r="L435" s="1115"/>
      <c r="M435" s="1115"/>
      <c r="N435" s="1115"/>
      <c r="O435" s="1115"/>
      <c r="P435" s="1115"/>
      <c r="Q435" s="1115"/>
      <c r="R435" s="1115"/>
      <c r="S435" s="1115"/>
      <c r="T435" s="1115">
        <f t="shared" ref="T435" si="197">T433*$G$436</f>
        <v>241405.11542386565</v>
      </c>
      <c r="U435" s="966"/>
      <c r="V435" s="966"/>
      <c r="W435" s="937"/>
      <c r="X435" s="937"/>
      <c r="Y435" s="937"/>
      <c r="Z435" s="937"/>
      <c r="AA435" s="937"/>
      <c r="AB435" s="937"/>
      <c r="AC435" s="937"/>
    </row>
    <row r="436" spans="1:29" ht="21" hidden="1">
      <c r="A436" s="964"/>
      <c r="B436" s="1011"/>
      <c r="C436" s="1030" t="s">
        <v>497</v>
      </c>
      <c r="D436" s="1011" t="s">
        <v>401</v>
      </c>
      <c r="E436" s="1011"/>
      <c r="F436" s="1011" t="s">
        <v>661</v>
      </c>
      <c r="G436" s="1140">
        <f>[11]SEU2007_PDU2009!H8</f>
        <v>1.5355867679636046</v>
      </c>
      <c r="H436" s="1141">
        <v>88.796019396562784</v>
      </c>
      <c r="I436" s="1141">
        <v>107.73682838514415</v>
      </c>
      <c r="J436" s="1141">
        <f>J434/J435*100</f>
        <v>102.92678864560456</v>
      </c>
      <c r="K436" s="1141"/>
      <c r="L436" s="1141"/>
      <c r="M436" s="1141"/>
      <c r="N436" s="1141"/>
      <c r="O436" s="1141"/>
      <c r="P436" s="1141"/>
      <c r="Q436" s="1141"/>
      <c r="R436" s="1141"/>
      <c r="S436" s="1141"/>
      <c r="T436" s="1141">
        <f t="shared" ref="T436" si="198">T434/T435*100</f>
        <v>84.651535484719574</v>
      </c>
      <c r="U436" s="966"/>
      <c r="V436" s="966"/>
      <c r="W436" s="937"/>
      <c r="X436" s="937"/>
      <c r="Y436" s="937"/>
      <c r="Z436" s="937"/>
      <c r="AA436" s="937"/>
      <c r="AB436" s="937"/>
      <c r="AC436" s="937"/>
    </row>
    <row r="437" spans="1:29" ht="21" hidden="1">
      <c r="A437" s="964"/>
      <c r="B437" s="1011"/>
      <c r="C437" s="1030"/>
      <c r="D437" s="1011"/>
      <c r="E437" s="1011"/>
      <c r="F437" s="1011"/>
      <c r="G437" s="1011"/>
      <c r="H437" s="1115"/>
      <c r="I437" s="987"/>
      <c r="J437" s="987"/>
      <c r="K437" s="987"/>
      <c r="L437" s="987"/>
      <c r="M437" s="987"/>
      <c r="N437" s="987"/>
      <c r="O437" s="987"/>
      <c r="P437" s="987"/>
      <c r="Q437" s="987"/>
      <c r="R437" s="987"/>
      <c r="S437" s="987"/>
      <c r="T437" s="987"/>
      <c r="U437" s="966"/>
      <c r="V437" s="966"/>
      <c r="W437" s="937"/>
      <c r="X437" s="937"/>
      <c r="Y437" s="937"/>
      <c r="Z437" s="937"/>
      <c r="AA437" s="937"/>
      <c r="AB437" s="937"/>
      <c r="AC437" s="937"/>
    </row>
    <row r="438" spans="1:29" ht="21" hidden="1">
      <c r="A438" s="964"/>
      <c r="B438" s="1137" t="s">
        <v>498</v>
      </c>
      <c r="C438" s="1030" t="s">
        <v>97</v>
      </c>
      <c r="D438" s="1011" t="s">
        <v>121</v>
      </c>
      <c r="E438" s="1011"/>
      <c r="F438" s="1011"/>
      <c r="G438" s="1011"/>
      <c r="H438" s="1138">
        <f>28758925.35/1000</f>
        <v>28758.925350000001</v>
      </c>
      <c r="I438" s="1089">
        <f>28740525.016/1000</f>
        <v>28740.525016</v>
      </c>
      <c r="J438" s="1089">
        <f>29662785.197/1000</f>
        <v>29662.785197000001</v>
      </c>
      <c r="K438" s="1089">
        <f>31490509.154/1000</f>
        <v>31490.509153999999</v>
      </c>
      <c r="L438" s="1089">
        <f>32086659.698/1000</f>
        <v>32086.659697999999</v>
      </c>
      <c r="M438" s="1089">
        <f>32104651.476/1000</f>
        <v>32104.651475999999</v>
      </c>
      <c r="N438" s="1089">
        <f>33098649.859/1000</f>
        <v>33098.649859000005</v>
      </c>
      <c r="O438" s="1089">
        <f>30252165.749/1000</f>
        <v>30252.165749000003</v>
      </c>
      <c r="P438" s="1089">
        <f>30082464.335/1000</f>
        <v>30082.464335000001</v>
      </c>
      <c r="Q438" s="1089">
        <f>32168085.606/1000</f>
        <v>32168.085606000001</v>
      </c>
      <c r="R438" s="1089"/>
      <c r="S438" s="1089"/>
      <c r="T438" s="1089">
        <f>SUM(H438:S438)</f>
        <v>308445.42144000001</v>
      </c>
      <c r="U438" s="966"/>
      <c r="V438" s="966"/>
      <c r="W438" s="937"/>
      <c r="X438" s="937"/>
      <c r="Y438" s="937"/>
      <c r="Z438" s="937"/>
      <c r="AA438" s="937"/>
      <c r="AB438" s="937"/>
      <c r="AC438" s="937"/>
    </row>
    <row r="439" spans="1:29" ht="21" hidden="1">
      <c r="A439" s="964"/>
      <c r="B439" s="1011"/>
      <c r="C439" s="1030" t="s">
        <v>370</v>
      </c>
      <c r="D439" s="1011" t="s">
        <v>173</v>
      </c>
      <c r="E439" s="1011"/>
      <c r="F439" s="1011"/>
      <c r="G439" s="1011"/>
      <c r="H439" s="1138">
        <f>54634094.8424/1000</f>
        <v>54634.094842400002</v>
      </c>
      <c r="I439" s="1089">
        <f>51268701.0465432/1000</f>
        <v>51268.701046543203</v>
      </c>
      <c r="J439" s="1089">
        <v>57647.949823934803</v>
      </c>
      <c r="K439" s="1089">
        <f>72171484.3584/1000</f>
        <v>72171.484358400005</v>
      </c>
      <c r="L439" s="1089">
        <f>75054795.8504728/1000</f>
        <v>75054.795850472787</v>
      </c>
      <c r="M439" s="1089">
        <f>66158534.0600676/1000</f>
        <v>66158.534060067599</v>
      </c>
      <c r="N439" s="1089">
        <f>60067653.3476/1000</f>
        <v>60067.653347599997</v>
      </c>
      <c r="O439" s="1089">
        <f>61534768.273006/1000</f>
        <v>61534.768273005997</v>
      </c>
      <c r="P439" s="1089">
        <f>65172859.8876/1000</f>
        <v>65172.859887599996</v>
      </c>
      <c r="Q439" s="1089">
        <f>71150491.2292/1000</f>
        <v>71150.491229200008</v>
      </c>
      <c r="R439" s="1089"/>
      <c r="S439" s="1089"/>
      <c r="T439" s="1089">
        <f>SUM(H439:S439)</f>
        <v>634861.33271922451</v>
      </c>
      <c r="U439" s="966"/>
      <c r="V439" s="966"/>
      <c r="W439" s="937"/>
      <c r="X439" s="937"/>
      <c r="Y439" s="937"/>
      <c r="Z439" s="937"/>
      <c r="AA439" s="937"/>
      <c r="AB439" s="937"/>
      <c r="AC439" s="937"/>
    </row>
    <row r="440" spans="1:29" ht="21" hidden="1">
      <c r="A440" s="964"/>
      <c r="B440" s="1011"/>
      <c r="C440" s="1030" t="s">
        <v>492</v>
      </c>
      <c r="D440" s="1011" t="s">
        <v>173</v>
      </c>
      <c r="E440" s="1011"/>
      <c r="F440" s="1011"/>
      <c r="G440" s="1011"/>
      <c r="H440" s="1139">
        <f>63196371.29456/1000</f>
        <v>63196.371294559998</v>
      </c>
      <c r="I440" s="1115">
        <f>59195605.8406656/1000</f>
        <v>59195.605840665601</v>
      </c>
      <c r="J440" s="1115">
        <v>70948.516431627009</v>
      </c>
      <c r="K440" s="1115">
        <f t="shared" ref="K440:T440" si="199">K438*$G$441</f>
        <v>76434.026483190319</v>
      </c>
      <c r="L440" s="1115">
        <f t="shared" si="199"/>
        <v>77881.008056121675</v>
      </c>
      <c r="M440" s="1115">
        <f t="shared" si="199"/>
        <v>77924.677849753993</v>
      </c>
      <c r="N440" s="1115">
        <f t="shared" si="199"/>
        <v>80337.319015983609</v>
      </c>
      <c r="O440" s="1115">
        <f t="shared" si="199"/>
        <v>73428.309041462926</v>
      </c>
      <c r="P440" s="1115">
        <f t="shared" si="199"/>
        <v>73016.408353910432</v>
      </c>
      <c r="Q440" s="1115">
        <f t="shared" si="199"/>
        <v>78078.645699198634</v>
      </c>
      <c r="R440" s="1115">
        <f t="shared" si="199"/>
        <v>0</v>
      </c>
      <c r="S440" s="1115">
        <f t="shared" si="199"/>
        <v>0</v>
      </c>
      <c r="T440" s="1115">
        <f t="shared" si="199"/>
        <v>748661.29968461033</v>
      </c>
      <c r="U440" s="966"/>
      <c r="V440" s="966"/>
      <c r="W440" s="936"/>
      <c r="X440" s="937"/>
      <c r="Y440" s="937"/>
      <c r="Z440" s="937"/>
      <c r="AA440" s="937"/>
      <c r="AB440" s="937"/>
      <c r="AC440" s="937"/>
    </row>
    <row r="441" spans="1:29" ht="21" hidden="1">
      <c r="A441" s="964"/>
      <c r="B441" s="1011"/>
      <c r="C441" s="1030" t="s">
        <v>497</v>
      </c>
      <c r="D441" s="1011" t="s">
        <v>401</v>
      </c>
      <c r="E441" s="1011"/>
      <c r="F441" s="1011" t="s">
        <v>932</v>
      </c>
      <c r="G441" s="1058">
        <v>2.4272083410719159</v>
      </c>
      <c r="H441" s="1141">
        <f>H439/H440*100</f>
        <v>86.451316306990165</v>
      </c>
      <c r="I441" s="1141">
        <f t="shared" ref="I441:T441" si="200">I439/I440*100</f>
        <v>86.608964159503785</v>
      </c>
      <c r="J441" s="1141">
        <f t="shared" si="200"/>
        <v>81.253213912499575</v>
      </c>
      <c r="K441" s="1141">
        <f t="shared" si="200"/>
        <v>94.423240118420622</v>
      </c>
      <c r="L441" s="1141">
        <f t="shared" si="200"/>
        <v>96.37111501739642</v>
      </c>
      <c r="M441" s="1141">
        <f t="shared" si="200"/>
        <v>84.9006192718915</v>
      </c>
      <c r="N441" s="1141">
        <f t="shared" si="200"/>
        <v>74.769302838758108</v>
      </c>
      <c r="O441" s="1141">
        <f t="shared" si="200"/>
        <v>83.802513058361484</v>
      </c>
      <c r="P441" s="1141">
        <f t="shared" si="200"/>
        <v>89.257827599116126</v>
      </c>
      <c r="Q441" s="1141">
        <f t="shared" si="200"/>
        <v>91.126697436979569</v>
      </c>
      <c r="R441" s="1141" t="e">
        <f t="shared" si="200"/>
        <v>#DIV/0!</v>
      </c>
      <c r="S441" s="1141" t="e">
        <f t="shared" si="200"/>
        <v>#DIV/0!</v>
      </c>
      <c r="T441" s="1141">
        <f t="shared" si="200"/>
        <v>84.799539255825493</v>
      </c>
      <c r="U441" s="966"/>
      <c r="V441" s="966"/>
      <c r="W441" s="936"/>
      <c r="X441" s="937"/>
      <c r="Y441" s="937"/>
      <c r="Z441" s="937"/>
      <c r="AA441" s="937"/>
      <c r="AB441" s="937"/>
      <c r="AC441" s="937"/>
    </row>
    <row r="442" spans="1:29" ht="21" hidden="1">
      <c r="A442" s="964"/>
      <c r="B442" s="1011"/>
      <c r="C442" s="1030"/>
      <c r="D442" s="1011"/>
      <c r="E442" s="1011"/>
      <c r="F442" s="1011"/>
      <c r="G442" s="1011"/>
      <c r="H442" s="1141">
        <v>90809651.88784951</v>
      </c>
      <c r="I442" s="987"/>
      <c r="J442" s="987"/>
      <c r="K442" s="987"/>
      <c r="L442" s="987"/>
      <c r="M442" s="987"/>
      <c r="N442" s="987"/>
      <c r="O442" s="987"/>
      <c r="P442" s="987"/>
      <c r="Q442" s="987"/>
      <c r="R442" s="987"/>
      <c r="S442" s="987"/>
      <c r="T442" s="987"/>
      <c r="U442" s="966"/>
      <c r="V442" s="966"/>
      <c r="W442" s="936"/>
      <c r="X442" s="937"/>
      <c r="Y442" s="937"/>
      <c r="Z442" s="937"/>
      <c r="AA442" s="937"/>
      <c r="AB442" s="937"/>
      <c r="AC442" s="937"/>
    </row>
    <row r="443" spans="1:29" ht="21" hidden="1">
      <c r="A443" s="964"/>
      <c r="B443" s="1142" t="s">
        <v>106</v>
      </c>
      <c r="C443" s="1030" t="s">
        <v>370</v>
      </c>
      <c r="D443" s="1011" t="s">
        <v>173</v>
      </c>
      <c r="E443" s="1011"/>
      <c r="F443" s="1011"/>
      <c r="G443" s="1011"/>
      <c r="H443" s="1143">
        <f t="shared" ref="H443:J444" si="201">H434+H439</f>
        <v>121457.6064906083</v>
      </c>
      <c r="I443" s="1143">
        <f t="shared" si="201"/>
        <v>123352.29243017509</v>
      </c>
      <c r="J443" s="1143">
        <f t="shared" si="201"/>
        <v>123093.98373705649</v>
      </c>
      <c r="K443" s="1141"/>
      <c r="L443" s="1141"/>
      <c r="M443" s="1141"/>
      <c r="N443" s="1141"/>
      <c r="O443" s="1141"/>
      <c r="P443" s="1141"/>
      <c r="Q443" s="1141"/>
      <c r="R443" s="1141"/>
      <c r="S443" s="1141"/>
      <c r="T443" s="1141">
        <f>SUM(H443:S443)</f>
        <v>367903.88265783992</v>
      </c>
      <c r="U443" s="966"/>
      <c r="V443" s="966"/>
      <c r="W443" s="936"/>
      <c r="X443" s="937"/>
      <c r="Y443" s="937"/>
      <c r="Z443" s="937"/>
      <c r="AA443" s="937"/>
      <c r="AB443" s="937"/>
      <c r="AC443" s="937"/>
    </row>
    <row r="444" spans="1:29" ht="21" hidden="1">
      <c r="A444" s="964"/>
      <c r="B444" s="1011"/>
      <c r="C444" s="1030" t="s">
        <v>492</v>
      </c>
      <c r="D444" s="1011" t="s">
        <v>173</v>
      </c>
      <c r="E444" s="1011"/>
      <c r="F444" s="1011"/>
      <c r="G444" s="1011"/>
      <c r="H444" s="1143">
        <f t="shared" si="201"/>
        <v>138451.4470314291</v>
      </c>
      <c r="I444" s="1143">
        <f t="shared" si="201"/>
        <v>126102.7094412497</v>
      </c>
      <c r="J444" s="1143">
        <f t="shared" si="201"/>
        <v>134533.55077916131</v>
      </c>
      <c r="K444" s="1141"/>
      <c r="L444" s="1141"/>
      <c r="M444" s="1141"/>
      <c r="N444" s="1141"/>
      <c r="O444" s="1141"/>
      <c r="P444" s="1141"/>
      <c r="Q444" s="1141"/>
      <c r="R444" s="1141"/>
      <c r="S444" s="1141"/>
      <c r="T444" s="1141">
        <f>SUM(H444:S444)</f>
        <v>399087.70725184004</v>
      </c>
      <c r="U444" s="966"/>
      <c r="V444" s="966"/>
      <c r="W444" s="936"/>
      <c r="X444" s="937"/>
      <c r="Y444" s="937"/>
      <c r="Z444" s="937"/>
      <c r="AA444" s="937"/>
      <c r="AB444" s="937"/>
      <c r="AC444" s="937"/>
    </row>
    <row r="445" spans="1:29" ht="21" hidden="1">
      <c r="A445" s="964"/>
      <c r="B445" s="1011"/>
      <c r="C445" s="1030" t="s">
        <v>497</v>
      </c>
      <c r="D445" s="1011" t="s">
        <v>401</v>
      </c>
      <c r="E445" s="964"/>
      <c r="F445" s="964"/>
      <c r="G445" s="964"/>
      <c r="H445" s="1143">
        <f>H443/H444*100</f>
        <v>87.725776143774709</v>
      </c>
      <c r="I445" s="1143">
        <f t="shared" ref="I445:T445" si="202">I443/I444*100</f>
        <v>97.818907283387119</v>
      </c>
      <c r="J445" s="1143">
        <f t="shared" si="202"/>
        <v>91.496866784640943</v>
      </c>
      <c r="K445" s="1141"/>
      <c r="L445" s="1141"/>
      <c r="M445" s="1141"/>
      <c r="N445" s="1141"/>
      <c r="O445" s="1141"/>
      <c r="P445" s="1141"/>
      <c r="Q445" s="1141"/>
      <c r="R445" s="1141"/>
      <c r="S445" s="1141"/>
      <c r="T445" s="1141">
        <f t="shared" si="202"/>
        <v>92.18622272063071</v>
      </c>
      <c r="U445" s="966"/>
      <c r="V445" s="966"/>
      <c r="W445" s="936"/>
      <c r="X445" s="937"/>
      <c r="Y445" s="937"/>
      <c r="Z445" s="937"/>
      <c r="AA445" s="937"/>
      <c r="AB445" s="937"/>
      <c r="AC445" s="937"/>
    </row>
    <row r="446" spans="1:29" ht="21" hidden="1">
      <c r="A446" s="964"/>
      <c r="B446" s="964"/>
      <c r="C446" s="983"/>
      <c r="D446" s="964"/>
      <c r="E446" s="964"/>
      <c r="F446" s="964"/>
      <c r="G446" s="964"/>
      <c r="H446" s="987"/>
      <c r="I446" s="987"/>
      <c r="J446" s="987"/>
      <c r="K446" s="987"/>
      <c r="L446" s="987"/>
      <c r="M446" s="987"/>
      <c r="N446" s="987"/>
      <c r="O446" s="987"/>
      <c r="P446" s="987"/>
      <c r="Q446" s="987"/>
      <c r="R446" s="987"/>
      <c r="S446" s="987"/>
      <c r="T446" s="987"/>
      <c r="U446" s="966"/>
      <c r="V446" s="966"/>
      <c r="W446" s="936"/>
      <c r="X446" s="937"/>
      <c r="Y446" s="937"/>
      <c r="Z446" s="937"/>
      <c r="AA446" s="937"/>
      <c r="AB446" s="937"/>
      <c r="AC446" s="937"/>
    </row>
    <row r="447" spans="1:29" ht="21" hidden="1">
      <c r="A447" s="964"/>
      <c r="B447" s="964"/>
      <c r="C447" s="983"/>
      <c r="D447" s="964"/>
      <c r="E447" s="964"/>
      <c r="F447" s="964"/>
      <c r="G447" s="964"/>
      <c r="H447" s="987"/>
      <c r="I447" s="987"/>
      <c r="J447" s="987"/>
      <c r="K447" s="987"/>
      <c r="L447" s="987"/>
      <c r="M447" s="987"/>
      <c r="N447" s="987"/>
      <c r="O447" s="987"/>
      <c r="P447" s="987"/>
      <c r="Q447" s="987"/>
      <c r="R447" s="987"/>
      <c r="S447" s="987"/>
      <c r="T447" s="987"/>
      <c r="U447" s="966"/>
      <c r="V447" s="966"/>
      <c r="W447" s="936"/>
      <c r="X447" s="937"/>
      <c r="Y447" s="937"/>
      <c r="Z447" s="937"/>
      <c r="AA447" s="937"/>
      <c r="AB447" s="937"/>
      <c r="AC447" s="937"/>
    </row>
    <row r="448" spans="1:29" ht="21" hidden="1">
      <c r="A448" s="964">
        <v>19</v>
      </c>
      <c r="B448" s="964" t="s">
        <v>106</v>
      </c>
      <c r="C448" s="1031" t="s">
        <v>138</v>
      </c>
      <c r="D448" s="964" t="s">
        <v>90</v>
      </c>
      <c r="E448" s="984">
        <f>'[11]Price&amp;Heating-Value'!$R$6</f>
        <v>3.6</v>
      </c>
      <c r="F448" s="964"/>
      <c r="G448" s="1014">
        <f>'[11]Price&amp;Heating-Value'!$P$6</f>
        <v>2.7124999999999999</v>
      </c>
      <c r="H448" s="966">
        <v>1393527.7530250004</v>
      </c>
      <c r="I448" s="966">
        <v>1448432.7</v>
      </c>
      <c r="J448" s="966">
        <v>1461965.0970000001</v>
      </c>
      <c r="K448" s="966"/>
      <c r="L448" s="966"/>
      <c r="M448" s="966"/>
      <c r="N448" s="966"/>
      <c r="O448" s="966"/>
      <c r="P448" s="966"/>
      <c r="Q448" s="966"/>
      <c r="R448" s="966"/>
      <c r="S448" s="966"/>
      <c r="T448" s="966">
        <f t="shared" ref="T448:T453" si="203">SUM(H448:S448)</f>
        <v>4303925.5500250002</v>
      </c>
      <c r="U448" s="966">
        <f>T448*E448</f>
        <v>15494131.980090002</v>
      </c>
      <c r="V448" s="966">
        <f>G448*T448</f>
        <v>11674398.054442814</v>
      </c>
      <c r="W448" s="954">
        <f>'[11]Price&amp;Heating-Value'!D$6</f>
        <v>2.4500000000000002</v>
      </c>
      <c r="X448" s="954">
        <f>'[11]Price&amp;Heating-Value'!E$6</f>
        <v>2.54</v>
      </c>
      <c r="Y448" s="954">
        <f>'[11]Price&amp;Heating-Value'!F$6</f>
        <v>2.58</v>
      </c>
      <c r="Z448" s="954">
        <f>'[11]Price&amp;Heating-Value'!G$6</f>
        <v>2.67</v>
      </c>
      <c r="AA448" s="954">
        <f>'[11]Price&amp;Heating-Value'!H$6</f>
        <v>2.67</v>
      </c>
      <c r="AB448" s="954">
        <f>'[11]Price&amp;Heating-Value'!I$6</f>
        <v>2.67</v>
      </c>
      <c r="AC448" s="954">
        <f>'[11]Price&amp;Heating-Value'!J$6</f>
        <v>2.62</v>
      </c>
    </row>
    <row r="449" spans="1:29" ht="21" hidden="1">
      <c r="A449" s="964"/>
      <c r="B449" s="964"/>
      <c r="C449" s="1031" t="s">
        <v>499</v>
      </c>
      <c r="D449" s="964" t="s">
        <v>147</v>
      </c>
      <c r="E449" s="964">
        <f>'[11]Price&amp;Heating-Value'!$R$10</f>
        <v>3180</v>
      </c>
      <c r="F449" s="964"/>
      <c r="G449" s="965">
        <f>'[11]Price&amp;Heating-Value'!$P$10</f>
        <v>1321.5833333333333</v>
      </c>
      <c r="H449" s="966">
        <v>37964.627999999997</v>
      </c>
      <c r="I449" s="966">
        <v>35803.972000000002</v>
      </c>
      <c r="J449" s="968">
        <v>39575.678000000007</v>
      </c>
      <c r="K449" s="966"/>
      <c r="L449" s="966"/>
      <c r="M449" s="966"/>
      <c r="N449" s="966"/>
      <c r="O449" s="966"/>
      <c r="P449" s="966"/>
      <c r="Q449" s="966"/>
      <c r="R449" s="966"/>
      <c r="S449" s="966"/>
      <c r="T449" s="966">
        <f t="shared" si="203"/>
        <v>113344.27800000002</v>
      </c>
      <c r="U449" s="966">
        <f>T449*E449</f>
        <v>360434804.04000008</v>
      </c>
      <c r="V449" s="966">
        <f>G449*T449</f>
        <v>149793908.7335</v>
      </c>
      <c r="W449" s="936">
        <f>'[11]Price&amp;Heating-Value'!D$10</f>
        <v>1230</v>
      </c>
      <c r="X449" s="936">
        <f>'[11]Price&amp;Heating-Value'!E$10</f>
        <v>1238</v>
      </c>
      <c r="Y449" s="936">
        <f>'[11]Price&amp;Heating-Value'!F$10</f>
        <v>1227</v>
      </c>
      <c r="Z449" s="936">
        <f>'[11]Price&amp;Heating-Value'!G$10</f>
        <v>1252</v>
      </c>
      <c r="AA449" s="936">
        <f>'[11]Price&amp;Heating-Value'!H$10</f>
        <v>1372</v>
      </c>
      <c r="AB449" s="936">
        <f>'[11]Price&amp;Heating-Value'!I$10</f>
        <v>1511</v>
      </c>
      <c r="AC449" s="936">
        <f>'[11]Price&amp;Heating-Value'!J$10</f>
        <v>1608</v>
      </c>
    </row>
    <row r="450" spans="1:29" ht="21" hidden="1">
      <c r="A450" s="964"/>
      <c r="B450" s="964"/>
      <c r="C450" s="1031" t="s">
        <v>503</v>
      </c>
      <c r="D450" s="964" t="s">
        <v>483</v>
      </c>
      <c r="E450" s="964">
        <f>'[11]Price&amp;Heating-Value'!$R$19/1000</f>
        <v>43.993000000000002</v>
      </c>
      <c r="F450" s="964"/>
      <c r="G450" s="1133">
        <f>'[11]Price&amp;Heating-Value'!P19/1000</f>
        <v>5.9003324083333331</v>
      </c>
      <c r="H450" s="966">
        <v>763807.31299999997</v>
      </c>
      <c r="I450" s="966">
        <v>750825.76800000004</v>
      </c>
      <c r="J450" s="966">
        <v>782947.45600000001</v>
      </c>
      <c r="K450" s="966"/>
      <c r="L450" s="966"/>
      <c r="M450" s="966"/>
      <c r="N450" s="966"/>
      <c r="O450" s="966"/>
      <c r="P450" s="966"/>
      <c r="Q450" s="966"/>
      <c r="R450" s="966"/>
      <c r="S450" s="966"/>
      <c r="T450" s="966">
        <f t="shared" si="203"/>
        <v>2297580.537</v>
      </c>
      <c r="U450" s="966">
        <f>T450*E450</f>
        <v>101077460.56424101</v>
      </c>
      <c r="V450" s="966">
        <f>G450*T450</f>
        <v>13556488.903217003</v>
      </c>
      <c r="W450" s="1134">
        <f>'[11]Price&amp;Heating-Value'!D$19/1000</f>
        <v>5.3311999999999999</v>
      </c>
      <c r="X450" s="1135">
        <f>'[11]Price&amp;Heating-Value'!E$19/1000</f>
        <v>5.3087400000000011</v>
      </c>
      <c r="Y450" s="1135">
        <f>'[11]Price&amp;Heating-Value'!F$19/1000</f>
        <v>5.3071200000000003</v>
      </c>
      <c r="Z450" s="1135">
        <f>'[11]Price&amp;Heating-Value'!G$19/1000</f>
        <v>5.3289600000000004</v>
      </c>
      <c r="AA450" s="1135">
        <f>'[11]Price&amp;Heating-Value'!H$19/1000</f>
        <v>5.3113499999999991</v>
      </c>
      <c r="AB450" s="1135">
        <f>'[11]Price&amp;Heating-Value'!I$19/1000</f>
        <v>5.3247999999999998</v>
      </c>
      <c r="AC450" s="1135">
        <f>'[11]Price&amp;Heating-Value'!J$19/1000</f>
        <v>5.3135399999999997</v>
      </c>
    </row>
    <row r="451" spans="1:29" ht="21" hidden="1">
      <c r="A451" s="964"/>
      <c r="B451" s="964"/>
      <c r="C451" s="1031" t="s">
        <v>424</v>
      </c>
      <c r="D451" s="964" t="s">
        <v>160</v>
      </c>
      <c r="E451" s="984">
        <f>'[11]Price&amp;Heating-Value'!$S$16/1000</f>
        <v>39.770000000000003</v>
      </c>
      <c r="F451" s="1036">
        <f>'[11]Price&amp;Heating-Value'!$T$16</f>
        <v>0.98550000000000004</v>
      </c>
      <c r="G451" s="965">
        <f>'[11]Price&amp;Heating-Value'!$P$16*'[11]Price&amp;Heating-Value'!$T$16/1000</f>
        <v>17.944656726937499</v>
      </c>
      <c r="H451" s="966">
        <v>676752.33100000024</v>
      </c>
      <c r="I451" s="966">
        <v>819769.65999999992</v>
      </c>
      <c r="J451" s="966">
        <v>623907.17599999974</v>
      </c>
      <c r="K451" s="966"/>
      <c r="L451" s="966"/>
      <c r="M451" s="966"/>
      <c r="N451" s="966"/>
      <c r="O451" s="966"/>
      <c r="P451" s="966"/>
      <c r="Q451" s="966"/>
      <c r="R451" s="966"/>
      <c r="S451" s="966"/>
      <c r="T451" s="966">
        <f t="shared" si="203"/>
        <v>2120429.1669999999</v>
      </c>
      <c r="U451" s="966">
        <f>T451*E451</f>
        <v>84329467.971589997</v>
      </c>
      <c r="V451" s="966">
        <f>F451*G451*T451</f>
        <v>37498643.099624813</v>
      </c>
      <c r="W451" s="1037">
        <f>'[11]Price&amp;Heating-Value'!D$16*'[11]Price&amp;Heating-Value'!$T$16/1000</f>
        <v>16.779635460000002</v>
      </c>
      <c r="X451" s="982">
        <f>'[11]Price&amp;Heating-Value'!E$16*'[11]Price&amp;Heating-Value'!$T$16/1000</f>
        <v>16.47036585</v>
      </c>
      <c r="Y451" s="982">
        <f>'[11]Price&amp;Heating-Value'!F$16*'[11]Price&amp;Heating-Value'!$T$16/1000</f>
        <v>16.780118354999999</v>
      </c>
      <c r="Z451" s="982">
        <f>'[11]Price&amp;Heating-Value'!G$16*'[11]Price&amp;Heating-Value'!$T$16/1000</f>
        <v>18.287135100000004</v>
      </c>
      <c r="AA451" s="982">
        <f>'[11]Price&amp;Heating-Value'!H$16*'[11]Price&amp;Heating-Value'!$T$16/1000</f>
        <v>20.715278985000001</v>
      </c>
      <c r="AB451" s="982">
        <f>'[11]Price&amp;Heating-Value'!I$16*'[11]Price&amp;Heating-Value'!$T$16/1000</f>
        <v>22.335056640000001</v>
      </c>
      <c r="AC451" s="982">
        <f>'[11]Price&amp;Heating-Value'!J$16*'[11]Price&amp;Heating-Value'!$T$16/1000</f>
        <v>25.718475240000004</v>
      </c>
    </row>
    <row r="452" spans="1:29" ht="21" hidden="1">
      <c r="A452" s="964"/>
      <c r="B452" s="964"/>
      <c r="C452" s="983"/>
      <c r="D452" s="964"/>
      <c r="E452" s="964"/>
      <c r="F452" s="964"/>
      <c r="G452" s="964"/>
      <c r="H452" s="987"/>
      <c r="I452" s="987"/>
      <c r="J452" s="987"/>
      <c r="K452" s="987"/>
      <c r="L452" s="987"/>
      <c r="M452" s="987"/>
      <c r="N452" s="987"/>
      <c r="O452" s="987"/>
      <c r="P452" s="987"/>
      <c r="Q452" s="987"/>
      <c r="R452" s="987"/>
      <c r="S452" s="987"/>
      <c r="T452" s="987"/>
      <c r="U452" s="987">
        <f>SUM(U448:U451)</f>
        <v>561335864.55592108</v>
      </c>
      <c r="V452" s="966">
        <f>SUM(V448:V451)</f>
        <v>212523438.79078466</v>
      </c>
      <c r="W452" s="936"/>
      <c r="X452" s="937"/>
      <c r="Y452" s="937"/>
      <c r="Z452" s="937"/>
      <c r="AA452" s="937"/>
      <c r="AB452" s="937"/>
      <c r="AC452" s="937"/>
    </row>
    <row r="453" spans="1:29" ht="21" hidden="1">
      <c r="A453" s="1011"/>
      <c r="B453" s="989"/>
      <c r="C453" s="990" t="s">
        <v>107</v>
      </c>
      <c r="D453" s="989" t="s">
        <v>147</v>
      </c>
      <c r="E453" s="989"/>
      <c r="F453" s="989"/>
      <c r="G453" s="1011"/>
      <c r="H453" s="994"/>
      <c r="I453" s="994"/>
      <c r="J453" s="994"/>
      <c r="K453" s="994"/>
      <c r="L453" s="994"/>
      <c r="M453" s="994"/>
      <c r="N453" s="994"/>
      <c r="O453" s="994"/>
      <c r="P453" s="994"/>
      <c r="Q453" s="994"/>
      <c r="R453" s="994"/>
      <c r="S453" s="994"/>
      <c r="T453" s="996">
        <f t="shared" si="203"/>
        <v>0</v>
      </c>
      <c r="U453" s="995"/>
      <c r="V453" s="1026" t="e">
        <f>V452/T453</f>
        <v>#DIV/0!</v>
      </c>
      <c r="W453" s="936"/>
      <c r="X453" s="937"/>
      <c r="Y453" s="937"/>
      <c r="Z453" s="937"/>
      <c r="AA453" s="937"/>
      <c r="AB453" s="937"/>
      <c r="AC453" s="937"/>
    </row>
    <row r="454" spans="1:29" ht="21" hidden="1">
      <c r="A454" s="1011"/>
      <c r="B454" s="1011"/>
      <c r="C454" s="1030"/>
      <c r="D454" s="1011"/>
      <c r="E454" s="1011"/>
      <c r="F454" s="1011"/>
      <c r="G454" s="1011"/>
      <c r="H454" s="1041"/>
      <c r="I454" s="1041"/>
      <c r="J454" s="1041"/>
      <c r="K454" s="1041"/>
      <c r="L454" s="1041"/>
      <c r="M454" s="1041"/>
      <c r="N454" s="1041"/>
      <c r="O454" s="1041"/>
      <c r="P454" s="1041"/>
      <c r="Q454" s="1041"/>
      <c r="R454" s="1041"/>
      <c r="S454" s="1041"/>
      <c r="T454" s="981"/>
      <c r="U454" s="981"/>
      <c r="V454" s="997" t="s">
        <v>137</v>
      </c>
      <c r="W454" s="936"/>
      <c r="X454" s="937"/>
      <c r="Y454" s="937"/>
      <c r="Z454" s="937"/>
      <c r="AA454" s="937"/>
      <c r="AB454" s="937"/>
      <c r="AC454" s="937"/>
    </row>
    <row r="455" spans="1:29" ht="21" hidden="1">
      <c r="A455" s="1011"/>
      <c r="B455" s="1011"/>
      <c r="C455" s="1031" t="s">
        <v>138</v>
      </c>
      <c r="D455" s="1011" t="s">
        <v>173</v>
      </c>
      <c r="E455" s="964"/>
      <c r="F455" s="964"/>
      <c r="G455" s="1011"/>
      <c r="H455" s="981">
        <f>H448*$E448/1000</f>
        <v>5016.6999108900018</v>
      </c>
      <c r="I455" s="981">
        <f t="shared" ref="I455:S458" si="204">I448*$E448/1000</f>
        <v>5214.35772</v>
      </c>
      <c r="J455" s="981">
        <f t="shared" si="204"/>
        <v>5263.0743492000001</v>
      </c>
      <c r="K455" s="981">
        <f>K448*$E448/1000</f>
        <v>0</v>
      </c>
      <c r="L455" s="981">
        <f t="shared" si="204"/>
        <v>0</v>
      </c>
      <c r="M455" s="981">
        <f t="shared" si="204"/>
        <v>0</v>
      </c>
      <c r="N455" s="981">
        <f t="shared" si="204"/>
        <v>0</v>
      </c>
      <c r="O455" s="981">
        <f t="shared" si="204"/>
        <v>0</v>
      </c>
      <c r="P455" s="981">
        <f t="shared" si="204"/>
        <v>0</v>
      </c>
      <c r="Q455" s="981">
        <f t="shared" si="204"/>
        <v>0</v>
      </c>
      <c r="R455" s="981">
        <f t="shared" si="204"/>
        <v>0</v>
      </c>
      <c r="S455" s="981">
        <f t="shared" si="204"/>
        <v>0</v>
      </c>
      <c r="T455" s="981">
        <f>SUM(H455:S455)</f>
        <v>15494.131980090002</v>
      </c>
      <c r="U455" s="981"/>
      <c r="V455" s="981"/>
      <c r="W455" s="936"/>
      <c r="X455" s="937"/>
      <c r="Y455" s="937"/>
      <c r="Z455" s="937"/>
      <c r="AA455" s="937"/>
      <c r="AB455" s="937"/>
      <c r="AC455" s="937"/>
    </row>
    <row r="456" spans="1:29" ht="21.75" hidden="1" customHeight="1">
      <c r="A456" s="1011"/>
      <c r="B456" s="1011"/>
      <c r="C456" s="1031" t="s">
        <v>499</v>
      </c>
      <c r="D456" s="1011" t="s">
        <v>173</v>
      </c>
      <c r="E456" s="964"/>
      <c r="F456" s="964"/>
      <c r="G456" s="1011"/>
      <c r="H456" s="981">
        <f>H449*$E449/1000</f>
        <v>120727.51703999999</v>
      </c>
      <c r="I456" s="981">
        <f t="shared" si="204"/>
        <v>113856.63096000001</v>
      </c>
      <c r="J456" s="981">
        <f t="shared" si="204"/>
        <v>125850.65604000002</v>
      </c>
      <c r="K456" s="981">
        <f>K449*$E449/1000</f>
        <v>0</v>
      </c>
      <c r="L456" s="981">
        <f t="shared" si="204"/>
        <v>0</v>
      </c>
      <c r="M456" s="981">
        <f t="shared" si="204"/>
        <v>0</v>
      </c>
      <c r="N456" s="981">
        <f t="shared" si="204"/>
        <v>0</v>
      </c>
      <c r="O456" s="981">
        <f t="shared" si="204"/>
        <v>0</v>
      </c>
      <c r="P456" s="981">
        <f t="shared" si="204"/>
        <v>0</v>
      </c>
      <c r="Q456" s="981">
        <f t="shared" si="204"/>
        <v>0</v>
      </c>
      <c r="R456" s="981">
        <f t="shared" si="204"/>
        <v>0</v>
      </c>
      <c r="S456" s="981">
        <f t="shared" si="204"/>
        <v>0</v>
      </c>
      <c r="T456" s="981">
        <f>SUM(H456:S456)</f>
        <v>360434.80404000002</v>
      </c>
      <c r="U456" s="981"/>
      <c r="V456" s="981"/>
      <c r="W456" s="937"/>
      <c r="X456" s="937"/>
      <c r="Y456" s="937"/>
      <c r="Z456" s="937"/>
      <c r="AA456" s="937"/>
      <c r="AB456" s="937"/>
      <c r="AC456" s="937"/>
    </row>
    <row r="457" spans="1:29" ht="21.75" hidden="1" customHeight="1">
      <c r="A457" s="1011"/>
      <c r="B457" s="1011"/>
      <c r="C457" s="1031" t="s">
        <v>503</v>
      </c>
      <c r="D457" s="1011" t="s">
        <v>173</v>
      </c>
      <c r="E457" s="964"/>
      <c r="F457" s="964"/>
      <c r="G457" s="1011"/>
      <c r="H457" s="981">
        <f>H450*$E450/1000</f>
        <v>33602.175120809006</v>
      </c>
      <c r="I457" s="981">
        <f>I450*$E450/1000</f>
        <v>33031.078011624006</v>
      </c>
      <c r="J457" s="981">
        <f t="shared" si="204"/>
        <v>34444.207431808005</v>
      </c>
      <c r="K457" s="981">
        <f>K450*$E450/1000</f>
        <v>0</v>
      </c>
      <c r="L457" s="981">
        <f t="shared" si="204"/>
        <v>0</v>
      </c>
      <c r="M457" s="981">
        <f t="shared" si="204"/>
        <v>0</v>
      </c>
      <c r="N457" s="981">
        <f t="shared" si="204"/>
        <v>0</v>
      </c>
      <c r="O457" s="981">
        <f t="shared" si="204"/>
        <v>0</v>
      </c>
      <c r="P457" s="981">
        <f t="shared" si="204"/>
        <v>0</v>
      </c>
      <c r="Q457" s="981">
        <f t="shared" si="204"/>
        <v>0</v>
      </c>
      <c r="R457" s="981">
        <f t="shared" si="204"/>
        <v>0</v>
      </c>
      <c r="S457" s="981">
        <f t="shared" si="204"/>
        <v>0</v>
      </c>
      <c r="T457" s="981">
        <f>SUM(H457:S457)</f>
        <v>101077.46056424102</v>
      </c>
      <c r="U457" s="981"/>
      <c r="V457" s="981"/>
      <c r="W457" s="937"/>
      <c r="X457" s="937"/>
      <c r="Y457" s="937"/>
      <c r="Z457" s="937"/>
      <c r="AA457" s="937"/>
      <c r="AB457" s="937"/>
      <c r="AC457" s="937"/>
    </row>
    <row r="458" spans="1:29" ht="21" hidden="1">
      <c r="A458" s="1011"/>
      <c r="B458" s="1011"/>
      <c r="C458" s="1031" t="s">
        <v>424</v>
      </c>
      <c r="D458" s="1011" t="s">
        <v>173</v>
      </c>
      <c r="E458" s="964"/>
      <c r="F458" s="964"/>
      <c r="G458" s="1011"/>
      <c r="H458" s="981">
        <f>H451*$E451/1000</f>
        <v>26914.440203870014</v>
      </c>
      <c r="I458" s="981">
        <f>I451*$E451/1000</f>
        <v>32602.2393782</v>
      </c>
      <c r="J458" s="981">
        <f t="shared" si="204"/>
        <v>24812.788389519992</v>
      </c>
      <c r="K458" s="981">
        <f>K451*$E451/1000</f>
        <v>0</v>
      </c>
      <c r="L458" s="981">
        <f t="shared" si="204"/>
        <v>0</v>
      </c>
      <c r="M458" s="981">
        <f t="shared" si="204"/>
        <v>0</v>
      </c>
      <c r="N458" s="981">
        <f t="shared" si="204"/>
        <v>0</v>
      </c>
      <c r="O458" s="981">
        <f t="shared" si="204"/>
        <v>0</v>
      </c>
      <c r="P458" s="981">
        <f t="shared" si="204"/>
        <v>0</v>
      </c>
      <c r="Q458" s="981">
        <f t="shared" si="204"/>
        <v>0</v>
      </c>
      <c r="R458" s="981">
        <f t="shared" si="204"/>
        <v>0</v>
      </c>
      <c r="S458" s="981">
        <f t="shared" si="204"/>
        <v>0</v>
      </c>
      <c r="T458" s="981">
        <f>SUM(H458:S458)</f>
        <v>84329.467971589998</v>
      </c>
      <c r="U458" s="981"/>
      <c r="V458" s="981"/>
      <c r="W458" s="937"/>
      <c r="X458" s="937"/>
      <c r="Y458" s="937"/>
      <c r="Z458" s="937"/>
      <c r="AA458" s="937"/>
      <c r="AB458" s="937"/>
      <c r="AC458" s="937"/>
    </row>
    <row r="459" spans="1:29" ht="21" hidden="1">
      <c r="A459" s="1011"/>
      <c r="B459" s="964"/>
      <c r="C459" s="983" t="s">
        <v>502</v>
      </c>
      <c r="D459" s="964" t="s">
        <v>173</v>
      </c>
      <c r="E459" s="1011"/>
      <c r="F459" s="1011"/>
      <c r="G459" s="1011"/>
      <c r="H459" s="981">
        <f>H443</f>
        <v>121457.6064906083</v>
      </c>
      <c r="I459" s="981">
        <f t="shared" ref="I459:T460" si="205">I443</f>
        <v>123352.29243017509</v>
      </c>
      <c r="J459" s="981">
        <f t="shared" si="205"/>
        <v>123093.98373705649</v>
      </c>
      <c r="K459" s="981">
        <f t="shared" si="205"/>
        <v>0</v>
      </c>
      <c r="L459" s="981">
        <f t="shared" si="205"/>
        <v>0</v>
      </c>
      <c r="M459" s="981">
        <f t="shared" si="205"/>
        <v>0</v>
      </c>
      <c r="N459" s="981">
        <f t="shared" si="205"/>
        <v>0</v>
      </c>
      <c r="O459" s="981">
        <f t="shared" si="205"/>
        <v>0</v>
      </c>
      <c r="P459" s="981">
        <f t="shared" si="205"/>
        <v>0</v>
      </c>
      <c r="Q459" s="981">
        <f t="shared" si="205"/>
        <v>0</v>
      </c>
      <c r="R459" s="981">
        <f t="shared" si="205"/>
        <v>0</v>
      </c>
      <c r="S459" s="981">
        <f t="shared" si="205"/>
        <v>0</v>
      </c>
      <c r="T459" s="981">
        <f t="shared" si="205"/>
        <v>367903.88265783992</v>
      </c>
      <c r="U459" s="981"/>
      <c r="V459" s="1033">
        <f>V452/T459</f>
        <v>577.66022270669248</v>
      </c>
      <c r="W459" s="937"/>
      <c r="X459" s="937"/>
      <c r="Y459" s="937"/>
      <c r="Z459" s="937"/>
      <c r="AA459" s="937"/>
      <c r="AB459" s="937"/>
      <c r="AC459" s="937"/>
    </row>
    <row r="460" spans="1:29" ht="21" hidden="1">
      <c r="A460" s="1011"/>
      <c r="B460" s="964"/>
      <c r="C460" s="983" t="s">
        <v>345</v>
      </c>
      <c r="D460" s="964" t="s">
        <v>173</v>
      </c>
      <c r="E460" s="964"/>
      <c r="F460" s="964"/>
      <c r="G460" s="1011"/>
      <c r="H460" s="966">
        <f>H444</f>
        <v>138451.4470314291</v>
      </c>
      <c r="I460" s="966">
        <f t="shared" si="205"/>
        <v>126102.7094412497</v>
      </c>
      <c r="J460" s="966">
        <f t="shared" si="205"/>
        <v>134533.55077916131</v>
      </c>
      <c r="K460" s="966">
        <f t="shared" si="205"/>
        <v>0</v>
      </c>
      <c r="L460" s="966">
        <f t="shared" si="205"/>
        <v>0</v>
      </c>
      <c r="M460" s="966">
        <f t="shared" si="205"/>
        <v>0</v>
      </c>
      <c r="N460" s="966">
        <f t="shared" si="205"/>
        <v>0</v>
      </c>
      <c r="O460" s="966">
        <f t="shared" si="205"/>
        <v>0</v>
      </c>
      <c r="P460" s="966">
        <f t="shared" si="205"/>
        <v>0</v>
      </c>
      <c r="Q460" s="966">
        <f t="shared" si="205"/>
        <v>0</v>
      </c>
      <c r="R460" s="966">
        <f t="shared" si="205"/>
        <v>0</v>
      </c>
      <c r="S460" s="966">
        <f t="shared" si="205"/>
        <v>0</v>
      </c>
      <c r="T460" s="966">
        <f t="shared" si="205"/>
        <v>399087.70725184004</v>
      </c>
      <c r="U460" s="966"/>
      <c r="V460" s="1001" t="s">
        <v>158</v>
      </c>
      <c r="W460" s="937"/>
      <c r="X460" s="937"/>
      <c r="Y460" s="937"/>
      <c r="Z460" s="937"/>
      <c r="AA460" s="937"/>
      <c r="AB460" s="937"/>
      <c r="AC460" s="937"/>
    </row>
    <row r="461" spans="1:29" ht="21" hidden="1">
      <c r="A461" s="1011"/>
      <c r="B461" s="1003" t="s">
        <v>174</v>
      </c>
      <c r="C461" s="1004" t="s">
        <v>138</v>
      </c>
      <c r="D461" s="1003" t="s">
        <v>347</v>
      </c>
      <c r="E461" s="1003"/>
      <c r="F461" s="1005" t="e">
        <f>(J461-G461)/G461*100</f>
        <v>#DIV/0!</v>
      </c>
      <c r="G461" s="1040">
        <v>0.10366529696486493</v>
      </c>
      <c r="H461" s="1006" t="e">
        <f>H455/H$453</f>
        <v>#DIV/0!</v>
      </c>
      <c r="I461" s="1006" t="e">
        <f>I455/I$453</f>
        <v>#DIV/0!</v>
      </c>
      <c r="J461" s="1006" t="e">
        <f t="shared" ref="J461:S465" si="206">J455/J$453</f>
        <v>#DIV/0!</v>
      </c>
      <c r="K461" s="1006" t="e">
        <f t="shared" si="206"/>
        <v>#DIV/0!</v>
      </c>
      <c r="L461" s="1006" t="e">
        <f t="shared" si="206"/>
        <v>#DIV/0!</v>
      </c>
      <c r="M461" s="1006" t="e">
        <f t="shared" si="206"/>
        <v>#DIV/0!</v>
      </c>
      <c r="N461" s="1006" t="e">
        <f t="shared" si="206"/>
        <v>#DIV/0!</v>
      </c>
      <c r="O461" s="1006" t="e">
        <f t="shared" si="206"/>
        <v>#DIV/0!</v>
      </c>
      <c r="P461" s="1006" t="e">
        <f t="shared" si="206"/>
        <v>#DIV/0!</v>
      </c>
      <c r="Q461" s="1006" t="e">
        <f t="shared" si="206"/>
        <v>#DIV/0!</v>
      </c>
      <c r="R461" s="1006" t="e">
        <f t="shared" si="206"/>
        <v>#DIV/0!</v>
      </c>
      <c r="S461" s="1006" t="e">
        <f t="shared" si="206"/>
        <v>#DIV/0!</v>
      </c>
      <c r="T461" s="1006" t="e">
        <f>T455/T$453</f>
        <v>#DIV/0!</v>
      </c>
      <c r="U461" s="1007"/>
      <c r="V461" s="1007"/>
      <c r="W461" s="937"/>
      <c r="X461" s="937"/>
      <c r="Y461" s="937"/>
      <c r="Z461" s="937"/>
      <c r="AA461" s="937"/>
      <c r="AB461" s="937"/>
      <c r="AC461" s="937"/>
    </row>
    <row r="462" spans="1:29" ht="21" hidden="1">
      <c r="A462" s="1011"/>
      <c r="B462" s="1003"/>
      <c r="C462" s="1093" t="s">
        <v>499</v>
      </c>
      <c r="D462" s="1003" t="s">
        <v>347</v>
      </c>
      <c r="E462" s="1003"/>
      <c r="F462" s="1005" t="e">
        <f>(J462-G462)/G462*100</f>
        <v>#DIV/0!</v>
      </c>
      <c r="G462" s="1040">
        <v>0.95527700962599427</v>
      </c>
      <c r="H462" s="1006" t="e">
        <f t="shared" ref="H462:I465" si="207">H456/H$453</f>
        <v>#DIV/0!</v>
      </c>
      <c r="I462" s="1006" t="e">
        <f t="shared" si="207"/>
        <v>#DIV/0!</v>
      </c>
      <c r="J462" s="1006" t="e">
        <f t="shared" si="206"/>
        <v>#DIV/0!</v>
      </c>
      <c r="K462" s="1006" t="e">
        <f t="shared" si="206"/>
        <v>#DIV/0!</v>
      </c>
      <c r="L462" s="1006" t="e">
        <f t="shared" si="206"/>
        <v>#DIV/0!</v>
      </c>
      <c r="M462" s="1006" t="e">
        <f t="shared" si="206"/>
        <v>#DIV/0!</v>
      </c>
      <c r="N462" s="1006" t="e">
        <f t="shared" si="206"/>
        <v>#DIV/0!</v>
      </c>
      <c r="O462" s="1006" t="e">
        <f t="shared" si="206"/>
        <v>#DIV/0!</v>
      </c>
      <c r="P462" s="1006" t="e">
        <f t="shared" si="206"/>
        <v>#DIV/0!</v>
      </c>
      <c r="Q462" s="1006" t="e">
        <f t="shared" si="206"/>
        <v>#DIV/0!</v>
      </c>
      <c r="R462" s="1006" t="e">
        <f t="shared" si="206"/>
        <v>#DIV/0!</v>
      </c>
      <c r="S462" s="1006" t="e">
        <f t="shared" si="206"/>
        <v>#DIV/0!</v>
      </c>
      <c r="T462" s="1006" t="e">
        <f>T456/T$453</f>
        <v>#DIV/0!</v>
      </c>
      <c r="U462" s="1007"/>
      <c r="V462" s="1007"/>
      <c r="W462" s="937"/>
      <c r="X462" s="937"/>
      <c r="Y462" s="937"/>
      <c r="Z462" s="937"/>
      <c r="AA462" s="937"/>
      <c r="AB462" s="937"/>
      <c r="AC462" s="937"/>
    </row>
    <row r="463" spans="1:29" ht="21" hidden="1">
      <c r="A463" s="1011"/>
      <c r="B463" s="1003"/>
      <c r="C463" s="1093" t="s">
        <v>503</v>
      </c>
      <c r="D463" s="1003" t="s">
        <v>347</v>
      </c>
      <c r="E463" s="1003" t="e">
        <f>((J463+J464)-(G463+G464))/(G463+G464)*100</f>
        <v>#DIV/0!</v>
      </c>
      <c r="F463" s="1005" t="e">
        <f>(J463-G463)/G463*100</f>
        <v>#DIV/0!</v>
      </c>
      <c r="G463" s="1040">
        <v>0.30041044120743587</v>
      </c>
      <c r="H463" s="1006" t="e">
        <f t="shared" si="207"/>
        <v>#DIV/0!</v>
      </c>
      <c r="I463" s="1006" t="e">
        <f t="shared" si="207"/>
        <v>#DIV/0!</v>
      </c>
      <c r="J463" s="1006" t="e">
        <f t="shared" si="206"/>
        <v>#DIV/0!</v>
      </c>
      <c r="K463" s="1006" t="e">
        <f t="shared" si="206"/>
        <v>#DIV/0!</v>
      </c>
      <c r="L463" s="1006" t="e">
        <f t="shared" si="206"/>
        <v>#DIV/0!</v>
      </c>
      <c r="M463" s="1006" t="e">
        <f t="shared" si="206"/>
        <v>#DIV/0!</v>
      </c>
      <c r="N463" s="1006" t="e">
        <f t="shared" si="206"/>
        <v>#DIV/0!</v>
      </c>
      <c r="O463" s="1006" t="e">
        <f t="shared" si="206"/>
        <v>#DIV/0!</v>
      </c>
      <c r="P463" s="1006" t="e">
        <f t="shared" si="206"/>
        <v>#DIV/0!</v>
      </c>
      <c r="Q463" s="1006" t="e">
        <f t="shared" si="206"/>
        <v>#DIV/0!</v>
      </c>
      <c r="R463" s="1006" t="e">
        <f t="shared" si="206"/>
        <v>#DIV/0!</v>
      </c>
      <c r="S463" s="1006" t="e">
        <f t="shared" si="206"/>
        <v>#DIV/0!</v>
      </c>
      <c r="T463" s="1006" t="e">
        <f>T457/T$453</f>
        <v>#DIV/0!</v>
      </c>
      <c r="U463" s="1007"/>
      <c r="V463" s="1007"/>
      <c r="W463" s="937"/>
      <c r="X463" s="937"/>
      <c r="Y463" s="937"/>
      <c r="Z463" s="937"/>
      <c r="AA463" s="937"/>
      <c r="AB463" s="937"/>
      <c r="AC463" s="937"/>
    </row>
    <row r="464" spans="1:29" ht="21" hidden="1">
      <c r="A464" s="1011"/>
      <c r="B464" s="1003"/>
      <c r="C464" s="1093" t="s">
        <v>424</v>
      </c>
      <c r="D464" s="1003" t="s">
        <v>347</v>
      </c>
      <c r="E464" s="1003"/>
      <c r="F464" s="1005" t="e">
        <f>(J464-G464)/G464*100</f>
        <v>#DIV/0!</v>
      </c>
      <c r="G464" s="1040">
        <v>0.7319375990752377</v>
      </c>
      <c r="H464" s="1006" t="e">
        <f t="shared" si="207"/>
        <v>#DIV/0!</v>
      </c>
      <c r="I464" s="1006" t="e">
        <f t="shared" si="207"/>
        <v>#DIV/0!</v>
      </c>
      <c r="J464" s="1006" t="e">
        <f t="shared" si="206"/>
        <v>#DIV/0!</v>
      </c>
      <c r="K464" s="1006" t="e">
        <f t="shared" si="206"/>
        <v>#DIV/0!</v>
      </c>
      <c r="L464" s="1006" t="e">
        <f t="shared" si="206"/>
        <v>#DIV/0!</v>
      </c>
      <c r="M464" s="1006" t="e">
        <f t="shared" si="206"/>
        <v>#DIV/0!</v>
      </c>
      <c r="N464" s="1006" t="e">
        <f t="shared" si="206"/>
        <v>#DIV/0!</v>
      </c>
      <c r="O464" s="1006" t="e">
        <f t="shared" si="206"/>
        <v>#DIV/0!</v>
      </c>
      <c r="P464" s="1006" t="e">
        <f t="shared" si="206"/>
        <v>#DIV/0!</v>
      </c>
      <c r="Q464" s="1006" t="e">
        <f t="shared" si="206"/>
        <v>#DIV/0!</v>
      </c>
      <c r="R464" s="1006" t="e">
        <f t="shared" si="206"/>
        <v>#DIV/0!</v>
      </c>
      <c r="S464" s="1006" t="e">
        <f t="shared" si="206"/>
        <v>#DIV/0!</v>
      </c>
      <c r="T464" s="1006" t="e">
        <f>T458/T$453</f>
        <v>#DIV/0!</v>
      </c>
      <c r="U464" s="1007"/>
      <c r="V464" s="1007"/>
      <c r="W464" s="937"/>
      <c r="X464" s="937"/>
      <c r="Y464" s="937"/>
      <c r="Z464" s="937"/>
      <c r="AA464" s="937"/>
      <c r="AB464" s="937"/>
      <c r="AC464" s="937"/>
    </row>
    <row r="465" spans="1:23" ht="23.25" hidden="1">
      <c r="A465" s="1011"/>
      <c r="B465" s="1003"/>
      <c r="C465" s="1008" t="s">
        <v>504</v>
      </c>
      <c r="D465" s="1003" t="s">
        <v>347</v>
      </c>
      <c r="E465" s="1003"/>
      <c r="F465" s="1005" t="e">
        <f>(J465-G465)/G465*100</f>
        <v>#DIV/0!</v>
      </c>
      <c r="G465" s="1040">
        <v>2.0912903468735329</v>
      </c>
      <c r="H465" s="1006" t="e">
        <f t="shared" si="207"/>
        <v>#DIV/0!</v>
      </c>
      <c r="I465" s="1006" t="e">
        <f t="shared" si="207"/>
        <v>#DIV/0!</v>
      </c>
      <c r="J465" s="1006" t="e">
        <f t="shared" si="206"/>
        <v>#DIV/0!</v>
      </c>
      <c r="K465" s="1006" t="e">
        <f t="shared" si="206"/>
        <v>#DIV/0!</v>
      </c>
      <c r="L465" s="1006" t="e">
        <f t="shared" si="206"/>
        <v>#DIV/0!</v>
      </c>
      <c r="M465" s="1006" t="e">
        <f t="shared" si="206"/>
        <v>#DIV/0!</v>
      </c>
      <c r="N465" s="1006" t="e">
        <f t="shared" si="206"/>
        <v>#DIV/0!</v>
      </c>
      <c r="O465" s="1006" t="e">
        <f t="shared" si="206"/>
        <v>#DIV/0!</v>
      </c>
      <c r="P465" s="1006" t="e">
        <f t="shared" si="206"/>
        <v>#DIV/0!</v>
      </c>
      <c r="Q465" s="1006" t="e">
        <f t="shared" si="206"/>
        <v>#DIV/0!</v>
      </c>
      <c r="R465" s="1006" t="e">
        <f t="shared" si="206"/>
        <v>#DIV/0!</v>
      </c>
      <c r="S465" s="1006" t="e">
        <f t="shared" si="206"/>
        <v>#DIV/0!</v>
      </c>
      <c r="T465" s="1021" t="e">
        <f>T459/T453</f>
        <v>#DIV/0!</v>
      </c>
      <c r="U465" s="1007"/>
      <c r="V465" s="1007"/>
      <c r="W465" s="937"/>
    </row>
    <row r="466" spans="1:23" ht="21" hidden="1">
      <c r="A466" s="1011"/>
      <c r="B466" s="1003"/>
      <c r="C466" s="1008" t="s">
        <v>505</v>
      </c>
      <c r="D466" s="1003"/>
      <c r="E466" s="1003"/>
      <c r="F466" s="1006"/>
      <c r="G466" s="1040">
        <v>92.612285552134281</v>
      </c>
      <c r="H466" s="1009">
        <f>H459/H460*100</f>
        <v>87.725776143774709</v>
      </c>
      <c r="I466" s="1009">
        <f t="shared" ref="I466:T466" si="208">I459/I460*100</f>
        <v>97.818907283387119</v>
      </c>
      <c r="J466" s="1009">
        <f t="shared" si="208"/>
        <v>91.496866784640943</v>
      </c>
      <c r="K466" s="1009" t="e">
        <f t="shared" si="208"/>
        <v>#DIV/0!</v>
      </c>
      <c r="L466" s="1009" t="e">
        <f t="shared" si="208"/>
        <v>#DIV/0!</v>
      </c>
      <c r="M466" s="1009" t="e">
        <f t="shared" si="208"/>
        <v>#DIV/0!</v>
      </c>
      <c r="N466" s="1009" t="e">
        <f t="shared" si="208"/>
        <v>#DIV/0!</v>
      </c>
      <c r="O466" s="1009" t="e">
        <f t="shared" si="208"/>
        <v>#DIV/0!</v>
      </c>
      <c r="P466" s="1009" t="e">
        <f t="shared" si="208"/>
        <v>#DIV/0!</v>
      </c>
      <c r="Q466" s="1009" t="e">
        <f t="shared" si="208"/>
        <v>#DIV/0!</v>
      </c>
      <c r="R466" s="1009" t="e">
        <f t="shared" si="208"/>
        <v>#DIV/0!</v>
      </c>
      <c r="S466" s="1009" t="e">
        <f t="shared" si="208"/>
        <v>#DIV/0!</v>
      </c>
      <c r="T466" s="1009">
        <f t="shared" si="208"/>
        <v>92.18622272063071</v>
      </c>
      <c r="U466" s="1007"/>
      <c r="V466" s="1007"/>
      <c r="W466" s="937"/>
    </row>
    <row r="467" spans="1:23" ht="21" hidden="1">
      <c r="A467" s="1065"/>
      <c r="B467" s="1065"/>
      <c r="C467" s="1144"/>
      <c r="D467" s="1065"/>
      <c r="E467" s="1065"/>
      <c r="F467" s="1065"/>
      <c r="G467" s="1065"/>
      <c r="H467" s="1072"/>
      <c r="I467" s="1072"/>
      <c r="J467" s="1072"/>
      <c r="K467" s="1072"/>
      <c r="L467" s="1072"/>
      <c r="M467" s="1072"/>
      <c r="N467" s="1072"/>
      <c r="O467" s="1072"/>
      <c r="P467" s="1072"/>
      <c r="Q467" s="1072"/>
      <c r="R467" s="1072"/>
      <c r="S467" s="1072"/>
      <c r="T467" s="1072"/>
      <c r="U467" s="1072"/>
      <c r="V467" s="1072"/>
      <c r="W467" s="937"/>
    </row>
    <row r="468" spans="1:23" ht="21" hidden="1">
      <c r="A468" s="1011"/>
      <c r="B468" s="1011"/>
      <c r="C468" s="1030"/>
      <c r="D468" s="1011"/>
      <c r="E468" s="1011"/>
      <c r="F468" s="1011"/>
      <c r="G468" s="1011"/>
      <c r="H468" s="1115"/>
      <c r="I468" s="1115"/>
      <c r="J468" s="1115"/>
      <c r="K468" s="1115"/>
      <c r="L468" s="1115"/>
      <c r="M468" s="1115"/>
      <c r="N468" s="1115"/>
      <c r="O468" s="1115"/>
      <c r="P468" s="1115"/>
      <c r="Q468" s="1115"/>
      <c r="R468" s="1115"/>
      <c r="S468" s="1115"/>
      <c r="T468" s="1115"/>
      <c r="U468" s="1115"/>
      <c r="V468" s="1115"/>
      <c r="W468" s="937"/>
    </row>
    <row r="469" spans="1:23" ht="21" hidden="1">
      <c r="A469" s="1011"/>
      <c r="B469" s="1142" t="s">
        <v>506</v>
      </c>
      <c r="C469" s="1030" t="s">
        <v>97</v>
      </c>
      <c r="D469" s="1011" t="s">
        <v>121</v>
      </c>
      <c r="E469" s="1011"/>
      <c r="F469" s="1011"/>
      <c r="G469" s="1011"/>
      <c r="H469" s="1139">
        <v>136242.258</v>
      </c>
      <c r="I469" s="1115">
        <v>140506.365842</v>
      </c>
      <c r="J469" s="1115"/>
      <c r="K469" s="1115"/>
      <c r="L469" s="1115"/>
      <c r="M469" s="1115"/>
      <c r="N469" s="1115"/>
      <c r="O469" s="1115"/>
      <c r="P469" s="1115"/>
      <c r="Q469" s="1115"/>
      <c r="R469" s="1115"/>
      <c r="S469" s="1115"/>
      <c r="T469" s="1115">
        <f>SUM(H469:S469)</f>
        <v>276748.62384200003</v>
      </c>
      <c r="U469" s="1115"/>
      <c r="V469" s="1115"/>
      <c r="W469" s="937"/>
    </row>
    <row r="470" spans="1:23" ht="21" hidden="1">
      <c r="A470" s="1011"/>
      <c r="B470" s="1142"/>
      <c r="C470" s="1030" t="s">
        <v>370</v>
      </c>
      <c r="D470" s="1011" t="s">
        <v>173</v>
      </c>
      <c r="E470" s="1011"/>
      <c r="F470" s="1011"/>
      <c r="G470" s="1011"/>
      <c r="H470" s="1139">
        <v>72460.128022088786</v>
      </c>
      <c r="I470" s="1145">
        <v>66877.754722086072</v>
      </c>
      <c r="J470" s="1115"/>
      <c r="K470" s="1115"/>
      <c r="L470" s="1115"/>
      <c r="M470" s="1115"/>
      <c r="N470" s="1115"/>
      <c r="O470" s="1115"/>
      <c r="P470" s="1115"/>
      <c r="Q470" s="1115"/>
      <c r="R470" s="1115"/>
      <c r="S470" s="1115"/>
      <c r="T470" s="1115">
        <f>SUM(H470:S470)</f>
        <v>139337.88274417486</v>
      </c>
      <c r="U470" s="1115"/>
      <c r="V470" s="1115"/>
      <c r="W470" s="937"/>
    </row>
    <row r="471" spans="1:23" ht="21" hidden="1">
      <c r="A471" s="1011"/>
      <c r="B471" s="1142"/>
      <c r="C471" s="1030" t="s">
        <v>492</v>
      </c>
      <c r="D471" s="1011" t="s">
        <v>173</v>
      </c>
      <c r="E471" s="1011"/>
      <c r="F471" s="1011"/>
      <c r="G471" s="1011"/>
      <c r="H471" s="1146">
        <v>85190.181366203833</v>
      </c>
      <c r="I471" s="1145">
        <v>83707.93061322924</v>
      </c>
      <c r="J471" s="1115"/>
      <c r="K471" s="1115"/>
      <c r="L471" s="1115"/>
      <c r="M471" s="1115"/>
      <c r="N471" s="1115"/>
      <c r="O471" s="1115"/>
      <c r="P471" s="1115"/>
      <c r="Q471" s="1115"/>
      <c r="R471" s="1115"/>
      <c r="S471" s="1115"/>
      <c r="T471" s="1115">
        <f>SUM(H471:S471)</f>
        <v>168898.11197943307</v>
      </c>
      <c r="U471" s="1115"/>
      <c r="V471" s="1115"/>
      <c r="W471" s="937"/>
    </row>
    <row r="472" spans="1:23" ht="21" hidden="1">
      <c r="A472" s="1011"/>
      <c r="B472" s="1142"/>
      <c r="C472" s="1030" t="s">
        <v>497</v>
      </c>
      <c r="D472" s="1011" t="s">
        <v>401</v>
      </c>
      <c r="E472" s="1011"/>
      <c r="F472" s="1011"/>
      <c r="G472" s="1011"/>
      <c r="H472" s="1141">
        <f>H470/H471*100</f>
        <v>85.056900760202808</v>
      </c>
      <c r="I472" s="1141">
        <f>I470/I471*100</f>
        <v>79.894168010308789</v>
      </c>
      <c r="J472" s="1141"/>
      <c r="K472" s="1141"/>
      <c r="L472" s="1141"/>
      <c r="M472" s="1141"/>
      <c r="N472" s="1141"/>
      <c r="O472" s="1141"/>
      <c r="P472" s="1141"/>
      <c r="Q472" s="1141"/>
      <c r="R472" s="1141"/>
      <c r="S472" s="1141"/>
      <c r="T472" s="1141">
        <f t="shared" ref="T472" si="209">T470/T471*100</f>
        <v>82.49818847065751</v>
      </c>
      <c r="U472" s="1115"/>
      <c r="V472" s="1115"/>
      <c r="W472" s="937"/>
    </row>
    <row r="473" spans="1:23" ht="21" hidden="1">
      <c r="A473" s="1011"/>
      <c r="B473" s="1142"/>
      <c r="C473" s="1030"/>
      <c r="D473" s="1011"/>
      <c r="E473" s="1011"/>
      <c r="F473" s="1011"/>
      <c r="G473" s="1011"/>
      <c r="H473" s="1115"/>
      <c r="I473" s="1115"/>
      <c r="J473" s="1115"/>
      <c r="K473" s="1115"/>
      <c r="L473" s="1115"/>
      <c r="M473" s="1115"/>
      <c r="N473" s="1115"/>
      <c r="O473" s="1115"/>
      <c r="P473" s="1115"/>
      <c r="Q473" s="1115"/>
      <c r="R473" s="1115"/>
      <c r="S473" s="1115"/>
      <c r="T473" s="1115"/>
      <c r="U473" s="1115"/>
      <c r="V473" s="1115"/>
      <c r="W473" s="937"/>
    </row>
    <row r="474" spans="1:23" ht="21" hidden="1">
      <c r="A474" s="1011"/>
      <c r="B474" s="1142" t="s">
        <v>507</v>
      </c>
      <c r="C474" s="1030" t="s">
        <v>97</v>
      </c>
      <c r="D474" s="1011" t="s">
        <v>121</v>
      </c>
      <c r="E474" s="1011"/>
      <c r="F474" s="1011"/>
      <c r="G474" s="1011"/>
      <c r="H474" s="1139">
        <v>47592.648999999998</v>
      </c>
      <c r="I474" s="1115">
        <v>52155.535889999992</v>
      </c>
      <c r="J474" s="1115"/>
      <c r="K474" s="1115"/>
      <c r="L474" s="1115"/>
      <c r="M474" s="1115"/>
      <c r="N474" s="1115"/>
      <c r="O474" s="1115"/>
      <c r="P474" s="1115"/>
      <c r="Q474" s="1115"/>
      <c r="R474" s="1115"/>
      <c r="S474" s="1115"/>
      <c r="T474" s="1115">
        <f>SUM(H474:S474)</f>
        <v>99748.18488999999</v>
      </c>
      <c r="U474" s="1115"/>
      <c r="V474" s="1115"/>
      <c r="W474" s="937"/>
    </row>
    <row r="475" spans="1:23" ht="21" hidden="1">
      <c r="A475" s="1011"/>
      <c r="B475" s="1142"/>
      <c r="C475" s="1030" t="s">
        <v>370</v>
      </c>
      <c r="D475" s="1011" t="s">
        <v>173</v>
      </c>
      <c r="E475" s="1011"/>
      <c r="F475" s="1011"/>
      <c r="G475" s="1011"/>
      <c r="H475" s="1139">
        <v>71479.619164156087</v>
      </c>
      <c r="I475" s="1145">
        <v>80390.975863151922</v>
      </c>
      <c r="J475" s="1115"/>
      <c r="K475" s="1115"/>
      <c r="L475" s="1115"/>
      <c r="M475" s="1115"/>
      <c r="N475" s="1115"/>
      <c r="O475" s="1115"/>
      <c r="P475" s="1115"/>
      <c r="Q475" s="1115"/>
      <c r="R475" s="1115"/>
      <c r="S475" s="1115"/>
      <c r="T475" s="1115">
        <f>SUM(H475:S475)</f>
        <v>151870.59502730801</v>
      </c>
      <c r="U475" s="1115"/>
      <c r="V475" s="1115"/>
      <c r="W475" s="937"/>
    </row>
    <row r="476" spans="1:23" ht="21" hidden="1">
      <c r="A476" s="1011"/>
      <c r="B476" s="1142"/>
      <c r="C476" s="1030" t="s">
        <v>492</v>
      </c>
      <c r="D476" s="1011" t="s">
        <v>173</v>
      </c>
      <c r="E476" s="1011"/>
      <c r="F476" s="1011"/>
      <c r="G476" s="1011"/>
      <c r="H476" s="1146">
        <v>78362.352726199984</v>
      </c>
      <c r="I476" s="1145">
        <v>75744.061547799996</v>
      </c>
      <c r="J476" s="1115"/>
      <c r="K476" s="1115"/>
      <c r="L476" s="1115"/>
      <c r="M476" s="1115"/>
      <c r="N476" s="1115"/>
      <c r="O476" s="1115"/>
      <c r="P476" s="1115"/>
      <c r="Q476" s="1115"/>
      <c r="R476" s="1115"/>
      <c r="S476" s="1115"/>
      <c r="T476" s="1115">
        <f>SUM(H476:S476)</f>
        <v>154106.41427399998</v>
      </c>
      <c r="U476" s="1115"/>
      <c r="V476" s="1115"/>
      <c r="W476" s="937"/>
    </row>
    <row r="477" spans="1:23" ht="21" hidden="1">
      <c r="A477" s="1011"/>
      <c r="B477" s="1142"/>
      <c r="C477" s="1030" t="s">
        <v>497</v>
      </c>
      <c r="D477" s="1011" t="s">
        <v>401</v>
      </c>
      <c r="E477" s="1011"/>
      <c r="F477" s="1011"/>
      <c r="G477" s="1011"/>
      <c r="H477" s="1141">
        <f>H475/H476*100</f>
        <v>91.216785455520537</v>
      </c>
      <c r="I477" s="1141">
        <f t="shared" ref="I477:T477" si="210">I475/I476*100</f>
        <v>106.13502130780165</v>
      </c>
      <c r="J477" s="1141"/>
      <c r="K477" s="1141"/>
      <c r="L477" s="1141"/>
      <c r="M477" s="1141"/>
      <c r="N477" s="1141"/>
      <c r="O477" s="1141"/>
      <c r="P477" s="1141"/>
      <c r="Q477" s="1141"/>
      <c r="R477" s="1141"/>
      <c r="S477" s="1141"/>
      <c r="T477" s="1141">
        <f t="shared" si="210"/>
        <v>98.549171845166214</v>
      </c>
      <c r="U477" s="1115"/>
      <c r="V477" s="1115"/>
      <c r="W477" s="937"/>
    </row>
    <row r="478" spans="1:23" ht="21" hidden="1">
      <c r="A478" s="1011"/>
      <c r="B478" s="1142"/>
      <c r="C478" s="1011"/>
      <c r="D478" s="1011"/>
      <c r="E478" s="1011"/>
      <c r="F478" s="1011"/>
      <c r="G478" s="1011"/>
      <c r="H478" s="1115"/>
      <c r="I478" s="1115"/>
      <c r="J478" s="1115"/>
      <c r="K478" s="1115"/>
      <c r="L478" s="1115"/>
      <c r="M478" s="1115"/>
      <c r="N478" s="1115"/>
      <c r="O478" s="1115"/>
      <c r="P478" s="1115"/>
      <c r="Q478" s="1115"/>
      <c r="R478" s="1115"/>
      <c r="S478" s="1115"/>
      <c r="T478" s="1115"/>
      <c r="U478" s="1115"/>
      <c r="V478" s="1115"/>
      <c r="W478" s="937"/>
    </row>
    <row r="479" spans="1:23" ht="21" hidden="1">
      <c r="A479" s="1011"/>
      <c r="B479" s="1142" t="s">
        <v>508</v>
      </c>
      <c r="C479" s="1030" t="s">
        <v>97</v>
      </c>
      <c r="D479" s="1011" t="s">
        <v>121</v>
      </c>
      <c r="E479" s="1011"/>
      <c r="F479" s="1011"/>
      <c r="G479" s="1011"/>
      <c r="H479" s="1139">
        <v>39195.578000000001</v>
      </c>
      <c r="I479" s="1115">
        <v>47277.626788999994</v>
      </c>
      <c r="J479" s="1115"/>
      <c r="K479" s="1115"/>
      <c r="L479" s="1115"/>
      <c r="M479" s="1115"/>
      <c r="N479" s="1115"/>
      <c r="O479" s="1115"/>
      <c r="P479" s="1115"/>
      <c r="Q479" s="1115"/>
      <c r="R479" s="1115"/>
      <c r="S479" s="1115"/>
      <c r="T479" s="1115">
        <f>SUM(H479:S479)</f>
        <v>86473.204788999996</v>
      </c>
      <c r="U479" s="1115"/>
      <c r="V479" s="1115"/>
      <c r="W479" s="937"/>
    </row>
    <row r="480" spans="1:23" ht="21" hidden="1">
      <c r="A480" s="1011"/>
      <c r="B480" s="1011"/>
      <c r="C480" s="1030" t="s">
        <v>370</v>
      </c>
      <c r="D480" s="1011" t="s">
        <v>173</v>
      </c>
      <c r="E480" s="1011"/>
      <c r="F480" s="1011"/>
      <c r="G480" s="1011"/>
      <c r="H480" s="1139">
        <v>8418.9658359919995</v>
      </c>
      <c r="I480" s="1145">
        <v>7505.0868220479979</v>
      </c>
      <c r="J480" s="1115"/>
      <c r="K480" s="1115"/>
      <c r="L480" s="1115"/>
      <c r="M480" s="1115"/>
      <c r="N480" s="1115"/>
      <c r="O480" s="1115"/>
      <c r="P480" s="1115"/>
      <c r="Q480" s="1115"/>
      <c r="R480" s="1115"/>
      <c r="S480" s="1115"/>
      <c r="T480" s="1115">
        <f>SUM(H480:S480)</f>
        <v>15924.052658039996</v>
      </c>
      <c r="U480" s="1115"/>
      <c r="V480" s="1115"/>
      <c r="W480" s="937"/>
    </row>
    <row r="481" spans="1:29" ht="21" hidden="1">
      <c r="A481" s="1011"/>
      <c r="B481" s="1011"/>
      <c r="C481" s="1030" t="s">
        <v>492</v>
      </c>
      <c r="D481" s="1011" t="s">
        <v>173</v>
      </c>
      <c r="E481" s="1011"/>
      <c r="F481" s="1011"/>
      <c r="G481" s="1011"/>
      <c r="H481" s="1115">
        <v>6754.6565980395226</v>
      </c>
      <c r="I481" s="1145">
        <v>6453.4820296888038</v>
      </c>
      <c r="J481" s="1115"/>
      <c r="K481" s="1115"/>
      <c r="L481" s="1115"/>
      <c r="M481" s="1115"/>
      <c r="N481" s="1115"/>
      <c r="O481" s="1115"/>
      <c r="P481" s="1115"/>
      <c r="Q481" s="1115"/>
      <c r="R481" s="1115"/>
      <c r="S481" s="1115"/>
      <c r="T481" s="1115">
        <f>SUM(H481:S481)</f>
        <v>13208.138627728327</v>
      </c>
      <c r="U481" s="1115"/>
      <c r="V481" s="1115"/>
      <c r="W481" s="937"/>
      <c r="X481" s="937"/>
      <c r="Y481" s="937"/>
      <c r="Z481" s="937"/>
      <c r="AA481" s="937"/>
      <c r="AB481" s="937"/>
      <c r="AC481" s="937"/>
    </row>
    <row r="482" spans="1:29" ht="21" hidden="1">
      <c r="A482" s="1011"/>
      <c r="B482" s="1011"/>
      <c r="C482" s="1030" t="s">
        <v>497</v>
      </c>
      <c r="D482" s="1011" t="s">
        <v>401</v>
      </c>
      <c r="E482" s="1011"/>
      <c r="F482" s="1011"/>
      <c r="G482" s="1011"/>
      <c r="H482" s="1141">
        <f>H480/H481*100</f>
        <v>124.63943523695235</v>
      </c>
      <c r="I482" s="1141">
        <f t="shared" ref="I482:T482" si="211">I480/I481*100</f>
        <v>116.29515333770759</v>
      </c>
      <c r="J482" s="1141"/>
      <c r="K482" s="1141"/>
      <c r="L482" s="1141"/>
      <c r="M482" s="1141"/>
      <c r="N482" s="1141"/>
      <c r="O482" s="1141"/>
      <c r="P482" s="1141"/>
      <c r="Q482" s="1141"/>
      <c r="R482" s="1141"/>
      <c r="S482" s="1141"/>
      <c r="T482" s="1141">
        <f t="shared" si="211"/>
        <v>120.56242826381343</v>
      </c>
      <c r="U482" s="1115"/>
      <c r="V482" s="1115"/>
      <c r="W482" s="937"/>
      <c r="X482" s="937"/>
      <c r="Y482" s="937"/>
      <c r="Z482" s="937"/>
      <c r="AA482" s="937"/>
      <c r="AB482" s="937"/>
      <c r="AC482" s="937"/>
    </row>
    <row r="483" spans="1:29" ht="21" hidden="1">
      <c r="A483" s="1011"/>
      <c r="B483" s="1011"/>
      <c r="C483" s="1030"/>
      <c r="D483" s="1011"/>
      <c r="E483" s="1011"/>
      <c r="F483" s="1011"/>
      <c r="G483" s="1011"/>
      <c r="H483" s="1115"/>
      <c r="I483" s="1115"/>
      <c r="J483" s="1115"/>
      <c r="K483" s="1115"/>
      <c r="L483" s="1115"/>
      <c r="M483" s="1115"/>
      <c r="N483" s="1115"/>
      <c r="O483" s="1115"/>
      <c r="P483" s="1115"/>
      <c r="Q483" s="1115"/>
      <c r="R483" s="1115"/>
      <c r="S483" s="1115"/>
      <c r="T483" s="1115"/>
      <c r="U483" s="1115"/>
      <c r="V483" s="1115"/>
      <c r="W483" s="937"/>
      <c r="X483" s="937"/>
      <c r="Y483" s="937"/>
      <c r="Z483" s="937"/>
      <c r="AA483" s="937"/>
      <c r="AB483" s="937"/>
      <c r="AC483" s="937"/>
    </row>
    <row r="484" spans="1:29" ht="21.75" hidden="1" thickBot="1">
      <c r="A484" s="585"/>
      <c r="B484" s="1147" t="s">
        <v>108</v>
      </c>
      <c r="C484" s="1148" t="s">
        <v>370</v>
      </c>
      <c r="D484" s="1011" t="s">
        <v>173</v>
      </c>
      <c r="E484" s="1011"/>
      <c r="F484" s="1011"/>
      <c r="G484" s="1115">
        <f>G470+G75+G480</f>
        <v>0</v>
      </c>
      <c r="H484" s="1149">
        <f>140918083.61113/1000</f>
        <v>140918.08361112999</v>
      </c>
      <c r="I484" s="1149">
        <f>162044293.30014/1000</f>
        <v>162044.29330013998</v>
      </c>
      <c r="J484" s="1149">
        <f>180633497.22625/1000</f>
        <v>180633.49722624998</v>
      </c>
      <c r="K484" s="1115"/>
      <c r="L484" s="1115"/>
      <c r="M484" s="1115"/>
      <c r="N484" s="1115"/>
      <c r="O484" s="1115"/>
      <c r="P484" s="1115"/>
      <c r="Q484" s="1115"/>
      <c r="R484" s="1115"/>
      <c r="S484" s="1115"/>
      <c r="T484" s="1115">
        <f>SUM(H484:S484)</f>
        <v>483595.87413751998</v>
      </c>
      <c r="U484" s="1115"/>
      <c r="V484" s="1115"/>
      <c r="W484" s="937"/>
      <c r="X484" s="937"/>
      <c r="Y484" s="937"/>
      <c r="Z484" s="937"/>
      <c r="AA484" s="937"/>
      <c r="AB484" s="937"/>
      <c r="AC484" s="937"/>
    </row>
    <row r="485" spans="1:29" ht="21" hidden="1">
      <c r="A485" s="1011"/>
      <c r="B485" s="1150"/>
      <c r="C485" s="1030" t="s">
        <v>492</v>
      </c>
      <c r="D485" s="1011" t="s">
        <v>173</v>
      </c>
      <c r="E485" s="1011"/>
      <c r="F485" s="1011"/>
      <c r="G485" s="1011"/>
      <c r="H485" s="1149">
        <f>170181070.442272/1000</f>
        <v>170181.070442272</v>
      </c>
      <c r="I485" s="1149">
        <f>165682260.647344/1000</f>
        <v>165682.260647344</v>
      </c>
      <c r="J485" s="1149">
        <f>183753083.59851/1000</f>
        <v>183753.08359850998</v>
      </c>
      <c r="K485" s="1115"/>
      <c r="L485" s="1115"/>
      <c r="M485" s="1115"/>
      <c r="N485" s="1115"/>
      <c r="O485" s="1115"/>
      <c r="P485" s="1115"/>
      <c r="Q485" s="1115"/>
      <c r="R485" s="1115"/>
      <c r="S485" s="1115"/>
      <c r="T485" s="1115">
        <f>SUM(H485:S485)</f>
        <v>519616.41468812595</v>
      </c>
      <c r="U485" s="1115"/>
      <c r="V485" s="1115"/>
      <c r="W485" s="937"/>
      <c r="X485" s="937"/>
      <c r="Y485" s="937"/>
      <c r="Z485" s="937"/>
      <c r="AA485" s="937"/>
      <c r="AB485" s="937"/>
      <c r="AC485" s="937"/>
    </row>
    <row r="486" spans="1:29" ht="21" hidden="1">
      <c r="A486" s="1011"/>
      <c r="B486" s="1011"/>
      <c r="C486" s="1030" t="s">
        <v>497</v>
      </c>
      <c r="D486" s="1011" t="s">
        <v>401</v>
      </c>
      <c r="E486" s="1011"/>
      <c r="F486" s="1011"/>
      <c r="G486" s="1011"/>
      <c r="H486" s="1151">
        <f t="shared" ref="H486:J486" si="212">H484/H485*100</f>
        <v>82.804793297461089</v>
      </c>
      <c r="I486" s="1151">
        <f>I484/I485*100</f>
        <v>97.804250537752225</v>
      </c>
      <c r="J486" s="1151">
        <f t="shared" si="212"/>
        <v>98.30229440988532</v>
      </c>
      <c r="K486" s="1141"/>
      <c r="L486" s="1141"/>
      <c r="M486" s="1141"/>
      <c r="N486" s="1141"/>
      <c r="O486" s="1141"/>
      <c r="P486" s="1141"/>
      <c r="Q486" s="1141"/>
      <c r="R486" s="1141"/>
      <c r="S486" s="1141"/>
      <c r="T486" s="1141">
        <f>T484/T485*100</f>
        <v>93.067859380034108</v>
      </c>
      <c r="U486" s="1115"/>
      <c r="V486" s="1115"/>
      <c r="W486" s="937"/>
      <c r="X486" s="937"/>
      <c r="Y486" s="937"/>
      <c r="Z486" s="937"/>
      <c r="AA486" s="937"/>
      <c r="AB486" s="937"/>
      <c r="AC486" s="937"/>
    </row>
    <row r="487" spans="1:29" ht="21" hidden="1">
      <c r="A487" s="1150"/>
      <c r="B487" s="1150"/>
      <c r="C487" s="1152"/>
      <c r="D487" s="1150"/>
      <c r="E487" s="1011"/>
      <c r="F487" s="1011"/>
      <c r="G487" s="1011"/>
      <c r="H487" s="1115"/>
      <c r="I487" s="1115"/>
      <c r="J487" s="1115"/>
      <c r="K487" s="1115"/>
      <c r="L487" s="1115"/>
      <c r="M487" s="1115"/>
      <c r="N487" s="1115"/>
      <c r="O487" s="1115"/>
      <c r="P487" s="1115"/>
      <c r="Q487" s="1115"/>
      <c r="R487" s="1115"/>
      <c r="S487" s="1115"/>
      <c r="T487" s="1115"/>
      <c r="U487" s="1115"/>
      <c r="V487" s="1115"/>
      <c r="W487" s="937"/>
      <c r="X487" s="937"/>
      <c r="Y487" s="937"/>
      <c r="Z487" s="937"/>
      <c r="AA487" s="937"/>
      <c r="AB487" s="937"/>
      <c r="AC487" s="937"/>
    </row>
    <row r="488" spans="1:29" ht="21" hidden="1">
      <c r="A488" s="956">
        <v>20</v>
      </c>
      <c r="B488" s="956" t="s">
        <v>108</v>
      </c>
      <c r="C488" s="1105" t="s">
        <v>138</v>
      </c>
      <c r="D488" s="956" t="s">
        <v>90</v>
      </c>
      <c r="E488" s="984">
        <f>'[11]Price&amp;Heating-Value'!$R$6</f>
        <v>3.6</v>
      </c>
      <c r="F488" s="964"/>
      <c r="G488" s="1014">
        <f>'[11]Price&amp;Heating-Value'!$P$6</f>
        <v>2.7124999999999999</v>
      </c>
      <c r="H488" s="961">
        <f>7235433.5112/E488</f>
        <v>2009842.6419999998</v>
      </c>
      <c r="I488" s="961">
        <f>7054776.3492/E488</f>
        <v>1959660.0970000001</v>
      </c>
      <c r="J488" s="961">
        <f>7560867.204/3.6</f>
        <v>2100240.89</v>
      </c>
      <c r="K488" s="961"/>
      <c r="L488" s="961"/>
      <c r="M488" s="961"/>
      <c r="N488" s="961"/>
      <c r="O488" s="961"/>
      <c r="P488" s="961"/>
      <c r="Q488" s="961"/>
      <c r="R488" s="961"/>
      <c r="S488" s="961"/>
      <c r="T488" s="961">
        <f t="shared" ref="T488:T493" si="213">SUM(H488:S488)</f>
        <v>6069743.6290000007</v>
      </c>
      <c r="U488" s="961">
        <f>T488*E488</f>
        <v>21851077.064400002</v>
      </c>
      <c r="V488" s="961">
        <f>G488*T488</f>
        <v>16464179.5936625</v>
      </c>
      <c r="W488" s="954">
        <f>'[11]Price&amp;Heating-Value'!D$6</f>
        <v>2.4500000000000002</v>
      </c>
      <c r="X488" s="954">
        <f>'[11]Price&amp;Heating-Value'!E$6</f>
        <v>2.54</v>
      </c>
      <c r="Y488" s="954">
        <f>'[11]Price&amp;Heating-Value'!F$6</f>
        <v>2.58</v>
      </c>
      <c r="Z488" s="954">
        <f>'[11]Price&amp;Heating-Value'!G$6</f>
        <v>2.67</v>
      </c>
      <c r="AA488" s="954">
        <f>'[11]Price&amp;Heating-Value'!H$6</f>
        <v>2.67</v>
      </c>
      <c r="AB488" s="954">
        <f>'[11]Price&amp;Heating-Value'!I$6</f>
        <v>2.67</v>
      </c>
      <c r="AC488" s="954">
        <f>'[11]Price&amp;Heating-Value'!J$6</f>
        <v>2.62</v>
      </c>
    </row>
    <row r="489" spans="1:29" ht="21" hidden="1">
      <c r="A489" s="956"/>
      <c r="B489" s="956"/>
      <c r="C489" s="1031" t="s">
        <v>499</v>
      </c>
      <c r="D489" s="964" t="s">
        <v>121</v>
      </c>
      <c r="E489" s="964">
        <f>'[11]Price&amp;Heating-Value'!$R$10</f>
        <v>3180</v>
      </c>
      <c r="F489" s="964"/>
      <c r="G489" s="965">
        <f>'[11]Price&amp;Heating-Value'!$P$10</f>
        <v>1321.5833333333333</v>
      </c>
      <c r="H489" s="961">
        <f>54616907.45/E489</f>
        <v>17175.128128930817</v>
      </c>
      <c r="I489" s="961">
        <f>58403761.4/E489</f>
        <v>18365.962704402515</v>
      </c>
      <c r="J489" s="968">
        <f>62690396.08/E489</f>
        <v>19713.961031446539</v>
      </c>
      <c r="K489" s="961"/>
      <c r="L489" s="961"/>
      <c r="M489" s="961"/>
      <c r="N489" s="961"/>
      <c r="O489" s="961"/>
      <c r="P489" s="961"/>
      <c r="Q489" s="961"/>
      <c r="R489" s="961"/>
      <c r="S489" s="961"/>
      <c r="T489" s="961">
        <f t="shared" si="213"/>
        <v>55255.051864779874</v>
      </c>
      <c r="U489" s="966">
        <f>T489*E489</f>
        <v>175711064.93000001</v>
      </c>
      <c r="V489" s="966">
        <f>G489*T489</f>
        <v>73024155.626961991</v>
      </c>
      <c r="W489" s="936">
        <f>'[11]Price&amp;Heating-Value'!D$10</f>
        <v>1230</v>
      </c>
      <c r="X489" s="936">
        <f>'[11]Price&amp;Heating-Value'!E$10</f>
        <v>1238</v>
      </c>
      <c r="Y489" s="936">
        <f>'[11]Price&amp;Heating-Value'!F$10</f>
        <v>1227</v>
      </c>
      <c r="Z489" s="936">
        <f>'[11]Price&amp;Heating-Value'!G$10</f>
        <v>1252</v>
      </c>
      <c r="AA489" s="936">
        <f>'[11]Price&amp;Heating-Value'!H$10</f>
        <v>1372</v>
      </c>
      <c r="AB489" s="936">
        <f>'[11]Price&amp;Heating-Value'!I$10</f>
        <v>1511</v>
      </c>
      <c r="AC489" s="936">
        <f>'[11]Price&amp;Heating-Value'!J$10</f>
        <v>1608</v>
      </c>
    </row>
    <row r="490" spans="1:29" ht="21" hidden="1">
      <c r="A490" s="964"/>
      <c r="B490" s="964"/>
      <c r="C490" s="1031" t="s">
        <v>101</v>
      </c>
      <c r="D490" s="964" t="s">
        <v>102</v>
      </c>
      <c r="E490" s="964">
        <f>'[11]Price&amp;Heating-Value'!$R$23/1000</f>
        <v>50.22</v>
      </c>
      <c r="F490" s="964"/>
      <c r="G490" s="965">
        <f>'[11]Price&amp;Heating-Value'!$P$23/1000</f>
        <v>11.61472</v>
      </c>
      <c r="H490" s="966">
        <f>58992842.70833/E490</f>
        <v>1174688.2259723218</v>
      </c>
      <c r="I490" s="966">
        <f>70880567.79774/E490</f>
        <v>1411401.190715651</v>
      </c>
      <c r="J490" s="966">
        <f>68356190.17185/E490</f>
        <v>1361134.810271804</v>
      </c>
      <c r="K490" s="966"/>
      <c r="L490" s="966"/>
      <c r="M490" s="966"/>
      <c r="N490" s="966"/>
      <c r="O490" s="966"/>
      <c r="P490" s="966"/>
      <c r="Q490" s="966"/>
      <c r="R490" s="966"/>
      <c r="S490" s="966"/>
      <c r="T490" s="966">
        <f t="shared" si="213"/>
        <v>3947224.2269597771</v>
      </c>
      <c r="U490" s="966">
        <f>T490*E490</f>
        <v>198229600.67792001</v>
      </c>
      <c r="V490" s="966">
        <f>G490*T490</f>
        <v>45845904.173354261</v>
      </c>
      <c r="W490" s="982">
        <f>'[11]Price&amp;Heating-Value'!D$23/1000</f>
        <v>11.61472</v>
      </c>
      <c r="X490" s="982">
        <f>'[11]Price&amp;Heating-Value'!E$23/1000</f>
        <v>11.61472</v>
      </c>
      <c r="Y490" s="982">
        <f>'[11]Price&amp;Heating-Value'!F$23/1000</f>
        <v>11.61472</v>
      </c>
      <c r="Z490" s="982">
        <f>'[11]Price&amp;Heating-Value'!G$23/1000</f>
        <v>11.61472</v>
      </c>
      <c r="AA490" s="982">
        <f>'[11]Price&amp;Heating-Value'!H$23/1000</f>
        <v>11.61472</v>
      </c>
      <c r="AB490" s="982">
        <f>'[11]Price&amp;Heating-Value'!I$23/1000</f>
        <v>11.61472</v>
      </c>
      <c r="AC490" s="982">
        <f>'[11]Price&amp;Heating-Value'!J$23/1000</f>
        <v>11.61472</v>
      </c>
    </row>
    <row r="491" spans="1:29" ht="21" hidden="1">
      <c r="A491" s="964"/>
      <c r="B491" s="964"/>
      <c r="C491" s="1031" t="s">
        <v>424</v>
      </c>
      <c r="D491" s="964" t="s">
        <v>176</v>
      </c>
      <c r="E491" s="984">
        <f>'[11]Price&amp;Heating-Value'!$S$16/1000</f>
        <v>39.770000000000003</v>
      </c>
      <c r="F491" s="1036">
        <f>'[11]Price&amp;Heating-Value'!$T$16</f>
        <v>0.98550000000000004</v>
      </c>
      <c r="G491" s="965">
        <f>'[11]Price&amp;Heating-Value'!$P$16*'[11]Price&amp;Heating-Value'!$T$16/1000</f>
        <v>17.944656726937499</v>
      </c>
      <c r="H491" s="966">
        <f>20072899.9416/E491</f>
        <v>504724.66536585358</v>
      </c>
      <c r="I491" s="966">
        <f>25705187.7532/E491</f>
        <v>646346.18439024384</v>
      </c>
      <c r="J491" s="966">
        <f>42026043.7704/E491</f>
        <v>1056727.276097561</v>
      </c>
      <c r="K491" s="966"/>
      <c r="L491" s="966"/>
      <c r="M491" s="968"/>
      <c r="N491" s="966"/>
      <c r="O491" s="966"/>
      <c r="P491" s="966"/>
      <c r="Q491" s="966"/>
      <c r="R491" s="966"/>
      <c r="S491" s="966"/>
      <c r="T491" s="966">
        <f t="shared" si="213"/>
        <v>2207798.1258536587</v>
      </c>
      <c r="U491" s="966">
        <f>T491*E491</f>
        <v>87804131.465200007</v>
      </c>
      <c r="V491" s="966">
        <f>G491*T491</f>
        <v>39618179.490819857</v>
      </c>
      <c r="W491" s="1037">
        <f>'[11]Price&amp;Heating-Value'!D$16*'[11]Price&amp;Heating-Value'!$T$16/1000</f>
        <v>16.779635460000002</v>
      </c>
      <c r="X491" s="982">
        <f>'[11]Price&amp;Heating-Value'!E$16*'[11]Price&amp;Heating-Value'!$T$16/1000</f>
        <v>16.47036585</v>
      </c>
      <c r="Y491" s="982">
        <f>'[11]Price&amp;Heating-Value'!F$16*'[11]Price&amp;Heating-Value'!$T$16/1000</f>
        <v>16.780118354999999</v>
      </c>
      <c r="Z491" s="982">
        <f>'[11]Price&amp;Heating-Value'!G$16*'[11]Price&amp;Heating-Value'!$T$16/1000</f>
        <v>18.287135100000004</v>
      </c>
      <c r="AA491" s="982">
        <f>'[11]Price&amp;Heating-Value'!H$16*'[11]Price&amp;Heating-Value'!$T$16/1000</f>
        <v>20.715278985000001</v>
      </c>
      <c r="AB491" s="982">
        <f>'[11]Price&amp;Heating-Value'!I$16*'[11]Price&amp;Heating-Value'!$T$16/1000</f>
        <v>22.335056640000001</v>
      </c>
      <c r="AC491" s="982">
        <f>'[11]Price&amp;Heating-Value'!J$16*'[11]Price&amp;Heating-Value'!$T$16/1000</f>
        <v>25.718475240000004</v>
      </c>
    </row>
    <row r="492" spans="1:29" ht="21" hidden="1">
      <c r="A492" s="964"/>
      <c r="B492" s="964"/>
      <c r="C492" s="983"/>
      <c r="D492" s="964"/>
      <c r="E492" s="964"/>
      <c r="F492" s="964"/>
      <c r="G492" s="964"/>
      <c r="H492" s="987"/>
      <c r="I492" s="987"/>
      <c r="J492" s="987"/>
      <c r="K492" s="987"/>
      <c r="L492" s="987"/>
      <c r="M492" s="987"/>
      <c r="N492" s="987"/>
      <c r="O492" s="987"/>
      <c r="P492" s="987"/>
      <c r="Q492" s="987"/>
      <c r="R492" s="987"/>
      <c r="S492" s="987"/>
      <c r="T492" s="987"/>
      <c r="U492" s="987">
        <f>SUM(U488:U491)</f>
        <v>483595874.13752002</v>
      </c>
      <c r="V492" s="966">
        <f>SUM(V488:V491)</f>
        <v>174952418.88479859</v>
      </c>
      <c r="W492" s="936"/>
      <c r="X492" s="937"/>
      <c r="Y492" s="937"/>
      <c r="Z492" s="937"/>
      <c r="AA492" s="937"/>
      <c r="AB492" s="937"/>
      <c r="AC492" s="937"/>
    </row>
    <row r="493" spans="1:29" ht="21" hidden="1">
      <c r="A493" s="1011"/>
      <c r="B493" s="989"/>
      <c r="C493" s="990" t="s">
        <v>107</v>
      </c>
      <c r="D493" s="989" t="s">
        <v>121</v>
      </c>
      <c r="E493" s="989"/>
      <c r="F493" s="989"/>
      <c r="G493" s="1011"/>
      <c r="H493" s="994"/>
      <c r="I493" s="994"/>
      <c r="J493" s="994"/>
      <c r="K493" s="994"/>
      <c r="L493" s="994"/>
      <c r="M493" s="994"/>
      <c r="N493" s="994"/>
      <c r="O493" s="994"/>
      <c r="P493" s="994"/>
      <c r="Q493" s="994"/>
      <c r="R493" s="994"/>
      <c r="S493" s="994"/>
      <c r="T493" s="996">
        <f t="shared" si="213"/>
        <v>0</v>
      </c>
      <c r="U493" s="995"/>
      <c r="V493" s="1026" t="e">
        <f>V492/T493</f>
        <v>#DIV/0!</v>
      </c>
      <c r="W493" s="936"/>
      <c r="X493" s="937"/>
      <c r="Y493" s="937"/>
      <c r="Z493" s="937"/>
      <c r="AA493" s="937"/>
      <c r="AB493" s="937"/>
      <c r="AC493" s="937"/>
    </row>
    <row r="494" spans="1:29" ht="21" hidden="1">
      <c r="A494" s="1011"/>
      <c r="B494" s="1011"/>
      <c r="C494" s="1030"/>
      <c r="D494" s="1011"/>
      <c r="E494" s="1011"/>
      <c r="F494" s="1011"/>
      <c r="G494" s="1011"/>
      <c r="H494" s="1041"/>
      <c r="I494" s="1041"/>
      <c r="J494" s="1041"/>
      <c r="K494" s="1041"/>
      <c r="L494" s="1041"/>
      <c r="M494" s="1041"/>
      <c r="N494" s="1041"/>
      <c r="O494" s="1041"/>
      <c r="P494" s="1041"/>
      <c r="Q494" s="1041"/>
      <c r="R494" s="1041"/>
      <c r="S494" s="1041"/>
      <c r="T494" s="981"/>
      <c r="U494" s="981"/>
      <c r="V494" s="997" t="s">
        <v>137</v>
      </c>
      <c r="W494" s="936"/>
      <c r="X494" s="937"/>
      <c r="Y494" s="937"/>
      <c r="Z494" s="937"/>
      <c r="AA494" s="937"/>
      <c r="AB494" s="937"/>
      <c r="AC494" s="937"/>
    </row>
    <row r="495" spans="1:29" ht="21" hidden="1">
      <c r="A495" s="1011"/>
      <c r="B495" s="1011"/>
      <c r="C495" s="1031" t="s">
        <v>138</v>
      </c>
      <c r="D495" s="1011" t="s">
        <v>173</v>
      </c>
      <c r="E495" s="964"/>
      <c r="F495" s="964"/>
      <c r="G495" s="1011"/>
      <c r="H495" s="981">
        <f>H488*$E488/1000</f>
        <v>7235.4335111999999</v>
      </c>
      <c r="I495" s="981">
        <f t="shared" ref="I495:S498" si="214">I488*$E488/1000</f>
        <v>7054.7763492000004</v>
      </c>
      <c r="J495" s="981">
        <f t="shared" si="214"/>
        <v>7560.867204000001</v>
      </c>
      <c r="K495" s="981">
        <f t="shared" si="214"/>
        <v>0</v>
      </c>
      <c r="L495" s="981">
        <f t="shared" si="214"/>
        <v>0</v>
      </c>
      <c r="M495" s="981">
        <f t="shared" si="214"/>
        <v>0</v>
      </c>
      <c r="N495" s="981">
        <f t="shared" si="214"/>
        <v>0</v>
      </c>
      <c r="O495" s="981">
        <f t="shared" si="214"/>
        <v>0</v>
      </c>
      <c r="P495" s="981">
        <f t="shared" si="214"/>
        <v>0</v>
      </c>
      <c r="Q495" s="981">
        <f t="shared" si="214"/>
        <v>0</v>
      </c>
      <c r="R495" s="981">
        <f t="shared" si="214"/>
        <v>0</v>
      </c>
      <c r="S495" s="981">
        <f t="shared" si="214"/>
        <v>0</v>
      </c>
      <c r="T495" s="981">
        <f>SUM(H495:S495)</f>
        <v>21851.0770644</v>
      </c>
      <c r="U495" s="981"/>
      <c r="V495" s="981"/>
      <c r="W495" s="936"/>
      <c r="X495" s="937"/>
      <c r="Y495" s="937"/>
      <c r="Z495" s="937"/>
      <c r="AA495" s="937"/>
      <c r="AB495" s="937"/>
      <c r="AC495" s="937"/>
    </row>
    <row r="496" spans="1:29" ht="21.75" hidden="1" customHeight="1">
      <c r="A496" s="1011"/>
      <c r="B496" s="1011"/>
      <c r="C496" s="1031" t="s">
        <v>499</v>
      </c>
      <c r="D496" s="1011" t="s">
        <v>173</v>
      </c>
      <c r="E496" s="964"/>
      <c r="F496" s="964"/>
      <c r="G496" s="1011"/>
      <c r="H496" s="981">
        <f>H489*$E489/1000</f>
        <v>54616.907449999999</v>
      </c>
      <c r="I496" s="981">
        <f t="shared" si="214"/>
        <v>58403.761399999996</v>
      </c>
      <c r="J496" s="981">
        <f t="shared" si="214"/>
        <v>62690.396079999991</v>
      </c>
      <c r="K496" s="981">
        <f t="shared" si="214"/>
        <v>0</v>
      </c>
      <c r="L496" s="981">
        <f t="shared" si="214"/>
        <v>0</v>
      </c>
      <c r="M496" s="981">
        <f t="shared" si="214"/>
        <v>0</v>
      </c>
      <c r="N496" s="981">
        <f t="shared" si="214"/>
        <v>0</v>
      </c>
      <c r="O496" s="981">
        <f t="shared" si="214"/>
        <v>0</v>
      </c>
      <c r="P496" s="981">
        <f t="shared" si="214"/>
        <v>0</v>
      </c>
      <c r="Q496" s="981">
        <f t="shared" si="214"/>
        <v>0</v>
      </c>
      <c r="R496" s="981">
        <f t="shared" si="214"/>
        <v>0</v>
      </c>
      <c r="S496" s="981">
        <f t="shared" si="214"/>
        <v>0</v>
      </c>
      <c r="T496" s="981">
        <f>SUM(H496:S496)</f>
        <v>175711.06492999999</v>
      </c>
      <c r="U496" s="981"/>
      <c r="V496" s="981"/>
      <c r="W496" s="936"/>
      <c r="X496" s="937"/>
      <c r="Y496" s="937"/>
      <c r="Z496" s="937"/>
      <c r="AA496" s="937"/>
      <c r="AB496" s="937"/>
      <c r="AC496" s="937"/>
    </row>
    <row r="497" spans="1:22" ht="21.75" hidden="1" customHeight="1">
      <c r="A497" s="1011"/>
      <c r="B497" s="1011"/>
      <c r="C497" s="1031" t="s">
        <v>101</v>
      </c>
      <c r="D497" s="1011" t="s">
        <v>173</v>
      </c>
      <c r="E497" s="984">
        <f>270*33/E490</f>
        <v>177.41935483870969</v>
      </c>
      <c r="F497" s="964"/>
      <c r="G497" s="1011"/>
      <c r="H497" s="981">
        <f>H490*$E490/1000</f>
        <v>58992.842708329998</v>
      </c>
      <c r="I497" s="981">
        <f>I490*$E490/1000</f>
        <v>70880.567797740005</v>
      </c>
      <c r="J497" s="981">
        <f t="shared" si="214"/>
        <v>68356.190171850001</v>
      </c>
      <c r="K497" s="981">
        <f t="shared" si="214"/>
        <v>0</v>
      </c>
      <c r="L497" s="981">
        <f t="shared" si="214"/>
        <v>0</v>
      </c>
      <c r="M497" s="981">
        <f t="shared" si="214"/>
        <v>0</v>
      </c>
      <c r="N497" s="981">
        <f t="shared" si="214"/>
        <v>0</v>
      </c>
      <c r="O497" s="981">
        <f t="shared" si="214"/>
        <v>0</v>
      </c>
      <c r="P497" s="981">
        <f t="shared" si="214"/>
        <v>0</v>
      </c>
      <c r="Q497" s="981">
        <f t="shared" si="214"/>
        <v>0</v>
      </c>
      <c r="R497" s="981">
        <f t="shared" si="214"/>
        <v>0</v>
      </c>
      <c r="S497" s="981">
        <f t="shared" si="214"/>
        <v>0</v>
      </c>
      <c r="T497" s="981">
        <f>SUM(H497:S497)</f>
        <v>198229.60067792001</v>
      </c>
      <c r="U497" s="981"/>
      <c r="V497" s="981"/>
    </row>
    <row r="498" spans="1:22" ht="21" hidden="1">
      <c r="A498" s="1011"/>
      <c r="B498" s="1011"/>
      <c r="C498" s="1031" t="s">
        <v>424</v>
      </c>
      <c r="D498" s="1011" t="s">
        <v>173</v>
      </c>
      <c r="E498" s="984">
        <f>467*33/E491*F491</f>
        <v>381.88434749811415</v>
      </c>
      <c r="F498" s="964"/>
      <c r="G498" s="1011"/>
      <c r="H498" s="981">
        <f>H491*$E491/1000</f>
        <v>20072.899941599997</v>
      </c>
      <c r="I498" s="981">
        <f>I491*$E491/1000</f>
        <v>25705.1877532</v>
      </c>
      <c r="J498" s="981">
        <f t="shared" si="214"/>
        <v>42026.0437704</v>
      </c>
      <c r="K498" s="981">
        <f t="shared" si="214"/>
        <v>0</v>
      </c>
      <c r="L498" s="981">
        <f t="shared" si="214"/>
        <v>0</v>
      </c>
      <c r="M498" s="981">
        <f t="shared" si="214"/>
        <v>0</v>
      </c>
      <c r="N498" s="981">
        <f t="shared" si="214"/>
        <v>0</v>
      </c>
      <c r="O498" s="981">
        <f t="shared" si="214"/>
        <v>0</v>
      </c>
      <c r="P498" s="981">
        <f t="shared" si="214"/>
        <v>0</v>
      </c>
      <c r="Q498" s="981">
        <f t="shared" si="214"/>
        <v>0</v>
      </c>
      <c r="R498" s="981">
        <f t="shared" si="214"/>
        <v>0</v>
      </c>
      <c r="S498" s="981">
        <f t="shared" si="214"/>
        <v>0</v>
      </c>
      <c r="T498" s="981">
        <f>SUM(H498:S498)</f>
        <v>87804.131465199986</v>
      </c>
      <c r="U498" s="981"/>
      <c r="V498" s="981"/>
    </row>
    <row r="499" spans="1:22" ht="21" hidden="1">
      <c r="A499" s="1011"/>
      <c r="B499" s="964"/>
      <c r="C499" s="983" t="s">
        <v>509</v>
      </c>
      <c r="D499" s="964" t="s">
        <v>173</v>
      </c>
      <c r="E499" s="1011"/>
      <c r="F499" s="1011"/>
      <c r="G499" s="1011"/>
      <c r="H499" s="981">
        <f>H484</f>
        <v>140918.08361112999</v>
      </c>
      <c r="I499" s="981">
        <f t="shared" ref="I499:T500" si="215">I484</f>
        <v>162044.29330013998</v>
      </c>
      <c r="J499" s="981">
        <f t="shared" si="215"/>
        <v>180633.49722624998</v>
      </c>
      <c r="K499" s="981">
        <f t="shared" si="215"/>
        <v>0</v>
      </c>
      <c r="L499" s="981">
        <f t="shared" si="215"/>
        <v>0</v>
      </c>
      <c r="M499" s="981">
        <f t="shared" si="215"/>
        <v>0</v>
      </c>
      <c r="N499" s="981">
        <f t="shared" si="215"/>
        <v>0</v>
      </c>
      <c r="O499" s="981">
        <f t="shared" si="215"/>
        <v>0</v>
      </c>
      <c r="P499" s="981">
        <f t="shared" si="215"/>
        <v>0</v>
      </c>
      <c r="Q499" s="981">
        <f t="shared" si="215"/>
        <v>0</v>
      </c>
      <c r="R499" s="981">
        <f t="shared" si="215"/>
        <v>0</v>
      </c>
      <c r="S499" s="981">
        <f t="shared" si="215"/>
        <v>0</v>
      </c>
      <c r="T499" s="981">
        <f t="shared" si="215"/>
        <v>483595.87413751998</v>
      </c>
      <c r="U499" s="981"/>
      <c r="V499" s="1033">
        <f>V492/T499</f>
        <v>361.77401057612713</v>
      </c>
    </row>
    <row r="500" spans="1:22" ht="21" hidden="1">
      <c r="A500" s="1011"/>
      <c r="B500" s="964"/>
      <c r="C500" s="983" t="s">
        <v>345</v>
      </c>
      <c r="D500" s="964" t="s">
        <v>173</v>
      </c>
      <c r="E500" s="964"/>
      <c r="F500" s="964"/>
      <c r="G500" s="1011">
        <v>2007</v>
      </c>
      <c r="H500" s="966">
        <f>H485</f>
        <v>170181.070442272</v>
      </c>
      <c r="I500" s="966">
        <f t="shared" si="215"/>
        <v>165682.260647344</v>
      </c>
      <c r="J500" s="966">
        <f t="shared" si="215"/>
        <v>183753.08359850998</v>
      </c>
      <c r="K500" s="966">
        <f t="shared" si="215"/>
        <v>0</v>
      </c>
      <c r="L500" s="966">
        <f t="shared" si="215"/>
        <v>0</v>
      </c>
      <c r="M500" s="966">
        <f t="shared" si="215"/>
        <v>0</v>
      </c>
      <c r="N500" s="966">
        <f t="shared" si="215"/>
        <v>0</v>
      </c>
      <c r="O500" s="966">
        <f t="shared" si="215"/>
        <v>0</v>
      </c>
      <c r="P500" s="966">
        <f t="shared" si="215"/>
        <v>0</v>
      </c>
      <c r="Q500" s="966">
        <f t="shared" si="215"/>
        <v>0</v>
      </c>
      <c r="R500" s="966">
        <f t="shared" si="215"/>
        <v>0</v>
      </c>
      <c r="S500" s="966">
        <f t="shared" si="215"/>
        <v>0</v>
      </c>
      <c r="T500" s="966">
        <f t="shared" si="215"/>
        <v>519616.41468812595</v>
      </c>
      <c r="U500" s="966"/>
      <c r="V500" s="1001" t="s">
        <v>158</v>
      </c>
    </row>
    <row r="501" spans="1:22" ht="21" hidden="1">
      <c r="A501" s="1011"/>
      <c r="B501" s="1003" t="s">
        <v>174</v>
      </c>
      <c r="C501" s="1004" t="s">
        <v>138</v>
      </c>
      <c r="D501" s="1003" t="s">
        <v>347</v>
      </c>
      <c r="E501" s="1003"/>
      <c r="F501" s="1005" t="e">
        <f>(J501-G501)/G501*100</f>
        <v>#DIV/0!</v>
      </c>
      <c r="G501" s="1108">
        <v>5.0477319439666019E-2</v>
      </c>
      <c r="H501" s="1006" t="e">
        <f t="shared" ref="H501:T505" si="216">H495/H$493</f>
        <v>#DIV/0!</v>
      </c>
      <c r="I501" s="1006" t="e">
        <f t="shared" si="216"/>
        <v>#DIV/0!</v>
      </c>
      <c r="J501" s="1006" t="e">
        <f t="shared" si="216"/>
        <v>#DIV/0!</v>
      </c>
      <c r="K501" s="1006" t="e">
        <f t="shared" si="216"/>
        <v>#DIV/0!</v>
      </c>
      <c r="L501" s="1006" t="e">
        <f t="shared" si="216"/>
        <v>#DIV/0!</v>
      </c>
      <c r="M501" s="1006" t="e">
        <f t="shared" si="216"/>
        <v>#DIV/0!</v>
      </c>
      <c r="N501" s="1006" t="e">
        <f t="shared" si="216"/>
        <v>#DIV/0!</v>
      </c>
      <c r="O501" s="1006" t="e">
        <f t="shared" si="216"/>
        <v>#DIV/0!</v>
      </c>
      <c r="P501" s="1006" t="e">
        <f t="shared" si="216"/>
        <v>#DIV/0!</v>
      </c>
      <c r="Q501" s="1006" t="e">
        <f>Q495/Q$493</f>
        <v>#DIV/0!</v>
      </c>
      <c r="R501" s="1006" t="e">
        <f t="shared" si="216"/>
        <v>#DIV/0!</v>
      </c>
      <c r="S501" s="1006" t="e">
        <f t="shared" si="216"/>
        <v>#DIV/0!</v>
      </c>
      <c r="T501" s="1006" t="e">
        <f t="shared" si="216"/>
        <v>#DIV/0!</v>
      </c>
      <c r="U501" s="1007"/>
      <c r="V501" s="1007"/>
    </row>
    <row r="502" spans="1:22" ht="21" hidden="1">
      <c r="A502" s="1011"/>
      <c r="B502" s="1003"/>
      <c r="C502" s="1093" t="s">
        <v>499</v>
      </c>
      <c r="D502" s="1003" t="s">
        <v>347</v>
      </c>
      <c r="E502" s="1003"/>
      <c r="F502" s="1005" t="e">
        <f>(J502-G502)/G502*100</f>
        <v>#DIV/0!</v>
      </c>
      <c r="G502" s="1108">
        <v>0.39812210562064609</v>
      </c>
      <c r="H502" s="1006" t="e">
        <f t="shared" si="216"/>
        <v>#DIV/0!</v>
      </c>
      <c r="I502" s="1006" t="e">
        <f t="shared" si="216"/>
        <v>#DIV/0!</v>
      </c>
      <c r="J502" s="1006" t="e">
        <f t="shared" si="216"/>
        <v>#DIV/0!</v>
      </c>
      <c r="K502" s="1006" t="e">
        <f t="shared" si="216"/>
        <v>#DIV/0!</v>
      </c>
      <c r="L502" s="1006" t="e">
        <f t="shared" si="216"/>
        <v>#DIV/0!</v>
      </c>
      <c r="M502" s="1006" t="e">
        <f t="shared" si="216"/>
        <v>#DIV/0!</v>
      </c>
      <c r="N502" s="1006" t="e">
        <f t="shared" si="216"/>
        <v>#DIV/0!</v>
      </c>
      <c r="O502" s="1006" t="e">
        <f t="shared" si="216"/>
        <v>#DIV/0!</v>
      </c>
      <c r="P502" s="1006" t="e">
        <f t="shared" si="216"/>
        <v>#DIV/0!</v>
      </c>
      <c r="Q502" s="1006" t="e">
        <f t="shared" si="216"/>
        <v>#DIV/0!</v>
      </c>
      <c r="R502" s="1006" t="e">
        <f t="shared" si="216"/>
        <v>#DIV/0!</v>
      </c>
      <c r="S502" s="1006" t="e">
        <f t="shared" si="216"/>
        <v>#DIV/0!</v>
      </c>
      <c r="T502" s="1006" t="e">
        <f t="shared" si="216"/>
        <v>#DIV/0!</v>
      </c>
      <c r="U502" s="1007"/>
      <c r="V502" s="1007"/>
    </row>
    <row r="503" spans="1:22" ht="21" hidden="1">
      <c r="A503" s="1011"/>
      <c r="B503" s="1003"/>
      <c r="C503" s="1093" t="s">
        <v>101</v>
      </c>
      <c r="D503" s="1003" t="s">
        <v>347</v>
      </c>
      <c r="E503" s="1003" t="e">
        <f>((J503+J504)-(G503+G504))/(G503+G504)*100</f>
        <v>#DIV/0!</v>
      </c>
      <c r="F503" s="1005" t="e">
        <f>(J503-G503)/G503*100</f>
        <v>#DIV/0!</v>
      </c>
      <c r="G503" s="1108">
        <v>0.17923895837370185</v>
      </c>
      <c r="H503" s="1006" t="e">
        <f t="shared" si="216"/>
        <v>#DIV/0!</v>
      </c>
      <c r="I503" s="1006" t="e">
        <f t="shared" si="216"/>
        <v>#DIV/0!</v>
      </c>
      <c r="J503" s="1006" t="e">
        <f t="shared" si="216"/>
        <v>#DIV/0!</v>
      </c>
      <c r="K503" s="1006" t="e">
        <f t="shared" si="216"/>
        <v>#DIV/0!</v>
      </c>
      <c r="L503" s="1006" t="e">
        <f t="shared" si="216"/>
        <v>#DIV/0!</v>
      </c>
      <c r="M503" s="1006" t="e">
        <f t="shared" si="216"/>
        <v>#DIV/0!</v>
      </c>
      <c r="N503" s="1006" t="e">
        <f t="shared" si="216"/>
        <v>#DIV/0!</v>
      </c>
      <c r="O503" s="1006" t="e">
        <f t="shared" si="216"/>
        <v>#DIV/0!</v>
      </c>
      <c r="P503" s="1006" t="e">
        <f t="shared" si="216"/>
        <v>#DIV/0!</v>
      </c>
      <c r="Q503" s="1006" t="e">
        <f t="shared" si="216"/>
        <v>#DIV/0!</v>
      </c>
      <c r="R503" s="1006" t="e">
        <f t="shared" si="216"/>
        <v>#DIV/0!</v>
      </c>
      <c r="S503" s="1006" t="e">
        <f t="shared" si="216"/>
        <v>#DIV/0!</v>
      </c>
      <c r="T503" s="1006" t="e">
        <f t="shared" si="216"/>
        <v>#DIV/0!</v>
      </c>
      <c r="U503" s="1007"/>
      <c r="V503" s="1007"/>
    </row>
    <row r="504" spans="1:22" ht="21" hidden="1">
      <c r="A504" s="1011"/>
      <c r="B504" s="1003"/>
      <c r="C504" s="1093" t="s">
        <v>424</v>
      </c>
      <c r="D504" s="1003" t="s">
        <v>347</v>
      </c>
      <c r="E504" s="1003"/>
      <c r="F504" s="1005" t="e">
        <f>(J504-G504)/G504*100</f>
        <v>#DIV/0!</v>
      </c>
      <c r="G504" s="1108">
        <v>0.61885684080430114</v>
      </c>
      <c r="H504" s="1006" t="e">
        <f t="shared" si="216"/>
        <v>#DIV/0!</v>
      </c>
      <c r="I504" s="1006" t="e">
        <f t="shared" si="216"/>
        <v>#DIV/0!</v>
      </c>
      <c r="J504" s="1006" t="e">
        <f t="shared" si="216"/>
        <v>#DIV/0!</v>
      </c>
      <c r="K504" s="1006" t="e">
        <f t="shared" si="216"/>
        <v>#DIV/0!</v>
      </c>
      <c r="L504" s="1006" t="e">
        <f t="shared" si="216"/>
        <v>#DIV/0!</v>
      </c>
      <c r="M504" s="1006" t="e">
        <f t="shared" si="216"/>
        <v>#DIV/0!</v>
      </c>
      <c r="N504" s="1006" t="e">
        <f t="shared" si="216"/>
        <v>#DIV/0!</v>
      </c>
      <c r="O504" s="1006" t="e">
        <f t="shared" si="216"/>
        <v>#DIV/0!</v>
      </c>
      <c r="P504" s="1006" t="e">
        <f t="shared" si="216"/>
        <v>#DIV/0!</v>
      </c>
      <c r="Q504" s="1006" t="e">
        <f t="shared" si="216"/>
        <v>#DIV/0!</v>
      </c>
      <c r="R504" s="1006" t="e">
        <f t="shared" si="216"/>
        <v>#DIV/0!</v>
      </c>
      <c r="S504" s="1006" t="e">
        <f t="shared" si="216"/>
        <v>#DIV/0!</v>
      </c>
      <c r="T504" s="1006" t="e">
        <f t="shared" si="216"/>
        <v>#DIV/0!</v>
      </c>
      <c r="U504" s="1007"/>
      <c r="V504" s="1007"/>
    </row>
    <row r="505" spans="1:22" ht="23.25" hidden="1">
      <c r="A505" s="1011"/>
      <c r="B505" s="1003"/>
      <c r="C505" s="1008" t="s">
        <v>510</v>
      </c>
      <c r="D505" s="1003" t="s">
        <v>347</v>
      </c>
      <c r="E505" s="1003"/>
      <c r="F505" s="1005" t="e">
        <f>(J505-G505)/G505*100</f>
        <v>#DIV/0!</v>
      </c>
      <c r="G505" s="1108">
        <v>1.2466952242383149</v>
      </c>
      <c r="H505" s="1006" t="e">
        <f t="shared" si="216"/>
        <v>#DIV/0!</v>
      </c>
      <c r="I505" s="1006" t="e">
        <f t="shared" si="216"/>
        <v>#DIV/0!</v>
      </c>
      <c r="J505" s="1006" t="e">
        <f t="shared" si="216"/>
        <v>#DIV/0!</v>
      </c>
      <c r="K505" s="1006" t="e">
        <f t="shared" si="216"/>
        <v>#DIV/0!</v>
      </c>
      <c r="L505" s="1006" t="e">
        <f t="shared" si="216"/>
        <v>#DIV/0!</v>
      </c>
      <c r="M505" s="1006" t="e">
        <f t="shared" si="216"/>
        <v>#DIV/0!</v>
      </c>
      <c r="N505" s="1006" t="e">
        <f t="shared" si="216"/>
        <v>#DIV/0!</v>
      </c>
      <c r="O505" s="1006" t="e">
        <f t="shared" si="216"/>
        <v>#DIV/0!</v>
      </c>
      <c r="P505" s="1006" t="e">
        <f t="shared" si="216"/>
        <v>#DIV/0!</v>
      </c>
      <c r="Q505" s="1006" t="e">
        <f t="shared" si="216"/>
        <v>#DIV/0!</v>
      </c>
      <c r="R505" s="1006" t="e">
        <f t="shared" si="216"/>
        <v>#DIV/0!</v>
      </c>
      <c r="S505" s="1006" t="e">
        <f t="shared" si="216"/>
        <v>#DIV/0!</v>
      </c>
      <c r="T505" s="1021" t="e">
        <f>T499/T493</f>
        <v>#DIV/0!</v>
      </c>
      <c r="U505" s="1007"/>
      <c r="V505" s="1007"/>
    </row>
    <row r="506" spans="1:22" ht="21" hidden="1">
      <c r="A506" s="1011"/>
      <c r="B506" s="1003"/>
      <c r="C506" s="1008" t="s">
        <v>511</v>
      </c>
      <c r="D506" s="1003"/>
      <c r="E506" s="1003"/>
      <c r="F506" s="1003"/>
      <c r="G506" s="1058">
        <v>98.127699551026154</v>
      </c>
      <c r="H506" s="1009">
        <f>H499/H500*100</f>
        <v>82.804793297461089</v>
      </c>
      <c r="I506" s="1009">
        <f t="shared" ref="I506:T506" si="217">I499/I500*100</f>
        <v>97.804250537752225</v>
      </c>
      <c r="J506" s="1009">
        <f t="shared" si="217"/>
        <v>98.30229440988532</v>
      </c>
      <c r="K506" s="1009" t="e">
        <f t="shared" si="217"/>
        <v>#DIV/0!</v>
      </c>
      <c r="L506" s="1009" t="e">
        <f t="shared" si="217"/>
        <v>#DIV/0!</v>
      </c>
      <c r="M506" s="1009" t="e">
        <f t="shared" si="217"/>
        <v>#DIV/0!</v>
      </c>
      <c r="N506" s="1009" t="e">
        <f t="shared" si="217"/>
        <v>#DIV/0!</v>
      </c>
      <c r="O506" s="1009" t="e">
        <f t="shared" si="217"/>
        <v>#DIV/0!</v>
      </c>
      <c r="P506" s="1009" t="e">
        <f t="shared" si="217"/>
        <v>#DIV/0!</v>
      </c>
      <c r="Q506" s="1009" t="e">
        <f t="shared" si="217"/>
        <v>#DIV/0!</v>
      </c>
      <c r="R506" s="1009" t="e">
        <f t="shared" si="217"/>
        <v>#DIV/0!</v>
      </c>
      <c r="S506" s="1009" t="e">
        <f t="shared" si="217"/>
        <v>#DIV/0!</v>
      </c>
      <c r="T506" s="1009">
        <f t="shared" si="217"/>
        <v>93.067859380034108</v>
      </c>
      <c r="U506" s="1007"/>
      <c r="V506" s="1007"/>
    </row>
    <row r="507" spans="1:22" ht="21" hidden="1">
      <c r="A507" s="1011"/>
      <c r="B507" s="1011"/>
      <c r="C507" s="1030"/>
      <c r="D507" s="1011"/>
      <c r="E507" s="1011"/>
      <c r="F507" s="1011"/>
      <c r="G507" s="1011"/>
      <c r="H507" s="1115"/>
      <c r="I507" s="1115"/>
      <c r="J507" s="1115"/>
      <c r="K507" s="1115"/>
      <c r="L507" s="1115"/>
      <c r="M507" s="1115"/>
      <c r="N507" s="1115"/>
      <c r="O507" s="1115"/>
      <c r="P507" s="1115"/>
      <c r="Q507" s="1115"/>
      <c r="R507" s="1115"/>
      <c r="S507" s="1115"/>
      <c r="T507" s="1115"/>
      <c r="U507" s="1115"/>
      <c r="V507" s="1115"/>
    </row>
    <row r="508" spans="1:22" ht="21" hidden="1">
      <c r="A508" s="1011"/>
      <c r="B508" s="1011" t="s">
        <v>512</v>
      </c>
      <c r="C508" s="1030" t="s">
        <v>513</v>
      </c>
      <c r="D508" s="1011" t="s">
        <v>514</v>
      </c>
      <c r="E508" s="1011"/>
      <c r="F508" s="1011"/>
      <c r="G508" s="1011"/>
      <c r="H508" s="1115">
        <f>'[13]DATA EII QC5'!$C$6</f>
        <v>11682</v>
      </c>
      <c r="I508" s="1115">
        <f>H508</f>
        <v>11682</v>
      </c>
      <c r="J508" s="1115">
        <f>I508</f>
        <v>11682</v>
      </c>
      <c r="K508" s="1115">
        <f>J508</f>
        <v>11682</v>
      </c>
      <c r="L508" s="1115">
        <f>K508</f>
        <v>11682</v>
      </c>
      <c r="M508" s="1115">
        <f>L508</f>
        <v>11682</v>
      </c>
      <c r="N508" s="1115"/>
      <c r="O508" s="1115"/>
      <c r="P508" s="1115"/>
      <c r="Q508" s="1115"/>
      <c r="R508" s="1115"/>
      <c r="S508" s="1115"/>
      <c r="T508" s="1115">
        <f>SUM(H508:S508)</f>
        <v>70092</v>
      </c>
      <c r="U508" s="1115"/>
      <c r="V508" s="1115"/>
    </row>
    <row r="509" spans="1:22" ht="21" hidden="1">
      <c r="A509" s="1011"/>
      <c r="B509" s="1011"/>
      <c r="C509" s="1030" t="s">
        <v>370</v>
      </c>
      <c r="D509" s="1011" t="s">
        <v>173</v>
      </c>
      <c r="E509" s="1011"/>
      <c r="F509" s="1011"/>
      <c r="G509" s="1011"/>
      <c r="H509" s="1115">
        <f>'[11]QC5-2011'!Q6*3.6</f>
        <v>279759.60000000003</v>
      </c>
      <c r="I509" s="1115">
        <f>'[11]QC5-2011'!R6*3.6</f>
        <v>243946.80000000002</v>
      </c>
      <c r="J509" s="1115">
        <f>'[11]QC5-2011'!S6*3.6</f>
        <v>286293.60000000003</v>
      </c>
      <c r="K509" s="1115">
        <f>'[11]QC5-2011'!T6*3.6</f>
        <v>276778.8</v>
      </c>
      <c r="L509" s="1115">
        <f>'[11]QC5-2011'!U6*3.6</f>
        <v>330580.8</v>
      </c>
      <c r="M509" s="1115">
        <f>'[11]QC5-2011'!V6*3.6</f>
        <v>281322</v>
      </c>
      <c r="N509" s="1115" t="e">
        <f>'[11]QC5-2011'!W6*3.6</f>
        <v>#REF!</v>
      </c>
      <c r="O509" s="1115" t="e">
        <f>'[11]QC5-2011'!X6*3.6</f>
        <v>#REF!</v>
      </c>
      <c r="P509" s="1115" t="e">
        <f>'[11]QC5-2011'!Y6*3.6</f>
        <v>#REF!</v>
      </c>
      <c r="Q509" s="1115" t="e">
        <f>'[11]QC5-2011'!Z6*3.6</f>
        <v>#REF!</v>
      </c>
      <c r="R509" s="1115" t="e">
        <f>'[11]QC5-2011'!AA6*3.6</f>
        <v>#REF!</v>
      </c>
      <c r="S509" s="1115" t="e">
        <f>'[11]QC5-2011'!AB6*3.6</f>
        <v>#REF!</v>
      </c>
      <c r="T509" s="1115" t="e">
        <f>SUM(H509:S509)</f>
        <v>#REF!</v>
      </c>
      <c r="U509" s="1115"/>
      <c r="V509" s="1115"/>
    </row>
    <row r="510" spans="1:22" ht="21" hidden="1">
      <c r="A510" s="1011"/>
      <c r="B510" s="1011"/>
      <c r="C510" s="1030" t="s">
        <v>492</v>
      </c>
      <c r="D510" s="1011" t="s">
        <v>173</v>
      </c>
      <c r="E510" s="1011"/>
      <c r="F510" s="1011"/>
      <c r="G510" s="1011"/>
      <c r="H510" s="1115">
        <f>H508*27.68</f>
        <v>323357.76</v>
      </c>
      <c r="I510" s="1115">
        <f t="shared" ref="I510:T510" si="218">I508*27.68</f>
        <v>323357.76</v>
      </c>
      <c r="J510" s="1115">
        <f t="shared" si="218"/>
        <v>323357.76</v>
      </c>
      <c r="K510" s="1115">
        <f t="shared" si="218"/>
        <v>323357.76</v>
      </c>
      <c r="L510" s="1115">
        <f t="shared" si="218"/>
        <v>323357.76</v>
      </c>
      <c r="M510" s="1115">
        <f t="shared" si="218"/>
        <v>323357.76</v>
      </c>
      <c r="N510" s="1115">
        <f t="shared" si="218"/>
        <v>0</v>
      </c>
      <c r="O510" s="1115">
        <f t="shared" si="218"/>
        <v>0</v>
      </c>
      <c r="P510" s="1115">
        <f t="shared" si="218"/>
        <v>0</v>
      </c>
      <c r="Q510" s="1115">
        <f t="shared" si="218"/>
        <v>0</v>
      </c>
      <c r="R510" s="1115">
        <f t="shared" si="218"/>
        <v>0</v>
      </c>
      <c r="S510" s="1115">
        <f t="shared" si="218"/>
        <v>0</v>
      </c>
      <c r="T510" s="1115">
        <f t="shared" si="218"/>
        <v>1940146.56</v>
      </c>
      <c r="U510" s="1115"/>
      <c r="V510" s="1115"/>
    </row>
    <row r="511" spans="1:22" ht="21" hidden="1">
      <c r="A511" s="1011"/>
      <c r="B511" s="1011"/>
      <c r="C511" s="1030" t="s">
        <v>497</v>
      </c>
      <c r="D511" s="1011" t="s">
        <v>401</v>
      </c>
      <c r="E511" s="1011"/>
      <c r="F511" s="1011"/>
      <c r="G511" s="1011"/>
      <c r="H511" s="1141">
        <f>H509/H510*100</f>
        <v>86.517051577794206</v>
      </c>
      <c r="I511" s="1141">
        <f>I509/I510*100</f>
        <v>75.441764564425483</v>
      </c>
      <c r="J511" s="1141">
        <f t="shared" ref="J511:T511" si="219">J509/J510*100</f>
        <v>88.537723665577104</v>
      </c>
      <c r="K511" s="1141">
        <f t="shared" si="219"/>
        <v>85.595224311301507</v>
      </c>
      <c r="L511" s="1141">
        <f t="shared" si="219"/>
        <v>102.23376114431272</v>
      </c>
      <c r="M511" s="1141">
        <f t="shared" si="219"/>
        <v>87.000231570134574</v>
      </c>
      <c r="N511" s="1141" t="e">
        <f t="shared" si="219"/>
        <v>#REF!</v>
      </c>
      <c r="O511" s="1141" t="e">
        <f t="shared" si="219"/>
        <v>#REF!</v>
      </c>
      <c r="P511" s="1141" t="e">
        <f t="shared" si="219"/>
        <v>#REF!</v>
      </c>
      <c r="Q511" s="1141" t="e">
        <f t="shared" si="219"/>
        <v>#REF!</v>
      </c>
      <c r="R511" s="1141" t="e">
        <f t="shared" si="219"/>
        <v>#REF!</v>
      </c>
      <c r="S511" s="1141" t="e">
        <f t="shared" si="219"/>
        <v>#REF!</v>
      </c>
      <c r="T511" s="1141" t="e">
        <f t="shared" si="219"/>
        <v>#REF!</v>
      </c>
      <c r="U511" s="1115"/>
      <c r="V511" s="1115"/>
    </row>
    <row r="512" spans="1:22" ht="21" hidden="1">
      <c r="A512" s="1011"/>
      <c r="B512" s="1011"/>
      <c r="C512" s="1030"/>
      <c r="D512" s="1011"/>
      <c r="E512" s="1011"/>
      <c r="F512" s="1011"/>
      <c r="G512" s="1011"/>
      <c r="H512" s="1115"/>
      <c r="I512" s="1115"/>
      <c r="J512" s="1115"/>
      <c r="K512" s="1115"/>
      <c r="L512" s="1115"/>
      <c r="M512" s="1115"/>
      <c r="N512" s="1115"/>
      <c r="O512" s="1115"/>
      <c r="P512" s="1115"/>
      <c r="Q512" s="1115"/>
      <c r="R512" s="1115"/>
      <c r="S512" s="1115"/>
      <c r="T512" s="1115"/>
      <c r="U512" s="1115"/>
      <c r="V512" s="1115"/>
    </row>
    <row r="513" spans="1:29" ht="21" hidden="1">
      <c r="A513" s="964"/>
      <c r="B513" s="964"/>
      <c r="C513" s="983"/>
      <c r="D513" s="964"/>
      <c r="E513" s="964"/>
      <c r="F513" s="964"/>
      <c r="G513" s="964"/>
      <c r="H513" s="987"/>
      <c r="I513" s="987"/>
      <c r="J513" s="987"/>
      <c r="K513" s="987"/>
      <c r="L513" s="987"/>
      <c r="M513" s="987"/>
      <c r="N513" s="987"/>
      <c r="O513" s="987"/>
      <c r="P513" s="987"/>
      <c r="Q513" s="987"/>
      <c r="R513" s="987"/>
      <c r="S513" s="987"/>
      <c r="T513" s="987"/>
      <c r="U513" s="966"/>
      <c r="V513" s="966"/>
      <c r="W513" s="936"/>
      <c r="X513" s="937"/>
      <c r="Y513" s="937"/>
      <c r="Z513" s="937"/>
      <c r="AA513" s="937"/>
      <c r="AB513" s="937"/>
      <c r="AC513" s="937"/>
    </row>
    <row r="514" spans="1:29" ht="21" hidden="1">
      <c r="A514" s="964">
        <v>21</v>
      </c>
      <c r="B514" s="1117" t="s">
        <v>500</v>
      </c>
      <c r="C514" s="958"/>
      <c r="D514" s="964"/>
      <c r="E514" s="964"/>
      <c r="F514" s="964"/>
      <c r="G514" s="964"/>
      <c r="H514" s="966"/>
      <c r="I514" s="966"/>
      <c r="J514" s="966"/>
      <c r="K514" s="966"/>
      <c r="L514" s="966"/>
      <c r="M514" s="966"/>
      <c r="N514" s="966"/>
      <c r="O514" s="966"/>
      <c r="P514" s="966"/>
      <c r="Q514" s="966"/>
      <c r="R514" s="966"/>
      <c r="S514" s="966"/>
      <c r="T514" s="966"/>
      <c r="U514" s="966"/>
      <c r="V514" s="966"/>
      <c r="W514" s="936"/>
      <c r="X514" s="937"/>
      <c r="Y514" s="937"/>
      <c r="Z514" s="937"/>
      <c r="AA514" s="937"/>
      <c r="AB514" s="937"/>
      <c r="AC514" s="937"/>
    </row>
    <row r="515" spans="1:29" ht="21" hidden="1">
      <c r="A515" s="964"/>
      <c r="B515" s="1153">
        <v>21.1</v>
      </c>
      <c r="C515" s="1035" t="s">
        <v>515</v>
      </c>
      <c r="D515" s="964"/>
      <c r="E515" s="964"/>
      <c r="F515" s="964"/>
      <c r="G515" s="964"/>
      <c r="H515" s="966"/>
      <c r="I515" s="966"/>
      <c r="J515" s="966"/>
      <c r="K515" s="966"/>
      <c r="L515" s="966"/>
      <c r="M515" s="966"/>
      <c r="N515" s="966"/>
      <c r="O515" s="966"/>
      <c r="P515" s="966"/>
      <c r="Q515" s="966"/>
      <c r="R515" s="966"/>
      <c r="S515" s="966"/>
      <c r="T515" s="966"/>
      <c r="U515" s="966"/>
      <c r="V515" s="966"/>
      <c r="W515" s="936"/>
      <c r="X515" s="937"/>
      <c r="Y515" s="937"/>
      <c r="Z515" s="937"/>
      <c r="AA515" s="937"/>
      <c r="AB515" s="937"/>
      <c r="AC515" s="937"/>
    </row>
    <row r="516" spans="1:29" ht="21" hidden="1">
      <c r="A516" s="964"/>
      <c r="B516" s="983"/>
      <c r="C516" s="1031" t="s">
        <v>138</v>
      </c>
      <c r="D516" s="964" t="s">
        <v>90</v>
      </c>
      <c r="E516" s="984">
        <f>'[11]Price&amp;Heating-Value'!$R$6</f>
        <v>3.6</v>
      </c>
      <c r="F516" s="964"/>
      <c r="G516" s="1014">
        <f>'[11]Price&amp;Heating-Value'!$P$6</f>
        <v>2.7124999999999999</v>
      </c>
      <c r="H516" s="1154">
        <v>88219.224000000017</v>
      </c>
      <c r="I516" s="1154">
        <v>82398.250000000015</v>
      </c>
      <c r="J516" s="1154">
        <v>89870.92</v>
      </c>
      <c r="K516" s="966"/>
      <c r="L516" s="966"/>
      <c r="M516" s="966"/>
      <c r="N516" s="966"/>
      <c r="O516" s="966"/>
      <c r="P516" s="966"/>
      <c r="Q516" s="966"/>
      <c r="R516" s="966"/>
      <c r="S516" s="966"/>
      <c r="T516" s="966">
        <f>SUM(H516:S516)</f>
        <v>260488.39400000003</v>
      </c>
      <c r="U516" s="966">
        <f>T516*E516</f>
        <v>937758.21840000013</v>
      </c>
      <c r="V516" s="966">
        <f>T516*G516</f>
        <v>706574.76872500009</v>
      </c>
      <c r="W516" s="954">
        <f>'[11]Price&amp;Heating-Value'!D$6</f>
        <v>2.4500000000000002</v>
      </c>
      <c r="X516" s="954">
        <f>'[11]Price&amp;Heating-Value'!E$6</f>
        <v>2.54</v>
      </c>
      <c r="Y516" s="954">
        <f>'[11]Price&amp;Heating-Value'!F$6</f>
        <v>2.58</v>
      </c>
      <c r="Z516" s="954">
        <f>'[11]Price&amp;Heating-Value'!G$6</f>
        <v>2.67</v>
      </c>
      <c r="AA516" s="954">
        <f>'[11]Price&amp;Heating-Value'!H$6</f>
        <v>2.67</v>
      </c>
      <c r="AB516" s="954">
        <f>'[11]Price&amp;Heating-Value'!I$6</f>
        <v>2.67</v>
      </c>
      <c r="AC516" s="954">
        <f>'[11]Price&amp;Heating-Value'!J$6</f>
        <v>2.62</v>
      </c>
    </row>
    <row r="517" spans="1:29" ht="21" hidden="1">
      <c r="A517" s="956"/>
      <c r="B517" s="956"/>
      <c r="C517" s="983"/>
      <c r="D517" s="956"/>
      <c r="E517" s="956"/>
      <c r="F517" s="956"/>
      <c r="G517" s="956"/>
      <c r="H517" s="1029"/>
      <c r="I517" s="1029"/>
      <c r="J517" s="1029"/>
      <c r="K517" s="1029"/>
      <c r="L517" s="1029"/>
      <c r="M517" s="1029"/>
      <c r="N517" s="1029"/>
      <c r="O517" s="1029"/>
      <c r="P517" s="1029"/>
      <c r="Q517" s="1029"/>
      <c r="R517" s="1029"/>
      <c r="S517" s="1029"/>
      <c r="T517" s="1029"/>
      <c r="U517" s="1029">
        <f>SUM(U516)</f>
        <v>937758.21840000013</v>
      </c>
      <c r="V517" s="961">
        <f>SUM(V516)</f>
        <v>706574.76872500009</v>
      </c>
      <c r="W517" s="936"/>
      <c r="X517" s="937"/>
      <c r="Y517" s="937"/>
      <c r="Z517" s="937"/>
      <c r="AA517" s="937"/>
      <c r="AB517" s="937"/>
      <c r="AC517" s="937"/>
    </row>
    <row r="518" spans="1:29" ht="21" hidden="1">
      <c r="A518" s="1011"/>
      <c r="B518" s="989"/>
      <c r="C518" s="990" t="s">
        <v>107</v>
      </c>
      <c r="D518" s="989" t="s">
        <v>163</v>
      </c>
      <c r="E518" s="989"/>
      <c r="F518" s="989"/>
      <c r="G518" s="1011"/>
      <c r="H518" s="1155">
        <v>139099.06200000001</v>
      </c>
      <c r="I518" s="1156">
        <v>130442.19799999997</v>
      </c>
      <c r="J518" s="1156">
        <v>142411.32453390502</v>
      </c>
      <c r="K518" s="994"/>
      <c r="L518" s="994"/>
      <c r="M518" s="994"/>
      <c r="N518" s="994"/>
      <c r="O518" s="994"/>
      <c r="P518" s="994"/>
      <c r="Q518" s="994"/>
      <c r="R518" s="994"/>
      <c r="S518" s="994"/>
      <c r="T518" s="996">
        <f>SUM(H518:S518)</f>
        <v>411952.58453390503</v>
      </c>
      <c r="U518" s="995"/>
      <c r="V518" s="1026">
        <f>V517/T518</f>
        <v>1.7151846966185176</v>
      </c>
      <c r="W518" s="936"/>
      <c r="X518" s="937"/>
      <c r="Y518" s="937"/>
      <c r="Z518" s="937"/>
      <c r="AA518" s="937"/>
      <c r="AB518" s="937"/>
      <c r="AC518" s="937"/>
    </row>
    <row r="519" spans="1:29" ht="21" hidden="1">
      <c r="A519" s="1011"/>
      <c r="B519" s="1011"/>
      <c r="C519" s="1030"/>
      <c r="D519" s="1011"/>
      <c r="E519" s="1011"/>
      <c r="F519" s="1011"/>
      <c r="G519" s="1011"/>
      <c r="H519" s="981"/>
      <c r="I519" s="981"/>
      <c r="J519" s="981"/>
      <c r="K519" s="981"/>
      <c r="L519" s="981"/>
      <c r="M519" s="981"/>
      <c r="N519" s="981"/>
      <c r="O519" s="981"/>
      <c r="P519" s="981"/>
      <c r="Q519" s="981"/>
      <c r="R519" s="981"/>
      <c r="S519" s="981"/>
      <c r="T519" s="981"/>
      <c r="U519" s="981"/>
      <c r="V519" s="997" t="s">
        <v>137</v>
      </c>
      <c r="W519" s="936"/>
      <c r="X519" s="937"/>
      <c r="Y519" s="937"/>
      <c r="Z519" s="937"/>
      <c r="AA519" s="937"/>
      <c r="AB519" s="937"/>
      <c r="AC519" s="937"/>
    </row>
    <row r="520" spans="1:29" ht="21" hidden="1">
      <c r="A520" s="1011"/>
      <c r="B520" s="1011"/>
      <c r="C520" s="1031" t="s">
        <v>138</v>
      </c>
      <c r="D520" s="1011" t="s">
        <v>173</v>
      </c>
      <c r="E520" s="964"/>
      <c r="F520" s="964"/>
      <c r="G520" s="1011"/>
      <c r="H520" s="1157">
        <f>(H516*$E$516)/1000</f>
        <v>317.58920640000008</v>
      </c>
      <c r="I520" s="1157">
        <f t="shared" ref="I520:J520" si="220">(I516*$E$516)/1000</f>
        <v>296.63370000000009</v>
      </c>
      <c r="J520" s="1157">
        <f t="shared" si="220"/>
        <v>323.53531199999998</v>
      </c>
      <c r="K520" s="981"/>
      <c r="L520" s="981"/>
      <c r="M520" s="981"/>
      <c r="N520" s="981"/>
      <c r="O520" s="981"/>
      <c r="P520" s="981"/>
      <c r="Q520" s="981"/>
      <c r="R520" s="981"/>
      <c r="S520" s="981"/>
      <c r="T520" s="981">
        <f>SUM(H520:S520)</f>
        <v>937.75821840000015</v>
      </c>
      <c r="U520" s="981"/>
      <c r="V520" s="981"/>
      <c r="W520" s="936"/>
      <c r="X520" s="937"/>
      <c r="Y520" s="937"/>
      <c r="Z520" s="937"/>
      <c r="AA520" s="937"/>
      <c r="AB520" s="937"/>
      <c r="AC520" s="937"/>
    </row>
    <row r="521" spans="1:29" ht="21" hidden="1">
      <c r="A521" s="1011"/>
      <c r="B521" s="964"/>
      <c r="C521" s="983" t="s">
        <v>516</v>
      </c>
      <c r="D521" s="964" t="s">
        <v>173</v>
      </c>
      <c r="E521" s="1011"/>
      <c r="F521" s="1011"/>
      <c r="G521" s="1011"/>
      <c r="H521" s="1157">
        <f>H520</f>
        <v>317.58920640000008</v>
      </c>
      <c r="I521" s="1157">
        <f t="shared" ref="I521:J521" si="221">I520</f>
        <v>296.63370000000009</v>
      </c>
      <c r="J521" s="1157">
        <f t="shared" si="221"/>
        <v>323.53531199999998</v>
      </c>
      <c r="K521" s="981"/>
      <c r="L521" s="981"/>
      <c r="M521" s="981"/>
      <c r="N521" s="981"/>
      <c r="O521" s="981"/>
      <c r="P521" s="981"/>
      <c r="Q521" s="981"/>
      <c r="R521" s="981"/>
      <c r="S521" s="981"/>
      <c r="T521" s="1032">
        <f>SUM(H521:S521)</f>
        <v>937.75821840000015</v>
      </c>
      <c r="U521" s="981"/>
      <c r="V521" s="1033">
        <f>V517/T521</f>
        <v>753.47222222222217</v>
      </c>
      <c r="W521" s="936"/>
      <c r="X521" s="937"/>
      <c r="Y521" s="937"/>
      <c r="Z521" s="937"/>
      <c r="AA521" s="937"/>
      <c r="AB521" s="937"/>
      <c r="AC521" s="937"/>
    </row>
    <row r="522" spans="1:29" ht="21" hidden="1">
      <c r="A522" s="1011"/>
      <c r="B522" s="1011"/>
      <c r="C522" s="983" t="s">
        <v>345</v>
      </c>
      <c r="D522" s="964" t="s">
        <v>173</v>
      </c>
      <c r="E522" s="1811" t="s">
        <v>870</v>
      </c>
      <c r="F522" s="1812"/>
      <c r="G522" s="1813"/>
      <c r="H522" s="1158">
        <f>((1.5773*H518)+(2849.4*31))/1000</f>
        <v>307.73235049260001</v>
      </c>
      <c r="I522" s="1158">
        <f>((1.5773*I518)+(2849.4*29))/1000</f>
        <v>288.37907890539992</v>
      </c>
      <c r="J522" s="1158">
        <f t="shared" ref="J522" si="222">((1.5773*J518)+(2849.4*31))/1000</f>
        <v>312.95678218732837</v>
      </c>
      <c r="K522" s="981"/>
      <c r="L522" s="981"/>
      <c r="M522" s="981"/>
      <c r="N522" s="981"/>
      <c r="O522" s="981"/>
      <c r="P522" s="981"/>
      <c r="Q522" s="981"/>
      <c r="R522" s="981"/>
      <c r="S522" s="981"/>
      <c r="T522" s="1032">
        <f>SUM(H522:S522)</f>
        <v>909.0682115853283</v>
      </c>
      <c r="U522" s="981"/>
      <c r="V522" s="1001" t="s">
        <v>158</v>
      </c>
      <c r="W522" s="936"/>
      <c r="X522" s="937"/>
      <c r="Y522" s="937"/>
      <c r="Z522" s="937"/>
      <c r="AA522" s="937"/>
      <c r="AB522" s="937"/>
      <c r="AC522" s="937"/>
    </row>
    <row r="523" spans="1:29" ht="21" hidden="1">
      <c r="A523" s="1011"/>
      <c r="B523" s="1003" t="s">
        <v>174</v>
      </c>
      <c r="C523" s="1004" t="s">
        <v>138</v>
      </c>
      <c r="D523" s="1003" t="s">
        <v>374</v>
      </c>
      <c r="E523" s="1003"/>
      <c r="F523" s="1003"/>
      <c r="G523" s="1011"/>
      <c r="H523" s="1159">
        <f>H520/H518*1000</f>
        <v>2.283187261176499</v>
      </c>
      <c r="I523" s="1159">
        <f t="shared" ref="I523:J523" si="223">I520/I518*1000</f>
        <v>2.2740624165195387</v>
      </c>
      <c r="J523" s="1159">
        <f t="shared" si="223"/>
        <v>2.2718369698399465</v>
      </c>
      <c r="K523" s="1006"/>
      <c r="L523" s="1006"/>
      <c r="M523" s="1006"/>
      <c r="N523" s="1006"/>
      <c r="O523" s="1006"/>
      <c r="P523" s="1006"/>
      <c r="Q523" s="1006"/>
      <c r="R523" s="1006"/>
      <c r="S523" s="1006"/>
      <c r="T523" s="1006">
        <f t="shared" ref="T523" si="224">T520/T518*1000</f>
        <v>2.2763741595674332</v>
      </c>
      <c r="U523" s="1007"/>
      <c r="V523" s="1007"/>
      <c r="W523" s="936"/>
      <c r="X523" s="937"/>
      <c r="Y523" s="937"/>
      <c r="Z523" s="937"/>
      <c r="AA523" s="937"/>
      <c r="AB523" s="937"/>
      <c r="AC523" s="937"/>
    </row>
    <row r="524" spans="1:29" ht="23.25" hidden="1">
      <c r="A524" s="1011"/>
      <c r="B524" s="1003"/>
      <c r="C524" s="1008" t="s">
        <v>517</v>
      </c>
      <c r="D524" s="1003" t="s">
        <v>374</v>
      </c>
      <c r="E524" s="1003"/>
      <c r="F524" s="1003"/>
      <c r="G524" s="1011"/>
      <c r="H524" s="1006">
        <f>H521/H518*1000</f>
        <v>2.283187261176499</v>
      </c>
      <c r="I524" s="1006">
        <f t="shared" ref="I524:J524" si="225">I521/I518*1000</f>
        <v>2.2740624165195387</v>
      </c>
      <c r="J524" s="1006">
        <f t="shared" si="225"/>
        <v>2.2718369698399465</v>
      </c>
      <c r="K524" s="1006"/>
      <c r="L524" s="1006"/>
      <c r="M524" s="1006"/>
      <c r="N524" s="1006"/>
      <c r="O524" s="1006"/>
      <c r="P524" s="1006"/>
      <c r="Q524" s="1006"/>
      <c r="R524" s="1006"/>
      <c r="S524" s="1006"/>
      <c r="T524" s="1021">
        <f>T521/T518*1000</f>
        <v>2.2763741595674332</v>
      </c>
      <c r="U524" s="1007"/>
      <c r="V524" s="1007"/>
      <c r="W524" s="936"/>
      <c r="X524" s="937"/>
      <c r="Y524" s="937"/>
      <c r="Z524" s="937"/>
      <c r="AA524" s="937"/>
      <c r="AB524" s="937"/>
      <c r="AC524" s="937"/>
    </row>
    <row r="525" spans="1:29" ht="21" hidden="1">
      <c r="A525" s="1011"/>
      <c r="B525" s="1003"/>
      <c r="C525" s="1008" t="s">
        <v>518</v>
      </c>
      <c r="D525" s="1003"/>
      <c r="E525" s="1003"/>
      <c r="F525" s="1003"/>
      <c r="G525" s="1011"/>
      <c r="H525" s="1009">
        <f>H521/H522*100</f>
        <v>103.20306132638373</v>
      </c>
      <c r="I525" s="1009">
        <f t="shared" ref="I525:J525" si="226">I521/I522*100</f>
        <v>102.86242023032052</v>
      </c>
      <c r="J525" s="1009">
        <f t="shared" si="226"/>
        <v>103.3801887080816</v>
      </c>
      <c r="K525" s="1009"/>
      <c r="L525" s="1009"/>
      <c r="M525" s="1009"/>
      <c r="N525" s="1009"/>
      <c r="O525" s="1009"/>
      <c r="P525" s="1009"/>
      <c r="Q525" s="1009"/>
      <c r="R525" s="1009"/>
      <c r="S525" s="1009"/>
      <c r="T525" s="1009">
        <f>T521/T522*100</f>
        <v>103.15597954576359</v>
      </c>
      <c r="U525" s="1007"/>
      <c r="V525" s="1007"/>
      <c r="W525" s="936"/>
      <c r="X525" s="937"/>
      <c r="Y525" s="937"/>
      <c r="Z525" s="937"/>
      <c r="AA525" s="937"/>
      <c r="AB525" s="937"/>
      <c r="AC525" s="937"/>
    </row>
    <row r="526" spans="1:29" ht="21" hidden="1">
      <c r="A526" s="964"/>
      <c r="B526" s="1153">
        <v>21.2</v>
      </c>
      <c r="C526" s="1035" t="s">
        <v>519</v>
      </c>
      <c r="D526" s="964"/>
      <c r="E526" s="964"/>
      <c r="F526" s="964"/>
      <c r="G526" s="964"/>
      <c r="H526" s="966"/>
      <c r="I526" s="966"/>
      <c r="J526" s="966"/>
      <c r="K526" s="966"/>
      <c r="L526" s="966"/>
      <c r="M526" s="966"/>
      <c r="N526" s="966"/>
      <c r="O526" s="966"/>
      <c r="P526" s="966"/>
      <c r="Q526" s="966"/>
      <c r="R526" s="966"/>
      <c r="S526" s="966"/>
      <c r="T526" s="966"/>
      <c r="U526" s="966"/>
      <c r="V526" s="966"/>
      <c r="W526" s="936"/>
      <c r="X526" s="937"/>
      <c r="Y526" s="937"/>
      <c r="Z526" s="937"/>
      <c r="AA526" s="937"/>
      <c r="AB526" s="937"/>
      <c r="AC526" s="937"/>
    </row>
    <row r="527" spans="1:29" ht="21" hidden="1">
      <c r="A527" s="964"/>
      <c r="B527" s="983"/>
      <c r="C527" s="1031" t="s">
        <v>138</v>
      </c>
      <c r="D527" s="964" t="s">
        <v>90</v>
      </c>
      <c r="E527" s="984">
        <f>'[11]Price&amp;Heating-Value'!$R$6</f>
        <v>3.6</v>
      </c>
      <c r="F527" s="964"/>
      <c r="G527" s="1014">
        <f>'[11]Price&amp;Heating-Value'!$P$6</f>
        <v>2.7124999999999999</v>
      </c>
      <c r="H527" s="1154">
        <v>1980355.4123636356</v>
      </c>
      <c r="I527" s="1154">
        <v>1867236.022727272</v>
      </c>
      <c r="J527" s="1154">
        <v>2050022.9890909104</v>
      </c>
      <c r="K527" s="966"/>
      <c r="L527" s="966"/>
      <c r="M527" s="966"/>
      <c r="N527" s="966"/>
      <c r="O527" s="966"/>
      <c r="P527" s="966"/>
      <c r="Q527" s="966"/>
      <c r="R527" s="966"/>
      <c r="S527" s="966"/>
      <c r="T527" s="966">
        <f>SUM(H527:S527)</f>
        <v>5897614.424181818</v>
      </c>
      <c r="U527" s="966">
        <f>T527*E527</f>
        <v>21231411.927054547</v>
      </c>
      <c r="V527" s="966">
        <f>T527*G527</f>
        <v>15997279.125593182</v>
      </c>
      <c r="W527" s="954">
        <f>'[11]Price&amp;Heating-Value'!D$6</f>
        <v>2.4500000000000002</v>
      </c>
      <c r="X527" s="954">
        <f>'[11]Price&amp;Heating-Value'!E$6</f>
        <v>2.54</v>
      </c>
      <c r="Y527" s="954">
        <f>'[11]Price&amp;Heating-Value'!F$6</f>
        <v>2.58</v>
      </c>
      <c r="Z527" s="954">
        <f>'[11]Price&amp;Heating-Value'!G$6</f>
        <v>2.67</v>
      </c>
      <c r="AA527" s="954">
        <f>'[11]Price&amp;Heating-Value'!H$6</f>
        <v>2.67</v>
      </c>
      <c r="AB527" s="954">
        <f>'[11]Price&amp;Heating-Value'!I$6</f>
        <v>2.67</v>
      </c>
      <c r="AC527" s="954">
        <f>'[11]Price&amp;Heating-Value'!J$6</f>
        <v>2.62</v>
      </c>
    </row>
    <row r="528" spans="1:29" ht="21" hidden="1">
      <c r="A528" s="956"/>
      <c r="B528" s="956"/>
      <c r="C528" s="983"/>
      <c r="D528" s="956"/>
      <c r="E528" s="956"/>
      <c r="F528" s="956"/>
      <c r="G528" s="956"/>
      <c r="H528" s="1029"/>
      <c r="I528" s="1029"/>
      <c r="J528" s="1029"/>
      <c r="K528" s="1029"/>
      <c r="L528" s="1029"/>
      <c r="M528" s="1029"/>
      <c r="N528" s="1029"/>
      <c r="O528" s="1029"/>
      <c r="P528" s="1029"/>
      <c r="Q528" s="1029"/>
      <c r="R528" s="1029"/>
      <c r="S528" s="1029"/>
      <c r="T528" s="966"/>
      <c r="U528" s="961"/>
      <c r="V528" s="961">
        <f>SUM(V527)</f>
        <v>15997279.125593182</v>
      </c>
      <c r="W528" s="936"/>
      <c r="X528" s="937"/>
      <c r="Y528" s="937"/>
      <c r="Z528" s="937"/>
      <c r="AA528" s="937"/>
      <c r="AB528" s="937"/>
      <c r="AC528" s="937"/>
    </row>
    <row r="529" spans="1:29" ht="21" hidden="1">
      <c r="A529" s="1011"/>
      <c r="B529" s="989"/>
      <c r="C529" s="990" t="s">
        <v>107</v>
      </c>
      <c r="D529" s="989" t="s">
        <v>163</v>
      </c>
      <c r="E529" s="989"/>
      <c r="F529" s="989"/>
      <c r="G529" s="1011"/>
      <c r="H529" s="994">
        <v>7478207</v>
      </c>
      <c r="I529" s="994">
        <v>7030429</v>
      </c>
      <c r="J529" s="994">
        <v>7593297.75</v>
      </c>
      <c r="K529" s="994"/>
      <c r="L529" s="994"/>
      <c r="M529" s="994"/>
      <c r="N529" s="994"/>
      <c r="O529" s="994"/>
      <c r="P529" s="994"/>
      <c r="Q529" s="994"/>
      <c r="R529" s="994"/>
      <c r="S529" s="994"/>
      <c r="T529" s="996">
        <f>SUM(H529:S529)</f>
        <v>22101933.75</v>
      </c>
      <c r="U529" s="995"/>
      <c r="V529" s="1026">
        <f>V528/T529</f>
        <v>0.72379545186145455</v>
      </c>
      <c r="W529" s="936"/>
      <c r="X529" s="937"/>
      <c r="Y529" s="937"/>
      <c r="Z529" s="937"/>
      <c r="AA529" s="937"/>
      <c r="AB529" s="937"/>
      <c r="AC529" s="937"/>
    </row>
    <row r="530" spans="1:29" ht="21" hidden="1">
      <c r="A530" s="1011"/>
      <c r="B530" s="1011"/>
      <c r="C530" s="1030"/>
      <c r="D530" s="1011"/>
      <c r="E530" s="1011"/>
      <c r="F530" s="1011"/>
      <c r="G530" s="1011"/>
      <c r="H530" s="981"/>
      <c r="I530" s="981"/>
      <c r="J530" s="981"/>
      <c r="K530" s="981"/>
      <c r="L530" s="981"/>
      <c r="M530" s="981"/>
      <c r="N530" s="981"/>
      <c r="O530" s="981"/>
      <c r="P530" s="981"/>
      <c r="Q530" s="981"/>
      <c r="R530" s="981"/>
      <c r="S530" s="981"/>
      <c r="T530" s="981"/>
      <c r="U530" s="981"/>
      <c r="V530" s="997" t="s">
        <v>137</v>
      </c>
      <c r="W530" s="936"/>
      <c r="X530" s="937"/>
      <c r="Y530" s="937"/>
      <c r="Z530" s="937"/>
      <c r="AA530" s="937"/>
      <c r="AB530" s="937"/>
      <c r="AC530" s="937"/>
    </row>
    <row r="531" spans="1:29" ht="21" hidden="1">
      <c r="A531" s="1011"/>
      <c r="B531" s="1011"/>
      <c r="C531" s="1031" t="s">
        <v>138</v>
      </c>
      <c r="D531" s="1011" t="s">
        <v>173</v>
      </c>
      <c r="E531" s="964"/>
      <c r="F531" s="964"/>
      <c r="G531" s="1011"/>
      <c r="H531" s="981">
        <f>(H527*$E$527)/1000</f>
        <v>7129.2794845090884</v>
      </c>
      <c r="I531" s="981">
        <f t="shared" ref="I531:J531" si="227">(I527*$E$527)/1000</f>
        <v>6722.04968181818</v>
      </c>
      <c r="J531" s="981">
        <f t="shared" si="227"/>
        <v>7380.0827607272777</v>
      </c>
      <c r="K531" s="981"/>
      <c r="L531" s="981"/>
      <c r="M531" s="981"/>
      <c r="N531" s="981"/>
      <c r="O531" s="981"/>
      <c r="P531" s="981"/>
      <c r="Q531" s="981"/>
      <c r="R531" s="981"/>
      <c r="S531" s="981"/>
      <c r="T531" s="981">
        <f>SUM(H531:S531)</f>
        <v>21231.411927054545</v>
      </c>
      <c r="U531" s="981"/>
      <c r="V531" s="981"/>
      <c r="W531" s="936"/>
      <c r="X531" s="937"/>
      <c r="Y531" s="937"/>
      <c r="Z531" s="937"/>
      <c r="AA531" s="937"/>
      <c r="AB531" s="937"/>
      <c r="AC531" s="937"/>
    </row>
    <row r="532" spans="1:29" ht="21" hidden="1">
      <c r="A532" s="1011"/>
      <c r="B532" s="964"/>
      <c r="C532" s="983" t="s">
        <v>520</v>
      </c>
      <c r="D532" s="964" t="s">
        <v>173</v>
      </c>
      <c r="E532" s="1011"/>
      <c r="F532" s="1011"/>
      <c r="G532" s="1011"/>
      <c r="H532" s="981">
        <f t="shared" ref="H532:I532" si="228">H531</f>
        <v>7129.2794845090884</v>
      </c>
      <c r="I532" s="981">
        <f t="shared" si="228"/>
        <v>6722.04968181818</v>
      </c>
      <c r="J532" s="981">
        <f>J531</f>
        <v>7380.0827607272777</v>
      </c>
      <c r="K532" s="981"/>
      <c r="L532" s="981"/>
      <c r="M532" s="981"/>
      <c r="N532" s="981"/>
      <c r="O532" s="981"/>
      <c r="P532" s="981"/>
      <c r="Q532" s="981"/>
      <c r="R532" s="981"/>
      <c r="S532" s="981"/>
      <c r="T532" s="1032">
        <f>SUM(H532:S532)</f>
        <v>21231.411927054545</v>
      </c>
      <c r="U532" s="981"/>
      <c r="V532" s="1033">
        <f>V528/T532</f>
        <v>753.47222222222217</v>
      </c>
      <c r="W532" s="936"/>
      <c r="X532" s="937"/>
      <c r="Y532" s="937"/>
      <c r="Z532" s="937"/>
      <c r="AA532" s="937"/>
      <c r="AB532" s="937"/>
      <c r="AC532" s="937"/>
    </row>
    <row r="533" spans="1:29" ht="21" hidden="1">
      <c r="A533" s="1011"/>
      <c r="B533" s="1011"/>
      <c r="C533" s="983" t="s">
        <v>345</v>
      </c>
      <c r="D533" s="964" t="s">
        <v>173</v>
      </c>
      <c r="E533" s="1804" t="s">
        <v>871</v>
      </c>
      <c r="F533" s="1805"/>
      <c r="G533" s="1806"/>
      <c r="H533" s="1136">
        <f>((0.2197*H529)+(31*185500))/1000</f>
        <v>7393.4620778999997</v>
      </c>
      <c r="I533" s="1136">
        <f>((0.2197*I529)+(29*185500))/1000</f>
        <v>6924.0852513</v>
      </c>
      <c r="J533" s="1136">
        <f>((0.2197*J529)+(31*185500))/1000</f>
        <v>7418.7475156749997</v>
      </c>
      <c r="K533" s="981"/>
      <c r="L533" s="981"/>
      <c r="M533" s="981"/>
      <c r="N533" s="981"/>
      <c r="O533" s="981"/>
      <c r="P533" s="981"/>
      <c r="Q533" s="981"/>
      <c r="R533" s="981"/>
      <c r="S533" s="981"/>
      <c r="T533" s="981">
        <f>T529*[11]ข้อมูลการใช้พลังงานปี2550!$T$480/1000</f>
        <v>23690.177875765239</v>
      </c>
      <c r="U533" s="981"/>
      <c r="V533" s="1001" t="s">
        <v>158</v>
      </c>
      <c r="W533" s="936"/>
      <c r="X533" s="937"/>
      <c r="Y533" s="937"/>
      <c r="Z533" s="937"/>
      <c r="AA533" s="937"/>
      <c r="AB533" s="937"/>
      <c r="AC533" s="937"/>
    </row>
    <row r="534" spans="1:29" ht="21" hidden="1">
      <c r="A534" s="1011"/>
      <c r="B534" s="1003" t="s">
        <v>174</v>
      </c>
      <c r="C534" s="1004" t="s">
        <v>138</v>
      </c>
      <c r="D534" s="1003" t="s">
        <v>374</v>
      </c>
      <c r="E534" s="1003"/>
      <c r="F534" s="1003"/>
      <c r="G534" s="1011"/>
      <c r="H534" s="1006">
        <f>H531/H529*1000</f>
        <v>0.95334075193546908</v>
      </c>
      <c r="I534" s="1006">
        <f>I531/I529*1000</f>
        <v>0.95613648638200877</v>
      </c>
      <c r="J534" s="1006">
        <f>J531/J529*1000</f>
        <v>0.97192063365713244</v>
      </c>
      <c r="K534" s="1006"/>
      <c r="L534" s="1006"/>
      <c r="M534" s="1006"/>
      <c r="N534" s="1006"/>
      <c r="O534" s="1006"/>
      <c r="P534" s="1006"/>
      <c r="Q534" s="1006"/>
      <c r="R534" s="1006"/>
      <c r="S534" s="1006"/>
      <c r="T534" s="1006">
        <f t="shared" ref="T534" si="229">T531/T529*1000</f>
        <v>0.96061331859953403</v>
      </c>
      <c r="U534" s="1007"/>
      <c r="V534" s="1007"/>
      <c r="W534" s="936"/>
      <c r="X534" s="937"/>
      <c r="Y534" s="937"/>
      <c r="Z534" s="937"/>
      <c r="AA534" s="937"/>
      <c r="AB534" s="937"/>
      <c r="AC534" s="937"/>
    </row>
    <row r="535" spans="1:29" ht="23.25" hidden="1">
      <c r="A535" s="1011"/>
      <c r="B535" s="1003"/>
      <c r="C535" s="1008" t="s">
        <v>521</v>
      </c>
      <c r="D535" s="1003" t="s">
        <v>374</v>
      </c>
      <c r="E535" s="1003"/>
      <c r="F535" s="1003"/>
      <c r="G535" s="1011"/>
      <c r="H535" s="1006">
        <f>H532/H529*1000</f>
        <v>0.95334075193546908</v>
      </c>
      <c r="I535" s="1006">
        <f t="shared" ref="I535:J535" si="230">I532/I529*1000</f>
        <v>0.95613648638200877</v>
      </c>
      <c r="J535" s="1006">
        <f t="shared" si="230"/>
        <v>0.97192063365713244</v>
      </c>
      <c r="K535" s="1006"/>
      <c r="L535" s="1006"/>
      <c r="M535" s="1006"/>
      <c r="N535" s="1006"/>
      <c r="O535" s="1006"/>
      <c r="P535" s="1006"/>
      <c r="Q535" s="1006"/>
      <c r="R535" s="1006"/>
      <c r="S535" s="1006"/>
      <c r="T535" s="1021">
        <f>T532/T529*1000</f>
        <v>0.96061331859953403</v>
      </c>
      <c r="U535" s="1007"/>
      <c r="V535" s="1007"/>
      <c r="W535" s="936"/>
      <c r="X535" s="937"/>
      <c r="Y535" s="937"/>
      <c r="Z535" s="937"/>
      <c r="AA535" s="937"/>
      <c r="AB535" s="937"/>
      <c r="AC535" s="937"/>
    </row>
    <row r="536" spans="1:29" ht="21" hidden="1">
      <c r="A536" s="1011"/>
      <c r="B536" s="1003"/>
      <c r="C536" s="1008" t="s">
        <v>522</v>
      </c>
      <c r="D536" s="1003"/>
      <c r="E536" s="1003"/>
      <c r="F536" s="1003"/>
      <c r="G536" s="1011"/>
      <c r="H536" s="1009">
        <f>H532/H533*100</f>
        <v>96.426808028398682</v>
      </c>
      <c r="I536" s="1009">
        <f>I532/I533*100</f>
        <v>97.08213342052818</v>
      </c>
      <c r="J536" s="1009">
        <f>J532/J533*100</f>
        <v>99.47882368464451</v>
      </c>
      <c r="K536" s="1009"/>
      <c r="L536" s="1009"/>
      <c r="M536" s="1009"/>
      <c r="N536" s="1009"/>
      <c r="O536" s="1009"/>
      <c r="P536" s="1009"/>
      <c r="Q536" s="1009"/>
      <c r="R536" s="1009"/>
      <c r="S536" s="1009"/>
      <c r="T536" s="1009">
        <f>T532/T533*100</f>
        <v>89.621158770504721</v>
      </c>
      <c r="U536" s="1007"/>
      <c r="V536" s="1007"/>
      <c r="W536" s="936"/>
      <c r="X536" s="937"/>
      <c r="Y536" s="937"/>
      <c r="Z536" s="937"/>
      <c r="AA536" s="937"/>
      <c r="AB536" s="937"/>
      <c r="AC536" s="937"/>
    </row>
    <row r="537" spans="1:29" ht="21" hidden="1">
      <c r="A537" s="964"/>
      <c r="B537" s="1153">
        <v>21.3</v>
      </c>
      <c r="C537" s="1035" t="s">
        <v>523</v>
      </c>
      <c r="D537" s="964"/>
      <c r="E537" s="964"/>
      <c r="F537" s="964"/>
      <c r="G537" s="964"/>
      <c r="H537" s="966"/>
      <c r="I537" s="966"/>
      <c r="J537" s="966"/>
      <c r="K537" s="966"/>
      <c r="L537" s="966"/>
      <c r="M537" s="966"/>
      <c r="N537" s="966"/>
      <c r="O537" s="966"/>
      <c r="P537" s="966"/>
      <c r="Q537" s="966"/>
      <c r="R537" s="966"/>
      <c r="S537" s="966"/>
      <c r="T537" s="966"/>
      <c r="U537" s="966"/>
      <c r="V537" s="966"/>
      <c r="W537" s="936"/>
      <c r="X537" s="937"/>
      <c r="Y537" s="937"/>
      <c r="Z537" s="937"/>
      <c r="AA537" s="937"/>
      <c r="AB537" s="937"/>
      <c r="AC537" s="937"/>
    </row>
    <row r="538" spans="1:29" ht="21" hidden="1">
      <c r="A538" s="964"/>
      <c r="B538" s="983"/>
      <c r="C538" s="1031" t="s">
        <v>138</v>
      </c>
      <c r="D538" s="964" t="s">
        <v>90</v>
      </c>
      <c r="E538" s="984">
        <f>'[11]Price&amp;Heating-Value'!$R$6</f>
        <v>3.6</v>
      </c>
      <c r="F538" s="964"/>
      <c r="G538" s="1014">
        <f>'[11]Price&amp;Heating-Value'!$P$6</f>
        <v>2.7124999999999999</v>
      </c>
      <c r="H538" s="1015">
        <v>371619.81818181853</v>
      </c>
      <c r="I538" s="966">
        <v>331987.090909091</v>
      </c>
      <c r="J538" s="966">
        <v>354976.36363636306</v>
      </c>
      <c r="K538" s="966"/>
      <c r="L538" s="966"/>
      <c r="M538" s="966"/>
      <c r="N538" s="966"/>
      <c r="O538" s="966"/>
      <c r="P538" s="966"/>
      <c r="Q538" s="966"/>
      <c r="R538" s="966"/>
      <c r="S538" s="966"/>
      <c r="T538" s="966">
        <f>SUM(H538:S538)</f>
        <v>1058583.2727272725</v>
      </c>
      <c r="U538" s="966">
        <f>T538*E538</f>
        <v>3810899.7818181808</v>
      </c>
      <c r="V538" s="966">
        <f>T538*G538</f>
        <v>2871407.1272727265</v>
      </c>
      <c r="W538" s="954">
        <f>'[11]Price&amp;Heating-Value'!D$6</f>
        <v>2.4500000000000002</v>
      </c>
      <c r="X538" s="954">
        <f>'[11]Price&amp;Heating-Value'!E$6</f>
        <v>2.54</v>
      </c>
      <c r="Y538" s="954">
        <f>'[11]Price&amp;Heating-Value'!F$6</f>
        <v>2.58</v>
      </c>
      <c r="Z538" s="954">
        <f>'[11]Price&amp;Heating-Value'!G$6</f>
        <v>2.67</v>
      </c>
      <c r="AA538" s="954">
        <f>'[11]Price&amp;Heating-Value'!H$6</f>
        <v>2.67</v>
      </c>
      <c r="AB538" s="954">
        <f>'[11]Price&amp;Heating-Value'!I$6</f>
        <v>2.67</v>
      </c>
      <c r="AC538" s="954">
        <f>'[11]Price&amp;Heating-Value'!J$6</f>
        <v>2.62</v>
      </c>
    </row>
    <row r="539" spans="1:29" ht="21" hidden="1">
      <c r="A539" s="956"/>
      <c r="B539" s="956"/>
      <c r="C539" s="983"/>
      <c r="D539" s="956"/>
      <c r="E539" s="956"/>
      <c r="F539" s="956"/>
      <c r="G539" s="956"/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29"/>
      <c r="T539" s="966"/>
      <c r="U539" s="961"/>
      <c r="V539" s="961">
        <f>SUM(V538)</f>
        <v>2871407.1272727265</v>
      </c>
      <c r="W539" s="936"/>
      <c r="X539" s="937"/>
      <c r="Y539" s="937"/>
      <c r="Z539" s="937"/>
      <c r="AA539" s="937"/>
      <c r="AB539" s="937"/>
      <c r="AC539" s="937"/>
    </row>
    <row r="540" spans="1:29" ht="21" hidden="1">
      <c r="A540" s="1011"/>
      <c r="B540" s="989"/>
      <c r="C540" s="990" t="s">
        <v>107</v>
      </c>
      <c r="D540" s="989" t="s">
        <v>163</v>
      </c>
      <c r="E540" s="989"/>
      <c r="F540" s="989"/>
      <c r="G540" s="1011"/>
      <c r="H540" s="1023">
        <v>1527473.88</v>
      </c>
      <c r="I540" s="994">
        <v>1485257.08</v>
      </c>
      <c r="J540" s="994">
        <v>1417181.79</v>
      </c>
      <c r="K540" s="994"/>
      <c r="L540" s="994"/>
      <c r="M540" s="994"/>
      <c r="N540" s="994"/>
      <c r="O540" s="994"/>
      <c r="P540" s="994"/>
      <c r="Q540" s="994"/>
      <c r="R540" s="994"/>
      <c r="S540" s="994"/>
      <c r="T540" s="996">
        <f>SUM(H540:S540)</f>
        <v>4429912.75</v>
      </c>
      <c r="U540" s="995"/>
      <c r="V540" s="1026">
        <f>V539/T540</f>
        <v>0.64818593261745994</v>
      </c>
      <c r="W540" s="936"/>
      <c r="X540" s="937"/>
      <c r="Y540" s="937"/>
      <c r="Z540" s="937"/>
      <c r="AA540" s="937"/>
      <c r="AB540" s="937"/>
      <c r="AC540" s="937"/>
    </row>
    <row r="541" spans="1:29" ht="21" hidden="1">
      <c r="A541" s="1011"/>
      <c r="B541" s="1011"/>
      <c r="C541" s="1030"/>
      <c r="D541" s="1011"/>
      <c r="E541" s="1011"/>
      <c r="F541" s="1011"/>
      <c r="G541" s="1011"/>
      <c r="H541" s="981"/>
      <c r="I541" s="981"/>
      <c r="J541" s="981"/>
      <c r="K541" s="981"/>
      <c r="L541" s="981"/>
      <c r="M541" s="981"/>
      <c r="N541" s="981"/>
      <c r="O541" s="981"/>
      <c r="P541" s="981"/>
      <c r="Q541" s="981"/>
      <c r="R541" s="981"/>
      <c r="S541" s="981"/>
      <c r="T541" s="981"/>
      <c r="U541" s="981"/>
      <c r="V541" s="997" t="s">
        <v>137</v>
      </c>
      <c r="W541" s="936"/>
      <c r="X541" s="937"/>
      <c r="Y541" s="937"/>
      <c r="Z541" s="937"/>
      <c r="AA541" s="937"/>
      <c r="AB541" s="937"/>
      <c r="AC541" s="937"/>
    </row>
    <row r="542" spans="1:29" ht="21" hidden="1">
      <c r="A542" s="1011"/>
      <c r="B542" s="1011"/>
      <c r="C542" s="1031" t="s">
        <v>138</v>
      </c>
      <c r="D542" s="1011" t="s">
        <v>173</v>
      </c>
      <c r="E542" s="964"/>
      <c r="F542" s="964"/>
      <c r="G542" s="1011"/>
      <c r="H542" s="981">
        <f>(H538*$E$538)/1000</f>
        <v>1337.8313454545466</v>
      </c>
      <c r="I542" s="981">
        <f t="shared" ref="I542:J542" si="231">(I538*$E$538)/1000</f>
        <v>1195.1535272727276</v>
      </c>
      <c r="J542" s="981">
        <f t="shared" si="231"/>
        <v>1277.914909090907</v>
      </c>
      <c r="K542" s="981"/>
      <c r="L542" s="981"/>
      <c r="M542" s="981"/>
      <c r="N542" s="981"/>
      <c r="O542" s="981"/>
      <c r="P542" s="981"/>
      <c r="Q542" s="981"/>
      <c r="R542" s="981"/>
      <c r="S542" s="981"/>
      <c r="T542" s="981">
        <f>SUM(H542:S542)</f>
        <v>3810.8997818181815</v>
      </c>
      <c r="U542" s="981"/>
      <c r="V542" s="981"/>
      <c r="W542" s="936"/>
      <c r="X542" s="937"/>
      <c r="Y542" s="937"/>
      <c r="Z542" s="937"/>
      <c r="AA542" s="937"/>
      <c r="AB542" s="937"/>
      <c r="AC542" s="937"/>
    </row>
    <row r="543" spans="1:29" ht="21" hidden="1">
      <c r="A543" s="1011"/>
      <c r="B543" s="964"/>
      <c r="C543" s="983" t="s">
        <v>524</v>
      </c>
      <c r="D543" s="964" t="s">
        <v>173</v>
      </c>
      <c r="E543" s="1011"/>
      <c r="F543" s="1011"/>
      <c r="G543" s="1011"/>
      <c r="H543" s="981">
        <f>H542</f>
        <v>1337.8313454545466</v>
      </c>
      <c r="I543" s="981">
        <f t="shared" ref="I543:J543" si="232">I542</f>
        <v>1195.1535272727276</v>
      </c>
      <c r="J543" s="981">
        <f t="shared" si="232"/>
        <v>1277.914909090907</v>
      </c>
      <c r="K543" s="981"/>
      <c r="L543" s="981"/>
      <c r="M543" s="981"/>
      <c r="N543" s="981"/>
      <c r="O543" s="981"/>
      <c r="P543" s="981"/>
      <c r="Q543" s="981"/>
      <c r="R543" s="981"/>
      <c r="S543" s="981"/>
      <c r="T543" s="1032">
        <f>SUM(H543:S543)</f>
        <v>3810.8997818181815</v>
      </c>
      <c r="U543" s="981"/>
      <c r="V543" s="1033">
        <f>V539/T543</f>
        <v>753.47222222222206</v>
      </c>
      <c r="W543" s="936"/>
      <c r="X543" s="937"/>
      <c r="Y543" s="937"/>
      <c r="Z543" s="937"/>
      <c r="AA543" s="937"/>
      <c r="AB543" s="937"/>
      <c r="AC543" s="937"/>
    </row>
    <row r="544" spans="1:29" ht="21" hidden="1">
      <c r="A544" s="1011"/>
      <c r="B544" s="1011"/>
      <c r="C544" s="983" t="s">
        <v>345</v>
      </c>
      <c r="D544" s="964" t="s">
        <v>173</v>
      </c>
      <c r="E544" s="1811" t="s">
        <v>872</v>
      </c>
      <c r="F544" s="1812"/>
      <c r="G544" s="1813"/>
      <c r="H544" s="1160">
        <f>((-0.0191*H540)+(31*42990))*(99.55/100000)</f>
        <v>1297.6494302719861</v>
      </c>
      <c r="I544" s="1160">
        <f>((-0.0191*I540)+(29*42990))*(99.55/100000)</f>
        <v>1212.859052618026</v>
      </c>
      <c r="J544" s="1160">
        <f t="shared" ref="J544" si="233">((-0.0191*J540)+(31*42990))*(99.55/100000)</f>
        <v>1299.7465295858506</v>
      </c>
      <c r="K544" s="981"/>
      <c r="L544" s="981"/>
      <c r="M544" s="981"/>
      <c r="N544" s="981"/>
      <c r="O544" s="981"/>
      <c r="P544" s="981"/>
      <c r="Q544" s="981"/>
      <c r="R544" s="981"/>
      <c r="S544" s="981"/>
      <c r="T544" s="1032">
        <f>SUM(H544:S544)</f>
        <v>3810.2550124758627</v>
      </c>
      <c r="U544" s="981"/>
      <c r="V544" s="1001" t="s">
        <v>158</v>
      </c>
      <c r="W544" s="936"/>
      <c r="X544" s="937"/>
      <c r="Y544" s="937"/>
      <c r="Z544" s="937"/>
      <c r="AA544" s="937"/>
      <c r="AB544" s="937"/>
      <c r="AC544" s="937"/>
    </row>
    <row r="545" spans="1:29" ht="21" hidden="1">
      <c r="A545" s="1011"/>
      <c r="B545" s="1003" t="s">
        <v>174</v>
      </c>
      <c r="C545" s="1004" t="s">
        <v>138</v>
      </c>
      <c r="D545" s="1003" t="s">
        <v>374</v>
      </c>
      <c r="E545" s="1003"/>
      <c r="F545" s="1003"/>
      <c r="G545" s="1011"/>
      <c r="H545" s="1159">
        <f>H542/H540*1000</f>
        <v>0.8758456448725308</v>
      </c>
      <c r="I545" s="1159">
        <f t="shared" ref="I545:J545" si="234">I542/I540*1000</f>
        <v>0.80467788598100976</v>
      </c>
      <c r="J545" s="1159">
        <f t="shared" si="234"/>
        <v>0.90172969911708145</v>
      </c>
      <c r="K545" s="1006"/>
      <c r="L545" s="1006"/>
      <c r="M545" s="1006"/>
      <c r="N545" s="1006"/>
      <c r="O545" s="1006"/>
      <c r="P545" s="1006"/>
      <c r="Q545" s="1006"/>
      <c r="R545" s="1006"/>
      <c r="S545" s="1006"/>
      <c r="T545" s="1006">
        <f t="shared" ref="T545" si="235">T542/T540*1000</f>
        <v>0.8602652008932189</v>
      </c>
      <c r="U545" s="1007"/>
      <c r="V545" s="1007"/>
      <c r="W545" s="936"/>
      <c r="X545" s="937"/>
      <c r="Y545" s="937"/>
      <c r="Z545" s="937"/>
      <c r="AA545" s="937"/>
      <c r="AB545" s="937"/>
      <c r="AC545" s="937"/>
    </row>
    <row r="546" spans="1:29" ht="23.25" hidden="1">
      <c r="A546" s="1011"/>
      <c r="B546" s="1003"/>
      <c r="C546" s="1008" t="s">
        <v>525</v>
      </c>
      <c r="D546" s="1003" t="s">
        <v>374</v>
      </c>
      <c r="E546" s="1003"/>
      <c r="F546" s="1003"/>
      <c r="G546" s="1011"/>
      <c r="H546" s="1006">
        <f>H543/H540*1000</f>
        <v>0.8758456448725308</v>
      </c>
      <c r="I546" s="1006">
        <f t="shared" ref="I546:J546" si="236">I543/I540*1000</f>
        <v>0.80467788598100976</v>
      </c>
      <c r="J546" s="1006">
        <f t="shared" si="236"/>
        <v>0.90172969911708145</v>
      </c>
      <c r="K546" s="1006"/>
      <c r="L546" s="1006"/>
      <c r="M546" s="1006"/>
      <c r="N546" s="1006"/>
      <c r="O546" s="1006"/>
      <c r="P546" s="1006"/>
      <c r="Q546" s="1006"/>
      <c r="R546" s="1006"/>
      <c r="S546" s="1006"/>
      <c r="T546" s="1021">
        <f>T543/T540*1000</f>
        <v>0.8602652008932189</v>
      </c>
      <c r="U546" s="1007"/>
      <c r="V546" s="1007"/>
      <c r="W546" s="936"/>
      <c r="X546" s="937"/>
      <c r="Y546" s="937"/>
      <c r="Z546" s="937"/>
      <c r="AA546" s="937"/>
      <c r="AB546" s="937"/>
      <c r="AC546" s="937"/>
    </row>
    <row r="547" spans="1:29" ht="21" hidden="1">
      <c r="A547" s="1011"/>
      <c r="B547" s="1003"/>
      <c r="C547" s="1008" t="s">
        <v>526</v>
      </c>
      <c r="D547" s="1003"/>
      <c r="E547" s="1003"/>
      <c r="F547" s="1003"/>
      <c r="G547" s="1011"/>
      <c r="H547" s="1009">
        <f>H543/H544*100</f>
        <v>103.09651545673151</v>
      </c>
      <c r="I547" s="1009">
        <f t="shared" ref="I547:J547" si="237">I543/I544*100</f>
        <v>98.540182776631795</v>
      </c>
      <c r="J547" s="1009">
        <f t="shared" si="237"/>
        <v>98.320317077368927</v>
      </c>
      <c r="K547" s="1009"/>
      <c r="L547" s="1009"/>
      <c r="M547" s="1009"/>
      <c r="N547" s="1009"/>
      <c r="O547" s="1009"/>
      <c r="P547" s="1009"/>
      <c r="Q547" s="1009"/>
      <c r="R547" s="1009"/>
      <c r="S547" s="1009"/>
      <c r="T547" s="1009">
        <f>T543/T544*100</f>
        <v>100.0169219472242</v>
      </c>
      <c r="U547" s="1007"/>
      <c r="V547" s="1007"/>
      <c r="W547" s="936"/>
      <c r="X547" s="937"/>
      <c r="Y547" s="937"/>
      <c r="Z547" s="937"/>
      <c r="AA547" s="937"/>
      <c r="AB547" s="937"/>
      <c r="AC547" s="937"/>
    </row>
    <row r="548" spans="1:29" ht="21" hidden="1">
      <c r="A548" s="964"/>
      <c r="B548" s="983">
        <v>21.4</v>
      </c>
      <c r="C548" s="1035" t="s">
        <v>527</v>
      </c>
      <c r="D548" s="964"/>
      <c r="E548" s="964"/>
      <c r="F548" s="964"/>
      <c r="G548" s="964"/>
      <c r="H548" s="966"/>
      <c r="I548" s="966"/>
      <c r="J548" s="966"/>
      <c r="K548" s="966"/>
      <c r="L548" s="966"/>
      <c r="M548" s="966"/>
      <c r="N548" s="966"/>
      <c r="O548" s="966"/>
      <c r="P548" s="966"/>
      <c r="Q548" s="966"/>
      <c r="R548" s="966"/>
      <c r="S548" s="966"/>
      <c r="T548" s="966"/>
      <c r="U548" s="966"/>
      <c r="V548" s="966"/>
      <c r="W548" s="936"/>
      <c r="X548" s="937"/>
      <c r="Y548" s="937"/>
      <c r="Z548" s="937"/>
      <c r="AA548" s="937"/>
      <c r="AB548" s="937"/>
      <c r="AC548" s="937"/>
    </row>
    <row r="549" spans="1:29" ht="21" hidden="1">
      <c r="A549" s="964"/>
      <c r="B549" s="983"/>
      <c r="C549" s="1031" t="s">
        <v>138</v>
      </c>
      <c r="D549" s="964" t="s">
        <v>90</v>
      </c>
      <c r="E549" s="984">
        <f>'[11]Price&amp;Heating-Value'!$R$6</f>
        <v>3.6</v>
      </c>
      <c r="F549" s="964"/>
      <c r="G549" s="1014">
        <f>'[11]Price&amp;Heating-Value'!$P$6</f>
        <v>2.7124999999999999</v>
      </c>
      <c r="H549" s="1154">
        <v>15624</v>
      </c>
      <c r="I549" s="1154">
        <v>14616</v>
      </c>
      <c r="J549" s="1154">
        <v>15624</v>
      </c>
      <c r="K549" s="966"/>
      <c r="L549" s="966"/>
      <c r="M549" s="966"/>
      <c r="N549" s="966"/>
      <c r="O549" s="966"/>
      <c r="P549" s="966"/>
      <c r="Q549" s="966"/>
      <c r="R549" s="966"/>
      <c r="S549" s="966"/>
      <c r="T549" s="966">
        <f>SUM(H549:S549)</f>
        <v>45864</v>
      </c>
      <c r="U549" s="966">
        <f>T549*E549</f>
        <v>165110.39999999999</v>
      </c>
      <c r="V549" s="966">
        <f>T549*G549</f>
        <v>124406.09999999999</v>
      </c>
      <c r="W549" s="954">
        <f>'[11]Price&amp;Heating-Value'!D$6</f>
        <v>2.4500000000000002</v>
      </c>
      <c r="X549" s="954">
        <f>'[11]Price&amp;Heating-Value'!E$6</f>
        <v>2.54</v>
      </c>
      <c r="Y549" s="954">
        <f>'[11]Price&amp;Heating-Value'!F$6</f>
        <v>2.58</v>
      </c>
      <c r="Z549" s="954">
        <f>'[11]Price&amp;Heating-Value'!G$6</f>
        <v>2.67</v>
      </c>
      <c r="AA549" s="954">
        <f>'[11]Price&amp;Heating-Value'!H$6</f>
        <v>2.67</v>
      </c>
      <c r="AB549" s="954">
        <f>'[11]Price&amp;Heating-Value'!I$6</f>
        <v>2.67</v>
      </c>
      <c r="AC549" s="954">
        <f>'[11]Price&amp;Heating-Value'!J$6</f>
        <v>2.62</v>
      </c>
    </row>
    <row r="550" spans="1:29" ht="21" hidden="1">
      <c r="A550" s="956"/>
      <c r="B550" s="956"/>
      <c r="C550" s="983"/>
      <c r="D550" s="956"/>
      <c r="E550" s="956"/>
      <c r="F550" s="956"/>
      <c r="G550" s="956"/>
      <c r="H550" s="1029"/>
      <c r="I550" s="1029"/>
      <c r="J550" s="1029"/>
      <c r="K550" s="1029"/>
      <c r="L550" s="1029"/>
      <c r="M550" s="1029"/>
      <c r="N550" s="1029"/>
      <c r="O550" s="1029"/>
      <c r="P550" s="1029"/>
      <c r="Q550" s="1029"/>
      <c r="R550" s="1029"/>
      <c r="S550" s="1029"/>
      <c r="T550" s="987"/>
      <c r="U550" s="961"/>
      <c r="V550" s="961">
        <f>SUM(V549)</f>
        <v>124406.09999999999</v>
      </c>
      <c r="W550" s="936"/>
      <c r="X550" s="937"/>
      <c r="Y550" s="937"/>
      <c r="Z550" s="937"/>
      <c r="AA550" s="937"/>
      <c r="AB550" s="937"/>
      <c r="AC550" s="937"/>
    </row>
    <row r="551" spans="1:29" ht="21" hidden="1">
      <c r="A551" s="1011"/>
      <c r="B551" s="989"/>
      <c r="C551" s="990" t="s">
        <v>107</v>
      </c>
      <c r="D551" s="989" t="s">
        <v>163</v>
      </c>
      <c r="E551" s="989"/>
      <c r="F551" s="989"/>
      <c r="G551" s="1011"/>
      <c r="H551" s="1161">
        <v>924517</v>
      </c>
      <c r="I551" s="1161">
        <v>885250</v>
      </c>
      <c r="J551" s="1161">
        <v>972611</v>
      </c>
      <c r="K551" s="994"/>
      <c r="L551" s="994"/>
      <c r="M551" s="994"/>
      <c r="N551" s="994"/>
      <c r="O551" s="994"/>
      <c r="P551" s="994"/>
      <c r="Q551" s="994"/>
      <c r="R551" s="994"/>
      <c r="S551" s="994"/>
      <c r="T551" s="996">
        <f>SUM(H551:S551)</f>
        <v>2782378</v>
      </c>
      <c r="U551" s="995"/>
      <c r="V551" s="1026">
        <f>V550/T551</f>
        <v>4.4712149104111656E-2</v>
      </c>
      <c r="W551" s="936"/>
      <c r="X551" s="937"/>
      <c r="Y551" s="937"/>
      <c r="Z551" s="937"/>
      <c r="AA551" s="937"/>
      <c r="AB551" s="937"/>
      <c r="AC551" s="937"/>
    </row>
    <row r="552" spans="1:29" ht="21" hidden="1">
      <c r="A552" s="1011"/>
      <c r="B552" s="1011"/>
      <c r="C552" s="1031" t="s">
        <v>138</v>
      </c>
      <c r="D552" s="1011" t="s">
        <v>173</v>
      </c>
      <c r="E552" s="964"/>
      <c r="F552" s="964"/>
      <c r="G552" s="1011"/>
      <c r="H552" s="1162">
        <f>(H549*$E$549)/1000</f>
        <v>56.246400000000001</v>
      </c>
      <c r="I552" s="1162">
        <f t="shared" ref="I552:J552" si="238">(I549*$E$549)/1000</f>
        <v>52.617599999999996</v>
      </c>
      <c r="J552" s="1162">
        <f t="shared" si="238"/>
        <v>56.246400000000001</v>
      </c>
      <c r="K552" s="981"/>
      <c r="L552" s="981"/>
      <c r="M552" s="981"/>
      <c r="N552" s="981"/>
      <c r="O552" s="981"/>
      <c r="P552" s="981"/>
      <c r="Q552" s="981"/>
      <c r="R552" s="981"/>
      <c r="S552" s="981"/>
      <c r="T552" s="981">
        <f>SUM(H552:S552)</f>
        <v>165.1104</v>
      </c>
      <c r="U552" s="981"/>
      <c r="V552" s="981"/>
      <c r="W552" s="936"/>
      <c r="X552" s="937"/>
      <c r="Y552" s="937"/>
      <c r="Z552" s="937"/>
      <c r="AA552" s="937"/>
      <c r="AB552" s="937"/>
      <c r="AC552" s="937"/>
    </row>
    <row r="553" spans="1:29" ht="21" hidden="1">
      <c r="A553" s="1011"/>
      <c r="B553" s="964"/>
      <c r="C553" s="983" t="s">
        <v>528</v>
      </c>
      <c r="D553" s="964" t="s">
        <v>173</v>
      </c>
      <c r="E553" s="1011"/>
      <c r="F553" s="1011"/>
      <c r="G553" s="1011"/>
      <c r="H553" s="1163">
        <f>H552</f>
        <v>56.246400000000001</v>
      </c>
      <c r="I553" s="1163">
        <f t="shared" ref="I553:J553" si="239">I552</f>
        <v>52.617599999999996</v>
      </c>
      <c r="J553" s="1163">
        <f t="shared" si="239"/>
        <v>56.246400000000001</v>
      </c>
      <c r="K553" s="981"/>
      <c r="L553" s="981"/>
      <c r="M553" s="981"/>
      <c r="N553" s="981"/>
      <c r="O553" s="981"/>
      <c r="P553" s="981"/>
      <c r="Q553" s="981"/>
      <c r="R553" s="981"/>
      <c r="S553" s="981"/>
      <c r="T553" s="1032">
        <f>SUM(H553:S553)</f>
        <v>165.1104</v>
      </c>
      <c r="U553" s="981"/>
      <c r="V553" s="1033">
        <f>V550/T553</f>
        <v>753.47222222222217</v>
      </c>
      <c r="W553" s="936"/>
      <c r="X553" s="937"/>
      <c r="Y553" s="937"/>
      <c r="Z553" s="937"/>
      <c r="AA553" s="937"/>
      <c r="AB553" s="937"/>
      <c r="AC553" s="937"/>
    </row>
    <row r="554" spans="1:29" ht="21" hidden="1">
      <c r="A554" s="1011"/>
      <c r="B554" s="1062"/>
      <c r="C554" s="983" t="s">
        <v>345</v>
      </c>
      <c r="D554" s="964" t="s">
        <v>173</v>
      </c>
      <c r="E554" s="1811" t="s">
        <v>873</v>
      </c>
      <c r="F554" s="1812"/>
      <c r="G554" s="1813"/>
      <c r="H554" s="1164">
        <f>((H551*0.0000000000003)+(1814.4*31))/1000</f>
        <v>56.246400000277355</v>
      </c>
      <c r="I554" s="1164">
        <f>((I551*0.0000000000003)+(1814.4*29))/1000</f>
        <v>52.617600000265575</v>
      </c>
      <c r="J554" s="1164">
        <f t="shared" ref="J554" si="240">((J551*0.0000000000003)+(1814.4*31))/1000</f>
        <v>56.246400000291779</v>
      </c>
      <c r="K554" s="981"/>
      <c r="L554" s="981"/>
      <c r="M554" s="981"/>
      <c r="N554" s="981"/>
      <c r="O554" s="981"/>
      <c r="P554" s="981"/>
      <c r="Q554" s="981"/>
      <c r="R554" s="981"/>
      <c r="S554" s="981"/>
      <c r="T554" s="1032">
        <f>SUM(H554:S554)</f>
        <v>165.11040000083472</v>
      </c>
      <c r="U554" s="981"/>
      <c r="V554" s="1001" t="s">
        <v>158</v>
      </c>
      <c r="W554" s="936"/>
      <c r="X554" s="937"/>
      <c r="Y554" s="937"/>
      <c r="Z554" s="937"/>
      <c r="AA554" s="937"/>
      <c r="AB554" s="937"/>
      <c r="AC554" s="937"/>
    </row>
    <row r="555" spans="1:29" ht="21" hidden="1">
      <c r="A555" s="1011"/>
      <c r="B555" s="1003" t="s">
        <v>174</v>
      </c>
      <c r="C555" s="1004" t="s">
        <v>138</v>
      </c>
      <c r="D555" s="1003" t="s">
        <v>374</v>
      </c>
      <c r="E555" s="1003"/>
      <c r="F555" s="1003"/>
      <c r="G555" s="1011"/>
      <c r="H555" s="1006">
        <f t="shared" ref="H555:T555" si="241">H552/H551*1000</f>
        <v>6.083868657904614E-2</v>
      </c>
      <c r="I555" s="1006">
        <f t="shared" si="241"/>
        <v>5.9438124823496183E-2</v>
      </c>
      <c r="J555" s="1006">
        <f t="shared" si="241"/>
        <v>5.7830314483385444E-2</v>
      </c>
      <c r="K555" s="1006"/>
      <c r="L555" s="1006"/>
      <c r="M555" s="1006"/>
      <c r="N555" s="1006"/>
      <c r="O555" s="1006"/>
      <c r="P555" s="1006"/>
      <c r="Q555" s="1006"/>
      <c r="R555" s="1006"/>
      <c r="S555" s="1006"/>
      <c r="T555" s="1006">
        <f t="shared" si="241"/>
        <v>5.9341469778728846E-2</v>
      </c>
      <c r="U555" s="1007"/>
      <c r="V555" s="1007"/>
      <c r="W555" s="936"/>
      <c r="X555" s="937"/>
      <c r="Y555" s="937"/>
      <c r="Z555" s="937"/>
      <c r="AA555" s="937"/>
      <c r="AB555" s="937"/>
      <c r="AC555" s="937"/>
    </row>
    <row r="556" spans="1:29" ht="23.25" hidden="1">
      <c r="A556" s="1011"/>
      <c r="B556" s="1003"/>
      <c r="C556" s="1008" t="s">
        <v>529</v>
      </c>
      <c r="D556" s="1003" t="s">
        <v>374</v>
      </c>
      <c r="E556" s="1003"/>
      <c r="F556" s="1003"/>
      <c r="G556" s="1011"/>
      <c r="H556" s="1006">
        <f t="shared" ref="H556:T556" si="242">H553/H551*1000</f>
        <v>6.083868657904614E-2</v>
      </c>
      <c r="I556" s="1006">
        <f t="shared" si="242"/>
        <v>5.9438124823496183E-2</v>
      </c>
      <c r="J556" s="1006">
        <f t="shared" si="242"/>
        <v>5.7830314483385444E-2</v>
      </c>
      <c r="K556" s="1006"/>
      <c r="L556" s="1006"/>
      <c r="M556" s="1006"/>
      <c r="N556" s="1006"/>
      <c r="O556" s="1006"/>
      <c r="P556" s="1006"/>
      <c r="Q556" s="1006"/>
      <c r="R556" s="1006"/>
      <c r="S556" s="1006"/>
      <c r="T556" s="1021">
        <f t="shared" si="242"/>
        <v>5.9341469778728846E-2</v>
      </c>
      <c r="U556" s="1007"/>
      <c r="V556" s="1007"/>
      <c r="W556" s="936"/>
      <c r="X556" s="937"/>
      <c r="Y556" s="937"/>
      <c r="Z556" s="937"/>
      <c r="AA556" s="937"/>
      <c r="AB556" s="937"/>
      <c r="AC556" s="937"/>
    </row>
    <row r="557" spans="1:29" ht="21" hidden="1">
      <c r="A557" s="1011"/>
      <c r="B557" s="1003"/>
      <c r="C557" s="1008" t="s">
        <v>530</v>
      </c>
      <c r="D557" s="1003"/>
      <c r="E557" s="1003"/>
      <c r="F557" s="1003"/>
      <c r="G557" s="1011"/>
      <c r="H557" s="1009">
        <f>H553/H554*100</f>
        <v>99.999999999506898</v>
      </c>
      <c r="I557" s="1009">
        <f t="shared" ref="I557:J557" si="243">I553/I554*100</f>
        <v>99.999999999495259</v>
      </c>
      <c r="J557" s="1009">
        <f t="shared" si="243"/>
        <v>99.999999999481247</v>
      </c>
      <c r="K557" s="1009"/>
      <c r="L557" s="1009"/>
      <c r="M557" s="1009"/>
      <c r="N557" s="1009"/>
      <c r="O557" s="1009"/>
      <c r="P557" s="1009"/>
      <c r="Q557" s="1009"/>
      <c r="R557" s="1009"/>
      <c r="S557" s="1009"/>
      <c r="T557" s="1009">
        <f>T553/T554*100</f>
        <v>99.999999999494449</v>
      </c>
      <c r="U557" s="1007"/>
      <c r="V557" s="1007"/>
      <c r="W557" s="936"/>
      <c r="X557" s="937"/>
      <c r="Y557" s="937"/>
      <c r="Z557" s="937"/>
      <c r="AA557" s="937"/>
      <c r="AB557" s="937"/>
      <c r="AC557" s="937"/>
    </row>
    <row r="558" spans="1:29" ht="23.25" hidden="1">
      <c r="A558" s="964"/>
      <c r="B558" s="1062">
        <v>21.5</v>
      </c>
      <c r="C558" s="1165" t="s">
        <v>531</v>
      </c>
      <c r="D558" s="1816" t="s">
        <v>532</v>
      </c>
      <c r="E558" s="1817"/>
      <c r="F558" s="1817"/>
      <c r="G558" s="1818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966"/>
      <c r="T558" s="966"/>
      <c r="U558" s="966"/>
      <c r="V558" s="966"/>
      <c r="W558" s="936"/>
      <c r="X558" s="937"/>
      <c r="Y558" s="937"/>
      <c r="Z558" s="937"/>
      <c r="AA558" s="937"/>
      <c r="AB558" s="937"/>
      <c r="AC558" s="937"/>
    </row>
    <row r="559" spans="1:29" ht="21" hidden="1">
      <c r="A559" s="964"/>
      <c r="B559" s="983"/>
      <c r="C559" s="1031" t="s">
        <v>138</v>
      </c>
      <c r="D559" s="964" t="s">
        <v>90</v>
      </c>
      <c r="E559" s="984">
        <f>'[11]Price&amp;Heating-Value'!$R$6</f>
        <v>3.6</v>
      </c>
      <c r="F559" s="964"/>
      <c r="G559" s="1014">
        <f>'[11]Price&amp;Heating-Value'!$P$6</f>
        <v>2.7124999999999999</v>
      </c>
      <c r="H559" s="966"/>
      <c r="I559" s="966"/>
      <c r="J559" s="966"/>
      <c r="K559" s="966"/>
      <c r="L559" s="966"/>
      <c r="M559" s="966"/>
      <c r="N559" s="966"/>
      <c r="O559" s="966"/>
      <c r="P559" s="966"/>
      <c r="Q559" s="966"/>
      <c r="R559" s="966"/>
      <c r="S559" s="966"/>
      <c r="T559" s="966">
        <f>SUM(H559:S559)</f>
        <v>0</v>
      </c>
      <c r="U559" s="966">
        <f>T559*E559</f>
        <v>0</v>
      </c>
      <c r="V559" s="966">
        <f>T559*G559</f>
        <v>0</v>
      </c>
      <c r="W559" s="954">
        <f>'[11]Price&amp;Heating-Value'!D$6</f>
        <v>2.4500000000000002</v>
      </c>
      <c r="X559" s="954">
        <f>'[11]Price&amp;Heating-Value'!E$6</f>
        <v>2.54</v>
      </c>
      <c r="Y559" s="954">
        <f>'[11]Price&amp;Heating-Value'!F$6</f>
        <v>2.58</v>
      </c>
      <c r="Z559" s="954">
        <f>'[11]Price&amp;Heating-Value'!G$6</f>
        <v>2.67</v>
      </c>
      <c r="AA559" s="954">
        <f>'[11]Price&amp;Heating-Value'!H$6</f>
        <v>2.67</v>
      </c>
      <c r="AB559" s="954">
        <f>'[11]Price&amp;Heating-Value'!I$6</f>
        <v>2.67</v>
      </c>
      <c r="AC559" s="954">
        <f>'[11]Price&amp;Heating-Value'!J$6</f>
        <v>2.62</v>
      </c>
    </row>
    <row r="560" spans="1:29" ht="21" hidden="1">
      <c r="A560" s="964"/>
      <c r="B560" s="964"/>
      <c r="C560" s="958" t="s">
        <v>533</v>
      </c>
      <c r="D560" s="964" t="s">
        <v>176</v>
      </c>
      <c r="E560" s="984">
        <f>'[11]Price&amp;Heating-Value'!$S$16/1000</f>
        <v>39.770000000000003</v>
      </c>
      <c r="F560" s="1036">
        <f>'[11]Price&amp;Heating-Value'!$T$16</f>
        <v>0.98550000000000004</v>
      </c>
      <c r="G560" s="965">
        <f>'[11]Price&amp;Heating-Value'!$P$16*'[11]Price&amp;Heating-Value'!$T$16/1000</f>
        <v>17.944656726937499</v>
      </c>
      <c r="H560" s="966"/>
      <c r="I560" s="966"/>
      <c r="J560" s="966"/>
      <c r="K560" s="966"/>
      <c r="L560" s="966"/>
      <c r="M560" s="966"/>
      <c r="N560" s="966"/>
      <c r="O560" s="966"/>
      <c r="P560" s="966"/>
      <c r="Q560" s="966"/>
      <c r="R560" s="966"/>
      <c r="S560" s="966"/>
      <c r="T560" s="966">
        <f>SUM(H560:S560)</f>
        <v>0</v>
      </c>
      <c r="U560" s="966">
        <f>T560*E560</f>
        <v>0</v>
      </c>
      <c r="V560" s="966">
        <f>G560*T560</f>
        <v>0</v>
      </c>
      <c r="W560" s="1037">
        <f>'[11]Price&amp;Heating-Value'!D$16*'[11]Price&amp;Heating-Value'!$T$16/1000</f>
        <v>16.779635460000002</v>
      </c>
      <c r="X560" s="982">
        <f>'[11]Price&amp;Heating-Value'!E$16*'[11]Price&amp;Heating-Value'!$T$16/1000</f>
        <v>16.47036585</v>
      </c>
      <c r="Y560" s="982">
        <f>'[11]Price&amp;Heating-Value'!F$16*'[11]Price&amp;Heating-Value'!$T$16/1000</f>
        <v>16.780118354999999</v>
      </c>
      <c r="Z560" s="982">
        <f>'[11]Price&amp;Heating-Value'!G$16*'[11]Price&amp;Heating-Value'!$T$16/1000</f>
        <v>18.287135100000004</v>
      </c>
      <c r="AA560" s="982">
        <f>'[11]Price&amp;Heating-Value'!H$16*'[11]Price&amp;Heating-Value'!$T$16/1000</f>
        <v>20.715278985000001</v>
      </c>
      <c r="AB560" s="982">
        <f>'[11]Price&amp;Heating-Value'!I$16*'[11]Price&amp;Heating-Value'!$T$16/1000</f>
        <v>22.335056640000001</v>
      </c>
      <c r="AC560" s="982">
        <f>'[11]Price&amp;Heating-Value'!J$16*'[11]Price&amp;Heating-Value'!$T$16/1000</f>
        <v>25.718475240000004</v>
      </c>
    </row>
    <row r="561" spans="1:29" ht="21" hidden="1">
      <c r="A561" s="956"/>
      <c r="B561" s="956"/>
      <c r="C561" s="958" t="s">
        <v>101</v>
      </c>
      <c r="D561" s="956" t="s">
        <v>102</v>
      </c>
      <c r="E561" s="964">
        <f>'[11]Price&amp;Heating-Value'!$R$23/1000</f>
        <v>50.22</v>
      </c>
      <c r="F561" s="964"/>
      <c r="G561" s="965">
        <f>'[11]Price&amp;Heating-Value'!$P$23/1000</f>
        <v>11.61472</v>
      </c>
      <c r="H561" s="961"/>
      <c r="I561" s="961"/>
      <c r="J561" s="961"/>
      <c r="K561" s="961"/>
      <c r="L561" s="961"/>
      <c r="M561" s="961"/>
      <c r="N561" s="961"/>
      <c r="O561" s="961"/>
      <c r="P561" s="961"/>
      <c r="Q561" s="961"/>
      <c r="R561" s="961"/>
      <c r="S561" s="961"/>
      <c r="T561" s="966">
        <f>SUM(H561:S561)</f>
        <v>0</v>
      </c>
      <c r="U561" s="966">
        <f>T561*E561</f>
        <v>0</v>
      </c>
      <c r="V561" s="966">
        <f>G561*T561</f>
        <v>0</v>
      </c>
      <c r="W561" s="982">
        <f>'[11]Price&amp;Heating-Value'!D$23/1000</f>
        <v>11.61472</v>
      </c>
      <c r="X561" s="982">
        <f>'[11]Price&amp;Heating-Value'!E$23/1000</f>
        <v>11.61472</v>
      </c>
      <c r="Y561" s="982">
        <f>'[11]Price&amp;Heating-Value'!F$23/1000</f>
        <v>11.61472</v>
      </c>
      <c r="Z561" s="982">
        <f>'[11]Price&amp;Heating-Value'!G$23/1000</f>
        <v>11.61472</v>
      </c>
      <c r="AA561" s="982">
        <f>'[11]Price&amp;Heating-Value'!H$23/1000</f>
        <v>11.61472</v>
      </c>
      <c r="AB561" s="982">
        <f>'[11]Price&amp;Heating-Value'!I$23/1000</f>
        <v>11.61472</v>
      </c>
      <c r="AC561" s="982">
        <f>'[11]Price&amp;Heating-Value'!J$23/1000</f>
        <v>11.61472</v>
      </c>
    </row>
    <row r="562" spans="1:29" ht="21" hidden="1">
      <c r="A562" s="956"/>
      <c r="B562" s="956"/>
      <c r="C562" s="983" t="s">
        <v>383</v>
      </c>
      <c r="D562" s="956"/>
      <c r="E562" s="956"/>
      <c r="F562" s="956"/>
      <c r="G562" s="956"/>
      <c r="H562" s="1029"/>
      <c r="I562" s="1029"/>
      <c r="J562" s="1029"/>
      <c r="K562" s="1029"/>
      <c r="L562" s="1029"/>
      <c r="M562" s="1029"/>
      <c r="N562" s="1029"/>
      <c r="O562" s="1029"/>
      <c r="P562" s="1029"/>
      <c r="Q562" s="1029"/>
      <c r="R562" s="1029"/>
      <c r="S562" s="1029"/>
      <c r="T562" s="987"/>
      <c r="U562" s="961"/>
      <c r="V562" s="961">
        <f>SUM(V559:V561)</f>
        <v>0</v>
      </c>
      <c r="W562" s="936"/>
      <c r="X562" s="937"/>
      <c r="Y562" s="937"/>
      <c r="Z562" s="937"/>
      <c r="AA562" s="937"/>
      <c r="AB562" s="937"/>
      <c r="AC562" s="937"/>
    </row>
    <row r="563" spans="1:29" ht="21" hidden="1">
      <c r="A563" s="1011"/>
      <c r="B563" s="989"/>
      <c r="C563" s="990" t="s">
        <v>107</v>
      </c>
      <c r="D563" s="989" t="s">
        <v>121</v>
      </c>
      <c r="E563" s="989"/>
      <c r="F563" s="989"/>
      <c r="G563" s="1011"/>
      <c r="H563" s="994"/>
      <c r="I563" s="994"/>
      <c r="J563" s="994"/>
      <c r="K563" s="994"/>
      <c r="L563" s="994"/>
      <c r="M563" s="994"/>
      <c r="N563" s="994"/>
      <c r="O563" s="994"/>
      <c r="P563" s="994"/>
      <c r="Q563" s="994"/>
      <c r="R563" s="994"/>
      <c r="S563" s="994"/>
      <c r="T563" s="996">
        <f>SUM(H563:S563)</f>
        <v>0</v>
      </c>
      <c r="U563" s="995"/>
      <c r="V563" s="1026" t="e">
        <f>V562/T563</f>
        <v>#DIV/0!</v>
      </c>
      <c r="W563" s="936"/>
      <c r="X563" s="937"/>
      <c r="Y563" s="937"/>
      <c r="Z563" s="937"/>
      <c r="AA563" s="937"/>
      <c r="AB563" s="937"/>
      <c r="AC563" s="937"/>
    </row>
    <row r="564" spans="1:29" ht="21" hidden="1">
      <c r="A564" s="1011"/>
      <c r="B564" s="1042"/>
      <c r="C564" s="1043" t="s">
        <v>534</v>
      </c>
      <c r="D564" s="1042"/>
      <c r="E564" s="1042"/>
      <c r="F564" s="1042"/>
      <c r="G564" s="1042"/>
      <c r="H564" s="1044"/>
      <c r="I564" s="1044"/>
      <c r="J564" s="1044"/>
      <c r="K564" s="1044"/>
      <c r="L564" s="1044"/>
      <c r="M564" s="1044"/>
      <c r="N564" s="1044"/>
      <c r="O564" s="1044"/>
      <c r="P564" s="1044"/>
      <c r="Q564" s="1044"/>
      <c r="R564" s="1044"/>
      <c r="S564" s="1044"/>
      <c r="T564" s="1045"/>
      <c r="U564" s="1045"/>
      <c r="V564" s="1046"/>
      <c r="W564" s="936"/>
      <c r="X564" s="937"/>
      <c r="Y564" s="937"/>
      <c r="Z564" s="937"/>
      <c r="AA564" s="937"/>
      <c r="AB564" s="937"/>
      <c r="AC564" s="937"/>
    </row>
    <row r="565" spans="1:29" ht="21" hidden="1">
      <c r="A565" s="1011"/>
      <c r="B565" s="1042"/>
      <c r="C565" s="1047" t="s">
        <v>535</v>
      </c>
      <c r="D565" s="1042" t="s">
        <v>121</v>
      </c>
      <c r="E565" s="1042">
        <v>3180</v>
      </c>
      <c r="F565" s="1042"/>
      <c r="G565" s="1166">
        <f>'[11]Price&amp;Heating-Value'!P10</f>
        <v>1321.5833333333333</v>
      </c>
      <c r="H565" s="1167">
        <f t="shared" ref="H565:S565" si="244">H563</f>
        <v>0</v>
      </c>
      <c r="I565" s="1167">
        <f t="shared" si="244"/>
        <v>0</v>
      </c>
      <c r="J565" s="1167">
        <f t="shared" si="244"/>
        <v>0</v>
      </c>
      <c r="K565" s="1167">
        <f t="shared" si="244"/>
        <v>0</v>
      </c>
      <c r="L565" s="1167">
        <f t="shared" si="244"/>
        <v>0</v>
      </c>
      <c r="M565" s="1167">
        <f t="shared" si="244"/>
        <v>0</v>
      </c>
      <c r="N565" s="1167">
        <f t="shared" si="244"/>
        <v>0</v>
      </c>
      <c r="O565" s="1167">
        <f t="shared" si="244"/>
        <v>0</v>
      </c>
      <c r="P565" s="1167">
        <f t="shared" si="244"/>
        <v>0</v>
      </c>
      <c r="Q565" s="1167">
        <f t="shared" si="244"/>
        <v>0</v>
      </c>
      <c r="R565" s="1167">
        <f t="shared" si="244"/>
        <v>0</v>
      </c>
      <c r="S565" s="1167">
        <f t="shared" si="244"/>
        <v>0</v>
      </c>
      <c r="T565" s="1045">
        <f>SUM(H565:S565)</f>
        <v>0</v>
      </c>
      <c r="U565" s="1167">
        <f>T565*E565</f>
        <v>0</v>
      </c>
      <c r="V565" s="1042">
        <f>T565*G565</f>
        <v>0</v>
      </c>
      <c r="W565" s="936"/>
      <c r="X565" s="937"/>
      <c r="Y565" s="937"/>
      <c r="Z565" s="937"/>
      <c r="AA565" s="937"/>
      <c r="AB565" s="937"/>
      <c r="AC565" s="937"/>
    </row>
    <row r="566" spans="1:29" ht="21" hidden="1">
      <c r="A566" s="1011"/>
      <c r="B566" s="1042"/>
      <c r="C566" s="1043" t="s">
        <v>536</v>
      </c>
      <c r="D566" s="1042"/>
      <c r="E566" s="1042"/>
      <c r="F566" s="1042"/>
      <c r="G566" s="1042"/>
      <c r="H566" s="1044"/>
      <c r="I566" s="1044"/>
      <c r="J566" s="1044"/>
      <c r="K566" s="1044"/>
      <c r="L566" s="1044"/>
      <c r="M566" s="1044"/>
      <c r="N566" s="1044"/>
      <c r="O566" s="1044"/>
      <c r="P566" s="1044"/>
      <c r="Q566" s="1044"/>
      <c r="R566" s="1044"/>
      <c r="S566" s="1044"/>
      <c r="T566" s="1045"/>
      <c r="U566" s="1045"/>
      <c r="V566" s="1046"/>
      <c r="W566" s="936"/>
      <c r="X566" s="937"/>
      <c r="Y566" s="937"/>
      <c r="Z566" s="937"/>
      <c r="AA566" s="937"/>
      <c r="AB566" s="937"/>
      <c r="AC566" s="937"/>
    </row>
    <row r="567" spans="1:29" ht="21" hidden="1">
      <c r="A567" s="1011"/>
      <c r="B567" s="1042"/>
      <c r="C567" s="1047" t="s">
        <v>535</v>
      </c>
      <c r="D567" s="1042" t="s">
        <v>173</v>
      </c>
      <c r="E567" s="1042"/>
      <c r="F567" s="1042"/>
      <c r="G567" s="1042"/>
      <c r="H567" s="1045">
        <f>H565*$E$565/1000</f>
        <v>0</v>
      </c>
      <c r="I567" s="1045">
        <f t="shared" ref="I567:S567" si="245">I565*$E$565/1000</f>
        <v>0</v>
      </c>
      <c r="J567" s="1045">
        <f t="shared" si="245"/>
        <v>0</v>
      </c>
      <c r="K567" s="1045">
        <f t="shared" si="245"/>
        <v>0</v>
      </c>
      <c r="L567" s="1045">
        <f t="shared" si="245"/>
        <v>0</v>
      </c>
      <c r="M567" s="1045">
        <f t="shared" si="245"/>
        <v>0</v>
      </c>
      <c r="N567" s="1045">
        <f t="shared" si="245"/>
        <v>0</v>
      </c>
      <c r="O567" s="1045">
        <f t="shared" si="245"/>
        <v>0</v>
      </c>
      <c r="P567" s="1045">
        <f t="shared" si="245"/>
        <v>0</v>
      </c>
      <c r="Q567" s="1045">
        <f t="shared" si="245"/>
        <v>0</v>
      </c>
      <c r="R567" s="1045">
        <f t="shared" si="245"/>
        <v>0</v>
      </c>
      <c r="S567" s="1045">
        <f t="shared" si="245"/>
        <v>0</v>
      </c>
      <c r="T567" s="1045">
        <f t="shared" ref="T567:T573" si="246">SUM(H567:S567)</f>
        <v>0</v>
      </c>
      <c r="U567" s="1045"/>
      <c r="V567" s="1046"/>
      <c r="W567" s="936"/>
      <c r="X567" s="937"/>
      <c r="Y567" s="937"/>
      <c r="Z567" s="937"/>
      <c r="AA567" s="937"/>
      <c r="AB567" s="937"/>
      <c r="AC567" s="937"/>
    </row>
    <row r="568" spans="1:29" ht="21" hidden="1">
      <c r="A568" s="1011"/>
      <c r="B568" s="1042"/>
      <c r="C568" s="1042" t="s">
        <v>537</v>
      </c>
      <c r="D568" s="1042" t="s">
        <v>173</v>
      </c>
      <c r="E568" s="1042"/>
      <c r="F568" s="1042"/>
      <c r="G568" s="1042"/>
      <c r="H568" s="1045">
        <f>SUM(H567:H567)</f>
        <v>0</v>
      </c>
      <c r="I568" s="1045">
        <f t="shared" ref="I568:S568" si="247">SUM(I567:I567)</f>
        <v>0</v>
      </c>
      <c r="J568" s="1045">
        <f t="shared" si="247"/>
        <v>0</v>
      </c>
      <c r="K568" s="1045">
        <f t="shared" si="247"/>
        <v>0</v>
      </c>
      <c r="L568" s="1045">
        <f t="shared" si="247"/>
        <v>0</v>
      </c>
      <c r="M568" s="1045">
        <f t="shared" si="247"/>
        <v>0</v>
      </c>
      <c r="N568" s="1045">
        <f t="shared" si="247"/>
        <v>0</v>
      </c>
      <c r="O568" s="1045">
        <f t="shared" si="247"/>
        <v>0</v>
      </c>
      <c r="P568" s="1045">
        <f t="shared" si="247"/>
        <v>0</v>
      </c>
      <c r="Q568" s="1045">
        <f t="shared" si="247"/>
        <v>0</v>
      </c>
      <c r="R568" s="1045">
        <f t="shared" si="247"/>
        <v>0</v>
      </c>
      <c r="S568" s="1045">
        <f t="shared" si="247"/>
        <v>0</v>
      </c>
      <c r="T568" s="1045">
        <f t="shared" si="246"/>
        <v>0</v>
      </c>
      <c r="U568" s="1045"/>
      <c r="V568" s="1046"/>
      <c r="W568" s="937"/>
      <c r="X568" s="937"/>
      <c r="Y568" s="937"/>
      <c r="Z568" s="937"/>
      <c r="AA568" s="937"/>
      <c r="AB568" s="937"/>
      <c r="AC568" s="937"/>
    </row>
    <row r="569" spans="1:29" ht="21" hidden="1">
      <c r="A569" s="1011"/>
      <c r="B569" s="1011"/>
      <c r="C569" s="1031" t="s">
        <v>138</v>
      </c>
      <c r="D569" s="1011" t="s">
        <v>173</v>
      </c>
      <c r="E569" s="964"/>
      <c r="F569" s="964"/>
      <c r="G569" s="1011"/>
      <c r="H569" s="981">
        <f>(H559*$E$559)/1000</f>
        <v>0</v>
      </c>
      <c r="I569" s="981">
        <f t="shared" ref="I569:S569" si="248">(I559*$E$559)/1000</f>
        <v>0</v>
      </c>
      <c r="J569" s="981">
        <f t="shared" si="248"/>
        <v>0</v>
      </c>
      <c r="K569" s="981">
        <f t="shared" si="248"/>
        <v>0</v>
      </c>
      <c r="L569" s="981">
        <f t="shared" si="248"/>
        <v>0</v>
      </c>
      <c r="M569" s="981">
        <f t="shared" si="248"/>
        <v>0</v>
      </c>
      <c r="N569" s="981">
        <f t="shared" si="248"/>
        <v>0</v>
      </c>
      <c r="O569" s="981">
        <f t="shared" si="248"/>
        <v>0</v>
      </c>
      <c r="P569" s="981">
        <f t="shared" si="248"/>
        <v>0</v>
      </c>
      <c r="Q569" s="981">
        <f t="shared" si="248"/>
        <v>0</v>
      </c>
      <c r="R569" s="981">
        <f t="shared" si="248"/>
        <v>0</v>
      </c>
      <c r="S569" s="981">
        <f t="shared" si="248"/>
        <v>0</v>
      </c>
      <c r="T569" s="981">
        <f t="shared" si="246"/>
        <v>0</v>
      </c>
      <c r="U569" s="981"/>
      <c r="V569" s="981"/>
      <c r="W569" s="937"/>
      <c r="X569" s="937"/>
      <c r="Y569" s="937"/>
      <c r="Z569" s="937"/>
      <c r="AA569" s="937"/>
      <c r="AB569" s="937"/>
      <c r="AC569" s="937"/>
    </row>
    <row r="570" spans="1:29" ht="21" hidden="1">
      <c r="A570" s="1011"/>
      <c r="B570" s="1011"/>
      <c r="C570" s="1031" t="s">
        <v>533</v>
      </c>
      <c r="D570" s="1011" t="s">
        <v>173</v>
      </c>
      <c r="E570" s="1011"/>
      <c r="F570" s="1011"/>
      <c r="G570" s="1011"/>
      <c r="H570" s="981">
        <f>H560*$E$560/1000</f>
        <v>0</v>
      </c>
      <c r="I570" s="981">
        <f t="shared" ref="I570:S570" si="249">I560*$E$560/1000</f>
        <v>0</v>
      </c>
      <c r="J570" s="981">
        <f t="shared" si="249"/>
        <v>0</v>
      </c>
      <c r="K570" s="981">
        <f t="shared" si="249"/>
        <v>0</v>
      </c>
      <c r="L570" s="981">
        <f t="shared" si="249"/>
        <v>0</v>
      </c>
      <c r="M570" s="981">
        <f t="shared" si="249"/>
        <v>0</v>
      </c>
      <c r="N570" s="981">
        <f t="shared" si="249"/>
        <v>0</v>
      </c>
      <c r="O570" s="981">
        <f t="shared" si="249"/>
        <v>0</v>
      </c>
      <c r="P570" s="981">
        <f t="shared" si="249"/>
        <v>0</v>
      </c>
      <c r="Q570" s="981">
        <f t="shared" si="249"/>
        <v>0</v>
      </c>
      <c r="R570" s="981">
        <f t="shared" si="249"/>
        <v>0</v>
      </c>
      <c r="S570" s="981">
        <f t="shared" si="249"/>
        <v>0</v>
      </c>
      <c r="T570" s="981">
        <f t="shared" si="246"/>
        <v>0</v>
      </c>
      <c r="U570" s="981"/>
      <c r="V570" s="981"/>
      <c r="W570" s="937"/>
      <c r="X570" s="937"/>
      <c r="Y570" s="937"/>
      <c r="Z570" s="937"/>
      <c r="AA570" s="937"/>
      <c r="AB570" s="937"/>
      <c r="AC570" s="937"/>
    </row>
    <row r="571" spans="1:29" ht="21" hidden="1">
      <c r="A571" s="1011"/>
      <c r="B571" s="1011"/>
      <c r="C571" s="958" t="s">
        <v>101</v>
      </c>
      <c r="D571" s="1011" t="s">
        <v>173</v>
      </c>
      <c r="E571" s="1011"/>
      <c r="F571" s="1011"/>
      <c r="G571" s="1011"/>
      <c r="H571" s="981">
        <f>H561*$E561/1000</f>
        <v>0</v>
      </c>
      <c r="I571" s="981">
        <f t="shared" ref="I571:S571" si="250">I561*$E561/1000</f>
        <v>0</v>
      </c>
      <c r="J571" s="981">
        <f t="shared" si="250"/>
        <v>0</v>
      </c>
      <c r="K571" s="981">
        <f t="shared" si="250"/>
        <v>0</v>
      </c>
      <c r="L571" s="981">
        <f t="shared" si="250"/>
        <v>0</v>
      </c>
      <c r="M571" s="981">
        <f t="shared" si="250"/>
        <v>0</v>
      </c>
      <c r="N571" s="981">
        <f t="shared" si="250"/>
        <v>0</v>
      </c>
      <c r="O571" s="981">
        <f t="shared" si="250"/>
        <v>0</v>
      </c>
      <c r="P571" s="981">
        <f t="shared" si="250"/>
        <v>0</v>
      </c>
      <c r="Q571" s="981">
        <f t="shared" si="250"/>
        <v>0</v>
      </c>
      <c r="R571" s="981">
        <f t="shared" si="250"/>
        <v>0</v>
      </c>
      <c r="S571" s="981">
        <f t="shared" si="250"/>
        <v>0</v>
      </c>
      <c r="T571" s="981">
        <f t="shared" si="246"/>
        <v>0</v>
      </c>
      <c r="U571" s="981"/>
      <c r="V571" s="981"/>
      <c r="W571" s="937"/>
      <c r="X571" s="937"/>
      <c r="Y571" s="937"/>
      <c r="Z571" s="937"/>
      <c r="AA571" s="937"/>
      <c r="AB571" s="937"/>
      <c r="AC571" s="937"/>
    </row>
    <row r="572" spans="1:29" ht="21" hidden="1">
      <c r="A572" s="1011"/>
      <c r="B572" s="1011"/>
      <c r="C572" s="1052" t="s">
        <v>25</v>
      </c>
      <c r="D572" s="1011"/>
      <c r="E572" s="1011"/>
      <c r="F572" s="1011"/>
      <c r="G572" s="1011"/>
      <c r="H572" s="981">
        <f>SUM(H569:H571)</f>
        <v>0</v>
      </c>
      <c r="I572" s="981">
        <f t="shared" ref="I572:S572" si="251">SUM(I569:I570)</f>
        <v>0</v>
      </c>
      <c r="J572" s="981">
        <f t="shared" si="251"/>
        <v>0</v>
      </c>
      <c r="K572" s="981">
        <f t="shared" si="251"/>
        <v>0</v>
      </c>
      <c r="L572" s="981">
        <f t="shared" si="251"/>
        <v>0</v>
      </c>
      <c r="M572" s="981">
        <f t="shared" si="251"/>
        <v>0</v>
      </c>
      <c r="N572" s="981">
        <f t="shared" si="251"/>
        <v>0</v>
      </c>
      <c r="O572" s="981">
        <f t="shared" si="251"/>
        <v>0</v>
      </c>
      <c r="P572" s="981">
        <f t="shared" si="251"/>
        <v>0</v>
      </c>
      <c r="Q572" s="981">
        <f t="shared" si="251"/>
        <v>0</v>
      </c>
      <c r="R572" s="981">
        <f t="shared" si="251"/>
        <v>0</v>
      </c>
      <c r="S572" s="981">
        <f t="shared" si="251"/>
        <v>0</v>
      </c>
      <c r="T572" s="981">
        <f t="shared" si="246"/>
        <v>0</v>
      </c>
      <c r="U572" s="981"/>
      <c r="V572" s="981"/>
      <c r="W572" s="937"/>
      <c r="X572" s="937"/>
      <c r="Y572" s="937"/>
      <c r="Z572" s="937"/>
      <c r="AA572" s="937"/>
      <c r="AB572" s="937"/>
      <c r="AC572" s="937"/>
    </row>
    <row r="573" spans="1:29" ht="21" hidden="1">
      <c r="A573" s="1011"/>
      <c r="B573" s="964"/>
      <c r="C573" s="983" t="s">
        <v>538</v>
      </c>
      <c r="D573" s="964" t="s">
        <v>173</v>
      </c>
      <c r="E573" s="1011"/>
      <c r="F573" s="1011"/>
      <c r="G573" s="1011"/>
      <c r="H573" s="981">
        <f>SUM(H569:H571)</f>
        <v>0</v>
      </c>
      <c r="I573" s="981">
        <f t="shared" ref="I573:S573" si="252">SUM(I569:I571)</f>
        <v>0</v>
      </c>
      <c r="J573" s="981">
        <f t="shared" si="252"/>
        <v>0</v>
      </c>
      <c r="K573" s="981">
        <f t="shared" si="252"/>
        <v>0</v>
      </c>
      <c r="L573" s="981">
        <f t="shared" si="252"/>
        <v>0</v>
      </c>
      <c r="M573" s="981">
        <f t="shared" si="252"/>
        <v>0</v>
      </c>
      <c r="N573" s="981">
        <f t="shared" si="252"/>
        <v>0</v>
      </c>
      <c r="O573" s="981">
        <f t="shared" si="252"/>
        <v>0</v>
      </c>
      <c r="P573" s="981">
        <f t="shared" si="252"/>
        <v>0</v>
      </c>
      <c r="Q573" s="981">
        <f t="shared" si="252"/>
        <v>0</v>
      </c>
      <c r="R573" s="981">
        <f t="shared" si="252"/>
        <v>0</v>
      </c>
      <c r="S573" s="981">
        <f t="shared" si="252"/>
        <v>0</v>
      </c>
      <c r="T573" s="1032">
        <f t="shared" si="246"/>
        <v>0</v>
      </c>
      <c r="U573" s="981"/>
      <c r="V573" s="1033" t="e">
        <f>V562/T573</f>
        <v>#DIV/0!</v>
      </c>
      <c r="W573" s="937"/>
      <c r="X573" s="937"/>
      <c r="Y573" s="937"/>
      <c r="Z573" s="937"/>
      <c r="AA573" s="937"/>
      <c r="AB573" s="937"/>
      <c r="AC573" s="937"/>
    </row>
    <row r="574" spans="1:29" ht="21" hidden="1">
      <c r="A574" s="1011"/>
      <c r="B574" s="1011"/>
      <c r="C574" s="983" t="s">
        <v>345</v>
      </c>
      <c r="D574" s="964" t="s">
        <v>173</v>
      </c>
      <c r="E574" s="1011"/>
      <c r="F574" s="1011"/>
      <c r="G574" s="1011"/>
      <c r="H574" s="981">
        <f>H563*[11]ข้อมูลการใช้พลังงานปี2550!$T$524</f>
        <v>0</v>
      </c>
      <c r="I574" s="981">
        <f>I563*[11]ข้อมูลการใช้พลังงานปี2550!$T$524</f>
        <v>0</v>
      </c>
      <c r="J574" s="981">
        <f>J563*[11]ข้อมูลการใช้พลังงานปี2550!$T$524</f>
        <v>0</v>
      </c>
      <c r="K574" s="981">
        <f>K563*[11]ข้อมูลการใช้พลังงานปี2550!$T$524</f>
        <v>0</v>
      </c>
      <c r="L574" s="981">
        <f>L563*[11]ข้อมูลการใช้พลังงานปี2550!$T$524</f>
        <v>0</v>
      </c>
      <c r="M574" s="981">
        <f>M563*[11]ข้อมูลการใช้พลังงานปี2550!$T$524</f>
        <v>0</v>
      </c>
      <c r="N574" s="981">
        <f>N563*[11]ข้อมูลการใช้พลังงานปี2550!$T$524</f>
        <v>0</v>
      </c>
      <c r="O574" s="981">
        <f>O563*[11]ข้อมูลการใช้พลังงานปี2550!$T$524</f>
        <v>0</v>
      </c>
      <c r="P574" s="981">
        <f>P563*[11]ข้อมูลการใช้พลังงานปี2550!$T$524</f>
        <v>0</v>
      </c>
      <c r="Q574" s="981">
        <f>Q563*[11]ข้อมูลการใช้พลังงานปี2550!$T$524</f>
        <v>0</v>
      </c>
      <c r="R574" s="981">
        <f>R563*[11]ข้อมูลการใช้พลังงานปี2550!$T$524</f>
        <v>0</v>
      </c>
      <c r="S574" s="981">
        <f>S563*[11]ข้อมูลการใช้พลังงานปี2550!$T$524</f>
        <v>0</v>
      </c>
      <c r="T574" s="981">
        <f>T563*[11]ข้อมูลการใช้พลังงานปี2550!$T$524</f>
        <v>0</v>
      </c>
      <c r="U574" s="981"/>
      <c r="V574" s="1001" t="s">
        <v>158</v>
      </c>
      <c r="W574" s="937"/>
      <c r="X574" s="937"/>
      <c r="Y574" s="937"/>
      <c r="Z574" s="937"/>
      <c r="AA574" s="937"/>
      <c r="AB574" s="937"/>
      <c r="AC574" s="937"/>
    </row>
    <row r="575" spans="1:29" ht="21" hidden="1">
      <c r="A575" s="1011"/>
      <c r="B575" s="1003" t="s">
        <v>174</v>
      </c>
      <c r="C575" s="1004" t="s">
        <v>138</v>
      </c>
      <c r="D575" s="1003" t="s">
        <v>347</v>
      </c>
      <c r="E575" s="1003"/>
      <c r="F575" s="1003"/>
      <c r="G575" s="1011"/>
      <c r="H575" s="1119" t="e">
        <f t="shared" ref="H575:T575" si="253">H569/H563</f>
        <v>#DIV/0!</v>
      </c>
      <c r="I575" s="1119" t="e">
        <f t="shared" si="253"/>
        <v>#DIV/0!</v>
      </c>
      <c r="J575" s="1119" t="e">
        <f t="shared" si="253"/>
        <v>#DIV/0!</v>
      </c>
      <c r="K575" s="1119" t="e">
        <f t="shared" si="253"/>
        <v>#DIV/0!</v>
      </c>
      <c r="L575" s="1119" t="e">
        <f t="shared" si="253"/>
        <v>#DIV/0!</v>
      </c>
      <c r="M575" s="1119" t="e">
        <f t="shared" si="253"/>
        <v>#DIV/0!</v>
      </c>
      <c r="N575" s="1119" t="e">
        <f t="shared" si="253"/>
        <v>#DIV/0!</v>
      </c>
      <c r="O575" s="1119" t="e">
        <f t="shared" si="253"/>
        <v>#DIV/0!</v>
      </c>
      <c r="P575" s="1119" t="e">
        <f t="shared" si="253"/>
        <v>#DIV/0!</v>
      </c>
      <c r="Q575" s="1119" t="e">
        <f t="shared" si="253"/>
        <v>#DIV/0!</v>
      </c>
      <c r="R575" s="1119" t="e">
        <f t="shared" si="253"/>
        <v>#DIV/0!</v>
      </c>
      <c r="S575" s="1119" t="e">
        <f t="shared" si="253"/>
        <v>#DIV/0!</v>
      </c>
      <c r="T575" s="1119" t="e">
        <f t="shared" si="253"/>
        <v>#DIV/0!</v>
      </c>
      <c r="U575" s="1007"/>
      <c r="V575" s="1007"/>
      <c r="W575" s="937"/>
      <c r="X575" s="937"/>
      <c r="Y575" s="937"/>
      <c r="Z575" s="937"/>
      <c r="AA575" s="937"/>
      <c r="AB575" s="937"/>
      <c r="AC575" s="937"/>
    </row>
    <row r="576" spans="1:29" ht="21" hidden="1">
      <c r="A576" s="1011"/>
      <c r="B576" s="1003"/>
      <c r="C576" s="1004" t="s">
        <v>533</v>
      </c>
      <c r="D576" s="1003" t="s">
        <v>347</v>
      </c>
      <c r="E576" s="1003"/>
      <c r="F576" s="1003"/>
      <c r="G576" s="1011"/>
      <c r="H576" s="1119" t="e">
        <f t="shared" ref="H576:T576" si="254">H570/H563</f>
        <v>#DIV/0!</v>
      </c>
      <c r="I576" s="1119" t="e">
        <f t="shared" si="254"/>
        <v>#DIV/0!</v>
      </c>
      <c r="J576" s="1119" t="e">
        <f t="shared" si="254"/>
        <v>#DIV/0!</v>
      </c>
      <c r="K576" s="1119" t="e">
        <f t="shared" si="254"/>
        <v>#DIV/0!</v>
      </c>
      <c r="L576" s="1119" t="e">
        <f t="shared" si="254"/>
        <v>#DIV/0!</v>
      </c>
      <c r="M576" s="1119" t="e">
        <f t="shared" si="254"/>
        <v>#DIV/0!</v>
      </c>
      <c r="N576" s="1119" t="e">
        <f t="shared" si="254"/>
        <v>#DIV/0!</v>
      </c>
      <c r="O576" s="1119" t="e">
        <f t="shared" si="254"/>
        <v>#DIV/0!</v>
      </c>
      <c r="P576" s="1119" t="e">
        <f t="shared" si="254"/>
        <v>#DIV/0!</v>
      </c>
      <c r="Q576" s="1119" t="e">
        <f t="shared" si="254"/>
        <v>#DIV/0!</v>
      </c>
      <c r="R576" s="1119" t="e">
        <f t="shared" si="254"/>
        <v>#DIV/0!</v>
      </c>
      <c r="S576" s="1119" t="e">
        <f t="shared" si="254"/>
        <v>#DIV/0!</v>
      </c>
      <c r="T576" s="1119" t="e">
        <f t="shared" si="254"/>
        <v>#DIV/0!</v>
      </c>
      <c r="U576" s="1007"/>
      <c r="V576" s="1007"/>
      <c r="W576" s="937"/>
      <c r="X576" s="937"/>
      <c r="Y576" s="937"/>
      <c r="Z576" s="937"/>
      <c r="AA576" s="937"/>
      <c r="AB576" s="937"/>
      <c r="AC576" s="937"/>
    </row>
    <row r="577" spans="1:29" ht="21" hidden="1">
      <c r="A577" s="1011"/>
      <c r="B577" s="1003"/>
      <c r="C577" s="1004" t="s">
        <v>101</v>
      </c>
      <c r="D577" s="1003" t="s">
        <v>347</v>
      </c>
      <c r="E577" s="1003"/>
      <c r="F577" s="1003"/>
      <c r="G577" s="1011"/>
      <c r="H577" s="1119" t="e">
        <f t="shared" ref="H577:T577" si="255">H571/H563</f>
        <v>#DIV/0!</v>
      </c>
      <c r="I577" s="1119" t="e">
        <f t="shared" si="255"/>
        <v>#DIV/0!</v>
      </c>
      <c r="J577" s="1119" t="e">
        <f t="shared" si="255"/>
        <v>#DIV/0!</v>
      </c>
      <c r="K577" s="1119" t="e">
        <f t="shared" si="255"/>
        <v>#DIV/0!</v>
      </c>
      <c r="L577" s="1119" t="e">
        <f t="shared" si="255"/>
        <v>#DIV/0!</v>
      </c>
      <c r="M577" s="1119" t="e">
        <f t="shared" si="255"/>
        <v>#DIV/0!</v>
      </c>
      <c r="N577" s="1119" t="e">
        <f t="shared" si="255"/>
        <v>#DIV/0!</v>
      </c>
      <c r="O577" s="1119" t="e">
        <f t="shared" si="255"/>
        <v>#DIV/0!</v>
      </c>
      <c r="P577" s="1119" t="e">
        <f t="shared" si="255"/>
        <v>#DIV/0!</v>
      </c>
      <c r="Q577" s="1119" t="e">
        <f t="shared" si="255"/>
        <v>#DIV/0!</v>
      </c>
      <c r="R577" s="1119" t="e">
        <f t="shared" si="255"/>
        <v>#DIV/0!</v>
      </c>
      <c r="S577" s="1119" t="e">
        <f t="shared" si="255"/>
        <v>#DIV/0!</v>
      </c>
      <c r="T577" s="1119" t="e">
        <f t="shared" si="255"/>
        <v>#DIV/0!</v>
      </c>
      <c r="U577" s="1007"/>
      <c r="V577" s="1007"/>
      <c r="W577" s="937"/>
      <c r="X577" s="937"/>
      <c r="Y577" s="937"/>
      <c r="Z577" s="937"/>
      <c r="AA577" s="937"/>
      <c r="AB577" s="937"/>
      <c r="AC577" s="937"/>
    </row>
    <row r="578" spans="1:29" ht="21" hidden="1">
      <c r="A578" s="1011"/>
      <c r="B578" s="1003"/>
      <c r="C578" s="1003" t="s">
        <v>539</v>
      </c>
      <c r="D578" s="1003" t="s">
        <v>347</v>
      </c>
      <c r="E578" s="1003"/>
      <c r="F578" s="1003"/>
      <c r="G578" s="1011"/>
      <c r="H578" s="1119" t="e">
        <f t="shared" ref="H578:T578" si="256">H572/H563</f>
        <v>#DIV/0!</v>
      </c>
      <c r="I578" s="1119" t="e">
        <f t="shared" si="256"/>
        <v>#DIV/0!</v>
      </c>
      <c r="J578" s="1119" t="e">
        <f t="shared" si="256"/>
        <v>#DIV/0!</v>
      </c>
      <c r="K578" s="1119" t="e">
        <f t="shared" si="256"/>
        <v>#DIV/0!</v>
      </c>
      <c r="L578" s="1119" t="e">
        <f t="shared" si="256"/>
        <v>#DIV/0!</v>
      </c>
      <c r="M578" s="1119" t="e">
        <f t="shared" si="256"/>
        <v>#DIV/0!</v>
      </c>
      <c r="N578" s="1119" t="e">
        <f t="shared" si="256"/>
        <v>#DIV/0!</v>
      </c>
      <c r="O578" s="1119" t="e">
        <f t="shared" si="256"/>
        <v>#DIV/0!</v>
      </c>
      <c r="P578" s="1119" t="e">
        <f t="shared" si="256"/>
        <v>#DIV/0!</v>
      </c>
      <c r="Q578" s="1119" t="e">
        <f t="shared" si="256"/>
        <v>#DIV/0!</v>
      </c>
      <c r="R578" s="1119" t="e">
        <f t="shared" si="256"/>
        <v>#DIV/0!</v>
      </c>
      <c r="S578" s="1119" t="e">
        <f t="shared" si="256"/>
        <v>#DIV/0!</v>
      </c>
      <c r="T578" s="1119" t="e">
        <f t="shared" si="256"/>
        <v>#DIV/0!</v>
      </c>
      <c r="U578" s="1007"/>
      <c r="V578" s="1007"/>
      <c r="W578" s="937"/>
      <c r="X578" s="937"/>
      <c r="Y578" s="937"/>
      <c r="Z578" s="937"/>
      <c r="AA578" s="937"/>
      <c r="AB578" s="937"/>
      <c r="AC578" s="937"/>
    </row>
    <row r="579" spans="1:29" ht="23.25" hidden="1">
      <c r="A579" s="1011"/>
      <c r="B579" s="1003"/>
      <c r="C579" s="1008" t="s">
        <v>540</v>
      </c>
      <c r="D579" s="1003" t="s">
        <v>347</v>
      </c>
      <c r="E579" s="1003"/>
      <c r="F579" s="1003"/>
      <c r="G579" s="1011"/>
      <c r="H579" s="1119" t="e">
        <f t="shared" ref="H579:T579" si="257">H573/H563</f>
        <v>#DIV/0!</v>
      </c>
      <c r="I579" s="1119" t="e">
        <f t="shared" si="257"/>
        <v>#DIV/0!</v>
      </c>
      <c r="J579" s="1119" t="e">
        <f t="shared" si="257"/>
        <v>#DIV/0!</v>
      </c>
      <c r="K579" s="1119" t="e">
        <f t="shared" si="257"/>
        <v>#DIV/0!</v>
      </c>
      <c r="L579" s="1119" t="e">
        <f t="shared" si="257"/>
        <v>#DIV/0!</v>
      </c>
      <c r="M579" s="1119" t="e">
        <f t="shared" si="257"/>
        <v>#DIV/0!</v>
      </c>
      <c r="N579" s="1119" t="e">
        <f t="shared" si="257"/>
        <v>#DIV/0!</v>
      </c>
      <c r="O579" s="1119" t="e">
        <f t="shared" si="257"/>
        <v>#DIV/0!</v>
      </c>
      <c r="P579" s="1119" t="e">
        <f t="shared" si="257"/>
        <v>#DIV/0!</v>
      </c>
      <c r="Q579" s="1119" t="e">
        <f t="shared" si="257"/>
        <v>#DIV/0!</v>
      </c>
      <c r="R579" s="1119" t="e">
        <f t="shared" si="257"/>
        <v>#DIV/0!</v>
      </c>
      <c r="S579" s="1119" t="e">
        <f t="shared" si="257"/>
        <v>#DIV/0!</v>
      </c>
      <c r="T579" s="1168" t="e">
        <f t="shared" si="257"/>
        <v>#DIV/0!</v>
      </c>
      <c r="U579" s="1007"/>
      <c r="V579" s="1007"/>
      <c r="W579" s="937"/>
      <c r="X579" s="937"/>
      <c r="Y579" s="937"/>
      <c r="Z579" s="937"/>
      <c r="AA579" s="937"/>
      <c r="AB579" s="937"/>
      <c r="AC579" s="937"/>
    </row>
    <row r="580" spans="1:29" ht="21" hidden="1">
      <c r="A580" s="1011"/>
      <c r="B580" s="1003"/>
      <c r="C580" s="1008" t="s">
        <v>541</v>
      </c>
      <c r="D580" s="1003"/>
      <c r="E580" s="1003"/>
      <c r="F580" s="1003"/>
      <c r="G580" s="1011"/>
      <c r="H580" s="1009" t="e">
        <f>H579/[11]ข้อมูลการใช้พลังงานปี2550!$T$524*100</f>
        <v>#DIV/0!</v>
      </c>
      <c r="I580" s="1009" t="e">
        <f>I579/[11]ข้อมูลการใช้พลังงานปี2550!$T$524*100</f>
        <v>#DIV/0!</v>
      </c>
      <c r="J580" s="1009" t="e">
        <f>J579/[11]ข้อมูลการใช้พลังงานปี2550!$T$524*100</f>
        <v>#DIV/0!</v>
      </c>
      <c r="K580" s="1009" t="e">
        <f>K579/[11]ข้อมูลการใช้พลังงานปี2550!$T$524*100</f>
        <v>#DIV/0!</v>
      </c>
      <c r="L580" s="1009" t="e">
        <f>L579/[11]ข้อมูลการใช้พลังงานปี2550!$T$524*100</f>
        <v>#DIV/0!</v>
      </c>
      <c r="M580" s="1009" t="e">
        <f>M579/[11]ข้อมูลการใช้พลังงานปี2550!$T$524*100</f>
        <v>#DIV/0!</v>
      </c>
      <c r="N580" s="1009" t="e">
        <f>N579/[11]ข้อมูลการใช้พลังงานปี2550!$T$524*100</f>
        <v>#DIV/0!</v>
      </c>
      <c r="O580" s="1009" t="e">
        <f>O579/[11]ข้อมูลการใช้พลังงานปี2550!$T$524*100</f>
        <v>#DIV/0!</v>
      </c>
      <c r="P580" s="1009" t="e">
        <f>P579/[11]ข้อมูลการใช้พลังงานปี2550!$T$524*100</f>
        <v>#DIV/0!</v>
      </c>
      <c r="Q580" s="1009" t="e">
        <f>Q579/[11]ข้อมูลการใช้พลังงานปี2550!$T$524*100</f>
        <v>#DIV/0!</v>
      </c>
      <c r="R580" s="1009" t="e">
        <f>R579/[11]ข้อมูลการใช้พลังงานปี2550!$T$524*100</f>
        <v>#DIV/0!</v>
      </c>
      <c r="S580" s="1009" t="e">
        <f>S579/[11]ข้อมูลการใช้พลังงานปี2550!$T$524*100</f>
        <v>#DIV/0!</v>
      </c>
      <c r="T580" s="1009" t="e">
        <f>T579/[11]ข้อมูลการใช้พลังงานปี2550!$T$524*100</f>
        <v>#DIV/0!</v>
      </c>
      <c r="U580" s="1007"/>
      <c r="V580" s="1007"/>
      <c r="W580" s="937"/>
      <c r="X580" s="937"/>
      <c r="Y580" s="937"/>
      <c r="Z580" s="937"/>
      <c r="AA580" s="937"/>
      <c r="AB580" s="937"/>
      <c r="AC580" s="937"/>
    </row>
    <row r="581" spans="1:29" ht="21" hidden="1">
      <c r="A581" s="964"/>
      <c r="B581" s="964"/>
      <c r="C581" s="983" t="s">
        <v>542</v>
      </c>
      <c r="D581" s="983"/>
      <c r="E581" s="964"/>
      <c r="F581" s="964"/>
      <c r="G581" s="964"/>
      <c r="H581" s="985">
        <f t="shared" ref="H581:S582" si="258">H521+H532+H543+H553</f>
        <v>8840.9464363636343</v>
      </c>
      <c r="I581" s="985">
        <f t="shared" si="258"/>
        <v>8266.4545090909069</v>
      </c>
      <c r="J581" s="985">
        <f t="shared" si="258"/>
        <v>9037.7793818181854</v>
      </c>
      <c r="K581" s="985">
        <f t="shared" si="258"/>
        <v>0</v>
      </c>
      <c r="L581" s="985">
        <f t="shared" si="258"/>
        <v>0</v>
      </c>
      <c r="M581" s="985">
        <f t="shared" si="258"/>
        <v>0</v>
      </c>
      <c r="N581" s="985">
        <f t="shared" si="258"/>
        <v>0</v>
      </c>
      <c r="O581" s="985">
        <f t="shared" si="258"/>
        <v>0</v>
      </c>
      <c r="P581" s="985">
        <f t="shared" si="258"/>
        <v>0</v>
      </c>
      <c r="Q581" s="985">
        <f t="shared" si="258"/>
        <v>0</v>
      </c>
      <c r="R581" s="985">
        <f t="shared" si="258"/>
        <v>0</v>
      </c>
      <c r="S581" s="985">
        <f t="shared" si="258"/>
        <v>0</v>
      </c>
      <c r="T581" s="1169">
        <f>SUM(H581:S581)</f>
        <v>26145.180327272727</v>
      </c>
      <c r="U581" s="966"/>
      <c r="V581" s="966"/>
      <c r="W581" s="937"/>
      <c r="X581" s="937"/>
      <c r="Y581" s="937"/>
      <c r="Z581" s="937"/>
      <c r="AA581" s="937"/>
      <c r="AB581" s="937"/>
      <c r="AC581" s="937"/>
    </row>
    <row r="582" spans="1:29" ht="21" hidden="1">
      <c r="A582" s="964"/>
      <c r="B582" s="964"/>
      <c r="C582" s="983" t="s">
        <v>543</v>
      </c>
      <c r="D582" s="964"/>
      <c r="E582" s="964"/>
      <c r="F582" s="964"/>
      <c r="G582" s="964"/>
      <c r="H582" s="985">
        <f t="shared" si="258"/>
        <v>9055.0902586648626</v>
      </c>
      <c r="I582" s="985">
        <f t="shared" si="258"/>
        <v>8477.9409828236912</v>
      </c>
      <c r="J582" s="985">
        <f t="shared" si="258"/>
        <v>9087.6972274484706</v>
      </c>
      <c r="K582" s="985">
        <f t="shared" si="258"/>
        <v>0</v>
      </c>
      <c r="L582" s="985">
        <f t="shared" si="258"/>
        <v>0</v>
      </c>
      <c r="M582" s="985">
        <f t="shared" si="258"/>
        <v>0</v>
      </c>
      <c r="N582" s="985">
        <f t="shared" si="258"/>
        <v>0</v>
      </c>
      <c r="O582" s="985">
        <f t="shared" si="258"/>
        <v>0</v>
      </c>
      <c r="P582" s="985">
        <f t="shared" si="258"/>
        <v>0</v>
      </c>
      <c r="Q582" s="985">
        <f t="shared" si="258"/>
        <v>0</v>
      </c>
      <c r="R582" s="985">
        <f t="shared" si="258"/>
        <v>0</v>
      </c>
      <c r="S582" s="985">
        <f t="shared" si="258"/>
        <v>0</v>
      </c>
      <c r="T582" s="1169">
        <f>SUM(H582:S582)</f>
        <v>26620.728468937028</v>
      </c>
      <c r="U582" s="968"/>
      <c r="V582" s="966"/>
      <c r="W582" s="937"/>
      <c r="X582" s="937"/>
      <c r="Y582" s="937"/>
      <c r="Z582" s="937"/>
      <c r="AA582" s="937"/>
      <c r="AB582" s="937"/>
      <c r="AC582" s="937"/>
    </row>
    <row r="583" spans="1:29" ht="21" hidden="1">
      <c r="A583" s="964"/>
      <c r="B583" s="964"/>
      <c r="C583" s="983" t="s">
        <v>544</v>
      </c>
      <c r="D583" s="964"/>
      <c r="E583" s="964"/>
      <c r="F583" s="964"/>
      <c r="G583" s="964"/>
      <c r="H583" s="985">
        <f>H581/H582*100</f>
        <v>97.635100079799713</v>
      </c>
      <c r="I583" s="985">
        <f t="shared" ref="I583:T583" si="259">I581/I582*100</f>
        <v>97.505450036025778</v>
      </c>
      <c r="J583" s="985">
        <f t="shared" si="259"/>
        <v>99.450709631043679</v>
      </c>
      <c r="K583" s="985" t="e">
        <f t="shared" si="259"/>
        <v>#DIV/0!</v>
      </c>
      <c r="L583" s="985" t="e">
        <f t="shared" si="259"/>
        <v>#DIV/0!</v>
      </c>
      <c r="M583" s="985" t="e">
        <f t="shared" si="259"/>
        <v>#DIV/0!</v>
      </c>
      <c r="N583" s="985" t="e">
        <f t="shared" si="259"/>
        <v>#DIV/0!</v>
      </c>
      <c r="O583" s="985" t="e">
        <f t="shared" si="259"/>
        <v>#DIV/0!</v>
      </c>
      <c r="P583" s="985" t="e">
        <f t="shared" si="259"/>
        <v>#DIV/0!</v>
      </c>
      <c r="Q583" s="985" t="e">
        <f t="shared" si="259"/>
        <v>#DIV/0!</v>
      </c>
      <c r="R583" s="985" t="e">
        <f t="shared" si="259"/>
        <v>#DIV/0!</v>
      </c>
      <c r="S583" s="985" t="e">
        <f t="shared" si="259"/>
        <v>#DIV/0!</v>
      </c>
      <c r="T583" s="985">
        <f t="shared" si="259"/>
        <v>98.213617098347981</v>
      </c>
      <c r="U583" s="968"/>
      <c r="V583" s="966"/>
      <c r="W583" s="937"/>
      <c r="X583" s="937"/>
      <c r="Y583" s="937"/>
      <c r="Z583" s="937"/>
      <c r="AA583" s="937"/>
      <c r="AB583" s="937"/>
      <c r="AC583" s="937"/>
    </row>
    <row r="584" spans="1:29" ht="21" hidden="1">
      <c r="A584" s="964"/>
      <c r="B584" s="964"/>
      <c r="C584" s="983" t="s">
        <v>545</v>
      </c>
      <c r="D584" s="964"/>
      <c r="E584" s="964"/>
      <c r="F584" s="964"/>
      <c r="G584" s="964"/>
      <c r="H584" s="1170">
        <f>H583</f>
        <v>97.635100079799713</v>
      </c>
      <c r="I584" s="1170">
        <f>(H581+I581)/(H582+I582)*100</f>
        <v>97.57240895671913</v>
      </c>
      <c r="J584" s="1170">
        <f>(H581+I581+J581)/(H582+I582+J582)*100</f>
        <v>98.213617098347981</v>
      </c>
      <c r="K584" s="1170">
        <f>(H581+I581+J581+K581)/(H582+I582+J582+K582)*100</f>
        <v>98.213617098347981</v>
      </c>
      <c r="L584" s="1170">
        <f>(H581+I581+J581+K581+L581)/(H582+I582+J582+K582+L582)*100</f>
        <v>98.213617098347981</v>
      </c>
      <c r="M584" s="1170">
        <f>(H581+I581+J581+K581+L581+M581)/(H582+I582+J582+K582+L582+M582)*100</f>
        <v>98.213617098347981</v>
      </c>
      <c r="N584" s="1170">
        <f>(H581+I581+J581+K581+L581+M581+N581)/(H582+I582+J582+K582+L582+M582+N582)*100</f>
        <v>98.213617098347981</v>
      </c>
      <c r="O584" s="1170">
        <f>(H581+I581+J581+K581+L581+M581+N581+O581)/(H582+I582+J582+K582+L582+M582+N582+O582)*100</f>
        <v>98.213617098347981</v>
      </c>
      <c r="P584" s="1170">
        <f>(H581+I581+J581+K581+L581+M581+N581+O581+P581)/(H582+I582+J582+K582+L582+M582+N582+O582+P582)*100</f>
        <v>98.213617098347981</v>
      </c>
      <c r="Q584" s="1170">
        <f>(H581+I581+J581+K581+L581+N581+M581+O581+P581+Q581)/(H582+I582+J582+K582+L582+M582+N582+O582+P582+Q582)*100</f>
        <v>98.213617098347981</v>
      </c>
      <c r="R584" s="1170">
        <f>(H581+I581+J581+K581+L581+M581+N581+O581+P581+Q581+R581)/(H582+I582+J582+K582+M582+L582+N582+O582+P582+Q582+R582)*100</f>
        <v>98.213617098347981</v>
      </c>
      <c r="S584" s="1170">
        <f>(H581+I581+J581+K581+L581+M581+N581+O581+P581+Q581+R581+S581)/(H582+I582+J582+K582+L582+M582+N582+O582+P582+Q582+R582+S582)*100</f>
        <v>98.213617098347981</v>
      </c>
      <c r="T584" s="1171">
        <f>T581/T582*100</f>
        <v>98.213617098347981</v>
      </c>
      <c r="U584" s="968"/>
      <c r="V584" s="966"/>
      <c r="W584" s="936"/>
      <c r="X584" s="937"/>
      <c r="Y584" s="937"/>
      <c r="Z584" s="937"/>
      <c r="AA584" s="937"/>
      <c r="AB584" s="937"/>
      <c r="AC584" s="937"/>
    </row>
    <row r="585" spans="1:29" ht="21" hidden="1">
      <c r="A585" s="956"/>
      <c r="B585" s="956"/>
      <c r="C585" s="1172"/>
      <c r="D585" s="956"/>
      <c r="E585" s="956"/>
      <c r="F585" s="956"/>
      <c r="G585" s="956"/>
      <c r="H585" s="1173"/>
      <c r="I585" s="1174"/>
      <c r="J585" s="1174"/>
      <c r="K585" s="1174"/>
      <c r="L585" s="1174"/>
      <c r="M585" s="1174"/>
      <c r="N585" s="1174"/>
      <c r="O585" s="1174"/>
      <c r="P585" s="1174"/>
      <c r="Q585" s="1174"/>
      <c r="R585" s="1174"/>
      <c r="S585" s="1174"/>
      <c r="T585" s="1175"/>
      <c r="U585" s="968"/>
      <c r="V585" s="966"/>
      <c r="W585" s="936"/>
      <c r="X585" s="937"/>
      <c r="Y585" s="937"/>
      <c r="Z585" s="937"/>
      <c r="AA585" s="937"/>
      <c r="AB585" s="937"/>
      <c r="AC585" s="937"/>
    </row>
    <row r="586" spans="1:29" ht="21" hidden="1">
      <c r="A586" s="956">
        <v>22</v>
      </c>
      <c r="B586" s="957" t="s">
        <v>132</v>
      </c>
      <c r="C586" s="1176" t="s">
        <v>138</v>
      </c>
      <c r="D586" s="956" t="s">
        <v>90</v>
      </c>
      <c r="E586" s="959">
        <f>'[11]Price&amp;Heating-Value'!$R$6</f>
        <v>3.6</v>
      </c>
      <c r="F586" s="956"/>
      <c r="G586" s="960">
        <f>'[11]Price&amp;Heating-Value'!$P$6</f>
        <v>2.7124999999999999</v>
      </c>
      <c r="H586" s="1106">
        <v>123322</v>
      </c>
      <c r="I586" s="1106">
        <v>126360</v>
      </c>
      <c r="J586" s="961">
        <v>141856</v>
      </c>
      <c r="K586" s="961"/>
      <c r="L586" s="961"/>
      <c r="M586" s="961"/>
      <c r="N586" s="961"/>
      <c r="O586" s="961"/>
      <c r="P586" s="961"/>
      <c r="Q586" s="961"/>
      <c r="R586" s="961"/>
      <c r="S586" s="961"/>
      <c r="T586" s="961">
        <f>SUM(H586:S586)</f>
        <v>391538</v>
      </c>
      <c r="U586" s="966">
        <f>T586*E586</f>
        <v>1409536.8</v>
      </c>
      <c r="V586" s="966">
        <f>G586*T586</f>
        <v>1062046.825</v>
      </c>
      <c r="W586" s="954">
        <f>'[11]Price&amp;Heating-Value'!D$6</f>
        <v>2.4500000000000002</v>
      </c>
      <c r="X586" s="954">
        <f>'[11]Price&amp;Heating-Value'!E$6</f>
        <v>2.54</v>
      </c>
      <c r="Y586" s="954">
        <f>'[11]Price&amp;Heating-Value'!F$6</f>
        <v>2.58</v>
      </c>
      <c r="Z586" s="954">
        <f>'[11]Price&amp;Heating-Value'!G$6</f>
        <v>2.67</v>
      </c>
      <c r="AA586" s="954">
        <f>'[11]Price&amp;Heating-Value'!H$6</f>
        <v>2.67</v>
      </c>
      <c r="AB586" s="954">
        <f>'[11]Price&amp;Heating-Value'!I$6</f>
        <v>2.67</v>
      </c>
      <c r="AC586" s="954">
        <f>'[11]Price&amp;Heating-Value'!J$6</f>
        <v>2.62</v>
      </c>
    </row>
    <row r="587" spans="1:29" ht="21" hidden="1">
      <c r="A587" s="964"/>
      <c r="B587" s="964"/>
      <c r="C587" s="958" t="s">
        <v>550</v>
      </c>
      <c r="D587" s="964" t="s">
        <v>483</v>
      </c>
      <c r="E587" s="964">
        <f>'[11]Price&amp;Heating-Value'!$R$19/1000</f>
        <v>43.993000000000002</v>
      </c>
      <c r="F587" s="964"/>
      <c r="G587" s="1133">
        <f>'[11]Price&amp;Heating-Value'!P19/1000</f>
        <v>5.9003324083333331</v>
      </c>
      <c r="H587" s="1015">
        <f>60*1000</f>
        <v>60000</v>
      </c>
      <c r="I587" s="1015">
        <f>61*1000</f>
        <v>61000</v>
      </c>
      <c r="J587" s="966">
        <v>66465</v>
      </c>
      <c r="K587" s="966"/>
      <c r="L587" s="966"/>
      <c r="M587" s="966"/>
      <c r="N587" s="966"/>
      <c r="O587" s="966"/>
      <c r="P587" s="966"/>
      <c r="Q587" s="966"/>
      <c r="R587" s="966"/>
      <c r="S587" s="966"/>
      <c r="T587" s="966">
        <f>SUM(H587:S587)</f>
        <v>187465</v>
      </c>
      <c r="U587" s="966">
        <f>T587*E587</f>
        <v>8247147.7450000001</v>
      </c>
      <c r="V587" s="966">
        <f>G587*T587</f>
        <v>1106105.8149282082</v>
      </c>
      <c r="W587" s="1134">
        <f>'[11]Price&amp;Heating-Value'!D$19/1000</f>
        <v>5.3311999999999999</v>
      </c>
      <c r="X587" s="1135">
        <f>'[11]Price&amp;Heating-Value'!E$19/1000</f>
        <v>5.3087400000000011</v>
      </c>
      <c r="Y587" s="1135">
        <f>'[11]Price&amp;Heating-Value'!F$19/1000</f>
        <v>5.3071200000000003</v>
      </c>
      <c r="Z587" s="1135">
        <f>'[11]Price&amp;Heating-Value'!G$19/1000</f>
        <v>5.3289600000000004</v>
      </c>
      <c r="AA587" s="1135">
        <f>'[11]Price&amp;Heating-Value'!H$19/1000</f>
        <v>5.3113499999999991</v>
      </c>
      <c r="AB587" s="1135">
        <f>'[11]Price&amp;Heating-Value'!I$19/1000</f>
        <v>5.3247999999999998</v>
      </c>
      <c r="AC587" s="1135">
        <f>'[11]Price&amp;Heating-Value'!J$19/1000</f>
        <v>5.3135399999999997</v>
      </c>
    </row>
    <row r="588" spans="1:29" ht="21" hidden="1">
      <c r="A588" s="964"/>
      <c r="B588" s="964"/>
      <c r="C588" s="958" t="s">
        <v>546</v>
      </c>
      <c r="D588" s="964" t="s">
        <v>121</v>
      </c>
      <c r="E588" s="1071">
        <v>16210.0335</v>
      </c>
      <c r="F588" s="964"/>
      <c r="G588" s="1133"/>
      <c r="H588" s="1023">
        <v>2.2280000000000002</v>
      </c>
      <c r="I588" s="1023">
        <v>1.673</v>
      </c>
      <c r="J588" s="1012">
        <v>0.55600000000000005</v>
      </c>
      <c r="K588" s="1012"/>
      <c r="L588" s="1012"/>
      <c r="M588" s="1012"/>
      <c r="N588" s="1012"/>
      <c r="O588" s="1012"/>
      <c r="P588" s="1012"/>
      <c r="Q588" s="1012"/>
      <c r="R588" s="966"/>
      <c r="S588" s="966"/>
      <c r="T588" s="966"/>
      <c r="U588" s="966"/>
      <c r="V588" s="966"/>
      <c r="W588" s="1135"/>
      <c r="X588" s="1135"/>
      <c r="Y588" s="1135"/>
      <c r="Z588" s="1135"/>
      <c r="AA588" s="1135"/>
      <c r="AB588" s="1135"/>
      <c r="AC588" s="1135"/>
    </row>
    <row r="589" spans="1:29" ht="21" hidden="1">
      <c r="A589" s="964"/>
      <c r="B589" s="964"/>
      <c r="C589" s="958" t="s">
        <v>547</v>
      </c>
      <c r="D589" s="964" t="s">
        <v>121</v>
      </c>
      <c r="E589" s="964">
        <v>2732</v>
      </c>
      <c r="F589" s="964"/>
      <c r="G589" s="1133"/>
      <c r="H589" s="1015">
        <v>1870</v>
      </c>
      <c r="I589" s="1015">
        <v>1803</v>
      </c>
      <c r="J589" s="966">
        <v>2270</v>
      </c>
      <c r="K589" s="966"/>
      <c r="L589" s="966"/>
      <c r="M589" s="966"/>
      <c r="N589" s="966"/>
      <c r="O589" s="966"/>
      <c r="P589" s="966"/>
      <c r="Q589" s="966"/>
      <c r="R589" s="966"/>
      <c r="S589" s="966"/>
      <c r="T589" s="966"/>
      <c r="U589" s="966"/>
      <c r="V589" s="966"/>
      <c r="W589" s="1135"/>
      <c r="X589" s="1135"/>
      <c r="Y589" s="1135"/>
      <c r="Z589" s="1135"/>
      <c r="AA589" s="1135"/>
      <c r="AB589" s="1135"/>
      <c r="AC589" s="1135"/>
    </row>
    <row r="590" spans="1:29" ht="21" hidden="1">
      <c r="A590" s="964"/>
      <c r="B590" s="964"/>
      <c r="C590" s="958" t="s">
        <v>548</v>
      </c>
      <c r="D590" s="964" t="s">
        <v>121</v>
      </c>
      <c r="E590" s="964">
        <v>3180</v>
      </c>
      <c r="F590" s="964"/>
      <c r="G590" s="1133"/>
      <c r="H590" s="1015">
        <v>5338</v>
      </c>
      <c r="I590" s="1015">
        <v>4369</v>
      </c>
      <c r="J590" s="966">
        <v>5639</v>
      </c>
      <c r="K590" s="966"/>
      <c r="L590" s="966"/>
      <c r="M590" s="966"/>
      <c r="N590" s="966"/>
      <c r="O590" s="966"/>
      <c r="P590" s="966"/>
      <c r="Q590" s="966"/>
      <c r="R590" s="966"/>
      <c r="S590" s="966"/>
      <c r="T590" s="966"/>
      <c r="U590" s="966"/>
      <c r="V590" s="966"/>
      <c r="W590" s="1135"/>
      <c r="X590" s="1135"/>
      <c r="Y590" s="1135"/>
      <c r="Z590" s="1135"/>
      <c r="AA590" s="1135"/>
      <c r="AB590" s="1135"/>
      <c r="AC590" s="1135"/>
    </row>
    <row r="591" spans="1:29" ht="21" hidden="1">
      <c r="A591" s="964"/>
      <c r="B591" s="964"/>
      <c r="C591" s="983" t="s">
        <v>933</v>
      </c>
      <c r="D591" s="964"/>
      <c r="E591" s="964"/>
      <c r="F591" s="964"/>
      <c r="G591" s="964"/>
      <c r="H591" s="987"/>
      <c r="I591" s="987"/>
      <c r="J591" s="987"/>
      <c r="K591" s="987"/>
      <c r="L591" s="987"/>
      <c r="M591" s="987"/>
      <c r="N591" s="987"/>
      <c r="O591" s="987"/>
      <c r="P591" s="987"/>
      <c r="Q591" s="987"/>
      <c r="R591" s="987"/>
      <c r="S591" s="987"/>
      <c r="T591" s="987">
        <f>SUM(H591:S591)</f>
        <v>0</v>
      </c>
      <c r="U591" s="966"/>
      <c r="V591" s="966">
        <f>SUM(V586:V587)</f>
        <v>2168152.6399282082</v>
      </c>
      <c r="W591" s="936"/>
      <c r="X591" s="937"/>
      <c r="Y591" s="937"/>
      <c r="Z591" s="937"/>
      <c r="AA591" s="937"/>
      <c r="AB591" s="937"/>
      <c r="AC591" s="937"/>
    </row>
    <row r="592" spans="1:29" ht="21" hidden="1">
      <c r="A592" s="1011"/>
      <c r="B592" s="989"/>
      <c r="C592" s="990" t="s">
        <v>107</v>
      </c>
      <c r="D592" s="989" t="s">
        <v>147</v>
      </c>
      <c r="E592" s="989"/>
      <c r="F592" s="989"/>
      <c r="G592" s="1011"/>
      <c r="H592" s="1023">
        <v>2756.98</v>
      </c>
      <c r="I592" s="1023">
        <v>2744.68</v>
      </c>
      <c r="J592" s="994">
        <v>2754.47</v>
      </c>
      <c r="K592" s="994"/>
      <c r="L592" s="994"/>
      <c r="M592" s="994"/>
      <c r="N592" s="994"/>
      <c r="O592" s="994"/>
      <c r="P592" s="994"/>
      <c r="Q592" s="994"/>
      <c r="R592" s="994"/>
      <c r="S592" s="994"/>
      <c r="T592" s="996">
        <f>SUM(H592:S592)</f>
        <v>8256.1299999999992</v>
      </c>
      <c r="U592" s="995"/>
      <c r="V592" s="1026">
        <f>V591/T592</f>
        <v>262.61125247885008</v>
      </c>
      <c r="W592" s="936"/>
      <c r="X592" s="937"/>
      <c r="Y592" s="937"/>
      <c r="Z592" s="937"/>
      <c r="AA592" s="937"/>
      <c r="AB592" s="937"/>
      <c r="AC592" s="937"/>
    </row>
    <row r="593" spans="1:22" ht="21" hidden="1">
      <c r="A593" s="1011"/>
      <c r="B593" s="1011"/>
      <c r="C593" s="1030"/>
      <c r="D593" s="1011"/>
      <c r="E593" s="1011"/>
      <c r="F593" s="1011"/>
      <c r="G593" s="1011"/>
      <c r="H593" s="981"/>
      <c r="I593" s="981"/>
      <c r="J593" s="981"/>
      <c r="K593" s="981"/>
      <c r="L593" s="981"/>
      <c r="M593" s="981"/>
      <c r="N593" s="981"/>
      <c r="O593" s="981"/>
      <c r="P593" s="981"/>
      <c r="Q593" s="981"/>
      <c r="R593" s="981"/>
      <c r="S593" s="981"/>
      <c r="T593" s="981"/>
      <c r="U593" s="981"/>
      <c r="V593" s="997" t="s">
        <v>137</v>
      </c>
    </row>
    <row r="594" spans="1:22" ht="21" hidden="1">
      <c r="A594" s="1011"/>
      <c r="B594" s="1011"/>
      <c r="C594" s="1031" t="s">
        <v>138</v>
      </c>
      <c r="D594" s="1011" t="s">
        <v>173</v>
      </c>
      <c r="E594" s="964"/>
      <c r="F594" s="964"/>
      <c r="G594" s="1011"/>
      <c r="H594" s="981">
        <f>H586*$E586/1000</f>
        <v>443.95920000000001</v>
      </c>
      <c r="I594" s="981">
        <f t="shared" ref="I594:J595" si="260">I586*$E586/1000</f>
        <v>454.89600000000002</v>
      </c>
      <c r="J594" s="981">
        <f t="shared" si="260"/>
        <v>510.68160000000006</v>
      </c>
      <c r="K594" s="981"/>
      <c r="L594" s="981"/>
      <c r="M594" s="981"/>
      <c r="N594" s="981"/>
      <c r="O594" s="981"/>
      <c r="P594" s="981"/>
      <c r="Q594" s="981"/>
      <c r="R594" s="981"/>
      <c r="S594" s="981"/>
      <c r="T594" s="981">
        <f>SUM(H594:S594)</f>
        <v>1409.5368000000001</v>
      </c>
      <c r="U594" s="981"/>
      <c r="V594" s="981"/>
    </row>
    <row r="595" spans="1:22" ht="21" hidden="1">
      <c r="A595" s="1011"/>
      <c r="B595" s="1011"/>
      <c r="C595" s="958" t="s">
        <v>550</v>
      </c>
      <c r="D595" s="1011" t="s">
        <v>173</v>
      </c>
      <c r="E595" s="964"/>
      <c r="F595" s="964"/>
      <c r="G595" s="1011"/>
      <c r="H595" s="981">
        <f>H587*$E587/1000</f>
        <v>2639.58</v>
      </c>
      <c r="I595" s="981">
        <f t="shared" si="260"/>
        <v>2683.5729999999999</v>
      </c>
      <c r="J595" s="981">
        <f t="shared" si="260"/>
        <v>2923.994745</v>
      </c>
      <c r="K595" s="981"/>
      <c r="L595" s="981"/>
      <c r="M595" s="981"/>
      <c r="N595" s="981"/>
      <c r="O595" s="981"/>
      <c r="P595" s="981"/>
      <c r="Q595" s="981"/>
      <c r="R595" s="981"/>
      <c r="S595" s="981"/>
      <c r="T595" s="981">
        <f>SUM(H595:S595)</f>
        <v>8247.1477450000002</v>
      </c>
      <c r="U595" s="981"/>
      <c r="V595" s="981"/>
    </row>
    <row r="596" spans="1:22" ht="21" hidden="1">
      <c r="A596" s="1011"/>
      <c r="B596" s="1011"/>
      <c r="C596" s="958" t="s">
        <v>546</v>
      </c>
      <c r="D596" s="1011" t="s">
        <v>173</v>
      </c>
      <c r="E596" s="1011"/>
      <c r="F596" s="1011"/>
      <c r="G596" s="1011"/>
      <c r="H596" s="981">
        <f>H588*$E588/1000</f>
        <v>36.115954638000005</v>
      </c>
      <c r="I596" s="981">
        <f>I588*$E588/1000</f>
        <v>27.119386045500001</v>
      </c>
      <c r="J596" s="981">
        <f>J588*$E588/1000</f>
        <v>9.0127786260000011</v>
      </c>
      <c r="K596" s="981"/>
      <c r="L596" s="981"/>
      <c r="M596" s="981"/>
      <c r="N596" s="981"/>
      <c r="O596" s="981"/>
      <c r="P596" s="981"/>
      <c r="Q596" s="981"/>
      <c r="R596" s="981"/>
      <c r="S596" s="981"/>
      <c r="T596" s="981"/>
      <c r="U596" s="981"/>
      <c r="V596" s="981"/>
    </row>
    <row r="597" spans="1:22" ht="21" hidden="1">
      <c r="A597" s="1011"/>
      <c r="B597" s="1011"/>
      <c r="C597" s="958" t="s">
        <v>547</v>
      </c>
      <c r="D597" s="1011" t="s">
        <v>173</v>
      </c>
      <c r="E597" s="1011"/>
      <c r="F597" s="1011"/>
      <c r="G597" s="1011"/>
      <c r="H597" s="981">
        <f t="shared" ref="H597:J598" si="261">H589*$E589/1000</f>
        <v>5108.84</v>
      </c>
      <c r="I597" s="981">
        <f t="shared" si="261"/>
        <v>4925.7960000000003</v>
      </c>
      <c r="J597" s="981">
        <f t="shared" si="261"/>
        <v>6201.64</v>
      </c>
      <c r="K597" s="981"/>
      <c r="L597" s="981"/>
      <c r="M597" s="981"/>
      <c r="N597" s="981"/>
      <c r="O597" s="981"/>
      <c r="P597" s="981"/>
      <c r="Q597" s="981"/>
      <c r="R597" s="981"/>
      <c r="S597" s="981"/>
      <c r="T597" s="981"/>
      <c r="U597" s="981"/>
      <c r="V597" s="981"/>
    </row>
    <row r="598" spans="1:22" ht="21" hidden="1">
      <c r="A598" s="1011"/>
      <c r="B598" s="1011"/>
      <c r="C598" s="958" t="s">
        <v>548</v>
      </c>
      <c r="D598" s="1011" t="s">
        <v>173</v>
      </c>
      <c r="E598" s="1011"/>
      <c r="F598" s="1011"/>
      <c r="G598" s="1011"/>
      <c r="H598" s="981">
        <f t="shared" si="261"/>
        <v>16974.84</v>
      </c>
      <c r="I598" s="981">
        <f t="shared" si="261"/>
        <v>13893.42</v>
      </c>
      <c r="J598" s="981">
        <f t="shared" si="261"/>
        <v>17932.02</v>
      </c>
      <c r="K598" s="981"/>
      <c r="L598" s="981"/>
      <c r="M598" s="981"/>
      <c r="N598" s="981"/>
      <c r="O598" s="981"/>
      <c r="P598" s="981"/>
      <c r="Q598" s="981"/>
      <c r="R598" s="981"/>
      <c r="S598" s="981"/>
      <c r="T598" s="981"/>
      <c r="U598" s="981"/>
      <c r="V598" s="981"/>
    </row>
    <row r="599" spans="1:22" ht="21" hidden="1">
      <c r="A599" s="1011"/>
      <c r="B599" s="964"/>
      <c r="C599" s="983" t="s">
        <v>549</v>
      </c>
      <c r="D599" s="964" t="s">
        <v>173</v>
      </c>
      <c r="E599" s="1011"/>
      <c r="F599" s="1011"/>
      <c r="G599" s="1011"/>
      <c r="H599" s="981">
        <f>SUM(H594:H598)</f>
        <v>25203.335154638</v>
      </c>
      <c r="I599" s="981">
        <f t="shared" ref="I599:J599" si="262">SUM(I594:I598)</f>
        <v>21984.8043860455</v>
      </c>
      <c r="J599" s="981">
        <f t="shared" si="262"/>
        <v>27577.349123626002</v>
      </c>
      <c r="K599" s="981"/>
      <c r="L599" s="981"/>
      <c r="M599" s="981"/>
      <c r="N599" s="981"/>
      <c r="O599" s="981"/>
      <c r="P599" s="981"/>
      <c r="Q599" s="981"/>
      <c r="R599" s="981"/>
      <c r="S599" s="981"/>
      <c r="T599" s="1032">
        <f>SUM(H599:S599)</f>
        <v>74765.488664309494</v>
      </c>
      <c r="U599" s="981"/>
      <c r="V599" s="1033">
        <f>V591/T599</f>
        <v>28.999377636158094</v>
      </c>
    </row>
    <row r="600" spans="1:22" ht="21" hidden="1">
      <c r="A600" s="1011"/>
      <c r="B600" s="964"/>
      <c r="C600" s="983" t="s">
        <v>345</v>
      </c>
      <c r="D600" s="964" t="s">
        <v>173</v>
      </c>
      <c r="E600" s="964"/>
      <c r="F600" s="964"/>
      <c r="G600" s="1011"/>
      <c r="H600" s="1002">
        <f>(19.063*H592 - 37404)*185.24/100</f>
        <v>28068.138562375996</v>
      </c>
      <c r="I600" s="1002">
        <f t="shared" ref="I600:J600" si="263">(19.063*I592 - 37404)*185.24/100</f>
        <v>27633.797257615995</v>
      </c>
      <c r="J600" s="1002">
        <f t="shared" si="263"/>
        <v>27979.504686363987</v>
      </c>
      <c r="K600" s="966"/>
      <c r="L600" s="966"/>
      <c r="M600" s="966"/>
      <c r="N600" s="966"/>
      <c r="O600" s="966"/>
      <c r="P600" s="966"/>
      <c r="Q600" s="966"/>
      <c r="R600" s="966"/>
      <c r="S600" s="966"/>
      <c r="T600" s="1032">
        <f>SUM(H600:S600)</f>
        <v>83681.440506355983</v>
      </c>
      <c r="U600" s="966"/>
      <c r="V600" s="1001" t="s">
        <v>158</v>
      </c>
    </row>
    <row r="601" spans="1:22" ht="21" hidden="1">
      <c r="A601" s="1011"/>
      <c r="B601" s="1003" t="s">
        <v>174</v>
      </c>
      <c r="C601" s="1004" t="s">
        <v>138</v>
      </c>
      <c r="D601" s="1003" t="s">
        <v>347</v>
      </c>
      <c r="E601" s="1003"/>
      <c r="F601" s="1003"/>
      <c r="G601" s="1011"/>
      <c r="H601" s="1006">
        <f>H594/H$592</f>
        <v>0.16103098317724468</v>
      </c>
      <c r="I601" s="1006">
        <f t="shared" ref="I601:S602" si="264">I594/I$592</f>
        <v>0.16573735371700893</v>
      </c>
      <c r="J601" s="1006">
        <f t="shared" si="264"/>
        <v>0.18540103903836314</v>
      </c>
      <c r="K601" s="1006" t="e">
        <f t="shared" si="264"/>
        <v>#DIV/0!</v>
      </c>
      <c r="L601" s="1006" t="e">
        <f t="shared" si="264"/>
        <v>#DIV/0!</v>
      </c>
      <c r="M601" s="1006" t="e">
        <f t="shared" si="264"/>
        <v>#DIV/0!</v>
      </c>
      <c r="N601" s="1006" t="e">
        <f t="shared" si="264"/>
        <v>#DIV/0!</v>
      </c>
      <c r="O601" s="1006" t="e">
        <f t="shared" si="264"/>
        <v>#DIV/0!</v>
      </c>
      <c r="P601" s="1006" t="e">
        <f t="shared" si="264"/>
        <v>#DIV/0!</v>
      </c>
      <c r="Q601" s="1006" t="e">
        <f t="shared" si="264"/>
        <v>#DIV/0!</v>
      </c>
      <c r="R601" s="1006" t="e">
        <f t="shared" si="264"/>
        <v>#DIV/0!</v>
      </c>
      <c r="S601" s="1006" t="e">
        <f t="shared" si="264"/>
        <v>#DIV/0!</v>
      </c>
      <c r="T601" s="1006">
        <f>T594/T$592</f>
        <v>0.17072609079556647</v>
      </c>
      <c r="U601" s="1007"/>
      <c r="V601" s="1007"/>
    </row>
    <row r="602" spans="1:22" ht="21" hidden="1">
      <c r="A602" s="1011"/>
      <c r="B602" s="1003"/>
      <c r="C602" s="1004" t="s">
        <v>550</v>
      </c>
      <c r="D602" s="1003" t="s">
        <v>347</v>
      </c>
      <c r="E602" s="1003"/>
      <c r="F602" s="1003"/>
      <c r="G602" s="1011"/>
      <c r="H602" s="1006">
        <f>H595/H$592</f>
        <v>0.9574171738641557</v>
      </c>
      <c r="I602" s="1006">
        <f t="shared" si="264"/>
        <v>0.97773620239882242</v>
      </c>
      <c r="J602" s="1006">
        <f t="shared" si="264"/>
        <v>1.061545322693658</v>
      </c>
      <c r="K602" s="1006" t="e">
        <f t="shared" si="264"/>
        <v>#DIV/0!</v>
      </c>
      <c r="L602" s="1006" t="e">
        <f t="shared" si="264"/>
        <v>#DIV/0!</v>
      </c>
      <c r="M602" s="1006" t="e">
        <f t="shared" si="264"/>
        <v>#DIV/0!</v>
      </c>
      <c r="N602" s="1006" t="e">
        <f t="shared" si="264"/>
        <v>#DIV/0!</v>
      </c>
      <c r="O602" s="1006" t="e">
        <f t="shared" si="264"/>
        <v>#DIV/0!</v>
      </c>
      <c r="P602" s="1006" t="e">
        <f t="shared" si="264"/>
        <v>#DIV/0!</v>
      </c>
      <c r="Q602" s="1006" t="e">
        <f t="shared" si="264"/>
        <v>#DIV/0!</v>
      </c>
      <c r="R602" s="1006" t="e">
        <f t="shared" si="264"/>
        <v>#DIV/0!</v>
      </c>
      <c r="S602" s="1006" t="e">
        <f t="shared" si="264"/>
        <v>#DIV/0!</v>
      </c>
      <c r="T602" s="1006">
        <f>T595/T$592</f>
        <v>0.99891205019785312</v>
      </c>
      <c r="U602" s="1007"/>
      <c r="V602" s="1007"/>
    </row>
    <row r="603" spans="1:22" ht="21" hidden="1">
      <c r="A603" s="1011"/>
      <c r="B603" s="1003"/>
      <c r="C603" s="1004" t="s">
        <v>546</v>
      </c>
      <c r="D603" s="1003" t="s">
        <v>347</v>
      </c>
      <c r="E603" s="1003"/>
      <c r="F603" s="1003"/>
      <c r="G603" s="1011"/>
      <c r="H603" s="1006">
        <f t="shared" ref="H603:S606" si="265">H596/H$592</f>
        <v>1.3099824677001649E-2</v>
      </c>
      <c r="I603" s="1006">
        <f t="shared" si="265"/>
        <v>9.8807096074952274E-3</v>
      </c>
      <c r="J603" s="1006">
        <f t="shared" si="265"/>
        <v>3.2720554683841182E-3</v>
      </c>
      <c r="K603" s="1006" t="e">
        <f t="shared" si="265"/>
        <v>#DIV/0!</v>
      </c>
      <c r="L603" s="1006" t="e">
        <f t="shared" si="265"/>
        <v>#DIV/0!</v>
      </c>
      <c r="M603" s="1006" t="e">
        <f t="shared" si="265"/>
        <v>#DIV/0!</v>
      </c>
      <c r="N603" s="1006" t="e">
        <f t="shared" si="265"/>
        <v>#DIV/0!</v>
      </c>
      <c r="O603" s="1006" t="e">
        <f t="shared" si="265"/>
        <v>#DIV/0!</v>
      </c>
      <c r="P603" s="1006" t="e">
        <f t="shared" si="265"/>
        <v>#DIV/0!</v>
      </c>
      <c r="Q603" s="1006" t="e">
        <f t="shared" si="265"/>
        <v>#DIV/0!</v>
      </c>
      <c r="R603" s="1006" t="e">
        <f t="shared" si="265"/>
        <v>#DIV/0!</v>
      </c>
      <c r="S603" s="1006" t="e">
        <f t="shared" si="265"/>
        <v>#DIV/0!</v>
      </c>
      <c r="T603" s="1006"/>
      <c r="U603" s="1007"/>
      <c r="V603" s="1007"/>
    </row>
    <row r="604" spans="1:22" ht="21" hidden="1">
      <c r="A604" s="1011"/>
      <c r="B604" s="1003"/>
      <c r="C604" s="1004" t="s">
        <v>547</v>
      </c>
      <c r="D604" s="1003" t="s">
        <v>347</v>
      </c>
      <c r="E604" s="1003"/>
      <c r="F604" s="1003"/>
      <c r="G604" s="1011"/>
      <c r="H604" s="1006">
        <f t="shared" si="265"/>
        <v>1.8530566054160713</v>
      </c>
      <c r="I604" s="1006">
        <f t="shared" si="265"/>
        <v>1.7946704169520675</v>
      </c>
      <c r="J604" s="1006">
        <f t="shared" si="265"/>
        <v>2.2514821363093449</v>
      </c>
      <c r="K604" s="1006" t="e">
        <f t="shared" si="265"/>
        <v>#DIV/0!</v>
      </c>
      <c r="L604" s="1006" t="e">
        <f t="shared" si="265"/>
        <v>#DIV/0!</v>
      </c>
      <c r="M604" s="1006" t="e">
        <f t="shared" si="265"/>
        <v>#DIV/0!</v>
      </c>
      <c r="N604" s="1006" t="e">
        <f t="shared" si="265"/>
        <v>#DIV/0!</v>
      </c>
      <c r="O604" s="1006" t="e">
        <f t="shared" si="265"/>
        <v>#DIV/0!</v>
      </c>
      <c r="P604" s="1006" t="e">
        <f t="shared" si="265"/>
        <v>#DIV/0!</v>
      </c>
      <c r="Q604" s="1006" t="e">
        <f t="shared" si="265"/>
        <v>#DIV/0!</v>
      </c>
      <c r="R604" s="1006" t="e">
        <f t="shared" si="265"/>
        <v>#DIV/0!</v>
      </c>
      <c r="S604" s="1006" t="e">
        <f t="shared" si="265"/>
        <v>#DIV/0!</v>
      </c>
      <c r="T604" s="1006"/>
      <c r="U604" s="1007"/>
      <c r="V604" s="1007"/>
    </row>
    <row r="605" spans="1:22" ht="21" hidden="1">
      <c r="A605" s="1011"/>
      <c r="B605" s="1003"/>
      <c r="C605" s="1004" t="s">
        <v>548</v>
      </c>
      <c r="D605" s="1003" t="s">
        <v>347</v>
      </c>
      <c r="E605" s="1003"/>
      <c r="F605" s="1003"/>
      <c r="G605" s="1011"/>
      <c r="H605" s="1006">
        <f t="shared" si="265"/>
        <v>6.1570414003728722</v>
      </c>
      <c r="I605" s="1006">
        <f t="shared" si="265"/>
        <v>5.0619452905256717</v>
      </c>
      <c r="J605" s="1006">
        <f t="shared" si="265"/>
        <v>6.5101525883382294</v>
      </c>
      <c r="K605" s="1006" t="e">
        <f t="shared" si="265"/>
        <v>#DIV/0!</v>
      </c>
      <c r="L605" s="1006" t="e">
        <f t="shared" si="265"/>
        <v>#DIV/0!</v>
      </c>
      <c r="M605" s="1006" t="e">
        <f t="shared" si="265"/>
        <v>#DIV/0!</v>
      </c>
      <c r="N605" s="1006" t="e">
        <f t="shared" si="265"/>
        <v>#DIV/0!</v>
      </c>
      <c r="O605" s="1006" t="e">
        <f t="shared" si="265"/>
        <v>#DIV/0!</v>
      </c>
      <c r="P605" s="1006" t="e">
        <f t="shared" si="265"/>
        <v>#DIV/0!</v>
      </c>
      <c r="Q605" s="1006" t="e">
        <f t="shared" si="265"/>
        <v>#DIV/0!</v>
      </c>
      <c r="R605" s="1006" t="e">
        <f t="shared" si="265"/>
        <v>#DIV/0!</v>
      </c>
      <c r="S605" s="1006" t="e">
        <f t="shared" si="265"/>
        <v>#DIV/0!</v>
      </c>
      <c r="T605" s="1006"/>
      <c r="U605" s="1007"/>
      <c r="V605" s="1007"/>
    </row>
    <row r="606" spans="1:22" ht="23.25" hidden="1">
      <c r="A606" s="1011"/>
      <c r="B606" s="1003"/>
      <c r="C606" s="1008" t="s">
        <v>551</v>
      </c>
      <c r="D606" s="1003" t="s">
        <v>347</v>
      </c>
      <c r="E606" s="1003"/>
      <c r="F606" s="1003"/>
      <c r="G606" s="1011"/>
      <c r="H606" s="1006">
        <f t="shared" si="265"/>
        <v>9.1416459875073457</v>
      </c>
      <c r="I606" s="1006">
        <f t="shared" si="265"/>
        <v>8.0099699732010663</v>
      </c>
      <c r="J606" s="1006">
        <f t="shared" si="265"/>
        <v>10.011853141847979</v>
      </c>
      <c r="K606" s="1006" t="e">
        <f t="shared" si="265"/>
        <v>#DIV/0!</v>
      </c>
      <c r="L606" s="1006" t="e">
        <f t="shared" si="265"/>
        <v>#DIV/0!</v>
      </c>
      <c r="M606" s="1006" t="e">
        <f t="shared" si="265"/>
        <v>#DIV/0!</v>
      </c>
      <c r="N606" s="1006" t="e">
        <f t="shared" si="265"/>
        <v>#DIV/0!</v>
      </c>
      <c r="O606" s="1006" t="e">
        <f t="shared" si="265"/>
        <v>#DIV/0!</v>
      </c>
      <c r="P606" s="1006" t="e">
        <f t="shared" si="265"/>
        <v>#DIV/0!</v>
      </c>
      <c r="Q606" s="1006" t="e">
        <f t="shared" si="265"/>
        <v>#DIV/0!</v>
      </c>
      <c r="R606" s="1006" t="e">
        <f t="shared" si="265"/>
        <v>#DIV/0!</v>
      </c>
      <c r="S606" s="1006" t="e">
        <f t="shared" si="265"/>
        <v>#DIV/0!</v>
      </c>
      <c r="T606" s="1021">
        <f>T599/T592</f>
        <v>9.0557547742476796</v>
      </c>
      <c r="U606" s="1007"/>
      <c r="V606" s="1007"/>
    </row>
    <row r="607" spans="1:22" ht="21" hidden="1">
      <c r="A607" s="1011"/>
      <c r="B607" s="1003"/>
      <c r="C607" s="1008" t="s">
        <v>552</v>
      </c>
      <c r="D607" s="1003"/>
      <c r="E607" s="1003"/>
      <c r="F607" s="1003"/>
      <c r="G607" s="1011"/>
      <c r="H607" s="1009">
        <f>H599/H600*100</f>
        <v>89.793397230915303</v>
      </c>
      <c r="I607" s="1009">
        <f t="shared" ref="I607:T607" si="266">I599/I600*100</f>
        <v>79.557666943461385</v>
      </c>
      <c r="J607" s="1009">
        <f t="shared" si="266"/>
        <v>98.562678048643306</v>
      </c>
      <c r="K607" s="1009" t="e">
        <f t="shared" si="266"/>
        <v>#DIV/0!</v>
      </c>
      <c r="L607" s="1009" t="e">
        <f t="shared" si="266"/>
        <v>#DIV/0!</v>
      </c>
      <c r="M607" s="1009" t="e">
        <f t="shared" si="266"/>
        <v>#DIV/0!</v>
      </c>
      <c r="N607" s="1009" t="e">
        <f t="shared" si="266"/>
        <v>#DIV/0!</v>
      </c>
      <c r="O607" s="1009" t="e">
        <f t="shared" si="266"/>
        <v>#DIV/0!</v>
      </c>
      <c r="P607" s="1009" t="e">
        <f t="shared" si="266"/>
        <v>#DIV/0!</v>
      </c>
      <c r="Q607" s="1009" t="e">
        <f t="shared" si="266"/>
        <v>#DIV/0!</v>
      </c>
      <c r="R607" s="1009" t="e">
        <f t="shared" si="266"/>
        <v>#DIV/0!</v>
      </c>
      <c r="S607" s="1009" t="e">
        <f t="shared" si="266"/>
        <v>#DIV/0!</v>
      </c>
      <c r="T607" s="1009">
        <f t="shared" si="266"/>
        <v>89.345365246945903</v>
      </c>
      <c r="U607" s="1007"/>
      <c r="V607" s="1007"/>
    </row>
    <row r="608" spans="1:22" ht="21" hidden="1">
      <c r="A608" s="964"/>
      <c r="B608" s="964"/>
      <c r="C608" s="1177"/>
      <c r="D608" s="964"/>
      <c r="E608" s="964"/>
      <c r="F608" s="964"/>
      <c r="G608" s="964"/>
      <c r="H608" s="966"/>
      <c r="I608" s="966"/>
      <c r="J608" s="966"/>
      <c r="K608" s="966"/>
      <c r="L608" s="966"/>
      <c r="M608" s="966"/>
      <c r="N608" s="966"/>
      <c r="O608" s="966"/>
      <c r="P608" s="966"/>
      <c r="Q608" s="966"/>
      <c r="R608" s="966"/>
      <c r="S608" s="966"/>
      <c r="T608" s="966"/>
      <c r="U608" s="966"/>
      <c r="V608" s="966"/>
    </row>
    <row r="609" spans="1:29" ht="21" hidden="1">
      <c r="A609" s="956"/>
      <c r="B609" s="957" t="s">
        <v>130</v>
      </c>
      <c r="C609" s="1105" t="s">
        <v>553</v>
      </c>
      <c r="D609" s="956" t="s">
        <v>90</v>
      </c>
      <c r="E609" s="984">
        <f>'[11]Price&amp;Heating-Value'!$R$6</f>
        <v>3.6</v>
      </c>
      <c r="F609" s="964"/>
      <c r="G609" s="1014">
        <f>'[11]Price&amp;Heating-Value'!$P$6</f>
        <v>2.7124999999999999</v>
      </c>
      <c r="H609" s="1178">
        <v>90104</v>
      </c>
      <c r="I609" s="1178">
        <v>92340</v>
      </c>
      <c r="J609" s="1179">
        <v>103664</v>
      </c>
      <c r="K609" s="1179"/>
      <c r="L609" s="1179"/>
      <c r="M609" s="1179"/>
      <c r="N609" s="1179"/>
      <c r="O609" s="1179"/>
      <c r="P609" s="1179"/>
      <c r="Q609" s="1179"/>
      <c r="R609" s="1179"/>
      <c r="S609" s="1179"/>
      <c r="T609" s="1179">
        <f>SUM(H609:S609)</f>
        <v>286108</v>
      </c>
      <c r="U609" s="961">
        <f>T609*E609</f>
        <v>1029988.8</v>
      </c>
      <c r="V609" s="961">
        <f>G609*T609</f>
        <v>776067.95</v>
      </c>
      <c r="W609" s="954">
        <f>'[11]Price&amp;Heating-Value'!D$6</f>
        <v>2.4500000000000002</v>
      </c>
      <c r="X609" s="954">
        <f>'[11]Price&amp;Heating-Value'!E$6</f>
        <v>2.54</v>
      </c>
      <c r="Y609" s="954">
        <f>'[11]Price&amp;Heating-Value'!F$6</f>
        <v>2.58</v>
      </c>
      <c r="Z609" s="954">
        <f>'[11]Price&amp;Heating-Value'!G$6</f>
        <v>2.67</v>
      </c>
      <c r="AA609" s="954">
        <f>'[11]Price&amp;Heating-Value'!H$6</f>
        <v>2.67</v>
      </c>
      <c r="AB609" s="954">
        <f>'[11]Price&amp;Heating-Value'!I$6</f>
        <v>2.67</v>
      </c>
      <c r="AC609" s="954">
        <f>'[11]Price&amp;Heating-Value'!J$6</f>
        <v>2.62</v>
      </c>
    </row>
    <row r="610" spans="1:29" ht="21" hidden="1">
      <c r="A610" s="956"/>
      <c r="B610" s="956"/>
      <c r="C610" s="1105" t="s">
        <v>554</v>
      </c>
      <c r="D610" s="956" t="s">
        <v>121</v>
      </c>
      <c r="E610" s="956">
        <v>2732</v>
      </c>
      <c r="F610" s="956"/>
      <c r="G610" s="956"/>
      <c r="H610" s="1178">
        <v>7633</v>
      </c>
      <c r="I610" s="1178">
        <v>6870</v>
      </c>
      <c r="J610" s="1179">
        <v>7301</v>
      </c>
      <c r="K610" s="1179"/>
      <c r="L610" s="1179"/>
      <c r="M610" s="1179"/>
      <c r="N610" s="1179"/>
      <c r="O610" s="1179"/>
      <c r="P610" s="1179"/>
      <c r="Q610" s="1179"/>
      <c r="R610" s="1179"/>
      <c r="S610" s="1179"/>
      <c r="T610" s="1179">
        <f>SUM(H610:S610)</f>
        <v>21804</v>
      </c>
      <c r="U610" s="961"/>
      <c r="V610" s="961">
        <f>SUM(V609)</f>
        <v>776067.95</v>
      </c>
      <c r="W610" s="936"/>
      <c r="X610" s="937"/>
      <c r="Y610" s="937"/>
      <c r="Z610" s="937"/>
      <c r="AA610" s="937"/>
      <c r="AB610" s="937"/>
      <c r="AC610" s="937"/>
    </row>
    <row r="611" spans="1:29" ht="21" hidden="1">
      <c r="A611" s="1011"/>
      <c r="B611" s="989"/>
      <c r="C611" s="990" t="s">
        <v>107</v>
      </c>
      <c r="D611" s="989" t="s">
        <v>121</v>
      </c>
      <c r="E611" s="989"/>
      <c r="F611" s="989"/>
      <c r="G611" s="1011"/>
      <c r="H611" s="1023">
        <v>45242.61</v>
      </c>
      <c r="I611" s="1023">
        <v>40723.067000000003</v>
      </c>
      <c r="J611" s="994">
        <v>41765.762000000002</v>
      </c>
      <c r="K611" s="994"/>
      <c r="L611" s="994"/>
      <c r="M611" s="994"/>
      <c r="N611" s="994"/>
      <c r="O611" s="994"/>
      <c r="P611" s="994"/>
      <c r="Q611" s="994"/>
      <c r="R611" s="994"/>
      <c r="S611" s="994"/>
      <c r="T611" s="996">
        <f>SUM(H611:S611)</f>
        <v>127731.439</v>
      </c>
      <c r="U611" s="995"/>
      <c r="V611" s="1026">
        <f>V610/T611</f>
        <v>6.0757786499218875</v>
      </c>
      <c r="W611" s="936"/>
      <c r="X611" s="937"/>
      <c r="Y611" s="937"/>
      <c r="Z611" s="937"/>
      <c r="AA611" s="937"/>
      <c r="AB611" s="937"/>
      <c r="AC611" s="937"/>
    </row>
    <row r="612" spans="1:29" ht="21" hidden="1">
      <c r="A612" s="1011"/>
      <c r="B612" s="1011"/>
      <c r="C612" s="1030"/>
      <c r="D612" s="1011"/>
      <c r="E612" s="1011"/>
      <c r="F612" s="1011"/>
      <c r="G612" s="1011"/>
      <c r="H612" s="981"/>
      <c r="I612" s="981"/>
      <c r="J612" s="981"/>
      <c r="K612" s="981"/>
      <c r="L612" s="981"/>
      <c r="M612" s="981"/>
      <c r="N612" s="981"/>
      <c r="O612" s="981"/>
      <c r="P612" s="981"/>
      <c r="Q612" s="981"/>
      <c r="R612" s="981"/>
      <c r="S612" s="981"/>
      <c r="T612" s="981"/>
      <c r="U612" s="981"/>
      <c r="V612" s="997" t="s">
        <v>137</v>
      </c>
      <c r="W612" s="936"/>
      <c r="X612" s="937"/>
      <c r="Y612" s="937"/>
      <c r="Z612" s="937"/>
      <c r="AA612" s="937"/>
      <c r="AB612" s="937"/>
      <c r="AC612" s="937"/>
    </row>
    <row r="613" spans="1:29" ht="21" hidden="1">
      <c r="A613" s="1011"/>
      <c r="B613" s="1011"/>
      <c r="C613" s="1105" t="s">
        <v>553</v>
      </c>
      <c r="D613" s="1011" t="s">
        <v>173</v>
      </c>
      <c r="E613" s="964"/>
      <c r="F613" s="964"/>
      <c r="G613" s="1011"/>
      <c r="H613" s="981">
        <f>H609*$E609/1000</f>
        <v>324.37440000000004</v>
      </c>
      <c r="I613" s="981">
        <f t="shared" ref="I613:J614" si="267">I609*$E609/1000</f>
        <v>332.42399999999998</v>
      </c>
      <c r="J613" s="981">
        <f t="shared" si="267"/>
        <v>373.19040000000001</v>
      </c>
      <c r="K613" s="981"/>
      <c r="L613" s="981"/>
      <c r="M613" s="981"/>
      <c r="N613" s="981"/>
      <c r="O613" s="981"/>
      <c r="P613" s="981"/>
      <c r="Q613" s="981"/>
      <c r="R613" s="981"/>
      <c r="S613" s="981"/>
      <c r="T613" s="981">
        <f>SUM(H613:S613)</f>
        <v>1029.9888000000001</v>
      </c>
      <c r="U613" s="981"/>
      <c r="V613" s="981"/>
      <c r="W613" s="936"/>
      <c r="X613" s="937"/>
      <c r="Y613" s="937"/>
      <c r="Z613" s="937"/>
      <c r="AA613" s="937"/>
      <c r="AB613" s="937"/>
      <c r="AC613" s="937"/>
    </row>
    <row r="614" spans="1:29" ht="21" hidden="1">
      <c r="A614" s="1011"/>
      <c r="B614" s="1011"/>
      <c r="C614" s="1105" t="s">
        <v>554</v>
      </c>
      <c r="D614" s="1011" t="s">
        <v>173</v>
      </c>
      <c r="E614" s="1011"/>
      <c r="F614" s="1011"/>
      <c r="G614" s="1011"/>
      <c r="H614" s="981">
        <f>H610*$E610/1000</f>
        <v>20853.356</v>
      </c>
      <c r="I614" s="981">
        <f t="shared" si="267"/>
        <v>18768.84</v>
      </c>
      <c r="J614" s="981">
        <f t="shared" si="267"/>
        <v>19946.331999999999</v>
      </c>
      <c r="K614" s="981"/>
      <c r="L614" s="981"/>
      <c r="M614" s="981"/>
      <c r="N614" s="981"/>
      <c r="O614" s="981"/>
      <c r="P614" s="981"/>
      <c r="Q614" s="981"/>
      <c r="R614" s="981"/>
      <c r="S614" s="981"/>
      <c r="T614" s="981">
        <f>SUM(H614:S614)</f>
        <v>59568.527999999991</v>
      </c>
      <c r="U614" s="981"/>
      <c r="V614" s="981"/>
      <c r="W614" s="936"/>
      <c r="X614" s="937"/>
      <c r="Y614" s="937"/>
      <c r="Z614" s="937"/>
      <c r="AA614" s="937"/>
      <c r="AB614" s="937"/>
      <c r="AC614" s="937"/>
    </row>
    <row r="615" spans="1:29" ht="21" hidden="1">
      <c r="A615" s="1011"/>
      <c r="B615" s="964"/>
      <c r="C615" s="983" t="s">
        <v>555</v>
      </c>
      <c r="D615" s="964" t="s">
        <v>173</v>
      </c>
      <c r="E615" s="1011"/>
      <c r="F615" s="1011"/>
      <c r="G615" s="1011"/>
      <c r="H615" s="981">
        <f>SUM(H613:H614)</f>
        <v>21177.7304</v>
      </c>
      <c r="I615" s="981">
        <f t="shared" ref="I615:J615" si="268">SUM(I613:I614)</f>
        <v>19101.263999999999</v>
      </c>
      <c r="J615" s="981">
        <f t="shared" si="268"/>
        <v>20319.522399999998</v>
      </c>
      <c r="K615" s="981"/>
      <c r="L615" s="981"/>
      <c r="M615" s="981"/>
      <c r="N615" s="981"/>
      <c r="O615" s="981"/>
      <c r="P615" s="981"/>
      <c r="Q615" s="981"/>
      <c r="R615" s="981"/>
      <c r="S615" s="981"/>
      <c r="T615" s="1032">
        <f>SUM(H615:S615)</f>
        <v>60598.516799999998</v>
      </c>
      <c r="U615" s="981"/>
      <c r="V615" s="1033">
        <f>V610/T615</f>
        <v>12.806715262707552</v>
      </c>
      <c r="W615" s="936"/>
      <c r="X615" s="937"/>
      <c r="Y615" s="937"/>
      <c r="Z615" s="937"/>
      <c r="AA615" s="937"/>
      <c r="AB615" s="937"/>
      <c r="AC615" s="937"/>
    </row>
    <row r="616" spans="1:29" ht="21" hidden="1">
      <c r="A616" s="1011"/>
      <c r="B616" s="1011"/>
      <c r="C616" s="983" t="s">
        <v>345</v>
      </c>
      <c r="D616" s="964" t="s">
        <v>173</v>
      </c>
      <c r="E616" s="1011"/>
      <c r="F616" s="1011"/>
      <c r="G616" s="1011"/>
      <c r="H616" s="1090">
        <f xml:space="preserve"> 0.1771*H611 + 13000</f>
        <v>21012.466230999999</v>
      </c>
      <c r="I616" s="1090">
        <f xml:space="preserve"> 0.1771*I611 + 13000</f>
        <v>20212.0551657</v>
      </c>
      <c r="J616" s="1090">
        <f xml:space="preserve"> 0.1771*J611 + 13000</f>
        <v>20396.716450200001</v>
      </c>
      <c r="K616" s="981"/>
      <c r="L616" s="981"/>
      <c r="M616" s="981"/>
      <c r="N616" s="981"/>
      <c r="O616" s="981"/>
      <c r="P616" s="981"/>
      <c r="Q616" s="981"/>
      <c r="R616" s="981"/>
      <c r="S616" s="981"/>
      <c r="T616" s="1032">
        <f>SUM(H616:S616)</f>
        <v>61621.237846900003</v>
      </c>
      <c r="U616" s="981"/>
      <c r="V616" s="1001" t="s">
        <v>158</v>
      </c>
      <c r="W616" s="936"/>
      <c r="X616" s="937"/>
      <c r="Y616" s="937"/>
      <c r="Z616" s="937"/>
      <c r="AA616" s="937"/>
      <c r="AB616" s="937"/>
      <c r="AC616" s="937"/>
    </row>
    <row r="617" spans="1:29" ht="21" hidden="1">
      <c r="A617" s="1011"/>
      <c r="B617" s="1003" t="s">
        <v>174</v>
      </c>
      <c r="C617" s="1004" t="s">
        <v>138</v>
      </c>
      <c r="D617" s="1003" t="s">
        <v>347</v>
      </c>
      <c r="E617" s="1003"/>
      <c r="F617" s="1003"/>
      <c r="G617" s="1011"/>
      <c r="H617" s="1006">
        <f>H613/H611*1000</f>
        <v>7.1696659410232968</v>
      </c>
      <c r="I617" s="1006">
        <f>I613/I611*1000</f>
        <v>8.1630393899359301</v>
      </c>
      <c r="J617" s="1006">
        <f>J613/J611*1000</f>
        <v>8.935318838430387</v>
      </c>
      <c r="K617" s="1006"/>
      <c r="L617" s="1006"/>
      <c r="M617" s="1006"/>
      <c r="N617" s="1006"/>
      <c r="O617" s="1006"/>
      <c r="P617" s="1006"/>
      <c r="Q617" s="1006"/>
      <c r="R617" s="1006"/>
      <c r="S617" s="1006"/>
      <c r="T617" s="1006">
        <f t="shared" ref="T617" si="269">T613/T611*1000</f>
        <v>8.0637062266244417</v>
      </c>
      <c r="U617" s="1007"/>
      <c r="V617" s="1007"/>
      <c r="W617" s="936"/>
      <c r="X617" s="937"/>
      <c r="Y617" s="937"/>
      <c r="Z617" s="937"/>
      <c r="AA617" s="937"/>
      <c r="AB617" s="937"/>
      <c r="AC617" s="937"/>
    </row>
    <row r="618" spans="1:29" ht="21" hidden="1">
      <c r="A618" s="1011"/>
      <c r="B618" s="1003"/>
      <c r="C618" s="1004" t="s">
        <v>554</v>
      </c>
      <c r="D618" s="1003" t="s">
        <v>347</v>
      </c>
      <c r="E618" s="1003"/>
      <c r="F618" s="1003"/>
      <c r="G618" s="1011"/>
      <c r="H618" s="1006">
        <f>H614/H611*1000</f>
        <v>460.92292199764779</v>
      </c>
      <c r="I618" s="1006">
        <f t="shared" ref="I618:J618" si="270">I614/I611*1000</f>
        <v>460.88964762894699</v>
      </c>
      <c r="J618" s="1006">
        <f t="shared" si="270"/>
        <v>477.57615436299227</v>
      </c>
      <c r="K618" s="1006"/>
      <c r="L618" s="1006"/>
      <c r="M618" s="1006"/>
      <c r="N618" s="1006"/>
      <c r="O618" s="1006"/>
      <c r="P618" s="1006"/>
      <c r="Q618" s="1006"/>
      <c r="R618" s="1006"/>
      <c r="S618" s="1006"/>
      <c r="T618" s="1006">
        <f>T614/T611*1000</f>
        <v>466.35760519381603</v>
      </c>
      <c r="U618" s="1007"/>
      <c r="V618" s="1007"/>
      <c r="W618" s="936"/>
      <c r="X618" s="937"/>
      <c r="Y618" s="937"/>
      <c r="Z618" s="937"/>
      <c r="AA618" s="937"/>
      <c r="AB618" s="937"/>
      <c r="AC618" s="937"/>
    </row>
    <row r="619" spans="1:29" ht="23.25" hidden="1">
      <c r="A619" s="1011"/>
      <c r="B619" s="1003"/>
      <c r="C619" s="1008" t="s">
        <v>556</v>
      </c>
      <c r="D619" s="1003" t="s">
        <v>347</v>
      </c>
      <c r="E619" s="1003"/>
      <c r="F619" s="1003"/>
      <c r="G619" s="1011"/>
      <c r="H619" s="1006">
        <f>H615/H611*1000</f>
        <v>468.0925879386711</v>
      </c>
      <c r="I619" s="1006">
        <f t="shared" ref="I619:J619" si="271">I615/I611*1000</f>
        <v>469.05268701888286</v>
      </c>
      <c r="J619" s="1006">
        <f t="shared" si="271"/>
        <v>486.51147320142269</v>
      </c>
      <c r="K619" s="1006"/>
      <c r="L619" s="1006"/>
      <c r="M619" s="1006"/>
      <c r="N619" s="1006"/>
      <c r="O619" s="1006"/>
      <c r="P619" s="1006"/>
      <c r="Q619" s="1006"/>
      <c r="R619" s="1006"/>
      <c r="S619" s="1006"/>
      <c r="T619" s="1021">
        <f>T615/T611*1000</f>
        <v>474.42131142044047</v>
      </c>
      <c r="U619" s="1007"/>
      <c r="V619" s="1007"/>
      <c r="W619" s="936"/>
      <c r="X619" s="937"/>
      <c r="Y619" s="937"/>
      <c r="Z619" s="937"/>
      <c r="AA619" s="937"/>
      <c r="AB619" s="937"/>
      <c r="AC619" s="937"/>
    </row>
    <row r="620" spans="1:29" ht="21" hidden="1">
      <c r="A620" s="1011"/>
      <c r="B620" s="1003"/>
      <c r="C620" s="1008" t="s">
        <v>557</v>
      </c>
      <c r="D620" s="1003" t="s">
        <v>401</v>
      </c>
      <c r="E620" s="1003"/>
      <c r="F620" s="1003"/>
      <c r="G620" s="1011"/>
      <c r="H620" s="1009">
        <f>H615/H616*100</f>
        <v>100.78650534013083</v>
      </c>
      <c r="I620" s="1009">
        <f t="shared" ref="I620:T620" si="272">I615/I616*100</f>
        <v>94.504313605946308</v>
      </c>
      <c r="J620" s="1009">
        <f t="shared" si="272"/>
        <v>99.621536876347335</v>
      </c>
      <c r="K620" s="1009"/>
      <c r="L620" s="1009"/>
      <c r="M620" s="1009"/>
      <c r="N620" s="1009"/>
      <c r="O620" s="1009"/>
      <c r="P620" s="1009"/>
      <c r="Q620" s="1009"/>
      <c r="R620" s="1009"/>
      <c r="S620" s="1009"/>
      <c r="T620" s="1009">
        <f t="shared" si="272"/>
        <v>98.34031077168396</v>
      </c>
      <c r="U620" s="1007"/>
      <c r="V620" s="1007"/>
      <c r="W620" s="936"/>
      <c r="X620" s="937"/>
      <c r="Y620" s="937"/>
      <c r="Z620" s="937"/>
      <c r="AA620" s="937"/>
      <c r="AB620" s="937"/>
      <c r="AC620" s="937"/>
    </row>
    <row r="621" spans="1:29" ht="21" hidden="1">
      <c r="A621" s="956"/>
      <c r="B621" s="957" t="s">
        <v>116</v>
      </c>
      <c r="C621" s="1105" t="s">
        <v>553</v>
      </c>
      <c r="D621" s="956" t="s">
        <v>90</v>
      </c>
      <c r="E621" s="984">
        <f>'[11]Price&amp;Heating-Value'!$R$6</f>
        <v>3.6</v>
      </c>
      <c r="F621" s="964"/>
      <c r="G621" s="1014">
        <f>'[11]Price&amp;Heating-Value'!$P$6</f>
        <v>2.7124999999999999</v>
      </c>
      <c r="H621" s="1178">
        <v>132673</v>
      </c>
      <c r="I621" s="1178">
        <v>136080</v>
      </c>
      <c r="J621" s="1179">
        <v>152768</v>
      </c>
      <c r="K621" s="1179"/>
      <c r="L621" s="1179"/>
      <c r="M621" s="1179"/>
      <c r="N621" s="1179"/>
      <c r="O621" s="1179"/>
      <c r="P621" s="1179"/>
      <c r="Q621" s="1179"/>
      <c r="R621" s="1179"/>
      <c r="S621" s="1179"/>
      <c r="T621" s="1179">
        <f>SUM(H621:S621)</f>
        <v>421521</v>
      </c>
      <c r="U621" s="961">
        <f>T621*E621</f>
        <v>1517475.6</v>
      </c>
      <c r="V621" s="961">
        <f>G621*T621</f>
        <v>1143375.7124999999</v>
      </c>
      <c r="W621" s="954">
        <f>'[11]Price&amp;Heating-Value'!D$6</f>
        <v>2.4500000000000002</v>
      </c>
      <c r="X621" s="954">
        <f>'[11]Price&amp;Heating-Value'!E$6</f>
        <v>2.54</v>
      </c>
      <c r="Y621" s="954">
        <f>'[11]Price&amp;Heating-Value'!F$6</f>
        <v>2.58</v>
      </c>
      <c r="Z621" s="954">
        <f>'[11]Price&amp;Heating-Value'!G$6</f>
        <v>2.67</v>
      </c>
      <c r="AA621" s="954">
        <f>'[11]Price&amp;Heating-Value'!H$6</f>
        <v>2.67</v>
      </c>
      <c r="AB621" s="954">
        <f>'[11]Price&amp;Heating-Value'!I$6</f>
        <v>2.67</v>
      </c>
      <c r="AC621" s="954">
        <f>'[11]Price&amp;Heating-Value'!J$6</f>
        <v>2.62</v>
      </c>
    </row>
    <row r="622" spans="1:29" ht="21" hidden="1">
      <c r="A622" s="956"/>
      <c r="B622" s="956"/>
      <c r="C622" s="1105" t="s">
        <v>554</v>
      </c>
      <c r="D622" s="956" t="s">
        <v>121</v>
      </c>
      <c r="E622" s="956">
        <v>2732</v>
      </c>
      <c r="F622" s="956"/>
      <c r="G622" s="956"/>
      <c r="H622" s="1178">
        <v>16242</v>
      </c>
      <c r="I622" s="1178">
        <v>15009</v>
      </c>
      <c r="J622" s="1179">
        <v>16304</v>
      </c>
      <c r="K622" s="1179"/>
      <c r="L622" s="1179"/>
      <c r="M622" s="1179"/>
      <c r="N622" s="1179"/>
      <c r="O622" s="1179"/>
      <c r="P622" s="1179"/>
      <c r="Q622" s="1179"/>
      <c r="R622" s="1179"/>
      <c r="S622" s="1179"/>
      <c r="T622" s="1179">
        <f>SUM(H622:S622)</f>
        <v>47555</v>
      </c>
      <c r="U622" s="961"/>
      <c r="V622" s="961">
        <f>SUM(V621)</f>
        <v>1143375.7124999999</v>
      </c>
      <c r="W622" s="936"/>
      <c r="X622" s="937"/>
      <c r="Y622" s="937"/>
      <c r="Z622" s="937"/>
      <c r="AA622" s="937"/>
      <c r="AB622" s="937"/>
      <c r="AC622" s="937"/>
    </row>
    <row r="623" spans="1:29" ht="21" hidden="1">
      <c r="A623" s="1011"/>
      <c r="B623" s="989"/>
      <c r="C623" s="990" t="s">
        <v>107</v>
      </c>
      <c r="D623" s="989" t="s">
        <v>121</v>
      </c>
      <c r="E623" s="989"/>
      <c r="F623" s="989"/>
      <c r="G623" s="1011"/>
      <c r="H623" s="1023">
        <v>122689</v>
      </c>
      <c r="I623" s="1023">
        <v>113437</v>
      </c>
      <c r="J623" s="994">
        <v>122555</v>
      </c>
      <c r="K623" s="994"/>
      <c r="L623" s="994"/>
      <c r="M623" s="994"/>
      <c r="N623" s="994"/>
      <c r="O623" s="994"/>
      <c r="P623" s="994"/>
      <c r="Q623" s="994"/>
      <c r="R623" s="994"/>
      <c r="S623" s="994"/>
      <c r="T623" s="996">
        <f>SUM(H623:S623)</f>
        <v>358681</v>
      </c>
      <c r="U623" s="995"/>
      <c r="V623" s="1026">
        <f>V622/T623</f>
        <v>3.1877231091136689</v>
      </c>
      <c r="W623" s="936"/>
      <c r="X623" s="937"/>
      <c r="Y623" s="937"/>
      <c r="Z623" s="937"/>
      <c r="AA623" s="937"/>
      <c r="AB623" s="937"/>
      <c r="AC623" s="937"/>
    </row>
    <row r="624" spans="1:29" ht="21" hidden="1">
      <c r="A624" s="1011"/>
      <c r="B624" s="1011"/>
      <c r="C624" s="1030"/>
      <c r="D624" s="1011"/>
      <c r="E624" s="1011"/>
      <c r="F624" s="1011"/>
      <c r="G624" s="1011"/>
      <c r="H624" s="981"/>
      <c r="I624" s="981"/>
      <c r="J624" s="981"/>
      <c r="K624" s="981"/>
      <c r="L624" s="981"/>
      <c r="M624" s="981"/>
      <c r="N624" s="981"/>
      <c r="O624" s="981"/>
      <c r="P624" s="981"/>
      <c r="Q624" s="981"/>
      <c r="R624" s="981"/>
      <c r="S624" s="981"/>
      <c r="T624" s="981"/>
      <c r="U624" s="981"/>
      <c r="V624" s="997" t="s">
        <v>137</v>
      </c>
      <c r="W624" s="936"/>
      <c r="X624" s="937"/>
      <c r="Y624" s="937"/>
      <c r="Z624" s="937"/>
      <c r="AA624" s="937"/>
      <c r="AB624" s="937"/>
      <c r="AC624" s="937"/>
    </row>
    <row r="625" spans="1:29" ht="21" hidden="1">
      <c r="A625" s="1011"/>
      <c r="B625" s="1011"/>
      <c r="C625" s="1105" t="s">
        <v>553</v>
      </c>
      <c r="D625" s="1011" t="s">
        <v>173</v>
      </c>
      <c r="E625" s="964"/>
      <c r="F625" s="964"/>
      <c r="G625" s="1011"/>
      <c r="H625" s="981">
        <f>H621*$E621/1000</f>
        <v>477.62279999999998</v>
      </c>
      <c r="I625" s="981">
        <f t="shared" ref="I625:J626" si="273">I621*$E621/1000</f>
        <v>489.88799999999998</v>
      </c>
      <c r="J625" s="981">
        <f t="shared" si="273"/>
        <v>549.96480000000008</v>
      </c>
      <c r="K625" s="981"/>
      <c r="L625" s="981"/>
      <c r="M625" s="981"/>
      <c r="N625" s="981"/>
      <c r="O625" s="981"/>
      <c r="P625" s="981"/>
      <c r="Q625" s="981"/>
      <c r="R625" s="981"/>
      <c r="S625" s="981"/>
      <c r="T625" s="981">
        <f>SUM(H625:S625)</f>
        <v>1517.4756000000002</v>
      </c>
      <c r="U625" s="981"/>
      <c r="V625" s="981"/>
      <c r="W625" s="936"/>
      <c r="X625" s="937"/>
      <c r="Y625" s="937"/>
      <c r="Z625" s="937"/>
      <c r="AA625" s="937"/>
      <c r="AB625" s="937"/>
      <c r="AC625" s="937"/>
    </row>
    <row r="626" spans="1:29" ht="21" hidden="1">
      <c r="A626" s="1011"/>
      <c r="B626" s="1011"/>
      <c r="C626" s="1105" t="s">
        <v>554</v>
      </c>
      <c r="D626" s="1011" t="s">
        <v>173</v>
      </c>
      <c r="E626" s="1011"/>
      <c r="F626" s="1011"/>
      <c r="G626" s="1011"/>
      <c r="H626" s="981">
        <f>H622*$E622/1000</f>
        <v>44373.144</v>
      </c>
      <c r="I626" s="981">
        <f t="shared" si="273"/>
        <v>41004.588000000003</v>
      </c>
      <c r="J626" s="981">
        <f t="shared" si="273"/>
        <v>44542.527999999998</v>
      </c>
      <c r="K626" s="981"/>
      <c r="L626" s="981"/>
      <c r="M626" s="981"/>
      <c r="N626" s="981"/>
      <c r="O626" s="981"/>
      <c r="P626" s="981"/>
      <c r="Q626" s="981"/>
      <c r="R626" s="981"/>
      <c r="S626" s="981"/>
      <c r="T626" s="981">
        <f>SUM(H626:S626)</f>
        <v>129920.26000000001</v>
      </c>
      <c r="U626" s="981"/>
      <c r="V626" s="981"/>
      <c r="W626" s="936"/>
      <c r="X626" s="937"/>
      <c r="Y626" s="937"/>
      <c r="Z626" s="937"/>
      <c r="AA626" s="937"/>
      <c r="AB626" s="937"/>
      <c r="AC626" s="937"/>
    </row>
    <row r="627" spans="1:29" ht="21" hidden="1">
      <c r="A627" s="1011"/>
      <c r="B627" s="964"/>
      <c r="C627" s="983" t="s">
        <v>558</v>
      </c>
      <c r="D627" s="964" t="s">
        <v>173</v>
      </c>
      <c r="E627" s="1011"/>
      <c r="F627" s="1011"/>
      <c r="G627" s="1011"/>
      <c r="H627" s="981">
        <f t="shared" ref="H627:J627" si="274">SUM(H625:H626)</f>
        <v>44850.766799999998</v>
      </c>
      <c r="I627" s="981">
        <f t="shared" si="274"/>
        <v>41494.476000000002</v>
      </c>
      <c r="J627" s="981">
        <f t="shared" si="274"/>
        <v>45092.4928</v>
      </c>
      <c r="K627" s="981"/>
      <c r="L627" s="981"/>
      <c r="M627" s="981"/>
      <c r="N627" s="981"/>
      <c r="O627" s="981"/>
      <c r="P627" s="981"/>
      <c r="Q627" s="981"/>
      <c r="R627" s="981"/>
      <c r="S627" s="981"/>
      <c r="T627" s="1032">
        <f>SUM(H627:S627)</f>
        <v>131437.73560000001</v>
      </c>
      <c r="U627" s="981"/>
      <c r="V627" s="1033">
        <f>V622/T627</f>
        <v>8.6989912545328405</v>
      </c>
      <c r="W627" s="936"/>
      <c r="X627" s="937"/>
      <c r="Y627" s="937"/>
      <c r="Z627" s="937"/>
      <c r="AA627" s="937"/>
      <c r="AB627" s="937"/>
      <c r="AC627" s="937"/>
    </row>
    <row r="628" spans="1:29" ht="21" hidden="1">
      <c r="A628" s="1011"/>
      <c r="B628" s="1011"/>
      <c r="C628" s="983" t="s">
        <v>345</v>
      </c>
      <c r="D628" s="964" t="s">
        <v>173</v>
      </c>
      <c r="E628" s="1011"/>
      <c r="F628" s="1011"/>
      <c r="G628" s="1011"/>
      <c r="H628" s="1090">
        <f>0.2932*H623 + 9705.5</f>
        <v>45677.914799999999</v>
      </c>
      <c r="I628" s="1090">
        <f>0.2932*I623 + 9705.5</f>
        <v>42965.2284</v>
      </c>
      <c r="J628" s="1090">
        <f>0.2932*J623 + 9705.5</f>
        <v>45638.626000000004</v>
      </c>
      <c r="K628" s="981"/>
      <c r="L628" s="981"/>
      <c r="M628" s="981"/>
      <c r="N628" s="981"/>
      <c r="O628" s="981"/>
      <c r="P628" s="981"/>
      <c r="Q628" s="981"/>
      <c r="R628" s="981"/>
      <c r="S628" s="981"/>
      <c r="T628" s="1032">
        <f>SUM(H628:S628)</f>
        <v>134281.76919999998</v>
      </c>
      <c r="U628" s="981"/>
      <c r="V628" s="1001" t="s">
        <v>158</v>
      </c>
      <c r="W628" s="936"/>
      <c r="X628" s="937"/>
      <c r="Y628" s="937"/>
      <c r="Z628" s="937"/>
      <c r="AA628" s="937"/>
      <c r="AB628" s="937"/>
      <c r="AC628" s="937"/>
    </row>
    <row r="629" spans="1:29" ht="21" hidden="1">
      <c r="A629" s="1011"/>
      <c r="B629" s="1003" t="s">
        <v>174</v>
      </c>
      <c r="C629" s="1004" t="s">
        <v>138</v>
      </c>
      <c r="D629" s="1003" t="s">
        <v>347</v>
      </c>
      <c r="E629" s="1003"/>
      <c r="F629" s="1003"/>
      <c r="G629" s="1011"/>
      <c r="H629" s="1006">
        <f>H625/H623*1000</f>
        <v>3.8929553586711116</v>
      </c>
      <c r="I629" s="1006">
        <f>I625/I623*1000</f>
        <v>4.3185909359380092</v>
      </c>
      <c r="J629" s="1006">
        <f t="shared" ref="J629:T629" si="275">J625/J623*1000</f>
        <v>4.4874937783036195</v>
      </c>
      <c r="K629" s="1006" t="e">
        <f t="shared" si="275"/>
        <v>#DIV/0!</v>
      </c>
      <c r="L629" s="1006" t="e">
        <f t="shared" si="275"/>
        <v>#DIV/0!</v>
      </c>
      <c r="M629" s="1006" t="e">
        <f t="shared" si="275"/>
        <v>#DIV/0!</v>
      </c>
      <c r="N629" s="1006" t="e">
        <f t="shared" si="275"/>
        <v>#DIV/0!</v>
      </c>
      <c r="O629" s="1006" t="e">
        <f t="shared" si="275"/>
        <v>#DIV/0!</v>
      </c>
      <c r="P629" s="1006" t="e">
        <f t="shared" si="275"/>
        <v>#DIV/0!</v>
      </c>
      <c r="Q629" s="1006" t="e">
        <f t="shared" si="275"/>
        <v>#DIV/0!</v>
      </c>
      <c r="R629" s="1006" t="e">
        <f t="shared" si="275"/>
        <v>#DIV/0!</v>
      </c>
      <c r="S629" s="1006" t="e">
        <f t="shared" si="275"/>
        <v>#DIV/0!</v>
      </c>
      <c r="T629" s="1006">
        <f t="shared" si="275"/>
        <v>4.2307108544918748</v>
      </c>
      <c r="U629" s="1007"/>
      <c r="V629" s="1007"/>
      <c r="W629" s="936"/>
      <c r="X629" s="937"/>
      <c r="Y629" s="937"/>
      <c r="Z629" s="937"/>
      <c r="AA629" s="937"/>
      <c r="AB629" s="937"/>
      <c r="AC629" s="937"/>
    </row>
    <row r="630" spans="1:29" ht="21" hidden="1">
      <c r="A630" s="1011"/>
      <c r="B630" s="1003"/>
      <c r="C630" s="1004" t="s">
        <v>554</v>
      </c>
      <c r="D630" s="1003" t="s">
        <v>347</v>
      </c>
      <c r="E630" s="1003"/>
      <c r="F630" s="1003"/>
      <c r="G630" s="1011"/>
      <c r="H630" s="1006">
        <f>H626/H623*1000</f>
        <v>361.6717391127159</v>
      </c>
      <c r="I630" s="1006">
        <f t="shared" ref="I630:S630" si="276">I626/I623*1000</f>
        <v>361.47454534234862</v>
      </c>
      <c r="J630" s="1006">
        <f t="shared" si="276"/>
        <v>363.44929215454283</v>
      </c>
      <c r="K630" s="1006" t="e">
        <f t="shared" si="276"/>
        <v>#DIV/0!</v>
      </c>
      <c r="L630" s="1006" t="e">
        <f t="shared" si="276"/>
        <v>#DIV/0!</v>
      </c>
      <c r="M630" s="1006" t="e">
        <f t="shared" si="276"/>
        <v>#DIV/0!</v>
      </c>
      <c r="N630" s="1006" t="e">
        <f t="shared" si="276"/>
        <v>#DIV/0!</v>
      </c>
      <c r="O630" s="1006" t="e">
        <f t="shared" si="276"/>
        <v>#DIV/0!</v>
      </c>
      <c r="P630" s="1006" t="e">
        <f t="shared" si="276"/>
        <v>#DIV/0!</v>
      </c>
      <c r="Q630" s="1006" t="e">
        <f t="shared" si="276"/>
        <v>#DIV/0!</v>
      </c>
      <c r="R630" s="1006" t="e">
        <f t="shared" si="276"/>
        <v>#DIV/0!</v>
      </c>
      <c r="S630" s="1006" t="e">
        <f t="shared" si="276"/>
        <v>#DIV/0!</v>
      </c>
      <c r="T630" s="1006">
        <f>T626/T623*1000</f>
        <v>362.21673297442572</v>
      </c>
      <c r="U630" s="1007"/>
      <c r="V630" s="1007"/>
      <c r="W630" s="936"/>
      <c r="X630" s="937"/>
      <c r="Y630" s="937"/>
      <c r="Z630" s="937"/>
      <c r="AA630" s="937"/>
      <c r="AB630" s="937"/>
      <c r="AC630" s="937"/>
    </row>
    <row r="631" spans="1:29" ht="23.25" hidden="1">
      <c r="A631" s="1011"/>
      <c r="B631" s="1003"/>
      <c r="C631" s="1008" t="s">
        <v>559</v>
      </c>
      <c r="D631" s="1003" t="s">
        <v>347</v>
      </c>
      <c r="E631" s="1003"/>
      <c r="F631" s="1003"/>
      <c r="G631" s="1011"/>
      <c r="H631" s="1006">
        <f>H627/H623*1000</f>
        <v>365.56469447138699</v>
      </c>
      <c r="I631" s="1006">
        <f t="shared" ref="I631:S631" si="277">I627/I623*1000</f>
        <v>365.79313627828662</v>
      </c>
      <c r="J631" s="1006">
        <f t="shared" si="277"/>
        <v>367.93678593284648</v>
      </c>
      <c r="K631" s="1006" t="e">
        <f t="shared" si="277"/>
        <v>#DIV/0!</v>
      </c>
      <c r="L631" s="1006" t="e">
        <f t="shared" si="277"/>
        <v>#DIV/0!</v>
      </c>
      <c r="M631" s="1006" t="e">
        <f t="shared" si="277"/>
        <v>#DIV/0!</v>
      </c>
      <c r="N631" s="1006" t="e">
        <f t="shared" si="277"/>
        <v>#DIV/0!</v>
      </c>
      <c r="O631" s="1006" t="e">
        <f t="shared" si="277"/>
        <v>#DIV/0!</v>
      </c>
      <c r="P631" s="1006" t="e">
        <f t="shared" si="277"/>
        <v>#DIV/0!</v>
      </c>
      <c r="Q631" s="1006" t="e">
        <f t="shared" si="277"/>
        <v>#DIV/0!</v>
      </c>
      <c r="R631" s="1006" t="e">
        <f t="shared" si="277"/>
        <v>#DIV/0!</v>
      </c>
      <c r="S631" s="1006" t="e">
        <f t="shared" si="277"/>
        <v>#DIV/0!</v>
      </c>
      <c r="T631" s="1021">
        <f>T627/T623*1000</f>
        <v>366.44744382891764</v>
      </c>
      <c r="U631" s="1007"/>
      <c r="V631" s="1007"/>
      <c r="W631" s="936"/>
      <c r="X631" s="937"/>
      <c r="Y631" s="937"/>
      <c r="Z631" s="937"/>
      <c r="AA631" s="937"/>
      <c r="AB631" s="937"/>
      <c r="AC631" s="937"/>
    </row>
    <row r="632" spans="1:29" ht="21" hidden="1">
      <c r="A632" s="1011"/>
      <c r="B632" s="1003"/>
      <c r="C632" s="1008" t="s">
        <v>560</v>
      </c>
      <c r="D632" s="1003" t="s">
        <v>401</v>
      </c>
      <c r="E632" s="1003"/>
      <c r="F632" s="1003"/>
      <c r="G632" s="1011"/>
      <c r="H632" s="1009">
        <f>H627/H628*100</f>
        <v>98.189173031164728</v>
      </c>
      <c r="I632" s="1009">
        <f t="shared" ref="I632:T632" si="278">I627/I628*100</f>
        <v>96.576877501249371</v>
      </c>
      <c r="J632" s="1009">
        <f t="shared" si="278"/>
        <v>98.803353107080824</v>
      </c>
      <c r="K632" s="1009" t="e">
        <f t="shared" si="278"/>
        <v>#DIV/0!</v>
      </c>
      <c r="L632" s="1009" t="e">
        <f t="shared" si="278"/>
        <v>#DIV/0!</v>
      </c>
      <c r="M632" s="1009" t="e">
        <f t="shared" si="278"/>
        <v>#DIV/0!</v>
      </c>
      <c r="N632" s="1009" t="e">
        <f t="shared" si="278"/>
        <v>#DIV/0!</v>
      </c>
      <c r="O632" s="1009" t="e">
        <f t="shared" si="278"/>
        <v>#DIV/0!</v>
      </c>
      <c r="P632" s="1009" t="e">
        <f t="shared" si="278"/>
        <v>#DIV/0!</v>
      </c>
      <c r="Q632" s="1009" t="e">
        <f t="shared" si="278"/>
        <v>#DIV/0!</v>
      </c>
      <c r="R632" s="1009" t="e">
        <f t="shared" si="278"/>
        <v>#DIV/0!</v>
      </c>
      <c r="S632" s="1009" t="e">
        <f t="shared" si="278"/>
        <v>#DIV/0!</v>
      </c>
      <c r="T632" s="1009">
        <f t="shared" si="278"/>
        <v>97.882040416250362</v>
      </c>
      <c r="U632" s="1007"/>
      <c r="V632" s="1007"/>
      <c r="W632" s="936"/>
      <c r="X632" s="937"/>
      <c r="Y632" s="937"/>
      <c r="Z632" s="937"/>
      <c r="AA632" s="937"/>
      <c r="AB632" s="937"/>
      <c r="AC632" s="937"/>
    </row>
    <row r="633" spans="1:29" ht="21" hidden="1">
      <c r="A633" s="956"/>
      <c r="B633" s="957" t="s">
        <v>136</v>
      </c>
      <c r="C633" s="1105" t="s">
        <v>553</v>
      </c>
      <c r="D633" s="956" t="s">
        <v>90</v>
      </c>
      <c r="E633" s="984">
        <f>'[11]Price&amp;Heating-Value'!$R$6</f>
        <v>3.6</v>
      </c>
      <c r="F633" s="964"/>
      <c r="G633" s="1014">
        <f>'[11]Price&amp;Heating-Value'!$P$6</f>
        <v>2.7124999999999999</v>
      </c>
      <c r="H633" s="1178">
        <v>56908</v>
      </c>
      <c r="I633" s="1178">
        <v>58320</v>
      </c>
      <c r="J633" s="1179">
        <v>65472</v>
      </c>
      <c r="K633" s="1179"/>
      <c r="L633" s="1179"/>
      <c r="M633" s="1179"/>
      <c r="N633" s="1179"/>
      <c r="O633" s="1179"/>
      <c r="P633" s="1179"/>
      <c r="Q633" s="1179"/>
      <c r="R633" s="1179"/>
      <c r="S633" s="1179"/>
      <c r="T633" s="1179">
        <f>SUM(H633:S633)</f>
        <v>180700</v>
      </c>
      <c r="U633" s="961">
        <f>T633*E633</f>
        <v>650520</v>
      </c>
      <c r="V633" s="961">
        <f>G633*T633</f>
        <v>490148.75</v>
      </c>
      <c r="W633" s="954">
        <f>'[11]Price&amp;Heating-Value'!D$6</f>
        <v>2.4500000000000002</v>
      </c>
      <c r="X633" s="954">
        <f>'[11]Price&amp;Heating-Value'!E$6</f>
        <v>2.54</v>
      </c>
      <c r="Y633" s="954">
        <f>'[11]Price&amp;Heating-Value'!F$6</f>
        <v>2.58</v>
      </c>
      <c r="Z633" s="954">
        <f>'[11]Price&amp;Heating-Value'!G$6</f>
        <v>2.67</v>
      </c>
      <c r="AA633" s="954">
        <f>'[11]Price&amp;Heating-Value'!H$6</f>
        <v>2.67</v>
      </c>
      <c r="AB633" s="954">
        <f>'[11]Price&amp;Heating-Value'!I$6</f>
        <v>2.67</v>
      </c>
      <c r="AC633" s="954">
        <f>'[11]Price&amp;Heating-Value'!J$6</f>
        <v>2.62</v>
      </c>
    </row>
    <row r="634" spans="1:29" ht="21" hidden="1">
      <c r="A634" s="956"/>
      <c r="B634" s="956"/>
      <c r="C634" s="1105" t="s">
        <v>554</v>
      </c>
      <c r="D634" s="956" t="s">
        <v>121</v>
      </c>
      <c r="E634" s="956">
        <v>2732</v>
      </c>
      <c r="F634" s="956"/>
      <c r="G634" s="956"/>
      <c r="H634" s="1178">
        <v>4294</v>
      </c>
      <c r="I634" s="1178">
        <v>4070</v>
      </c>
      <c r="J634" s="1179">
        <v>4046</v>
      </c>
      <c r="K634" s="1179"/>
      <c r="L634" s="1179"/>
      <c r="M634" s="1179"/>
      <c r="N634" s="1179"/>
      <c r="O634" s="1179"/>
      <c r="P634" s="1179"/>
      <c r="Q634" s="1179"/>
      <c r="R634" s="1179"/>
      <c r="S634" s="1179"/>
      <c r="T634" s="1179">
        <f>SUM(H634:S634)</f>
        <v>12410</v>
      </c>
      <c r="U634" s="961"/>
      <c r="V634" s="961">
        <f>SUM(V633)</f>
        <v>490148.75</v>
      </c>
      <c r="W634" s="936"/>
      <c r="X634" s="937"/>
      <c r="Y634" s="937"/>
      <c r="Z634" s="937"/>
      <c r="AA634" s="937"/>
      <c r="AB634" s="937"/>
      <c r="AC634" s="937"/>
    </row>
    <row r="635" spans="1:29" ht="21" hidden="1">
      <c r="A635" s="1011"/>
      <c r="B635" s="989"/>
      <c r="C635" s="990" t="s">
        <v>107</v>
      </c>
      <c r="D635" s="989" t="s">
        <v>121</v>
      </c>
      <c r="E635" s="989"/>
      <c r="F635" s="989"/>
      <c r="G635" s="1011"/>
      <c r="H635" s="1023">
        <v>18977.27</v>
      </c>
      <c r="I635" s="1023">
        <v>17756.39</v>
      </c>
      <c r="J635" s="994">
        <v>18326.43</v>
      </c>
      <c r="K635" s="994"/>
      <c r="L635" s="994"/>
      <c r="M635" s="994"/>
      <c r="N635" s="994"/>
      <c r="O635" s="994"/>
      <c r="P635" s="994"/>
      <c r="Q635" s="994"/>
      <c r="R635" s="994"/>
      <c r="S635" s="994"/>
      <c r="T635" s="996">
        <f>SUM(H635:S635)</f>
        <v>55060.090000000004</v>
      </c>
      <c r="U635" s="995"/>
      <c r="V635" s="1026">
        <f>V634/T635</f>
        <v>8.9020695389346436</v>
      </c>
      <c r="W635" s="936"/>
      <c r="X635" s="937"/>
      <c r="Y635" s="937"/>
      <c r="Z635" s="937"/>
      <c r="AA635" s="937"/>
      <c r="AB635" s="937"/>
      <c r="AC635" s="937"/>
    </row>
    <row r="636" spans="1:29" ht="21" hidden="1">
      <c r="A636" s="1011"/>
      <c r="B636" s="1011"/>
      <c r="C636" s="1030"/>
      <c r="D636" s="1011"/>
      <c r="E636" s="1011"/>
      <c r="F636" s="1011"/>
      <c r="G636" s="1011"/>
      <c r="H636" s="981"/>
      <c r="I636" s="981"/>
      <c r="J636" s="981"/>
      <c r="K636" s="981"/>
      <c r="L636" s="981"/>
      <c r="M636" s="981"/>
      <c r="N636" s="981"/>
      <c r="O636" s="981"/>
      <c r="P636" s="981"/>
      <c r="Q636" s="981"/>
      <c r="R636" s="981"/>
      <c r="S636" s="981"/>
      <c r="T636" s="981"/>
      <c r="U636" s="981"/>
      <c r="V636" s="997" t="s">
        <v>137</v>
      </c>
      <c r="W636" s="936"/>
      <c r="X636" s="937"/>
      <c r="Y636" s="937"/>
      <c r="Z636" s="937"/>
      <c r="AA636" s="937"/>
      <c r="AB636" s="937"/>
      <c r="AC636" s="937"/>
    </row>
    <row r="637" spans="1:29" ht="21" hidden="1">
      <c r="A637" s="1011"/>
      <c r="B637" s="1011"/>
      <c r="C637" s="1105" t="s">
        <v>553</v>
      </c>
      <c r="D637" s="1011" t="s">
        <v>173</v>
      </c>
      <c r="E637" s="964"/>
      <c r="F637" s="964"/>
      <c r="G637" s="1011"/>
      <c r="H637" s="981">
        <f>H633*$E633/1000</f>
        <v>204.86880000000002</v>
      </c>
      <c r="I637" s="981">
        <f t="shared" ref="I637:J638" si="279">I633*$E633/1000</f>
        <v>209.952</v>
      </c>
      <c r="J637" s="981">
        <f t="shared" si="279"/>
        <v>235.69920000000002</v>
      </c>
      <c r="K637" s="981"/>
      <c r="L637" s="981"/>
      <c r="M637" s="981"/>
      <c r="N637" s="981"/>
      <c r="O637" s="981"/>
      <c r="P637" s="981"/>
      <c r="Q637" s="981"/>
      <c r="R637" s="981"/>
      <c r="S637" s="981"/>
      <c r="T637" s="981">
        <f>SUM(H637:S637)</f>
        <v>650.52</v>
      </c>
      <c r="U637" s="981"/>
      <c r="V637" s="981"/>
      <c r="W637" s="936"/>
      <c r="X637" s="937"/>
      <c r="Y637" s="937"/>
      <c r="Z637" s="937"/>
      <c r="AA637" s="937"/>
      <c r="AB637" s="937"/>
      <c r="AC637" s="937"/>
    </row>
    <row r="638" spans="1:29" ht="21" hidden="1">
      <c r="A638" s="1011"/>
      <c r="B638" s="1011"/>
      <c r="C638" s="1105" t="s">
        <v>554</v>
      </c>
      <c r="D638" s="1011" t="s">
        <v>173</v>
      </c>
      <c r="E638" s="1011"/>
      <c r="F638" s="1011"/>
      <c r="G638" s="1011"/>
      <c r="H638" s="981">
        <f>H634*$E634/1000</f>
        <v>11731.208000000001</v>
      </c>
      <c r="I638" s="981">
        <f t="shared" si="279"/>
        <v>11119.24</v>
      </c>
      <c r="J638" s="981">
        <f t="shared" si="279"/>
        <v>11053.672</v>
      </c>
      <c r="K638" s="981"/>
      <c r="L638" s="981"/>
      <c r="M638" s="981"/>
      <c r="N638" s="981"/>
      <c r="O638" s="981"/>
      <c r="P638" s="981"/>
      <c r="Q638" s="981"/>
      <c r="R638" s="981"/>
      <c r="S638" s="981"/>
      <c r="T638" s="981">
        <f>SUM(H638:S638)</f>
        <v>33904.120000000003</v>
      </c>
      <c r="U638" s="981"/>
      <c r="V638" s="981"/>
      <c r="W638" s="936"/>
      <c r="X638" s="937"/>
      <c r="Y638" s="937"/>
      <c r="Z638" s="937"/>
      <c r="AA638" s="937"/>
      <c r="AB638" s="937"/>
      <c r="AC638" s="937"/>
    </row>
    <row r="639" spans="1:29" ht="21" hidden="1">
      <c r="A639" s="1011"/>
      <c r="B639" s="964"/>
      <c r="C639" s="983" t="s">
        <v>561</v>
      </c>
      <c r="D639" s="964" t="s">
        <v>173</v>
      </c>
      <c r="E639" s="1011"/>
      <c r="F639" s="1011"/>
      <c r="G639" s="1011"/>
      <c r="H639" s="981">
        <f t="shared" ref="H639:J639" si="280">SUM(H637:H638)</f>
        <v>11936.076800000001</v>
      </c>
      <c r="I639" s="981">
        <f t="shared" si="280"/>
        <v>11329.191999999999</v>
      </c>
      <c r="J639" s="981">
        <f t="shared" si="280"/>
        <v>11289.371200000001</v>
      </c>
      <c r="K639" s="981"/>
      <c r="L639" s="981"/>
      <c r="M639" s="981"/>
      <c r="N639" s="981"/>
      <c r="O639" s="981"/>
      <c r="P639" s="981"/>
      <c r="Q639" s="981"/>
      <c r="R639" s="981"/>
      <c r="S639" s="981"/>
      <c r="T639" s="1032">
        <f>SUM(H639:S639)</f>
        <v>34554.639999999999</v>
      </c>
      <c r="U639" s="981"/>
      <c r="V639" s="1033">
        <f>V634/T639</f>
        <v>14.184744798383083</v>
      </c>
      <c r="W639" s="936"/>
      <c r="X639" s="937"/>
      <c r="Y639" s="937"/>
      <c r="Z639" s="937"/>
      <c r="AA639" s="937"/>
      <c r="AB639" s="937"/>
      <c r="AC639" s="937"/>
    </row>
    <row r="640" spans="1:29" ht="21" hidden="1">
      <c r="A640" s="1011"/>
      <c r="B640" s="1011"/>
      <c r="C640" s="983" t="s">
        <v>345</v>
      </c>
      <c r="D640" s="964" t="s">
        <v>173</v>
      </c>
      <c r="E640" s="1011"/>
      <c r="F640" s="1011"/>
      <c r="G640" s="1011"/>
      <c r="H640" s="1090">
        <f>0.9202*H635 - 5601.7</f>
        <v>11861.183853999999</v>
      </c>
      <c r="I640" s="1090">
        <f>0.9202*I635 - 5601.7</f>
        <v>10737.730078000001</v>
      </c>
      <c r="J640" s="1090">
        <f>0.9202*J635 - 5601.7</f>
        <v>11262.280886</v>
      </c>
      <c r="K640" s="981"/>
      <c r="L640" s="981"/>
      <c r="M640" s="981"/>
      <c r="N640" s="981"/>
      <c r="O640" s="981"/>
      <c r="P640" s="981"/>
      <c r="Q640" s="981"/>
      <c r="R640" s="981"/>
      <c r="S640" s="981"/>
      <c r="T640" s="1032">
        <f>SUM(H640:S640)</f>
        <v>33861.194818000004</v>
      </c>
      <c r="U640" s="981"/>
      <c r="V640" s="1001" t="s">
        <v>158</v>
      </c>
      <c r="W640" s="936"/>
      <c r="X640" s="937"/>
      <c r="Y640" s="937"/>
      <c r="Z640" s="937"/>
      <c r="AA640" s="937"/>
      <c r="AB640" s="937"/>
      <c r="AC640" s="937"/>
    </row>
    <row r="641" spans="1:29" ht="21" hidden="1">
      <c r="A641" s="1011"/>
      <c r="B641" s="1003" t="s">
        <v>174</v>
      </c>
      <c r="C641" s="1004" t="s">
        <v>138</v>
      </c>
      <c r="D641" s="1003" t="s">
        <v>347</v>
      </c>
      <c r="E641" s="1003"/>
      <c r="F641" s="1003"/>
      <c r="G641" s="1011"/>
      <c r="H641" s="1006">
        <f>H637/H635*1000</f>
        <v>10.795483228093397</v>
      </c>
      <c r="I641" s="1006">
        <f>I637/I635*1000</f>
        <v>11.82402504112604</v>
      </c>
      <c r="J641" s="1006">
        <f t="shared" ref="J641:T641" si="281">J637/J635*1000</f>
        <v>12.861162812397177</v>
      </c>
      <c r="K641" s="1006" t="e">
        <f t="shared" si="281"/>
        <v>#DIV/0!</v>
      </c>
      <c r="L641" s="1006" t="e">
        <f t="shared" si="281"/>
        <v>#DIV/0!</v>
      </c>
      <c r="M641" s="1006" t="e">
        <f t="shared" si="281"/>
        <v>#DIV/0!</v>
      </c>
      <c r="N641" s="1006" t="e">
        <f t="shared" si="281"/>
        <v>#DIV/0!</v>
      </c>
      <c r="O641" s="1006" t="e">
        <f t="shared" si="281"/>
        <v>#DIV/0!</v>
      </c>
      <c r="P641" s="1006" t="e">
        <f t="shared" si="281"/>
        <v>#DIV/0!</v>
      </c>
      <c r="Q641" s="1006" t="e">
        <f t="shared" si="281"/>
        <v>#DIV/0!</v>
      </c>
      <c r="R641" s="1006" t="e">
        <f t="shared" si="281"/>
        <v>#DIV/0!</v>
      </c>
      <c r="S641" s="1006" t="e">
        <f t="shared" si="281"/>
        <v>#DIV/0!</v>
      </c>
      <c r="T641" s="1006">
        <f t="shared" si="281"/>
        <v>11.814728236005426</v>
      </c>
      <c r="U641" s="1007"/>
      <c r="V641" s="1007"/>
      <c r="W641" s="936"/>
      <c r="X641" s="937"/>
      <c r="Y641" s="937"/>
      <c r="Z641" s="937"/>
      <c r="AA641" s="937"/>
      <c r="AB641" s="937"/>
      <c r="AC641" s="937"/>
    </row>
    <row r="642" spans="1:29" ht="21" hidden="1">
      <c r="A642" s="1011"/>
      <c r="B642" s="1003"/>
      <c r="C642" s="1004" t="s">
        <v>554</v>
      </c>
      <c r="D642" s="1003" t="s">
        <v>347</v>
      </c>
      <c r="E642" s="1003"/>
      <c r="F642" s="1003"/>
      <c r="G642" s="1011"/>
      <c r="H642" s="1006">
        <f>H638/H635*1000</f>
        <v>618.17152835998013</v>
      </c>
      <c r="I642" s="1006">
        <f t="shared" ref="I642:S642" si="282">I638/I635*1000</f>
        <v>626.21062051464298</v>
      </c>
      <c r="J642" s="1006">
        <f t="shared" si="282"/>
        <v>603.15467878904951</v>
      </c>
      <c r="K642" s="1006" t="e">
        <f t="shared" si="282"/>
        <v>#DIV/0!</v>
      </c>
      <c r="L642" s="1006" t="e">
        <f t="shared" si="282"/>
        <v>#DIV/0!</v>
      </c>
      <c r="M642" s="1006" t="e">
        <f t="shared" si="282"/>
        <v>#DIV/0!</v>
      </c>
      <c r="N642" s="1006" t="e">
        <f t="shared" si="282"/>
        <v>#DIV/0!</v>
      </c>
      <c r="O642" s="1006" t="e">
        <f t="shared" si="282"/>
        <v>#DIV/0!</v>
      </c>
      <c r="P642" s="1006" t="e">
        <f t="shared" si="282"/>
        <v>#DIV/0!</v>
      </c>
      <c r="Q642" s="1006" t="e">
        <f t="shared" si="282"/>
        <v>#DIV/0!</v>
      </c>
      <c r="R642" s="1006" t="e">
        <f t="shared" si="282"/>
        <v>#DIV/0!</v>
      </c>
      <c r="S642" s="1006" t="e">
        <f t="shared" si="282"/>
        <v>#DIV/0!</v>
      </c>
      <c r="T642" s="1006">
        <f>T638/T635*1000</f>
        <v>615.76579333597169</v>
      </c>
      <c r="U642" s="1007"/>
      <c r="V642" s="1007"/>
      <c r="W642" s="936"/>
      <c r="X642" s="937"/>
      <c r="Y642" s="937"/>
      <c r="Z642" s="937"/>
      <c r="AA642" s="937"/>
      <c r="AB642" s="937"/>
      <c r="AC642" s="937"/>
    </row>
    <row r="643" spans="1:29" ht="23.25" hidden="1">
      <c r="A643" s="1011"/>
      <c r="B643" s="1003"/>
      <c r="C643" s="1008" t="s">
        <v>562</v>
      </c>
      <c r="D643" s="1003" t="s">
        <v>347</v>
      </c>
      <c r="E643" s="1003"/>
      <c r="F643" s="1003"/>
      <c r="G643" s="1011"/>
      <c r="H643" s="1006">
        <f>H639/H635*1000</f>
        <v>628.96701158807355</v>
      </c>
      <c r="I643" s="1006">
        <f t="shared" ref="I643:S643" si="283">I639/I635*1000</f>
        <v>638.03464555576898</v>
      </c>
      <c r="J643" s="1006">
        <f t="shared" si="283"/>
        <v>616.01584160144671</v>
      </c>
      <c r="K643" s="1006" t="e">
        <f t="shared" si="283"/>
        <v>#DIV/0!</v>
      </c>
      <c r="L643" s="1006" t="e">
        <f t="shared" si="283"/>
        <v>#DIV/0!</v>
      </c>
      <c r="M643" s="1006" t="e">
        <f t="shared" si="283"/>
        <v>#DIV/0!</v>
      </c>
      <c r="N643" s="1006" t="e">
        <f t="shared" si="283"/>
        <v>#DIV/0!</v>
      </c>
      <c r="O643" s="1006" t="e">
        <f t="shared" si="283"/>
        <v>#DIV/0!</v>
      </c>
      <c r="P643" s="1006" t="e">
        <f t="shared" si="283"/>
        <v>#DIV/0!</v>
      </c>
      <c r="Q643" s="1006" t="e">
        <f t="shared" si="283"/>
        <v>#DIV/0!</v>
      </c>
      <c r="R643" s="1006" t="e">
        <f t="shared" si="283"/>
        <v>#DIV/0!</v>
      </c>
      <c r="S643" s="1006" t="e">
        <f t="shared" si="283"/>
        <v>#DIV/0!</v>
      </c>
      <c r="T643" s="1021">
        <f>T639/T635*1000</f>
        <v>627.5805215719771</v>
      </c>
      <c r="U643" s="1007"/>
      <c r="V643" s="1007"/>
      <c r="W643" s="936"/>
      <c r="X643" s="937"/>
      <c r="Y643" s="937"/>
      <c r="Z643" s="937"/>
      <c r="AA643" s="937"/>
      <c r="AB643" s="937"/>
      <c r="AC643" s="937"/>
    </row>
    <row r="644" spans="1:29" ht="21" hidden="1">
      <c r="A644" s="1011"/>
      <c r="B644" s="1003"/>
      <c r="C644" s="1008" t="s">
        <v>563</v>
      </c>
      <c r="D644" s="1003" t="s">
        <v>401</v>
      </c>
      <c r="E644" s="1003"/>
      <c r="F644" s="1003"/>
      <c r="G644" s="1011"/>
      <c r="H644" s="1009">
        <f>H639/H640*100</f>
        <v>100.63141206579263</v>
      </c>
      <c r="I644" s="1009">
        <f t="shared" ref="I644:T644" si="284">I639/I640*100</f>
        <v>105.50825842802489</v>
      </c>
      <c r="J644" s="1009">
        <f t="shared" si="284"/>
        <v>100.2405402091656</v>
      </c>
      <c r="K644" s="1009" t="e">
        <f t="shared" si="284"/>
        <v>#DIV/0!</v>
      </c>
      <c r="L644" s="1009" t="e">
        <f t="shared" si="284"/>
        <v>#DIV/0!</v>
      </c>
      <c r="M644" s="1009" t="e">
        <f t="shared" si="284"/>
        <v>#DIV/0!</v>
      </c>
      <c r="N644" s="1009" t="e">
        <f t="shared" si="284"/>
        <v>#DIV/0!</v>
      </c>
      <c r="O644" s="1009" t="e">
        <f t="shared" si="284"/>
        <v>#DIV/0!</v>
      </c>
      <c r="P644" s="1009" t="e">
        <f t="shared" si="284"/>
        <v>#DIV/0!</v>
      </c>
      <c r="Q644" s="1009" t="e">
        <f t="shared" si="284"/>
        <v>#DIV/0!</v>
      </c>
      <c r="R644" s="1009" t="e">
        <f t="shared" si="284"/>
        <v>#DIV/0!</v>
      </c>
      <c r="S644" s="1009" t="e">
        <f t="shared" si="284"/>
        <v>#DIV/0!</v>
      </c>
      <c r="T644" s="1009">
        <f t="shared" si="284"/>
        <v>102.04790523703366</v>
      </c>
      <c r="U644" s="1007"/>
      <c r="V644" s="1007"/>
      <c r="W644" s="936"/>
      <c r="X644" s="937"/>
      <c r="Y644" s="937"/>
      <c r="Z644" s="937"/>
      <c r="AA644" s="937"/>
      <c r="AB644" s="937"/>
      <c r="AC644" s="937"/>
    </row>
    <row r="645" spans="1:29" ht="21" hidden="1">
      <c r="A645" s="1150"/>
      <c r="B645" s="1124"/>
      <c r="C645" s="1125" t="s">
        <v>564</v>
      </c>
      <c r="D645" s="1124"/>
      <c r="E645" s="1003"/>
      <c r="F645" s="1003"/>
      <c r="G645" s="1011"/>
      <c r="H645" s="1126">
        <f>(H639+H627+H615+H599)/(H600+H616+H628+H640)*100</f>
        <v>96.762517451156015</v>
      </c>
      <c r="I645" s="1126">
        <f t="shared" ref="I645:T645" si="285">(I639+I627+I615+I599)/(I600+I616+I628+I640)*100</f>
        <v>92.477435779436092</v>
      </c>
      <c r="J645" s="1126">
        <f t="shared" si="285"/>
        <v>99.051652987034373</v>
      </c>
      <c r="K645" s="1126" t="e">
        <f t="shared" si="285"/>
        <v>#DIV/0!</v>
      </c>
      <c r="L645" s="1126" t="e">
        <f t="shared" si="285"/>
        <v>#DIV/0!</v>
      </c>
      <c r="M645" s="1126" t="e">
        <f t="shared" si="285"/>
        <v>#DIV/0!</v>
      </c>
      <c r="N645" s="1126" t="e">
        <f t="shared" si="285"/>
        <v>#DIV/0!</v>
      </c>
      <c r="O645" s="1126" t="e">
        <f t="shared" si="285"/>
        <v>#DIV/0!</v>
      </c>
      <c r="P645" s="1126" t="e">
        <f t="shared" si="285"/>
        <v>#DIV/0!</v>
      </c>
      <c r="Q645" s="1126" t="e">
        <f t="shared" si="285"/>
        <v>#DIV/0!</v>
      </c>
      <c r="R645" s="1126" t="e">
        <f t="shared" si="285"/>
        <v>#DIV/0!</v>
      </c>
      <c r="S645" s="1126" t="e">
        <f t="shared" si="285"/>
        <v>#DIV/0!</v>
      </c>
      <c r="T645" s="1126">
        <f t="shared" si="285"/>
        <v>96.143107552719613</v>
      </c>
      <c r="U645" s="1127"/>
      <c r="V645" s="1127"/>
      <c r="W645" s="936"/>
      <c r="X645" s="937"/>
      <c r="Y645" s="937"/>
      <c r="Z645" s="937"/>
      <c r="AA645" s="937"/>
      <c r="AB645" s="937"/>
      <c r="AC645" s="937"/>
    </row>
    <row r="646" spans="1:29" ht="21" hidden="1">
      <c r="A646" s="956">
        <v>23</v>
      </c>
      <c r="B646" s="956" t="s">
        <v>565</v>
      </c>
      <c r="C646" s="1180" t="s">
        <v>117</v>
      </c>
      <c r="D646" s="956" t="s">
        <v>90</v>
      </c>
      <c r="E646" s="984">
        <f>'[11]Price&amp;Heating-Value'!$R$6</f>
        <v>3.6</v>
      </c>
      <c r="F646" s="964"/>
      <c r="G646" s="1014">
        <f>'[11]Price&amp;Heating-Value'!$P$6</f>
        <v>2.7124999999999999</v>
      </c>
      <c r="H646" s="1106">
        <v>3290245</v>
      </c>
      <c r="I646" s="1106">
        <v>3139634</v>
      </c>
      <c r="J646" s="961">
        <v>3311466</v>
      </c>
      <c r="K646" s="961"/>
      <c r="L646" s="961"/>
      <c r="M646" s="961"/>
      <c r="N646" s="961"/>
      <c r="O646" s="961"/>
      <c r="P646" s="961"/>
      <c r="Q646" s="961"/>
      <c r="R646" s="961"/>
      <c r="S646" s="961"/>
      <c r="T646" s="961">
        <f>SUM(H646:S646)</f>
        <v>9741345</v>
      </c>
      <c r="U646" s="961">
        <f>T646*E646</f>
        <v>35068842</v>
      </c>
      <c r="V646" s="961">
        <f>G646*T646</f>
        <v>26423398.3125</v>
      </c>
      <c r="W646" s="954">
        <f>'[11]Price&amp;Heating-Value'!D$6</f>
        <v>2.4500000000000002</v>
      </c>
      <c r="X646" s="954">
        <f>'[11]Price&amp;Heating-Value'!E$6</f>
        <v>2.54</v>
      </c>
      <c r="Y646" s="954">
        <f>'[11]Price&amp;Heating-Value'!F$6</f>
        <v>2.58</v>
      </c>
      <c r="Z646" s="954">
        <f>'[11]Price&amp;Heating-Value'!G$6</f>
        <v>2.67</v>
      </c>
      <c r="AA646" s="954">
        <f>'[11]Price&amp;Heating-Value'!H$6</f>
        <v>2.67</v>
      </c>
      <c r="AB646" s="954">
        <f>'[11]Price&amp;Heating-Value'!I$6</f>
        <v>2.67</v>
      </c>
      <c r="AC646" s="954">
        <f>'[11]Price&amp;Heating-Value'!J$6</f>
        <v>2.62</v>
      </c>
    </row>
    <row r="647" spans="1:29" ht="21" hidden="1">
      <c r="A647" s="956"/>
      <c r="B647" s="957" t="s">
        <v>566</v>
      </c>
      <c r="C647" s="983"/>
      <c r="D647" s="956"/>
      <c r="E647" s="956"/>
      <c r="F647" s="956"/>
      <c r="G647" s="956"/>
      <c r="H647" s="1029"/>
      <c r="I647" s="1029"/>
      <c r="J647" s="1029"/>
      <c r="K647" s="1029"/>
      <c r="L647" s="1029"/>
      <c r="M647" s="1029"/>
      <c r="N647" s="1029"/>
      <c r="O647" s="1029"/>
      <c r="P647" s="1029"/>
      <c r="Q647" s="1029"/>
      <c r="R647" s="1029"/>
      <c r="S647" s="1029"/>
      <c r="T647" s="1029">
        <f>SUM(H647:S647)</f>
        <v>0</v>
      </c>
      <c r="U647" s="961"/>
      <c r="V647" s="961">
        <f>SUM(V646)</f>
        <v>26423398.3125</v>
      </c>
      <c r="W647" s="936"/>
      <c r="X647" s="937"/>
      <c r="Y647" s="937"/>
      <c r="Z647" s="937"/>
      <c r="AA647" s="937"/>
      <c r="AB647" s="937"/>
      <c r="AC647" s="937"/>
    </row>
    <row r="648" spans="1:29" ht="21" hidden="1">
      <c r="A648" s="1011"/>
      <c r="B648" s="989"/>
      <c r="C648" s="990" t="s">
        <v>107</v>
      </c>
      <c r="D648" s="989" t="s">
        <v>163</v>
      </c>
      <c r="E648" s="989"/>
      <c r="F648" s="989"/>
      <c r="G648" s="1011"/>
      <c r="H648" s="1023">
        <v>21221608</v>
      </c>
      <c r="I648" s="1023">
        <v>19801901</v>
      </c>
      <c r="J648" s="1023">
        <v>20594233</v>
      </c>
      <c r="K648" s="1023"/>
      <c r="L648" s="1023"/>
      <c r="M648" s="1023"/>
      <c r="N648" s="1023"/>
      <c r="O648" s="1023"/>
      <c r="P648" s="1023"/>
      <c r="Q648" s="1023"/>
      <c r="R648" s="1023"/>
      <c r="S648" s="1023"/>
      <c r="T648" s="996">
        <f>SUM(H648:S648)</f>
        <v>61617742</v>
      </c>
      <c r="U648" s="995"/>
      <c r="V648" s="1026">
        <f>V647/T648</f>
        <v>0.42882776055798993</v>
      </c>
      <c r="W648" s="936"/>
      <c r="X648" s="937"/>
      <c r="Y648" s="937"/>
      <c r="Z648" s="937"/>
      <c r="AA648" s="937"/>
      <c r="AB648" s="937"/>
      <c r="AC648" s="937"/>
    </row>
    <row r="649" spans="1:29" ht="21" hidden="1">
      <c r="A649" s="1011"/>
      <c r="B649" s="1011"/>
      <c r="C649" s="1030"/>
      <c r="D649" s="1011"/>
      <c r="E649" s="1011"/>
      <c r="F649" s="1011"/>
      <c r="G649" s="1011"/>
      <c r="H649" s="981"/>
      <c r="I649" s="981"/>
      <c r="J649" s="981"/>
      <c r="K649" s="981"/>
      <c r="L649" s="981"/>
      <c r="M649" s="981"/>
      <c r="N649" s="981"/>
      <c r="O649" s="981"/>
      <c r="P649" s="981"/>
      <c r="Q649" s="981"/>
      <c r="R649" s="981"/>
      <c r="S649" s="981"/>
      <c r="T649" s="981"/>
      <c r="U649" s="981"/>
      <c r="V649" s="997" t="s">
        <v>137</v>
      </c>
      <c r="W649" s="936"/>
      <c r="X649" s="937"/>
      <c r="Y649" s="937"/>
      <c r="Z649" s="937"/>
      <c r="AA649" s="937"/>
      <c r="AB649" s="937"/>
      <c r="AC649" s="937"/>
    </row>
    <row r="650" spans="1:29" ht="21" hidden="1">
      <c r="A650" s="1011"/>
      <c r="B650" s="1011"/>
      <c r="C650" s="1031" t="s">
        <v>138</v>
      </c>
      <c r="D650" s="1011" t="s">
        <v>173</v>
      </c>
      <c r="E650" s="964"/>
      <c r="F650" s="964"/>
      <c r="G650" s="1011"/>
      <c r="H650" s="981">
        <f>H646*$E$646/1000</f>
        <v>11844.882</v>
      </c>
      <c r="I650" s="981">
        <f t="shared" ref="I650:J650" si="286">I646*$E$646/1000</f>
        <v>11302.6824</v>
      </c>
      <c r="J650" s="981">
        <f t="shared" si="286"/>
        <v>11921.277599999999</v>
      </c>
      <c r="K650" s="981"/>
      <c r="L650" s="981"/>
      <c r="M650" s="981"/>
      <c r="N650" s="981"/>
      <c r="O650" s="981"/>
      <c r="P650" s="981"/>
      <c r="Q650" s="981"/>
      <c r="R650" s="981"/>
      <c r="S650" s="981"/>
      <c r="T650" s="981">
        <f>SUM(H650:S650)</f>
        <v>35068.841999999997</v>
      </c>
      <c r="U650" s="981"/>
      <c r="V650" s="981"/>
      <c r="W650" s="936"/>
      <c r="X650" s="937"/>
      <c r="Y650" s="937"/>
      <c r="Z650" s="937"/>
      <c r="AA650" s="937"/>
      <c r="AB650" s="937"/>
      <c r="AC650" s="937"/>
    </row>
    <row r="651" spans="1:29" ht="21" hidden="1">
      <c r="A651" s="1011"/>
      <c r="B651" s="964"/>
      <c r="C651" s="983" t="s">
        <v>567</v>
      </c>
      <c r="D651" s="964" t="s">
        <v>173</v>
      </c>
      <c r="E651" s="1011"/>
      <c r="F651" s="1011"/>
      <c r="G651" s="1011"/>
      <c r="H651" s="981">
        <f>SUM(H650)</f>
        <v>11844.882</v>
      </c>
      <c r="I651" s="981">
        <f t="shared" ref="I651:J651" si="287">SUM(I650)</f>
        <v>11302.6824</v>
      </c>
      <c r="J651" s="981">
        <f t="shared" si="287"/>
        <v>11921.277599999999</v>
      </c>
      <c r="K651" s="981"/>
      <c r="L651" s="981"/>
      <c r="M651" s="981"/>
      <c r="N651" s="981"/>
      <c r="O651" s="981"/>
      <c r="P651" s="981"/>
      <c r="Q651" s="981"/>
      <c r="R651" s="981"/>
      <c r="S651" s="981"/>
      <c r="T651" s="1032">
        <f>SUM(H651:S651)</f>
        <v>35068.841999999997</v>
      </c>
      <c r="U651" s="981"/>
      <c r="V651" s="1033">
        <f>V647/T651</f>
        <v>753.47222222222229</v>
      </c>
      <c r="W651" s="936"/>
      <c r="X651" s="937"/>
      <c r="Y651" s="937"/>
      <c r="Z651" s="937"/>
      <c r="AA651" s="937"/>
      <c r="AB651" s="937"/>
      <c r="AC651" s="937"/>
    </row>
    <row r="652" spans="1:29" ht="21" hidden="1">
      <c r="A652" s="1011"/>
      <c r="B652" s="1011"/>
      <c r="C652" s="983" t="s">
        <v>345</v>
      </c>
      <c r="D652" s="964" t="s">
        <v>173</v>
      </c>
      <c r="E652" s="1011"/>
      <c r="F652" s="1011"/>
      <c r="G652" s="1011"/>
      <c r="H652" s="1090">
        <f>(0.0003*H648 + 5562.9)*103.54/100</f>
        <v>12351.682536959999</v>
      </c>
      <c r="I652" s="1090">
        <f>(0.0003*I648 + 5562.9)*103.54/100</f>
        <v>11910.693148620001</v>
      </c>
      <c r="J652" s="1090">
        <f>(0.0003*J648 + 5562.9)*103.54/100</f>
        <v>12156.80731446</v>
      </c>
      <c r="K652" s="981"/>
      <c r="L652" s="981"/>
      <c r="M652" s="981"/>
      <c r="N652" s="981"/>
      <c r="O652" s="981"/>
      <c r="P652" s="981"/>
      <c r="Q652" s="981"/>
      <c r="R652" s="981"/>
      <c r="S652" s="981"/>
      <c r="T652" s="1032">
        <f>SUM(H652:S652)</f>
        <v>36419.18300004</v>
      </c>
      <c r="U652" s="981"/>
      <c r="V652" s="1001" t="s">
        <v>158</v>
      </c>
      <c r="W652" s="936"/>
      <c r="X652" s="937"/>
      <c r="Y652" s="937"/>
      <c r="Z652" s="937"/>
      <c r="AA652" s="937"/>
      <c r="AB652" s="937"/>
      <c r="AC652" s="937"/>
    </row>
    <row r="653" spans="1:29" ht="21" hidden="1">
      <c r="A653" s="1011"/>
      <c r="B653" s="1003" t="s">
        <v>174</v>
      </c>
      <c r="C653" s="1004" t="s">
        <v>138</v>
      </c>
      <c r="D653" s="1003" t="s">
        <v>374</v>
      </c>
      <c r="E653" s="1003"/>
      <c r="F653" s="1003"/>
      <c r="G653" s="1011"/>
      <c r="H653" s="1006">
        <f>H650/H648*1000</f>
        <v>0.55815195530894746</v>
      </c>
      <c r="I653" s="1006">
        <f t="shared" ref="I653:T653" si="288">I650/I648*1000</f>
        <v>0.57078774406558241</v>
      </c>
      <c r="J653" s="1006">
        <f t="shared" si="288"/>
        <v>0.57886485017431821</v>
      </c>
      <c r="K653" s="1006" t="e">
        <f t="shared" si="288"/>
        <v>#DIV/0!</v>
      </c>
      <c r="L653" s="1006" t="e">
        <f t="shared" si="288"/>
        <v>#DIV/0!</v>
      </c>
      <c r="M653" s="1006" t="e">
        <f t="shared" si="288"/>
        <v>#DIV/0!</v>
      </c>
      <c r="N653" s="1006" t="e">
        <f t="shared" si="288"/>
        <v>#DIV/0!</v>
      </c>
      <c r="O653" s="1006" t="e">
        <f t="shared" si="288"/>
        <v>#DIV/0!</v>
      </c>
      <c r="P653" s="1006" t="e">
        <f t="shared" si="288"/>
        <v>#DIV/0!</v>
      </c>
      <c r="Q653" s="1006" t="e">
        <f t="shared" si="288"/>
        <v>#DIV/0!</v>
      </c>
      <c r="R653" s="1006" t="e">
        <f t="shared" si="288"/>
        <v>#DIV/0!</v>
      </c>
      <c r="S653" s="1006" t="e">
        <f t="shared" si="288"/>
        <v>#DIV/0!</v>
      </c>
      <c r="T653" s="1006">
        <f t="shared" si="288"/>
        <v>0.5691354610170557</v>
      </c>
      <c r="U653" s="1007"/>
      <c r="V653" s="1007"/>
      <c r="W653" s="936"/>
      <c r="X653" s="937"/>
      <c r="Y653" s="937"/>
      <c r="Z653" s="937"/>
      <c r="AA653" s="937"/>
      <c r="AB653" s="937"/>
      <c r="AC653" s="937"/>
    </row>
    <row r="654" spans="1:29" ht="23.25" hidden="1">
      <c r="A654" s="1011"/>
      <c r="B654" s="1003"/>
      <c r="C654" s="1008" t="s">
        <v>568</v>
      </c>
      <c r="D654" s="1003" t="s">
        <v>374</v>
      </c>
      <c r="E654" s="1003"/>
      <c r="F654" s="1003"/>
      <c r="G654" s="1011"/>
      <c r="H654" s="1006">
        <f>H651/H648*1000</f>
        <v>0.55815195530894746</v>
      </c>
      <c r="I654" s="1006">
        <f t="shared" ref="I654:S654" si="289">I651/I648*1000</f>
        <v>0.57078774406558241</v>
      </c>
      <c r="J654" s="1006">
        <f t="shared" si="289"/>
        <v>0.57886485017431821</v>
      </c>
      <c r="K654" s="1006" t="e">
        <f t="shared" si="289"/>
        <v>#DIV/0!</v>
      </c>
      <c r="L654" s="1006" t="e">
        <f t="shared" si="289"/>
        <v>#DIV/0!</v>
      </c>
      <c r="M654" s="1006" t="e">
        <f t="shared" si="289"/>
        <v>#DIV/0!</v>
      </c>
      <c r="N654" s="1006" t="e">
        <f t="shared" si="289"/>
        <v>#DIV/0!</v>
      </c>
      <c r="O654" s="1006" t="e">
        <f t="shared" si="289"/>
        <v>#DIV/0!</v>
      </c>
      <c r="P654" s="1006" t="e">
        <f t="shared" si="289"/>
        <v>#DIV/0!</v>
      </c>
      <c r="Q654" s="1006" t="e">
        <f t="shared" si="289"/>
        <v>#DIV/0!</v>
      </c>
      <c r="R654" s="1006" t="e">
        <f t="shared" si="289"/>
        <v>#DIV/0!</v>
      </c>
      <c r="S654" s="1006" t="e">
        <f t="shared" si="289"/>
        <v>#DIV/0!</v>
      </c>
      <c r="T654" s="1021">
        <f>T651/T648*1000</f>
        <v>0.5691354610170557</v>
      </c>
      <c r="U654" s="1007"/>
      <c r="V654" s="1007"/>
      <c r="W654" s="936"/>
      <c r="X654" s="937"/>
      <c r="Y654" s="937"/>
      <c r="Z654" s="937"/>
      <c r="AA654" s="937"/>
      <c r="AB654" s="937"/>
      <c r="AC654" s="937"/>
    </row>
    <row r="655" spans="1:29" ht="21" hidden="1">
      <c r="A655" s="1011"/>
      <c r="B655" s="1003"/>
      <c r="C655" s="1008" t="s">
        <v>569</v>
      </c>
      <c r="D655" s="1003"/>
      <c r="E655" s="1003"/>
      <c r="F655" s="1003"/>
      <c r="G655" s="1011"/>
      <c r="H655" s="1009">
        <f>H651/H652*100</f>
        <v>95.896910923321599</v>
      </c>
      <c r="I655" s="1009">
        <f t="shared" ref="I655:S655" si="290">I651/I652*100</f>
        <v>94.895253021521697</v>
      </c>
      <c r="J655" s="1009">
        <f t="shared" si="290"/>
        <v>98.062569321306526</v>
      </c>
      <c r="K655" s="1009" t="e">
        <f t="shared" si="290"/>
        <v>#DIV/0!</v>
      </c>
      <c r="L655" s="1009" t="e">
        <f t="shared" si="290"/>
        <v>#DIV/0!</v>
      </c>
      <c r="M655" s="1009" t="e">
        <f t="shared" si="290"/>
        <v>#DIV/0!</v>
      </c>
      <c r="N655" s="1009" t="e">
        <f t="shared" si="290"/>
        <v>#DIV/0!</v>
      </c>
      <c r="O655" s="1009" t="e">
        <f t="shared" si="290"/>
        <v>#DIV/0!</v>
      </c>
      <c r="P655" s="1009" t="e">
        <f t="shared" si="290"/>
        <v>#DIV/0!</v>
      </c>
      <c r="Q655" s="1009" t="e">
        <f t="shared" si="290"/>
        <v>#DIV/0!</v>
      </c>
      <c r="R655" s="1009" t="e">
        <f t="shared" si="290"/>
        <v>#DIV/0!</v>
      </c>
      <c r="S655" s="1009" t="e">
        <f t="shared" si="290"/>
        <v>#DIV/0!</v>
      </c>
      <c r="T655" s="1009">
        <f>T651/T652*100</f>
        <v>96.292225995189071</v>
      </c>
      <c r="U655" s="1007"/>
      <c r="V655" s="1007"/>
      <c r="W655" s="936"/>
      <c r="X655" s="937"/>
      <c r="Y655" s="937"/>
      <c r="Z655" s="937"/>
      <c r="AA655" s="937"/>
      <c r="AB655" s="937"/>
      <c r="AC655" s="937"/>
    </row>
    <row r="656" spans="1:29" ht="21" hidden="1">
      <c r="A656" s="1011"/>
      <c r="B656" s="964"/>
      <c r="C656" s="958"/>
      <c r="D656" s="964"/>
      <c r="E656" s="964"/>
      <c r="F656" s="964"/>
      <c r="G656" s="1011"/>
      <c r="H656" s="968"/>
      <c r="I656" s="968"/>
      <c r="J656" s="968"/>
      <c r="K656" s="968"/>
      <c r="L656" s="968"/>
      <c r="M656" s="968"/>
      <c r="N656" s="966"/>
      <c r="O656" s="966"/>
      <c r="P656" s="966"/>
      <c r="Q656" s="966"/>
      <c r="R656" s="966"/>
      <c r="S656" s="966"/>
      <c r="T656" s="966"/>
      <c r="U656" s="966"/>
      <c r="V656" s="966"/>
      <c r="W656" s="936"/>
      <c r="X656" s="937"/>
      <c r="Y656" s="937"/>
      <c r="Z656" s="937"/>
      <c r="AA656" s="937"/>
      <c r="AB656" s="937"/>
      <c r="AC656" s="937"/>
    </row>
    <row r="657" spans="1:29" ht="21" hidden="1">
      <c r="A657" s="956"/>
      <c r="B657" s="956" t="s">
        <v>565</v>
      </c>
      <c r="C657" s="1180" t="s">
        <v>117</v>
      </c>
      <c r="D657" s="956" t="s">
        <v>90</v>
      </c>
      <c r="E657" s="984">
        <f>'[11]Price&amp;Heating-Value'!$R$6</f>
        <v>3.6</v>
      </c>
      <c r="F657" s="964"/>
      <c r="G657" s="1014">
        <f>'[11]Price&amp;Heating-Value'!$P$6</f>
        <v>2.7124999999999999</v>
      </c>
      <c r="H657" s="1106">
        <v>19034</v>
      </c>
      <c r="I657" s="961">
        <v>17806</v>
      </c>
      <c r="J657" s="961">
        <v>19034</v>
      </c>
      <c r="K657" s="961"/>
      <c r="L657" s="961"/>
      <c r="M657" s="961"/>
      <c r="N657" s="961"/>
      <c r="O657" s="961"/>
      <c r="P657" s="961"/>
      <c r="Q657" s="961"/>
      <c r="R657" s="961"/>
      <c r="S657" s="961"/>
      <c r="T657" s="961">
        <f>SUM(H657:S657)</f>
        <v>55874</v>
      </c>
      <c r="U657" s="961">
        <f>T657*E657</f>
        <v>201146.4</v>
      </c>
      <c r="V657" s="961">
        <f>G657*T657</f>
        <v>151558.22500000001</v>
      </c>
      <c r="W657" s="954">
        <f>'[11]Price&amp;Heating-Value'!D$6</f>
        <v>2.4500000000000002</v>
      </c>
      <c r="X657" s="954">
        <f>'[11]Price&amp;Heating-Value'!E$6</f>
        <v>2.54</v>
      </c>
      <c r="Y657" s="954">
        <f>'[11]Price&amp;Heating-Value'!F$6</f>
        <v>2.58</v>
      </c>
      <c r="Z657" s="954">
        <f>'[11]Price&amp;Heating-Value'!G$6</f>
        <v>2.67</v>
      </c>
      <c r="AA657" s="954">
        <f>'[11]Price&amp;Heating-Value'!H$6</f>
        <v>2.67</v>
      </c>
      <c r="AB657" s="954">
        <f>'[11]Price&amp;Heating-Value'!I$6</f>
        <v>2.67</v>
      </c>
      <c r="AC657" s="954">
        <f>'[11]Price&amp;Heating-Value'!J$6</f>
        <v>2.62</v>
      </c>
    </row>
    <row r="658" spans="1:29" ht="21" hidden="1">
      <c r="A658" s="956"/>
      <c r="B658" s="957" t="s">
        <v>570</v>
      </c>
      <c r="C658" s="983"/>
      <c r="D658" s="956"/>
      <c r="E658" s="956"/>
      <c r="F658" s="956"/>
      <c r="G658" s="956"/>
      <c r="H658" s="1029"/>
      <c r="I658" s="1029"/>
      <c r="J658" s="1029"/>
      <c r="K658" s="1029"/>
      <c r="L658" s="1029"/>
      <c r="M658" s="1029"/>
      <c r="N658" s="1029"/>
      <c r="O658" s="1029"/>
      <c r="P658" s="1029"/>
      <c r="Q658" s="1029"/>
      <c r="R658" s="1029"/>
      <c r="S658" s="1029"/>
      <c r="T658" s="1029"/>
      <c r="U658" s="961"/>
      <c r="V658" s="961">
        <f>SUM(V657)</f>
        <v>151558.22500000001</v>
      </c>
      <c r="W658" s="936"/>
      <c r="X658" s="937"/>
      <c r="Y658" s="937"/>
      <c r="Z658" s="937"/>
      <c r="AA658" s="937"/>
      <c r="AB658" s="937"/>
      <c r="AC658" s="937"/>
    </row>
    <row r="659" spans="1:29" ht="21" hidden="1">
      <c r="A659" s="1011"/>
      <c r="B659" s="989"/>
      <c r="C659" s="990" t="s">
        <v>107</v>
      </c>
      <c r="D659" s="989" t="s">
        <v>163</v>
      </c>
      <c r="E659" s="989"/>
      <c r="F659" s="989"/>
      <c r="G659" s="1011"/>
      <c r="H659" s="1023">
        <v>1254689</v>
      </c>
      <c r="I659" s="1023">
        <v>1154124</v>
      </c>
      <c r="J659" s="994">
        <v>1196135</v>
      </c>
      <c r="K659" s="994"/>
      <c r="L659" s="994"/>
      <c r="M659" s="994"/>
      <c r="N659" s="994"/>
      <c r="O659" s="994"/>
      <c r="P659" s="994"/>
      <c r="Q659" s="994"/>
      <c r="R659" s="994"/>
      <c r="S659" s="994"/>
      <c r="T659" s="996">
        <f>SUM(H659:S659)</f>
        <v>3604948</v>
      </c>
      <c r="U659" s="995"/>
      <c r="V659" s="1026">
        <f>V658/T659</f>
        <v>4.204172293192579E-2</v>
      </c>
      <c r="W659" s="936"/>
      <c r="X659" s="937"/>
      <c r="Y659" s="937"/>
      <c r="Z659" s="937"/>
      <c r="AA659" s="937"/>
      <c r="AB659" s="937"/>
      <c r="AC659" s="937"/>
    </row>
    <row r="660" spans="1:29" ht="21" hidden="1">
      <c r="A660" s="1011"/>
      <c r="B660" s="1011"/>
      <c r="C660" s="1030"/>
      <c r="D660" s="1011"/>
      <c r="E660" s="1011"/>
      <c r="F660" s="1011"/>
      <c r="G660" s="1011"/>
      <c r="H660" s="981"/>
      <c r="I660" s="981"/>
      <c r="J660" s="981"/>
      <c r="K660" s="1012"/>
      <c r="L660" s="981"/>
      <c r="M660" s="981"/>
      <c r="N660" s="981"/>
      <c r="O660" s="981"/>
      <c r="P660" s="981"/>
      <c r="Q660" s="981"/>
      <c r="R660" s="981"/>
      <c r="S660" s="981"/>
      <c r="T660" s="981"/>
      <c r="U660" s="981"/>
      <c r="V660" s="997" t="s">
        <v>137</v>
      </c>
      <c r="W660" s="936"/>
      <c r="X660" s="937"/>
      <c r="Y660" s="937"/>
      <c r="Z660" s="937"/>
      <c r="AA660" s="937"/>
      <c r="AB660" s="937"/>
      <c r="AC660" s="937"/>
    </row>
    <row r="661" spans="1:29" ht="21" hidden="1">
      <c r="A661" s="1011"/>
      <c r="B661" s="1011"/>
      <c r="C661" s="1031" t="s">
        <v>138</v>
      </c>
      <c r="D661" s="1011" t="s">
        <v>173</v>
      </c>
      <c r="E661" s="964"/>
      <c r="F661" s="964"/>
      <c r="G661" s="1011"/>
      <c r="H661" s="981">
        <f>H657*$E$657/1000</f>
        <v>68.522400000000005</v>
      </c>
      <c r="I661" s="981">
        <f t="shared" ref="I661:J661" si="291">I657*$E$657/1000</f>
        <v>64.101600000000005</v>
      </c>
      <c r="J661" s="981">
        <f t="shared" si="291"/>
        <v>68.522400000000005</v>
      </c>
      <c r="K661" s="981"/>
      <c r="L661" s="981"/>
      <c r="M661" s="981"/>
      <c r="N661" s="981"/>
      <c r="O661" s="981"/>
      <c r="P661" s="981"/>
      <c r="Q661" s="981"/>
      <c r="R661" s="981"/>
      <c r="S661" s="981"/>
      <c r="T661" s="981">
        <f>SUM(H661:S661)</f>
        <v>201.14640000000003</v>
      </c>
      <c r="U661" s="981"/>
      <c r="V661" s="981"/>
      <c r="W661" s="936"/>
      <c r="X661" s="937"/>
      <c r="Y661" s="937"/>
      <c r="Z661" s="937"/>
      <c r="AA661" s="937"/>
      <c r="AB661" s="937"/>
      <c r="AC661" s="937"/>
    </row>
    <row r="662" spans="1:29" ht="21" hidden="1">
      <c r="A662" s="1011"/>
      <c r="B662" s="964"/>
      <c r="C662" s="983" t="s">
        <v>571</v>
      </c>
      <c r="D662" s="964" t="s">
        <v>173</v>
      </c>
      <c r="E662" s="1011"/>
      <c r="F662" s="1011"/>
      <c r="G662" s="1011"/>
      <c r="H662" s="981">
        <f t="shared" ref="H662:I662" si="292">SUM(H661)</f>
        <v>68.522400000000005</v>
      </c>
      <c r="I662" s="981">
        <f t="shared" si="292"/>
        <v>64.101600000000005</v>
      </c>
      <c r="J662" s="981">
        <f t="shared" ref="J662" si="293">SUM(J661)</f>
        <v>68.522400000000005</v>
      </c>
      <c r="K662" s="981"/>
      <c r="L662" s="981"/>
      <c r="M662" s="981"/>
      <c r="N662" s="981"/>
      <c r="O662" s="981"/>
      <c r="P662" s="981"/>
      <c r="Q662" s="981"/>
      <c r="R662" s="981"/>
      <c r="S662" s="981"/>
      <c r="T662" s="1032">
        <f>SUM(H662:S662)</f>
        <v>201.14640000000003</v>
      </c>
      <c r="U662" s="981"/>
      <c r="V662" s="1033">
        <f>V658/T662</f>
        <v>753.47222222222217</v>
      </c>
      <c r="W662" s="936"/>
      <c r="X662" s="937"/>
      <c r="Y662" s="937"/>
      <c r="Z662" s="937"/>
      <c r="AA662" s="937"/>
      <c r="AB662" s="937"/>
      <c r="AC662" s="937"/>
    </row>
    <row r="663" spans="1:29" ht="21" hidden="1">
      <c r="A663" s="1011"/>
      <c r="B663" s="1011"/>
      <c r="C663" s="983" t="s">
        <v>345</v>
      </c>
      <c r="D663" s="964" t="s">
        <v>173</v>
      </c>
      <c r="E663" s="1011"/>
      <c r="F663" s="1011"/>
      <c r="G663" s="1011"/>
      <c r="H663" s="1090">
        <f>(0.000008*H659 + 58.272)*98.1/100</f>
        <v>67.011631271999988</v>
      </c>
      <c r="I663" s="1090">
        <f t="shared" ref="I663:J663" si="294">(0.000008*I659 + 58.272)*98.1/100</f>
        <v>66.222397151999999</v>
      </c>
      <c r="J663" s="1090">
        <f t="shared" si="294"/>
        <v>66.552099479999995</v>
      </c>
      <c r="K663" s="1090"/>
      <c r="L663" s="1090"/>
      <c r="M663" s="1090"/>
      <c r="N663" s="1090"/>
      <c r="O663" s="1090"/>
      <c r="P663" s="1090"/>
      <c r="Q663" s="1090"/>
      <c r="R663" s="1090"/>
      <c r="S663" s="1090"/>
      <c r="T663" s="1032">
        <f>SUM(H663:S663)</f>
        <v>199.78612790399995</v>
      </c>
      <c r="U663" s="981"/>
      <c r="V663" s="1001" t="s">
        <v>158</v>
      </c>
      <c r="W663" s="936"/>
      <c r="X663" s="937"/>
      <c r="Y663" s="937"/>
      <c r="Z663" s="937"/>
      <c r="AA663" s="937"/>
      <c r="AB663" s="937"/>
      <c r="AC663" s="937"/>
    </row>
    <row r="664" spans="1:29" ht="21" hidden="1">
      <c r="A664" s="1011"/>
      <c r="B664" s="1003" t="s">
        <v>174</v>
      </c>
      <c r="C664" s="1004" t="s">
        <v>138</v>
      </c>
      <c r="D664" s="1003" t="s">
        <v>374</v>
      </c>
      <c r="E664" s="1003"/>
      <c r="F664" s="1003"/>
      <c r="G664" s="1011"/>
      <c r="H664" s="1006"/>
      <c r="I664" s="1006"/>
      <c r="J664" s="1006"/>
      <c r="K664" s="1006"/>
      <c r="L664" s="1006"/>
      <c r="M664" s="1006"/>
      <c r="N664" s="1006"/>
      <c r="O664" s="1006"/>
      <c r="P664" s="1006"/>
      <c r="Q664" s="1006"/>
      <c r="R664" s="1006"/>
      <c r="S664" s="1006"/>
      <c r="T664" s="1006">
        <f>T661/T659*1000</f>
        <v>5.5797309697671098E-2</v>
      </c>
      <c r="U664" s="1007"/>
      <c r="V664" s="1007"/>
      <c r="W664" s="936"/>
      <c r="X664" s="937"/>
      <c r="Y664" s="937"/>
      <c r="Z664" s="937"/>
      <c r="AA664" s="937"/>
      <c r="AB664" s="937"/>
      <c r="AC664" s="937"/>
    </row>
    <row r="665" spans="1:29" ht="23.25" hidden="1">
      <c r="A665" s="1011"/>
      <c r="B665" s="1003"/>
      <c r="C665" s="1008" t="s">
        <v>572</v>
      </c>
      <c r="D665" s="1003" t="s">
        <v>374</v>
      </c>
      <c r="E665" s="1003"/>
      <c r="F665" s="1003"/>
      <c r="G665" s="1011"/>
      <c r="H665" s="1006">
        <f>H662/H659*1000</f>
        <v>5.4613055506185199E-2</v>
      </c>
      <c r="I665" s="1006">
        <f t="shared" ref="I665:S665" si="295">I662/I659*1000</f>
        <v>5.5541345643968933E-2</v>
      </c>
      <c r="J665" s="1006">
        <f t="shared" si="295"/>
        <v>5.7286510301930806E-2</v>
      </c>
      <c r="K665" s="1006" t="e">
        <f t="shared" si="295"/>
        <v>#DIV/0!</v>
      </c>
      <c r="L665" s="1006" t="e">
        <f t="shared" si="295"/>
        <v>#DIV/0!</v>
      </c>
      <c r="M665" s="1006" t="e">
        <f t="shared" si="295"/>
        <v>#DIV/0!</v>
      </c>
      <c r="N665" s="1006" t="e">
        <f t="shared" si="295"/>
        <v>#DIV/0!</v>
      </c>
      <c r="O665" s="1006" t="e">
        <f t="shared" si="295"/>
        <v>#DIV/0!</v>
      </c>
      <c r="P665" s="1006" t="e">
        <f t="shared" si="295"/>
        <v>#DIV/0!</v>
      </c>
      <c r="Q665" s="1006" t="e">
        <f t="shared" si="295"/>
        <v>#DIV/0!</v>
      </c>
      <c r="R665" s="1006" t="e">
        <f t="shared" si="295"/>
        <v>#DIV/0!</v>
      </c>
      <c r="S665" s="1006" t="e">
        <f t="shared" si="295"/>
        <v>#DIV/0!</v>
      </c>
      <c r="T665" s="1021">
        <f>T662/T659*1000</f>
        <v>5.5797309697671098E-2</v>
      </c>
      <c r="U665" s="1007"/>
      <c r="V665" s="1007"/>
      <c r="W665" s="936"/>
      <c r="X665" s="937"/>
      <c r="Y665" s="937"/>
      <c r="Z665" s="937"/>
      <c r="AA665" s="937"/>
      <c r="AB665" s="937"/>
      <c r="AC665" s="937"/>
    </row>
    <row r="666" spans="1:29" ht="21" hidden="1">
      <c r="A666" s="1011"/>
      <c r="B666" s="1003"/>
      <c r="C666" s="1008" t="s">
        <v>573</v>
      </c>
      <c r="D666" s="1003"/>
      <c r="E666" s="1003"/>
      <c r="F666" s="1003"/>
      <c r="G666" s="1011"/>
      <c r="H666" s="1009">
        <f>H662/H663*100</f>
        <v>102.2544873170865</v>
      </c>
      <c r="I666" s="1009">
        <f t="shared" ref="I666:R666" si="296">I662/I663*100</f>
        <v>96.797462424786389</v>
      </c>
      <c r="J666" s="1009">
        <f t="shared" si="296"/>
        <v>102.96053848848467</v>
      </c>
      <c r="K666" s="1009" t="e">
        <f t="shared" si="296"/>
        <v>#DIV/0!</v>
      </c>
      <c r="L666" s="1009" t="e">
        <f t="shared" si="296"/>
        <v>#DIV/0!</v>
      </c>
      <c r="M666" s="1009" t="e">
        <f t="shared" si="296"/>
        <v>#DIV/0!</v>
      </c>
      <c r="N666" s="1009" t="e">
        <f t="shared" si="296"/>
        <v>#DIV/0!</v>
      </c>
      <c r="O666" s="1009" t="e">
        <f t="shared" si="296"/>
        <v>#DIV/0!</v>
      </c>
      <c r="P666" s="1009" t="e">
        <f t="shared" si="296"/>
        <v>#DIV/0!</v>
      </c>
      <c r="Q666" s="1009" t="e">
        <f t="shared" si="296"/>
        <v>#DIV/0!</v>
      </c>
      <c r="R666" s="1009" t="e">
        <f t="shared" si="296"/>
        <v>#DIV/0!</v>
      </c>
      <c r="S666" s="1009" t="e">
        <f>S665/[11]ข้อมูลการใช้พลังงานปี2550!$T$561*100</f>
        <v>#DIV/0!</v>
      </c>
      <c r="T666" s="1009">
        <f>T662/T663*100</f>
        <v>100.68086413720062</v>
      </c>
      <c r="U666" s="1007"/>
      <c r="V666" s="1007"/>
      <c r="W666" s="936"/>
      <c r="X666" s="937"/>
      <c r="Y666" s="937"/>
      <c r="Z666" s="937"/>
      <c r="AA666" s="937"/>
      <c r="AB666" s="937"/>
      <c r="AC666" s="937"/>
    </row>
    <row r="667" spans="1:29" ht="21" hidden="1">
      <c r="A667" s="1011"/>
      <c r="B667" s="964"/>
      <c r="C667" s="958"/>
      <c r="D667" s="964"/>
      <c r="E667" s="964"/>
      <c r="F667" s="964"/>
      <c r="G667" s="1011"/>
      <c r="H667" s="968"/>
      <c r="I667" s="968"/>
      <c r="J667" s="968"/>
      <c r="K667" s="968"/>
      <c r="L667" s="968"/>
      <c r="M667" s="968"/>
      <c r="N667" s="966"/>
      <c r="O667" s="966"/>
      <c r="P667" s="966"/>
      <c r="Q667" s="966"/>
      <c r="R667" s="966"/>
      <c r="S667" s="966"/>
      <c r="T667" s="966"/>
      <c r="U667" s="966"/>
      <c r="V667" s="966"/>
      <c r="W667" s="936"/>
      <c r="X667" s="937"/>
      <c r="Y667" s="937"/>
      <c r="Z667" s="937"/>
      <c r="AA667" s="937"/>
      <c r="AB667" s="937"/>
      <c r="AC667" s="937"/>
    </row>
    <row r="668" spans="1:29" ht="21" hidden="1">
      <c r="A668" s="956"/>
      <c r="B668" s="1181" t="s">
        <v>565</v>
      </c>
      <c r="C668" s="1180" t="s">
        <v>117</v>
      </c>
      <c r="D668" s="956" t="s">
        <v>90</v>
      </c>
      <c r="E668" s="984">
        <f>'[11]Price&amp;Heating-Value'!$R$6</f>
        <v>3.6</v>
      </c>
      <c r="F668" s="964"/>
      <c r="G668" s="1014">
        <f>'[11]Price&amp;Heating-Value'!$P$6</f>
        <v>2.7124999999999999</v>
      </c>
      <c r="H668" s="1106">
        <v>55348</v>
      </c>
      <c r="I668" s="1106">
        <v>54670</v>
      </c>
      <c r="J668" s="961">
        <v>63700</v>
      </c>
      <c r="K668" s="961"/>
      <c r="L668" s="961"/>
      <c r="M668" s="961"/>
      <c r="N668" s="961"/>
      <c r="O668" s="961"/>
      <c r="P668" s="961"/>
      <c r="Q668" s="961"/>
      <c r="R668" s="961"/>
      <c r="S668" s="961"/>
      <c r="T668" s="961">
        <f>SUM(H668:S668)</f>
        <v>173718</v>
      </c>
      <c r="U668" s="961">
        <f>T668*E668</f>
        <v>625384.80000000005</v>
      </c>
      <c r="V668" s="961">
        <f>G668*T668</f>
        <v>471210.07500000001</v>
      </c>
      <c r="W668" s="954">
        <f>'[11]Price&amp;Heating-Value'!D$6</f>
        <v>2.4500000000000002</v>
      </c>
      <c r="X668" s="954">
        <f>'[11]Price&amp;Heating-Value'!E$6</f>
        <v>2.54</v>
      </c>
      <c r="Y668" s="954">
        <f>'[11]Price&amp;Heating-Value'!F$6</f>
        <v>2.58</v>
      </c>
      <c r="Z668" s="954">
        <f>'[11]Price&amp;Heating-Value'!G$6</f>
        <v>2.67</v>
      </c>
      <c r="AA668" s="954">
        <f>'[11]Price&amp;Heating-Value'!H$6</f>
        <v>2.67</v>
      </c>
      <c r="AB668" s="954">
        <f>'[11]Price&amp;Heating-Value'!I$6</f>
        <v>2.67</v>
      </c>
      <c r="AC668" s="954">
        <f>'[11]Price&amp;Heating-Value'!J$6</f>
        <v>2.62</v>
      </c>
    </row>
    <row r="669" spans="1:29" ht="21" hidden="1">
      <c r="A669" s="956"/>
      <c r="B669" s="957" t="s">
        <v>574</v>
      </c>
      <c r="C669" s="983"/>
      <c r="D669" s="956"/>
      <c r="E669" s="956"/>
      <c r="F669" s="956"/>
      <c r="G669" s="956"/>
      <c r="H669" s="1029"/>
      <c r="I669" s="1029"/>
      <c r="J669" s="1029"/>
      <c r="K669" s="1029"/>
      <c r="L669" s="1029"/>
      <c r="M669" s="1029"/>
      <c r="N669" s="1029"/>
      <c r="O669" s="1029"/>
      <c r="P669" s="1029"/>
      <c r="Q669" s="1029"/>
      <c r="R669" s="1029"/>
      <c r="S669" s="1029"/>
      <c r="T669" s="1029"/>
      <c r="U669" s="961"/>
      <c r="V669" s="961">
        <f>SUM(V668)</f>
        <v>471210.07500000001</v>
      </c>
      <c r="W669" s="936"/>
      <c r="X669" s="937"/>
      <c r="Y669" s="937"/>
      <c r="Z669" s="937"/>
      <c r="AA669" s="937"/>
      <c r="AB669" s="937"/>
      <c r="AC669" s="937"/>
    </row>
    <row r="670" spans="1:29" ht="21" hidden="1">
      <c r="A670" s="1011"/>
      <c r="B670" s="989"/>
      <c r="C670" s="990" t="s">
        <v>107</v>
      </c>
      <c r="D670" s="989" t="s">
        <v>163</v>
      </c>
      <c r="E670" s="989"/>
      <c r="F670" s="989"/>
      <c r="G670" s="1011"/>
      <c r="H670" s="1023">
        <v>6590593</v>
      </c>
      <c r="I670" s="1023">
        <v>6061993</v>
      </c>
      <c r="J670" s="994">
        <v>6045378</v>
      </c>
      <c r="K670" s="994"/>
      <c r="L670" s="994"/>
      <c r="M670" s="994"/>
      <c r="N670" s="994"/>
      <c r="O670" s="994"/>
      <c r="P670" s="994"/>
      <c r="Q670" s="994"/>
      <c r="R670" s="994"/>
      <c r="S670" s="994"/>
      <c r="T670" s="996">
        <f>SUM(H670:S670)</f>
        <v>18697964</v>
      </c>
      <c r="U670" s="995"/>
      <c r="V670" s="1026">
        <f>V669/T670</f>
        <v>2.5201143557662214E-2</v>
      </c>
      <c r="W670" s="936"/>
      <c r="X670" s="937"/>
      <c r="Y670" s="937"/>
      <c r="Z670" s="937"/>
      <c r="AA670" s="937"/>
      <c r="AB670" s="937"/>
      <c r="AC670" s="937"/>
    </row>
    <row r="671" spans="1:29" ht="21" hidden="1">
      <c r="A671" s="1011"/>
      <c r="B671" s="1011"/>
      <c r="C671" s="1030"/>
      <c r="D671" s="1011"/>
      <c r="E671" s="1011"/>
      <c r="F671" s="1011"/>
      <c r="G671" s="1011"/>
      <c r="H671" s="981"/>
      <c r="I671" s="981"/>
      <c r="J671" s="981"/>
      <c r="K671" s="981"/>
      <c r="L671" s="981"/>
      <c r="M671" s="981"/>
      <c r="N671" s="981"/>
      <c r="O671" s="981"/>
      <c r="P671" s="981"/>
      <c r="Q671" s="981"/>
      <c r="R671" s="981"/>
      <c r="S671" s="981"/>
      <c r="T671" s="981"/>
      <c r="U671" s="981"/>
      <c r="V671" s="997" t="s">
        <v>137</v>
      </c>
      <c r="W671" s="936"/>
      <c r="X671" s="937"/>
      <c r="Y671" s="937"/>
      <c r="Z671" s="937"/>
      <c r="AA671" s="937"/>
      <c r="AB671" s="937"/>
      <c r="AC671" s="937"/>
    </row>
    <row r="672" spans="1:29" ht="21" hidden="1">
      <c r="A672" s="1011"/>
      <c r="B672" s="1011"/>
      <c r="C672" s="1031" t="s">
        <v>138</v>
      </c>
      <c r="D672" s="1011" t="s">
        <v>173</v>
      </c>
      <c r="E672" s="964"/>
      <c r="F672" s="964"/>
      <c r="G672" s="1011"/>
      <c r="H672" s="981">
        <f>H668*$E668/1000</f>
        <v>199.25280000000001</v>
      </c>
      <c r="I672" s="981">
        <f t="shared" ref="I672:J672" si="297">I668*$E668/1000</f>
        <v>196.81200000000001</v>
      </c>
      <c r="J672" s="981">
        <f t="shared" si="297"/>
        <v>229.32</v>
      </c>
      <c r="K672" s="981"/>
      <c r="L672" s="981"/>
      <c r="M672" s="981"/>
      <c r="N672" s="981"/>
      <c r="O672" s="981"/>
      <c r="P672" s="981"/>
      <c r="Q672" s="981"/>
      <c r="R672" s="981"/>
      <c r="S672" s="981"/>
      <c r="T672" s="981">
        <f>SUM(H672:S672)</f>
        <v>625.38480000000004</v>
      </c>
      <c r="U672" s="981"/>
      <c r="V672" s="981"/>
      <c r="W672" s="936"/>
      <c r="X672" s="937"/>
      <c r="Y672" s="937"/>
      <c r="Z672" s="937"/>
      <c r="AA672" s="937"/>
      <c r="AB672" s="937"/>
      <c r="AC672" s="937"/>
    </row>
    <row r="673" spans="1:29" ht="21" hidden="1">
      <c r="A673" s="1011"/>
      <c r="B673" s="964"/>
      <c r="C673" s="983" t="s">
        <v>575</v>
      </c>
      <c r="D673" s="964" t="s">
        <v>173</v>
      </c>
      <c r="E673" s="1011"/>
      <c r="F673" s="1011"/>
      <c r="G673" s="1011"/>
      <c r="H673" s="981">
        <f t="shared" ref="H673:I673" si="298">SUM(H672)</f>
        <v>199.25280000000001</v>
      </c>
      <c r="I673" s="981">
        <f t="shared" si="298"/>
        <v>196.81200000000001</v>
      </c>
      <c r="J673" s="981">
        <f t="shared" ref="J673" si="299">SUM(J672)</f>
        <v>229.32</v>
      </c>
      <c r="K673" s="981"/>
      <c r="L673" s="981"/>
      <c r="M673" s="981"/>
      <c r="N673" s="981"/>
      <c r="O673" s="981"/>
      <c r="P673" s="981"/>
      <c r="Q673" s="981"/>
      <c r="R673" s="981"/>
      <c r="S673" s="981"/>
      <c r="T673" s="1032">
        <f>SUM(H673:S673)</f>
        <v>625.38480000000004</v>
      </c>
      <c r="U673" s="981"/>
      <c r="V673" s="1033">
        <f>V669/T673</f>
        <v>753.47222222222217</v>
      </c>
      <c r="W673" s="936"/>
      <c r="X673" s="937"/>
      <c r="Y673" s="937"/>
      <c r="Z673" s="937"/>
      <c r="AA673" s="937"/>
      <c r="AB673" s="937"/>
      <c r="AC673" s="937"/>
    </row>
    <row r="674" spans="1:29" ht="21" hidden="1">
      <c r="A674" s="1011"/>
      <c r="B674" s="1011"/>
      <c r="C674" s="983" t="s">
        <v>345</v>
      </c>
      <c r="D674" s="964" t="s">
        <v>173</v>
      </c>
      <c r="E674" s="1011"/>
      <c r="F674" s="1011"/>
      <c r="G674" s="1011"/>
      <c r="H674" s="1090">
        <f>(-0.00002*H670 + 338.85)*48.02/100</f>
        <v>99.419714828000011</v>
      </c>
      <c r="I674" s="1090">
        <f t="shared" ref="I674:J674" si="300">(-0.00002*I670 + 338.85)*48.02/100</f>
        <v>104.49638922800001</v>
      </c>
      <c r="J674" s="1090">
        <f t="shared" si="300"/>
        <v>104.65595968800002</v>
      </c>
      <c r="K674" s="1090"/>
      <c r="L674" s="1090"/>
      <c r="M674" s="1090"/>
      <c r="N674" s="1090"/>
      <c r="O674" s="1090"/>
      <c r="P674" s="1090"/>
      <c r="Q674" s="1090"/>
      <c r="R674" s="1090"/>
      <c r="S674" s="1090"/>
      <c r="T674" s="1032">
        <f>SUM(H674:S674)</f>
        <v>308.57206374400005</v>
      </c>
      <c r="U674" s="981"/>
      <c r="V674" s="1001" t="s">
        <v>158</v>
      </c>
      <c r="W674" s="936"/>
      <c r="X674" s="937"/>
      <c r="Y674" s="937"/>
      <c r="Z674" s="937"/>
      <c r="AA674" s="937"/>
      <c r="AB674" s="937"/>
      <c r="AC674" s="937"/>
    </row>
    <row r="675" spans="1:29" ht="21" hidden="1">
      <c r="A675" s="1011"/>
      <c r="B675" s="1003" t="s">
        <v>174</v>
      </c>
      <c r="C675" s="1004" t="s">
        <v>138</v>
      </c>
      <c r="D675" s="1003" t="s">
        <v>374</v>
      </c>
      <c r="E675" s="1003"/>
      <c r="F675" s="1003"/>
      <c r="G675" s="1011"/>
      <c r="H675" s="1006">
        <f>H672/H670*1000</f>
        <v>3.0232909238971366E-2</v>
      </c>
      <c r="I675" s="1006">
        <f t="shared" ref="I675:T675" si="301">I672/I670*1000</f>
        <v>3.2466550192321239E-2</v>
      </c>
      <c r="J675" s="1006">
        <f t="shared" si="301"/>
        <v>3.79331118748902E-2</v>
      </c>
      <c r="K675" s="1006" t="e">
        <f t="shared" si="301"/>
        <v>#DIV/0!</v>
      </c>
      <c r="L675" s="1006" t="e">
        <f t="shared" si="301"/>
        <v>#DIV/0!</v>
      </c>
      <c r="M675" s="1006" t="e">
        <f t="shared" si="301"/>
        <v>#DIV/0!</v>
      </c>
      <c r="N675" s="1006" t="e">
        <f t="shared" si="301"/>
        <v>#DIV/0!</v>
      </c>
      <c r="O675" s="1006" t="e">
        <f t="shared" si="301"/>
        <v>#DIV/0!</v>
      </c>
      <c r="P675" s="1006" t="e">
        <f t="shared" si="301"/>
        <v>#DIV/0!</v>
      </c>
      <c r="Q675" s="1006" t="e">
        <f t="shared" si="301"/>
        <v>#DIV/0!</v>
      </c>
      <c r="R675" s="1006" t="e">
        <f t="shared" si="301"/>
        <v>#DIV/0!</v>
      </c>
      <c r="S675" s="1006" t="e">
        <f t="shared" si="301"/>
        <v>#DIV/0!</v>
      </c>
      <c r="T675" s="1006">
        <f t="shared" si="301"/>
        <v>3.344667900740423E-2</v>
      </c>
      <c r="U675" s="1007"/>
      <c r="V675" s="1007"/>
      <c r="W675" s="936"/>
      <c r="X675" s="937"/>
      <c r="Y675" s="937"/>
      <c r="Z675" s="937"/>
      <c r="AA675" s="937"/>
      <c r="AB675" s="937"/>
      <c r="AC675" s="937"/>
    </row>
    <row r="676" spans="1:29" ht="23.25" hidden="1">
      <c r="A676" s="1011"/>
      <c r="B676" s="1003"/>
      <c r="C676" s="1008" t="s">
        <v>576</v>
      </c>
      <c r="D676" s="1003" t="s">
        <v>374</v>
      </c>
      <c r="E676" s="1003"/>
      <c r="F676" s="1003"/>
      <c r="G676" s="1011"/>
      <c r="H676" s="1006">
        <f>H673/H670*1000</f>
        <v>3.0232909238971366E-2</v>
      </c>
      <c r="I676" s="1006">
        <f t="shared" ref="I676:S676" si="302">I673/I670*1000</f>
        <v>3.2466550192321239E-2</v>
      </c>
      <c r="J676" s="1006">
        <f t="shared" si="302"/>
        <v>3.79331118748902E-2</v>
      </c>
      <c r="K676" s="1006" t="e">
        <f t="shared" si="302"/>
        <v>#DIV/0!</v>
      </c>
      <c r="L676" s="1006" t="e">
        <f t="shared" si="302"/>
        <v>#DIV/0!</v>
      </c>
      <c r="M676" s="1006" t="e">
        <f t="shared" si="302"/>
        <v>#DIV/0!</v>
      </c>
      <c r="N676" s="1006" t="e">
        <f t="shared" si="302"/>
        <v>#DIV/0!</v>
      </c>
      <c r="O676" s="1006" t="e">
        <f t="shared" si="302"/>
        <v>#DIV/0!</v>
      </c>
      <c r="P676" s="1006" t="e">
        <f t="shared" si="302"/>
        <v>#DIV/0!</v>
      </c>
      <c r="Q676" s="1006" t="e">
        <f t="shared" si="302"/>
        <v>#DIV/0!</v>
      </c>
      <c r="R676" s="1006" t="e">
        <f t="shared" si="302"/>
        <v>#DIV/0!</v>
      </c>
      <c r="S676" s="1006" t="e">
        <f t="shared" si="302"/>
        <v>#DIV/0!</v>
      </c>
      <c r="T676" s="1021">
        <f>T673/T670*1000</f>
        <v>3.344667900740423E-2</v>
      </c>
      <c r="U676" s="1007"/>
      <c r="V676" s="1007"/>
      <c r="W676" s="936"/>
      <c r="X676" s="937"/>
      <c r="Y676" s="937"/>
      <c r="Z676" s="937"/>
      <c r="AA676" s="937"/>
      <c r="AB676" s="937"/>
      <c r="AC676" s="937"/>
    </row>
    <row r="677" spans="1:29" ht="21" hidden="1">
      <c r="A677" s="1011"/>
      <c r="B677" s="1003"/>
      <c r="C677" s="1008" t="s">
        <v>577</v>
      </c>
      <c r="D677" s="1003"/>
      <c r="E677" s="1003"/>
      <c r="F677" s="1003"/>
      <c r="G677" s="1011"/>
      <c r="H677" s="1009">
        <f>H673/H674*100</f>
        <v>200.41578307151164</v>
      </c>
      <c r="I677" s="1009">
        <f t="shared" ref="I677:S677" si="303">I673/I674*100</f>
        <v>188.34334990329393</v>
      </c>
      <c r="J677" s="1009">
        <f t="shared" si="303"/>
        <v>219.11795628614743</v>
      </c>
      <c r="K677" s="1009" t="e">
        <f t="shared" si="303"/>
        <v>#DIV/0!</v>
      </c>
      <c r="L677" s="1009" t="e">
        <f t="shared" si="303"/>
        <v>#DIV/0!</v>
      </c>
      <c r="M677" s="1009" t="e">
        <f t="shared" si="303"/>
        <v>#DIV/0!</v>
      </c>
      <c r="N677" s="1009" t="e">
        <f t="shared" si="303"/>
        <v>#DIV/0!</v>
      </c>
      <c r="O677" s="1009" t="e">
        <f t="shared" si="303"/>
        <v>#DIV/0!</v>
      </c>
      <c r="P677" s="1009" t="e">
        <f t="shared" si="303"/>
        <v>#DIV/0!</v>
      </c>
      <c r="Q677" s="1009" t="e">
        <f t="shared" si="303"/>
        <v>#DIV/0!</v>
      </c>
      <c r="R677" s="1009" t="e">
        <f t="shared" si="303"/>
        <v>#DIV/0!</v>
      </c>
      <c r="S677" s="1009" t="e">
        <f t="shared" si="303"/>
        <v>#DIV/0!</v>
      </c>
      <c r="T677" s="1009">
        <f>T673/T674*100</f>
        <v>202.67058281686724</v>
      </c>
      <c r="U677" s="1007"/>
      <c r="V677" s="1007"/>
      <c r="W677" s="936"/>
      <c r="X677" s="937"/>
      <c r="Y677" s="937"/>
      <c r="Z677" s="937"/>
      <c r="AA677" s="937"/>
      <c r="AB677" s="937"/>
      <c r="AC677" s="937"/>
    </row>
    <row r="678" spans="1:29" ht="21" hidden="1">
      <c r="A678" s="1011"/>
      <c r="B678" s="964"/>
      <c r="C678" s="958"/>
      <c r="D678" s="964"/>
      <c r="E678" s="964"/>
      <c r="F678" s="964"/>
      <c r="G678" s="1011"/>
      <c r="H678" s="968"/>
      <c r="I678" s="968"/>
      <c r="J678" s="968"/>
      <c r="K678" s="968"/>
      <c r="L678" s="968"/>
      <c r="M678" s="968"/>
      <c r="N678" s="966"/>
      <c r="O678" s="966"/>
      <c r="P678" s="966"/>
      <c r="Q678" s="966"/>
      <c r="R678" s="966"/>
      <c r="S678" s="966"/>
      <c r="T678" s="966"/>
      <c r="U678" s="966"/>
      <c r="V678" s="966"/>
      <c r="W678" s="936"/>
      <c r="X678" s="937"/>
      <c r="Y678" s="937"/>
      <c r="Z678" s="937"/>
      <c r="AA678" s="937"/>
      <c r="AB678" s="937"/>
      <c r="AC678" s="937"/>
    </row>
    <row r="679" spans="1:29" ht="21" hidden="1">
      <c r="A679" s="956">
        <v>23</v>
      </c>
      <c r="B679" s="1181" t="s">
        <v>565</v>
      </c>
      <c r="C679" s="1180" t="s">
        <v>117</v>
      </c>
      <c r="D679" s="956" t="s">
        <v>90</v>
      </c>
      <c r="E679" s="984">
        <f>'[11]Price&amp;Heating-Value'!$R$6</f>
        <v>3.6</v>
      </c>
      <c r="F679" s="964"/>
      <c r="G679" s="1014">
        <f>'[11]Price&amp;Heating-Value'!$P$6</f>
        <v>2.7124999999999999</v>
      </c>
      <c r="H679" s="1106">
        <v>3705820</v>
      </c>
      <c r="I679" s="1106">
        <v>3364160</v>
      </c>
      <c r="J679" s="961">
        <v>3658510</v>
      </c>
      <c r="K679" s="961"/>
      <c r="L679" s="961"/>
      <c r="M679" s="961"/>
      <c r="N679" s="961"/>
      <c r="O679" s="961"/>
      <c r="P679" s="961"/>
      <c r="Q679" s="961"/>
      <c r="R679" s="961"/>
      <c r="S679" s="961"/>
      <c r="T679" s="961">
        <f>SUM(H679:S679)</f>
        <v>10728490</v>
      </c>
      <c r="U679" s="961">
        <f>T679*E679</f>
        <v>38622564</v>
      </c>
      <c r="V679" s="961">
        <f>G679*T679</f>
        <v>29101029.125</v>
      </c>
      <c r="W679" s="954">
        <f>'[11]Price&amp;Heating-Value'!D$6</f>
        <v>2.4500000000000002</v>
      </c>
      <c r="X679" s="954">
        <f>'[11]Price&amp;Heating-Value'!E$6</f>
        <v>2.54</v>
      </c>
      <c r="Y679" s="954">
        <f>'[11]Price&amp;Heating-Value'!F$6</f>
        <v>2.58</v>
      </c>
      <c r="Z679" s="954">
        <f>'[11]Price&amp;Heating-Value'!G$6</f>
        <v>2.67</v>
      </c>
      <c r="AA679" s="954">
        <f>'[11]Price&amp;Heating-Value'!H$6</f>
        <v>2.67</v>
      </c>
      <c r="AB679" s="954">
        <f>'[11]Price&amp;Heating-Value'!I$6</f>
        <v>2.67</v>
      </c>
      <c r="AC679" s="954">
        <f>'[11]Price&amp;Heating-Value'!J$6</f>
        <v>2.62</v>
      </c>
    </row>
    <row r="680" spans="1:29" ht="21" hidden="1">
      <c r="A680" s="956"/>
      <c r="B680" s="957" t="s">
        <v>578</v>
      </c>
      <c r="C680" s="983"/>
      <c r="D680" s="956"/>
      <c r="E680" s="956"/>
      <c r="F680" s="956"/>
      <c r="G680" s="956"/>
      <c r="H680" s="1029"/>
      <c r="I680" s="1029"/>
      <c r="J680" s="1029"/>
      <c r="K680" s="1029"/>
      <c r="L680" s="1029"/>
      <c r="M680" s="1029"/>
      <c r="N680" s="1029"/>
      <c r="O680" s="1029"/>
      <c r="P680" s="1029"/>
      <c r="Q680" s="1029"/>
      <c r="R680" s="1029"/>
      <c r="S680" s="1029"/>
      <c r="T680" s="1029"/>
      <c r="U680" s="961"/>
      <c r="V680" s="961">
        <f>SUM(V679)</f>
        <v>29101029.125</v>
      </c>
      <c r="W680" s="936"/>
      <c r="X680" s="937"/>
      <c r="Y680" s="937"/>
      <c r="Z680" s="937"/>
      <c r="AA680" s="937"/>
      <c r="AB680" s="937"/>
      <c r="AC680" s="937"/>
    </row>
    <row r="681" spans="1:29" ht="21" hidden="1">
      <c r="A681" s="1011"/>
      <c r="B681" s="989"/>
      <c r="C681" s="990" t="s">
        <v>107</v>
      </c>
      <c r="D681" s="989" t="s">
        <v>163</v>
      </c>
      <c r="E681" s="989"/>
      <c r="F681" s="989"/>
      <c r="G681" s="1011"/>
      <c r="H681" s="1023">
        <v>14208641</v>
      </c>
      <c r="I681" s="1023">
        <v>13477369.640000001</v>
      </c>
      <c r="J681" s="994">
        <v>14318421.73</v>
      </c>
      <c r="K681" s="994"/>
      <c r="L681" s="994"/>
      <c r="M681" s="994"/>
      <c r="N681" s="994"/>
      <c r="O681" s="994"/>
      <c r="P681" s="994"/>
      <c r="Q681" s="994"/>
      <c r="R681" s="994"/>
      <c r="S681" s="994"/>
      <c r="T681" s="996">
        <f>SUM(H681:S681)</f>
        <v>42004432.370000005</v>
      </c>
      <c r="U681" s="995"/>
      <c r="V681" s="1026">
        <f>V680/T681</f>
        <v>0.69280853193445968</v>
      </c>
      <c r="W681" s="936"/>
      <c r="X681" s="937"/>
      <c r="Y681" s="937"/>
      <c r="Z681" s="937"/>
      <c r="AA681" s="937"/>
      <c r="AB681" s="937"/>
      <c r="AC681" s="937"/>
    </row>
    <row r="682" spans="1:29" ht="21" hidden="1">
      <c r="A682" s="1011"/>
      <c r="B682" s="1011"/>
      <c r="C682" s="1030"/>
      <c r="D682" s="1011"/>
      <c r="E682" s="1011"/>
      <c r="F682" s="1011"/>
      <c r="G682" s="1011"/>
      <c r="H682" s="981"/>
      <c r="I682" s="981"/>
      <c r="J682" s="981"/>
      <c r="K682" s="981"/>
      <c r="L682" s="981"/>
      <c r="M682" s="981"/>
      <c r="N682" s="981"/>
      <c r="O682" s="981"/>
      <c r="P682" s="981"/>
      <c r="Q682" s="981"/>
      <c r="R682" s="981"/>
      <c r="S682" s="981"/>
      <c r="T682" s="981"/>
      <c r="U682" s="981"/>
      <c r="V682" s="997" t="s">
        <v>137</v>
      </c>
      <c r="W682" s="936"/>
      <c r="X682" s="937"/>
      <c r="Y682" s="937"/>
      <c r="Z682" s="937"/>
      <c r="AA682" s="937"/>
      <c r="AB682" s="937"/>
      <c r="AC682" s="937"/>
    </row>
    <row r="683" spans="1:29" ht="21" hidden="1">
      <c r="A683" s="1011"/>
      <c r="B683" s="1011"/>
      <c r="C683" s="1031" t="s">
        <v>138</v>
      </c>
      <c r="D683" s="1011" t="s">
        <v>173</v>
      </c>
      <c r="E683" s="964"/>
      <c r="F683" s="964"/>
      <c r="G683" s="1011"/>
      <c r="H683" s="981">
        <f>H679*$E$679/1000</f>
        <v>13340.951999999999</v>
      </c>
      <c r="I683" s="981">
        <f t="shared" ref="I683:J683" si="304">I679*$E$679/1000</f>
        <v>12110.976000000001</v>
      </c>
      <c r="J683" s="981">
        <f t="shared" si="304"/>
        <v>13170.636</v>
      </c>
      <c r="K683" s="981"/>
      <c r="L683" s="981"/>
      <c r="M683" s="981"/>
      <c r="N683" s="981"/>
      <c r="O683" s="981"/>
      <c r="P683" s="981"/>
      <c r="Q683" s="981"/>
      <c r="R683" s="981"/>
      <c r="S683" s="981"/>
      <c r="T683" s="981">
        <f>SUM(H683:S683)</f>
        <v>38622.563999999998</v>
      </c>
      <c r="U683" s="981"/>
      <c r="V683" s="981"/>
      <c r="W683" s="936"/>
      <c r="X683" s="937"/>
      <c r="Y683" s="937"/>
      <c r="Z683" s="937"/>
      <c r="AA683" s="937"/>
      <c r="AB683" s="937"/>
      <c r="AC683" s="937"/>
    </row>
    <row r="684" spans="1:29" ht="21" hidden="1">
      <c r="A684" s="1011"/>
      <c r="B684" s="964"/>
      <c r="C684" s="983" t="s">
        <v>579</v>
      </c>
      <c r="D684" s="964" t="s">
        <v>173</v>
      </c>
      <c r="E684" s="1011"/>
      <c r="F684" s="1011"/>
      <c r="G684" s="1011"/>
      <c r="H684" s="981">
        <f t="shared" ref="H684:I684" si="305">SUM(H683)</f>
        <v>13340.951999999999</v>
      </c>
      <c r="I684" s="981">
        <f t="shared" si="305"/>
        <v>12110.976000000001</v>
      </c>
      <c r="J684" s="981">
        <f t="shared" ref="J684" si="306">SUM(J683)</f>
        <v>13170.636</v>
      </c>
      <c r="K684" s="981"/>
      <c r="L684" s="981"/>
      <c r="M684" s="981"/>
      <c r="N684" s="981"/>
      <c r="O684" s="981"/>
      <c r="P684" s="981"/>
      <c r="Q684" s="981"/>
      <c r="R684" s="981"/>
      <c r="S684" s="981"/>
      <c r="T684" s="1032">
        <f>SUM(H684:S684)</f>
        <v>38622.563999999998</v>
      </c>
      <c r="U684" s="981"/>
      <c r="V684" s="1033">
        <f>V680/T684</f>
        <v>753.47222222222229</v>
      </c>
      <c r="W684" s="936"/>
      <c r="X684" s="937"/>
      <c r="Y684" s="937"/>
      <c r="Z684" s="937"/>
      <c r="AA684" s="937"/>
      <c r="AB684" s="937"/>
      <c r="AC684" s="937"/>
    </row>
    <row r="685" spans="1:29" ht="21" hidden="1">
      <c r="A685" s="1011"/>
      <c r="B685" s="1011"/>
      <c r="C685" s="983" t="s">
        <v>345</v>
      </c>
      <c r="D685" s="964" t="s">
        <v>173</v>
      </c>
      <c r="E685" s="1011"/>
      <c r="F685" s="1011"/>
      <c r="G685" s="1011"/>
      <c r="H685" s="1090">
        <f>( 0.0008*H681 + 447.82)*106.33/100</f>
        <v>12562.60538624</v>
      </c>
      <c r="I685" s="1090">
        <f>( 0.0008*I681 + 447.82)*106.33/100</f>
        <v>11940.556716569601</v>
      </c>
      <c r="J685" s="1090">
        <f>( 0.0008*J681 + 447.82)*106.33/100</f>
        <v>12655.989266407199</v>
      </c>
      <c r="K685" s="981"/>
      <c r="L685" s="981"/>
      <c r="M685" s="981"/>
      <c r="N685" s="981"/>
      <c r="O685" s="981"/>
      <c r="P685" s="981"/>
      <c r="Q685" s="981"/>
      <c r="R685" s="981"/>
      <c r="S685" s="981"/>
      <c r="T685" s="1032">
        <f>SUM(H685:S685)</f>
        <v>37159.151369216801</v>
      </c>
      <c r="U685" s="981"/>
      <c r="V685" s="1001" t="s">
        <v>158</v>
      </c>
      <c r="W685" s="936"/>
      <c r="X685" s="937"/>
      <c r="Y685" s="937"/>
      <c r="Z685" s="937"/>
      <c r="AA685" s="937"/>
      <c r="AB685" s="937"/>
      <c r="AC685" s="937"/>
    </row>
    <row r="686" spans="1:29" ht="21" hidden="1">
      <c r="A686" s="1011"/>
      <c r="B686" s="1003" t="s">
        <v>174</v>
      </c>
      <c r="C686" s="1004" t="s">
        <v>138</v>
      </c>
      <c r="D686" s="1003" t="s">
        <v>374</v>
      </c>
      <c r="E686" s="1003"/>
      <c r="F686" s="1003"/>
      <c r="G686" s="1011"/>
      <c r="H686" s="1006">
        <f>H683/H681*1000</f>
        <v>0.93893230182956977</v>
      </c>
      <c r="I686" s="1006">
        <f t="shared" ref="I686:T686" si="307">I683/I681*1000</f>
        <v>0.89861570347194242</v>
      </c>
      <c r="J686" s="1006">
        <f t="shared" si="307"/>
        <v>0.91983853027633933</v>
      </c>
      <c r="K686" s="1006" t="e">
        <f t="shared" si="307"/>
        <v>#DIV/0!</v>
      </c>
      <c r="L686" s="1006" t="e">
        <f t="shared" si="307"/>
        <v>#DIV/0!</v>
      </c>
      <c r="M686" s="1006" t="e">
        <f t="shared" si="307"/>
        <v>#DIV/0!</v>
      </c>
      <c r="N686" s="1006" t="e">
        <f t="shared" si="307"/>
        <v>#DIV/0!</v>
      </c>
      <c r="O686" s="1006" t="e">
        <f t="shared" si="307"/>
        <v>#DIV/0!</v>
      </c>
      <c r="P686" s="1006" t="e">
        <f t="shared" si="307"/>
        <v>#DIV/0!</v>
      </c>
      <c r="Q686" s="1006" t="e">
        <f t="shared" si="307"/>
        <v>#DIV/0!</v>
      </c>
      <c r="R686" s="1006" t="e">
        <f t="shared" si="307"/>
        <v>#DIV/0!</v>
      </c>
      <c r="S686" s="1006" t="e">
        <f t="shared" si="307"/>
        <v>#DIV/0!</v>
      </c>
      <c r="T686" s="1006">
        <f t="shared" si="307"/>
        <v>0.91948782118490502</v>
      </c>
      <c r="U686" s="1007"/>
      <c r="V686" s="1007"/>
      <c r="W686" s="936"/>
      <c r="X686" s="937"/>
      <c r="Y686" s="937"/>
      <c r="Z686" s="937"/>
      <c r="AA686" s="937"/>
      <c r="AB686" s="937"/>
      <c r="AC686" s="937"/>
    </row>
    <row r="687" spans="1:29" ht="23.25" hidden="1">
      <c r="A687" s="1011"/>
      <c r="B687" s="1003"/>
      <c r="C687" s="1008" t="s">
        <v>580</v>
      </c>
      <c r="D687" s="1003" t="s">
        <v>374</v>
      </c>
      <c r="E687" s="1003"/>
      <c r="F687" s="1003"/>
      <c r="G687" s="1011"/>
      <c r="H687" s="1006">
        <f>H684/H681*1000</f>
        <v>0.93893230182956977</v>
      </c>
      <c r="I687" s="1006">
        <f t="shared" ref="I687:S687" si="308">I684/I681*1000</f>
        <v>0.89861570347194242</v>
      </c>
      <c r="J687" s="1006">
        <f t="shared" si="308"/>
        <v>0.91983853027633933</v>
      </c>
      <c r="K687" s="1006" t="e">
        <f t="shared" si="308"/>
        <v>#DIV/0!</v>
      </c>
      <c r="L687" s="1006" t="e">
        <f t="shared" si="308"/>
        <v>#DIV/0!</v>
      </c>
      <c r="M687" s="1006" t="e">
        <f t="shared" si="308"/>
        <v>#DIV/0!</v>
      </c>
      <c r="N687" s="1006" t="e">
        <f t="shared" si="308"/>
        <v>#DIV/0!</v>
      </c>
      <c r="O687" s="1006" t="e">
        <f t="shared" si="308"/>
        <v>#DIV/0!</v>
      </c>
      <c r="P687" s="1006" t="e">
        <f t="shared" si="308"/>
        <v>#DIV/0!</v>
      </c>
      <c r="Q687" s="1006" t="e">
        <f t="shared" si="308"/>
        <v>#DIV/0!</v>
      </c>
      <c r="R687" s="1006" t="e">
        <f t="shared" si="308"/>
        <v>#DIV/0!</v>
      </c>
      <c r="S687" s="1006" t="e">
        <f t="shared" si="308"/>
        <v>#DIV/0!</v>
      </c>
      <c r="T687" s="1021">
        <f>T684/T681*1000</f>
        <v>0.91948782118490502</v>
      </c>
      <c r="U687" s="1007"/>
      <c r="V687" s="1007"/>
      <c r="W687" s="936"/>
      <c r="X687" s="937"/>
      <c r="Y687" s="937"/>
      <c r="Z687" s="937"/>
      <c r="AA687" s="937"/>
      <c r="AB687" s="937"/>
      <c r="AC687" s="937"/>
    </row>
    <row r="688" spans="1:29" ht="21" hidden="1">
      <c r="A688" s="1011"/>
      <c r="B688" s="1003"/>
      <c r="C688" s="1008" t="s">
        <v>581</v>
      </c>
      <c r="D688" s="1003"/>
      <c r="E688" s="1003"/>
      <c r="F688" s="1003"/>
      <c r="G688" s="1011"/>
      <c r="H688" s="1009">
        <f>H684/H685*100</f>
        <v>106.1957419645811</v>
      </c>
      <c r="I688" s="1009">
        <f t="shared" ref="I688:S688" si="309">I684/I685*100</f>
        <v>101.42723063484897</v>
      </c>
      <c r="J688" s="1009">
        <f t="shared" si="309"/>
        <v>104.06642833491355</v>
      </c>
      <c r="K688" s="1009" t="e">
        <f t="shared" si="309"/>
        <v>#DIV/0!</v>
      </c>
      <c r="L688" s="1009" t="e">
        <f t="shared" si="309"/>
        <v>#DIV/0!</v>
      </c>
      <c r="M688" s="1009" t="e">
        <f t="shared" si="309"/>
        <v>#DIV/0!</v>
      </c>
      <c r="N688" s="1009" t="e">
        <f t="shared" si="309"/>
        <v>#DIV/0!</v>
      </c>
      <c r="O688" s="1009" t="e">
        <f t="shared" si="309"/>
        <v>#DIV/0!</v>
      </c>
      <c r="P688" s="1009" t="e">
        <f t="shared" si="309"/>
        <v>#DIV/0!</v>
      </c>
      <c r="Q688" s="1009" t="e">
        <f t="shared" si="309"/>
        <v>#DIV/0!</v>
      </c>
      <c r="R688" s="1009" t="e">
        <f t="shared" si="309"/>
        <v>#DIV/0!</v>
      </c>
      <c r="S688" s="1009" t="e">
        <f t="shared" si="309"/>
        <v>#DIV/0!</v>
      </c>
      <c r="T688" s="1009">
        <f>T684/T685*100</f>
        <v>103.93822941821946</v>
      </c>
      <c r="U688" s="1007"/>
      <c r="V688" s="1007"/>
      <c r="W688" s="936"/>
      <c r="X688" s="937"/>
      <c r="Y688" s="937"/>
      <c r="Z688" s="937"/>
      <c r="AA688" s="937"/>
      <c r="AB688" s="937"/>
      <c r="AC688" s="937"/>
    </row>
    <row r="689" spans="1:29" ht="21" hidden="1">
      <c r="A689" s="1011"/>
      <c r="B689" s="964"/>
      <c r="C689" s="958" t="s">
        <v>398</v>
      </c>
      <c r="D689" s="964"/>
      <c r="E689" s="964"/>
      <c r="F689" s="964"/>
      <c r="G689" s="1011"/>
      <c r="H689" s="968">
        <f t="shared" ref="H689:Q690" si="310">H684+H673+H662+H651+H639+H627+H615+H599</f>
        <v>128621.518354638</v>
      </c>
      <c r="I689" s="968">
        <f t="shared" si="310"/>
        <v>117584.30838604548</v>
      </c>
      <c r="J689" s="968">
        <f t="shared" si="310"/>
        <v>129668.491523626</v>
      </c>
      <c r="K689" s="968">
        <f t="shared" si="310"/>
        <v>0</v>
      </c>
      <c r="L689" s="968">
        <f t="shared" si="310"/>
        <v>0</v>
      </c>
      <c r="M689" s="968">
        <f t="shared" si="310"/>
        <v>0</v>
      </c>
      <c r="N689" s="968">
        <f t="shared" si="310"/>
        <v>0</v>
      </c>
      <c r="O689" s="968">
        <f t="shared" si="310"/>
        <v>0</v>
      </c>
      <c r="P689" s="968">
        <f t="shared" si="310"/>
        <v>0</v>
      </c>
      <c r="Q689" s="968">
        <f t="shared" si="310"/>
        <v>0</v>
      </c>
      <c r="R689" s="966"/>
      <c r="S689" s="966"/>
      <c r="T689" s="966"/>
      <c r="U689" s="966"/>
      <c r="V689" s="966"/>
      <c r="W689" s="936"/>
      <c r="X689" s="937"/>
      <c r="Y689" s="937"/>
      <c r="Z689" s="937"/>
      <c r="AA689" s="937"/>
      <c r="AB689" s="937"/>
      <c r="AC689" s="937"/>
    </row>
    <row r="690" spans="1:29" ht="21" hidden="1">
      <c r="A690" s="1011"/>
      <c r="B690" s="964"/>
      <c r="C690" s="958" t="s">
        <v>492</v>
      </c>
      <c r="D690" s="964"/>
      <c r="E690" s="964"/>
      <c r="F690" s="964"/>
      <c r="G690" s="1011"/>
      <c r="H690" s="968">
        <f t="shared" si="310"/>
        <v>131700.422716676</v>
      </c>
      <c r="I690" s="968">
        <f t="shared" si="310"/>
        <v>125570.77955288561</v>
      </c>
      <c r="J690" s="968">
        <f t="shared" si="310"/>
        <v>130261.13266259919</v>
      </c>
      <c r="K690" s="968">
        <f t="shared" si="310"/>
        <v>0</v>
      </c>
      <c r="L690" s="968">
        <f t="shared" si="310"/>
        <v>0</v>
      </c>
      <c r="M690" s="968">
        <f t="shared" si="310"/>
        <v>0</v>
      </c>
      <c r="N690" s="968">
        <f t="shared" si="310"/>
        <v>0</v>
      </c>
      <c r="O690" s="968">
        <f t="shared" si="310"/>
        <v>0</v>
      </c>
      <c r="P690" s="968">
        <f t="shared" si="310"/>
        <v>0</v>
      </c>
      <c r="Q690" s="968">
        <f t="shared" si="310"/>
        <v>0</v>
      </c>
      <c r="R690" s="966"/>
      <c r="S690" s="966"/>
      <c r="T690" s="966"/>
      <c r="U690" s="966"/>
      <c r="V690" s="966"/>
      <c r="W690" s="936"/>
      <c r="X690" s="937"/>
      <c r="Y690" s="937"/>
      <c r="Z690" s="937"/>
      <c r="AA690" s="937"/>
      <c r="AB690" s="937"/>
      <c r="AC690" s="937"/>
    </row>
    <row r="691" spans="1:29" ht="21" hidden="1">
      <c r="A691" s="1011"/>
      <c r="B691" s="964"/>
      <c r="C691" s="958" t="s">
        <v>582</v>
      </c>
      <c r="D691" s="964"/>
      <c r="E691" s="964"/>
      <c r="F691" s="964"/>
      <c r="G691" s="1011"/>
      <c r="H691" s="968">
        <f t="shared" ref="H691:M691" si="311">H689/H690*100</f>
        <v>97.66219097970432</v>
      </c>
      <c r="I691" s="968">
        <f t="shared" si="311"/>
        <v>93.63986494686327</v>
      </c>
      <c r="J691" s="968">
        <f t="shared" si="311"/>
        <v>99.545036092609266</v>
      </c>
      <c r="K691" s="968" t="e">
        <f t="shared" si="311"/>
        <v>#DIV/0!</v>
      </c>
      <c r="L691" s="968" t="e">
        <f t="shared" si="311"/>
        <v>#DIV/0!</v>
      </c>
      <c r="M691" s="968" t="e">
        <f t="shared" si="311"/>
        <v>#DIV/0!</v>
      </c>
      <c r="N691" s="968" t="e">
        <f>N689/N690*100</f>
        <v>#DIV/0!</v>
      </c>
      <c r="O691" s="968" t="e">
        <f>O689/O690*100</f>
        <v>#DIV/0!</v>
      </c>
      <c r="P691" s="968" t="e">
        <f>P689/P690*100</f>
        <v>#DIV/0!</v>
      </c>
      <c r="Q691" s="968" t="e">
        <f>Q689/Q690*100</f>
        <v>#DIV/0!</v>
      </c>
      <c r="R691" s="966"/>
      <c r="S691" s="966"/>
      <c r="T691" s="966"/>
      <c r="U691" s="966"/>
      <c r="V691" s="966"/>
      <c r="W691" s="936"/>
      <c r="X691" s="937"/>
      <c r="Y691" s="937"/>
      <c r="Z691" s="937"/>
      <c r="AA691" s="937"/>
      <c r="AB691" s="937"/>
      <c r="AC691" s="937"/>
    </row>
    <row r="692" spans="1:29" ht="21" hidden="1">
      <c r="A692" s="1011"/>
      <c r="B692" s="964"/>
      <c r="C692" s="958"/>
      <c r="D692" s="964"/>
      <c r="E692" s="964"/>
      <c r="F692" s="964"/>
      <c r="G692" s="1011"/>
      <c r="H692" s="968"/>
      <c r="I692" s="968"/>
      <c r="J692" s="968"/>
      <c r="K692" s="968"/>
      <c r="L692" s="968"/>
      <c r="M692" s="968"/>
      <c r="N692" s="966"/>
      <c r="O692" s="966"/>
      <c r="P692" s="966"/>
      <c r="Q692" s="966"/>
      <c r="R692" s="966"/>
      <c r="S692" s="966"/>
      <c r="T692" s="966"/>
      <c r="U692" s="966"/>
      <c r="V692" s="966"/>
      <c r="W692" s="936"/>
      <c r="X692" s="937"/>
      <c r="Y692" s="937"/>
      <c r="Z692" s="937"/>
      <c r="AA692" s="937"/>
      <c r="AB692" s="937"/>
      <c r="AC692" s="937"/>
    </row>
    <row r="693" spans="1:29" ht="21" hidden="1">
      <c r="A693" s="964">
        <v>23</v>
      </c>
      <c r="B693" s="964" t="s">
        <v>0</v>
      </c>
      <c r="C693" s="1031" t="s">
        <v>138</v>
      </c>
      <c r="D693" s="964" t="s">
        <v>90</v>
      </c>
      <c r="E693" s="984">
        <f>'[11]Price&amp;Heating-Value'!$R$6</f>
        <v>3.6</v>
      </c>
      <c r="F693" s="964"/>
      <c r="G693" s="1014">
        <f>'[11]Price&amp;Heating-Value'!$P$6</f>
        <v>2.7124999999999999</v>
      </c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966"/>
      <c r="T693" s="966">
        <f t="shared" ref="T693:T698" si="312">SUM(H693:S693)</f>
        <v>0</v>
      </c>
      <c r="U693" s="966">
        <f>T693*E693</f>
        <v>0</v>
      </c>
      <c r="V693" s="966">
        <f>G693*T693</f>
        <v>0</v>
      </c>
      <c r="W693" s="954">
        <f>'[11]Price&amp;Heating-Value'!D$6</f>
        <v>2.4500000000000002</v>
      </c>
      <c r="X693" s="954">
        <f>'[11]Price&amp;Heating-Value'!E$6</f>
        <v>2.54</v>
      </c>
      <c r="Y693" s="954">
        <f>'[11]Price&amp;Heating-Value'!F$6</f>
        <v>2.58</v>
      </c>
      <c r="Z693" s="954">
        <f>'[11]Price&amp;Heating-Value'!G$6</f>
        <v>2.67</v>
      </c>
      <c r="AA693" s="954">
        <f>'[11]Price&amp;Heating-Value'!H$6</f>
        <v>2.67</v>
      </c>
      <c r="AB693" s="954">
        <f>'[11]Price&amp;Heating-Value'!I$6</f>
        <v>2.67</v>
      </c>
      <c r="AC693" s="954">
        <f>'[11]Price&amp;Heating-Value'!J$6</f>
        <v>2.62</v>
      </c>
    </row>
    <row r="694" spans="1:29" ht="21" hidden="1">
      <c r="A694" s="964"/>
      <c r="B694" s="964"/>
      <c r="C694" s="1031" t="s">
        <v>533</v>
      </c>
      <c r="D694" s="964" t="s">
        <v>176</v>
      </c>
      <c r="E694" s="984">
        <f>'[11]Price&amp;Heating-Value'!$S$16/1000</f>
        <v>39.770000000000003</v>
      </c>
      <c r="F694" s="1036">
        <f>'[11]Price&amp;Heating-Value'!$T$16</f>
        <v>0.98550000000000004</v>
      </c>
      <c r="G694" s="965">
        <f>'[11]Price&amp;Heating-Value'!$P$16*'[11]Price&amp;Heating-Value'!$T$16/1000</f>
        <v>17.944656726937499</v>
      </c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966"/>
      <c r="T694" s="966">
        <f t="shared" si="312"/>
        <v>0</v>
      </c>
      <c r="U694" s="966">
        <f>T694*E694</f>
        <v>0</v>
      </c>
      <c r="V694" s="966">
        <f>F694*G694*T694</f>
        <v>0</v>
      </c>
      <c r="W694" s="1037">
        <f>'[11]Price&amp;Heating-Value'!D$16*'[11]Price&amp;Heating-Value'!$T$16/1000</f>
        <v>16.779635460000002</v>
      </c>
      <c r="X694" s="982">
        <f>'[11]Price&amp;Heating-Value'!E$16*'[11]Price&amp;Heating-Value'!$T$16/1000</f>
        <v>16.47036585</v>
      </c>
      <c r="Y694" s="982">
        <f>'[11]Price&amp;Heating-Value'!F$16*'[11]Price&amp;Heating-Value'!$T$16/1000</f>
        <v>16.780118354999999</v>
      </c>
      <c r="Z694" s="982">
        <f>'[11]Price&amp;Heating-Value'!G$16*'[11]Price&amp;Heating-Value'!$T$16/1000</f>
        <v>18.287135100000004</v>
      </c>
      <c r="AA694" s="982">
        <f>'[11]Price&amp;Heating-Value'!H$16*'[11]Price&amp;Heating-Value'!$T$16/1000</f>
        <v>20.715278985000001</v>
      </c>
      <c r="AB694" s="982">
        <f>'[11]Price&amp;Heating-Value'!I$16*'[11]Price&amp;Heating-Value'!$T$16/1000</f>
        <v>22.335056640000001</v>
      </c>
      <c r="AC694" s="982">
        <f>'[11]Price&amp;Heating-Value'!J$16*'[11]Price&amp;Heating-Value'!$T$16/1000</f>
        <v>25.718475240000004</v>
      </c>
    </row>
    <row r="695" spans="1:29" ht="21" hidden="1">
      <c r="A695" s="964"/>
      <c r="B695" s="964"/>
      <c r="C695" s="1031" t="s">
        <v>434</v>
      </c>
      <c r="D695" s="964" t="s">
        <v>176</v>
      </c>
      <c r="E695" s="964">
        <f>'[11]Price&amp;Heating-Value'!$R$18/'[11]Price&amp;Heating-Value'!$T$18/1000</f>
        <v>36.42</v>
      </c>
      <c r="F695" s="984">
        <f>'[11]Price&amp;Heating-Value'!$T$18</f>
        <v>0.83520000000000005</v>
      </c>
      <c r="G695" s="965">
        <f>'[11]Price&amp;Heating-Value'!$P$18*'[11]Price&amp;Heating-Value'!$T$18/1000</f>
        <v>25.160039938320001</v>
      </c>
      <c r="H695" s="966"/>
      <c r="I695" s="966"/>
      <c r="J695" s="966"/>
      <c r="K695" s="966"/>
      <c r="L695" s="966"/>
      <c r="M695" s="966"/>
      <c r="N695" s="966"/>
      <c r="O695" s="966"/>
      <c r="P695" s="966"/>
      <c r="Q695" s="966"/>
      <c r="R695" s="966"/>
      <c r="S695" s="966"/>
      <c r="T695" s="966">
        <f t="shared" si="312"/>
        <v>0</v>
      </c>
      <c r="U695" s="966">
        <f>T695*E695</f>
        <v>0</v>
      </c>
      <c r="V695" s="966">
        <f>F695*G695*T695</f>
        <v>0</v>
      </c>
      <c r="W695" s="954">
        <f>'[11]Price&amp;Heating-Value'!D$18*'[11]Price&amp;Heating-Value'!$T$18/1000</f>
        <v>22.986641664000004</v>
      </c>
      <c r="X695" s="954">
        <f>'[11]Price&amp;Heating-Value'!E$18*'[11]Price&amp;Heating-Value'!$T$18/1000</f>
        <v>22.963013856000003</v>
      </c>
      <c r="Y695" s="954">
        <f>'[11]Price&amp;Heating-Value'!F$18*'[11]Price&amp;Heating-Value'!$T$18/1000</f>
        <v>24.774545952</v>
      </c>
      <c r="Z695" s="954">
        <f>'[11]Price&amp;Heating-Value'!G$18*'[11]Price&amp;Heating-Value'!$T$18/1000</f>
        <v>27.366797952000002</v>
      </c>
      <c r="AA695" s="954">
        <f>'[11]Price&amp;Heating-Value'!H$18*'[11]Price&amp;Heating-Value'!$T$18/1000</f>
        <v>31.132931903999999</v>
      </c>
      <c r="AB695" s="954">
        <f>'[11]Price&amp;Heating-Value'!I$18*'[11]Price&amp;Heating-Value'!$T$18/1000</f>
        <v>34.244001792000006</v>
      </c>
      <c r="AC695" s="954">
        <f>'[11]Price&amp;Heating-Value'!J$18*'[11]Price&amp;Heating-Value'!$T$18/1000</f>
        <v>35.755738848000007</v>
      </c>
    </row>
    <row r="696" spans="1:29" ht="21" hidden="1">
      <c r="A696" s="964"/>
      <c r="B696" s="964"/>
      <c r="C696" s="1031" t="s">
        <v>488</v>
      </c>
      <c r="D696" s="964" t="s">
        <v>102</v>
      </c>
      <c r="E696" s="964">
        <f>'[11]Price&amp;Heating-Value'!$R$19/1000</f>
        <v>43.993000000000002</v>
      </c>
      <c r="F696" s="964"/>
      <c r="G696" s="1134">
        <f>'[11]Price&amp;Heating-Value'!$P$19/1000</f>
        <v>5.9003324083333331</v>
      </c>
      <c r="H696" s="966"/>
      <c r="I696" s="966"/>
      <c r="J696" s="966"/>
      <c r="K696" s="966"/>
      <c r="L696" s="966"/>
      <c r="M696" s="966"/>
      <c r="N696" s="966"/>
      <c r="O696" s="966"/>
      <c r="P696" s="966"/>
      <c r="Q696" s="966"/>
      <c r="R696" s="966"/>
      <c r="S696" s="966"/>
      <c r="T696" s="966">
        <f t="shared" si="312"/>
        <v>0</v>
      </c>
      <c r="U696" s="966">
        <f>T696*E696</f>
        <v>0</v>
      </c>
      <c r="V696" s="966">
        <f>G696*T696</f>
        <v>0</v>
      </c>
      <c r="W696" s="1134">
        <f>'[11]Price&amp;Heating-Value'!D$19/1000</f>
        <v>5.3311999999999999</v>
      </c>
      <c r="X696" s="1135">
        <f>'[11]Price&amp;Heating-Value'!E$19/1000</f>
        <v>5.3087400000000011</v>
      </c>
      <c r="Y696" s="1135">
        <f>'[11]Price&amp;Heating-Value'!F$19/1000</f>
        <v>5.3071200000000003</v>
      </c>
      <c r="Z696" s="1135">
        <f>'[11]Price&amp;Heating-Value'!G$19/1000</f>
        <v>5.3289600000000004</v>
      </c>
      <c r="AA696" s="1135">
        <f>'[11]Price&amp;Heating-Value'!H$19/1000</f>
        <v>5.3113499999999991</v>
      </c>
      <c r="AB696" s="1135">
        <f>'[11]Price&amp;Heating-Value'!I$19/1000</f>
        <v>5.3247999999999998</v>
      </c>
      <c r="AC696" s="1135">
        <f>'[11]Price&amp;Heating-Value'!J$19/1000</f>
        <v>5.3135399999999997</v>
      </c>
    </row>
    <row r="697" spans="1:29" ht="21" hidden="1">
      <c r="A697" s="964"/>
      <c r="B697" s="964"/>
      <c r="C697" s="983" t="s">
        <v>383</v>
      </c>
      <c r="D697" s="964"/>
      <c r="E697" s="964"/>
      <c r="F697" s="964"/>
      <c r="G697" s="964"/>
      <c r="H697" s="985">
        <f t="shared" ref="H697:S697" si="313">(H693*3.6)+(H694*39.77)+(H695*36.42)+(H696*43.993)</f>
        <v>0</v>
      </c>
      <c r="I697" s="985">
        <f t="shared" si="313"/>
        <v>0</v>
      </c>
      <c r="J697" s="985">
        <f t="shared" si="313"/>
        <v>0</v>
      </c>
      <c r="K697" s="985">
        <f t="shared" si="313"/>
        <v>0</v>
      </c>
      <c r="L697" s="985">
        <f t="shared" si="313"/>
        <v>0</v>
      </c>
      <c r="M697" s="985">
        <f t="shared" si="313"/>
        <v>0</v>
      </c>
      <c r="N697" s="985">
        <f t="shared" si="313"/>
        <v>0</v>
      </c>
      <c r="O697" s="985">
        <f t="shared" si="313"/>
        <v>0</v>
      </c>
      <c r="P697" s="985">
        <f t="shared" si="313"/>
        <v>0</v>
      </c>
      <c r="Q697" s="985">
        <f t="shared" si="313"/>
        <v>0</v>
      </c>
      <c r="R697" s="985">
        <f t="shared" si="313"/>
        <v>0</v>
      </c>
      <c r="S697" s="985">
        <f t="shared" si="313"/>
        <v>0</v>
      </c>
      <c r="T697" s="987">
        <f t="shared" si="312"/>
        <v>0</v>
      </c>
      <c r="U697" s="966"/>
      <c r="V697" s="966"/>
      <c r="W697" s="936"/>
      <c r="X697" s="937"/>
      <c r="Y697" s="937"/>
      <c r="Z697" s="937"/>
      <c r="AA697" s="937"/>
      <c r="AB697" s="937"/>
      <c r="AC697" s="937"/>
    </row>
    <row r="698" spans="1:29" ht="21" hidden="1">
      <c r="A698" s="1011"/>
      <c r="B698" s="989"/>
      <c r="C698" s="990" t="s">
        <v>107</v>
      </c>
      <c r="D698" s="989" t="s">
        <v>121</v>
      </c>
      <c r="E698" s="989"/>
      <c r="F698" s="989"/>
      <c r="G698" s="1011"/>
      <c r="H698" s="994"/>
      <c r="I698" s="994"/>
      <c r="J698" s="994"/>
      <c r="K698" s="994"/>
      <c r="L698" s="994"/>
      <c r="M698" s="994"/>
      <c r="N698" s="994"/>
      <c r="O698" s="994"/>
      <c r="P698" s="994"/>
      <c r="Q698" s="994"/>
      <c r="R698" s="994"/>
      <c r="S698" s="994"/>
      <c r="T698" s="996">
        <f t="shared" si="312"/>
        <v>0</v>
      </c>
      <c r="U698" s="995"/>
      <c r="V698" s="1026" t="e">
        <f>V697/T698</f>
        <v>#DIV/0!</v>
      </c>
      <c r="W698" s="936"/>
      <c r="X698" s="937"/>
      <c r="Y698" s="937"/>
      <c r="Z698" s="937"/>
      <c r="AA698" s="937"/>
      <c r="AB698" s="937"/>
      <c r="AC698" s="937"/>
    </row>
    <row r="699" spans="1:29" ht="21" hidden="1">
      <c r="A699" s="1011"/>
      <c r="B699" s="1011"/>
      <c r="C699" s="1031" t="s">
        <v>138</v>
      </c>
      <c r="D699" s="1011" t="s">
        <v>173</v>
      </c>
      <c r="E699" s="964"/>
      <c r="F699" s="964"/>
      <c r="G699" s="1011"/>
      <c r="H699" s="981">
        <f>H693*$E693/1000</f>
        <v>0</v>
      </c>
      <c r="I699" s="981">
        <f>I693*$E693/1000</f>
        <v>0</v>
      </c>
      <c r="J699" s="981">
        <f t="shared" ref="J699:S699" si="314">J693*$E693/1000</f>
        <v>0</v>
      </c>
      <c r="K699" s="981">
        <f t="shared" si="314"/>
        <v>0</v>
      </c>
      <c r="L699" s="981">
        <f t="shared" si="314"/>
        <v>0</v>
      </c>
      <c r="M699" s="981">
        <f t="shared" si="314"/>
        <v>0</v>
      </c>
      <c r="N699" s="981">
        <f t="shared" si="314"/>
        <v>0</v>
      </c>
      <c r="O699" s="981">
        <f t="shared" si="314"/>
        <v>0</v>
      </c>
      <c r="P699" s="981">
        <f t="shared" si="314"/>
        <v>0</v>
      </c>
      <c r="Q699" s="981">
        <f t="shared" si="314"/>
        <v>0</v>
      </c>
      <c r="R699" s="981">
        <f t="shared" si="314"/>
        <v>0</v>
      </c>
      <c r="S699" s="981">
        <f t="shared" si="314"/>
        <v>0</v>
      </c>
      <c r="T699" s="981">
        <f>SUM(H699:S699)</f>
        <v>0</v>
      </c>
      <c r="U699" s="981"/>
      <c r="V699" s="981"/>
      <c r="W699" s="936"/>
      <c r="X699" s="937"/>
      <c r="Y699" s="937"/>
      <c r="Z699" s="937"/>
      <c r="AA699" s="937"/>
      <c r="AB699" s="937"/>
      <c r="AC699" s="937"/>
    </row>
    <row r="700" spans="1:29" ht="21.75" hidden="1" customHeight="1">
      <c r="A700" s="1011"/>
      <c r="B700" s="1011"/>
      <c r="C700" s="1031" t="s">
        <v>533</v>
      </c>
      <c r="D700" s="1011" t="s">
        <v>173</v>
      </c>
      <c r="E700" s="964"/>
      <c r="F700" s="964"/>
      <c r="G700" s="1011"/>
      <c r="H700" s="981">
        <f>H694*$E694/1000</f>
        <v>0</v>
      </c>
      <c r="I700" s="981">
        <f t="shared" ref="H700:S702" si="315">I694*$E694/1000</f>
        <v>0</v>
      </c>
      <c r="J700" s="981">
        <f>J694*$E694/1000</f>
        <v>0</v>
      </c>
      <c r="K700" s="981">
        <f t="shared" si="315"/>
        <v>0</v>
      </c>
      <c r="L700" s="981">
        <f t="shared" si="315"/>
        <v>0</v>
      </c>
      <c r="M700" s="981">
        <f t="shared" si="315"/>
        <v>0</v>
      </c>
      <c r="N700" s="981">
        <f t="shared" si="315"/>
        <v>0</v>
      </c>
      <c r="O700" s="981">
        <f t="shared" si="315"/>
        <v>0</v>
      </c>
      <c r="P700" s="981">
        <f t="shared" si="315"/>
        <v>0</v>
      </c>
      <c r="Q700" s="981">
        <f t="shared" si="315"/>
        <v>0</v>
      </c>
      <c r="R700" s="981">
        <f t="shared" si="315"/>
        <v>0</v>
      </c>
      <c r="S700" s="981">
        <f t="shared" si="315"/>
        <v>0</v>
      </c>
      <c r="T700" s="981">
        <f>SUM(H700:S700)</f>
        <v>0</v>
      </c>
      <c r="U700" s="981"/>
      <c r="V700" s="981"/>
      <c r="W700" s="936"/>
      <c r="X700" s="937"/>
      <c r="Y700" s="937"/>
      <c r="Z700" s="937"/>
      <c r="AA700" s="937"/>
      <c r="AB700" s="937"/>
      <c r="AC700" s="937"/>
    </row>
    <row r="701" spans="1:29" ht="21.75" hidden="1" customHeight="1">
      <c r="A701" s="1011"/>
      <c r="B701" s="1011"/>
      <c r="C701" s="1031" t="s">
        <v>434</v>
      </c>
      <c r="D701" s="1011" t="s">
        <v>173</v>
      </c>
      <c r="E701" s="964"/>
      <c r="F701" s="964"/>
      <c r="G701" s="1011"/>
      <c r="H701" s="981">
        <f t="shared" si="315"/>
        <v>0</v>
      </c>
      <c r="I701" s="981">
        <f t="shared" si="315"/>
        <v>0</v>
      </c>
      <c r="J701" s="981">
        <f t="shared" si="315"/>
        <v>0</v>
      </c>
      <c r="K701" s="981">
        <f t="shared" si="315"/>
        <v>0</v>
      </c>
      <c r="L701" s="981">
        <f t="shared" si="315"/>
        <v>0</v>
      </c>
      <c r="M701" s="981">
        <f t="shared" si="315"/>
        <v>0</v>
      </c>
      <c r="N701" s="981">
        <f t="shared" si="315"/>
        <v>0</v>
      </c>
      <c r="O701" s="981">
        <f t="shared" si="315"/>
        <v>0</v>
      </c>
      <c r="P701" s="981">
        <f t="shared" si="315"/>
        <v>0</v>
      </c>
      <c r="Q701" s="981">
        <f t="shared" si="315"/>
        <v>0</v>
      </c>
      <c r="R701" s="981">
        <f t="shared" si="315"/>
        <v>0</v>
      </c>
      <c r="S701" s="981">
        <f t="shared" si="315"/>
        <v>0</v>
      </c>
      <c r="T701" s="981">
        <f>SUM(H701:S701)</f>
        <v>0</v>
      </c>
      <c r="U701" s="981"/>
      <c r="V701" s="981"/>
      <c r="W701" s="936"/>
      <c r="X701" s="937"/>
      <c r="Y701" s="937"/>
      <c r="Z701" s="937"/>
      <c r="AA701" s="937"/>
      <c r="AB701" s="937"/>
      <c r="AC701" s="937"/>
    </row>
    <row r="702" spans="1:29" ht="21" hidden="1">
      <c r="A702" s="1011"/>
      <c r="B702" s="1011"/>
      <c r="C702" s="1031" t="s">
        <v>488</v>
      </c>
      <c r="D702" s="1011" t="s">
        <v>173</v>
      </c>
      <c r="E702" s="964"/>
      <c r="F702" s="964"/>
      <c r="G702" s="1011"/>
      <c r="H702" s="981">
        <f t="shared" si="315"/>
        <v>0</v>
      </c>
      <c r="I702" s="981">
        <f t="shared" si="315"/>
        <v>0</v>
      </c>
      <c r="J702" s="981">
        <f t="shared" si="315"/>
        <v>0</v>
      </c>
      <c r="K702" s="981">
        <f t="shared" si="315"/>
        <v>0</v>
      </c>
      <c r="L702" s="981">
        <f t="shared" si="315"/>
        <v>0</v>
      </c>
      <c r="M702" s="981">
        <f t="shared" si="315"/>
        <v>0</v>
      </c>
      <c r="N702" s="981">
        <f t="shared" si="315"/>
        <v>0</v>
      </c>
      <c r="O702" s="981">
        <f t="shared" si="315"/>
        <v>0</v>
      </c>
      <c r="P702" s="981">
        <f t="shared" si="315"/>
        <v>0</v>
      </c>
      <c r="Q702" s="981">
        <f t="shared" si="315"/>
        <v>0</v>
      </c>
      <c r="R702" s="981">
        <f t="shared" si="315"/>
        <v>0</v>
      </c>
      <c r="S702" s="981">
        <f t="shared" si="315"/>
        <v>0</v>
      </c>
      <c r="T702" s="981">
        <f>SUM(H702:S702)</f>
        <v>0</v>
      </c>
      <c r="U702" s="981"/>
      <c r="V702" s="981"/>
      <c r="W702" s="936"/>
      <c r="X702" s="937"/>
      <c r="Y702" s="937"/>
      <c r="Z702" s="937"/>
      <c r="AA702" s="937"/>
      <c r="AB702" s="937"/>
      <c r="AC702" s="937"/>
    </row>
    <row r="703" spans="1:29" ht="21" hidden="1">
      <c r="A703" s="1011"/>
      <c r="B703" s="964"/>
      <c r="C703" s="983" t="s">
        <v>583</v>
      </c>
      <c r="D703" s="964" t="s">
        <v>173</v>
      </c>
      <c r="E703" s="1011"/>
      <c r="F703" s="1011"/>
      <c r="G703" s="1011"/>
      <c r="H703" s="981">
        <f t="shared" ref="H703:S703" si="316">SUM(H699:H702)</f>
        <v>0</v>
      </c>
      <c r="I703" s="981">
        <f t="shared" si="316"/>
        <v>0</v>
      </c>
      <c r="J703" s="981">
        <f t="shared" si="316"/>
        <v>0</v>
      </c>
      <c r="K703" s="981">
        <f t="shared" si="316"/>
        <v>0</v>
      </c>
      <c r="L703" s="981">
        <f t="shared" si="316"/>
        <v>0</v>
      </c>
      <c r="M703" s="981">
        <f t="shared" si="316"/>
        <v>0</v>
      </c>
      <c r="N703" s="981">
        <f t="shared" si="316"/>
        <v>0</v>
      </c>
      <c r="O703" s="981">
        <f t="shared" si="316"/>
        <v>0</v>
      </c>
      <c r="P703" s="981">
        <f t="shared" si="316"/>
        <v>0</v>
      </c>
      <c r="Q703" s="981">
        <f t="shared" si="316"/>
        <v>0</v>
      </c>
      <c r="R703" s="981">
        <f t="shared" si="316"/>
        <v>0</v>
      </c>
      <c r="S703" s="981">
        <f t="shared" si="316"/>
        <v>0</v>
      </c>
      <c r="T703" s="1032">
        <f>SUM(H703:S703)</f>
        <v>0</v>
      </c>
      <c r="U703" s="981"/>
      <c r="V703" s="1033" t="e">
        <f>V697/T703</f>
        <v>#DIV/0!</v>
      </c>
      <c r="W703" s="936"/>
      <c r="X703" s="937"/>
      <c r="Y703" s="937"/>
      <c r="Z703" s="937"/>
      <c r="AA703" s="937"/>
      <c r="AB703" s="937"/>
      <c r="AC703" s="937"/>
    </row>
    <row r="704" spans="1:29" ht="21" hidden="1">
      <c r="A704" s="1011"/>
      <c r="B704" s="1003" t="s">
        <v>174</v>
      </c>
      <c r="C704" s="1004" t="s">
        <v>138</v>
      </c>
      <c r="D704" s="1003" t="s">
        <v>347</v>
      </c>
      <c r="E704" s="1003"/>
      <c r="F704" s="1003"/>
      <c r="G704" s="1011"/>
      <c r="H704" s="1006" t="e">
        <f>H699/H$698*1000</f>
        <v>#DIV/0!</v>
      </c>
      <c r="I704" s="1006" t="e">
        <f>I699/I$698*1000</f>
        <v>#DIV/0!</v>
      </c>
      <c r="J704" s="1006" t="e">
        <f t="shared" ref="J704:S708" si="317">J699/J$698*1000</f>
        <v>#DIV/0!</v>
      </c>
      <c r="K704" s="1006" t="e">
        <f t="shared" si="317"/>
        <v>#DIV/0!</v>
      </c>
      <c r="L704" s="1006" t="e">
        <f t="shared" si="317"/>
        <v>#DIV/0!</v>
      </c>
      <c r="M704" s="1006" t="e">
        <f t="shared" si="317"/>
        <v>#DIV/0!</v>
      </c>
      <c r="N704" s="1006" t="e">
        <f t="shared" si="317"/>
        <v>#DIV/0!</v>
      </c>
      <c r="O704" s="1006" t="e">
        <f t="shared" si="317"/>
        <v>#DIV/0!</v>
      </c>
      <c r="P704" s="1006" t="e">
        <f t="shared" si="317"/>
        <v>#DIV/0!</v>
      </c>
      <c r="Q704" s="1006" t="e">
        <f t="shared" si="317"/>
        <v>#DIV/0!</v>
      </c>
      <c r="R704" s="1006" t="e">
        <f t="shared" si="317"/>
        <v>#DIV/0!</v>
      </c>
      <c r="S704" s="1006" t="e">
        <f t="shared" si="317"/>
        <v>#DIV/0!</v>
      </c>
      <c r="T704" s="1006" t="e">
        <f>T699/T$698*1000</f>
        <v>#DIV/0!</v>
      </c>
      <c r="U704" s="1007"/>
      <c r="V704" s="1007"/>
      <c r="W704" s="936"/>
      <c r="X704" s="937"/>
      <c r="Y704" s="937"/>
      <c r="Z704" s="937"/>
      <c r="AA704" s="937"/>
      <c r="AB704" s="937"/>
      <c r="AC704" s="937"/>
    </row>
    <row r="705" spans="1:22" ht="21" hidden="1">
      <c r="A705" s="1011"/>
      <c r="B705" s="1003"/>
      <c r="C705" s="1093" t="s">
        <v>533</v>
      </c>
      <c r="D705" s="1003" t="s">
        <v>347</v>
      </c>
      <c r="E705" s="1003"/>
      <c r="F705" s="1003"/>
      <c r="G705" s="1011"/>
      <c r="H705" s="1006" t="e">
        <f t="shared" ref="H705:I707" si="318">H700/H$698*1000</f>
        <v>#DIV/0!</v>
      </c>
      <c r="I705" s="1006" t="e">
        <f t="shared" si="318"/>
        <v>#DIV/0!</v>
      </c>
      <c r="J705" s="1006" t="e">
        <f t="shared" si="317"/>
        <v>#DIV/0!</v>
      </c>
      <c r="K705" s="1006" t="e">
        <f t="shared" si="317"/>
        <v>#DIV/0!</v>
      </c>
      <c r="L705" s="1006" t="e">
        <f t="shared" si="317"/>
        <v>#DIV/0!</v>
      </c>
      <c r="M705" s="1006" t="e">
        <f t="shared" si="317"/>
        <v>#DIV/0!</v>
      </c>
      <c r="N705" s="1006" t="e">
        <f t="shared" si="317"/>
        <v>#DIV/0!</v>
      </c>
      <c r="O705" s="1006" t="e">
        <f t="shared" si="317"/>
        <v>#DIV/0!</v>
      </c>
      <c r="P705" s="1006" t="e">
        <f t="shared" si="317"/>
        <v>#DIV/0!</v>
      </c>
      <c r="Q705" s="1006" t="e">
        <f t="shared" si="317"/>
        <v>#DIV/0!</v>
      </c>
      <c r="R705" s="1006" t="e">
        <f t="shared" si="317"/>
        <v>#DIV/0!</v>
      </c>
      <c r="S705" s="1006" t="e">
        <f t="shared" si="317"/>
        <v>#DIV/0!</v>
      </c>
      <c r="T705" s="1006" t="e">
        <f>T700/T$698*1000</f>
        <v>#DIV/0!</v>
      </c>
      <c r="U705" s="1007"/>
      <c r="V705" s="1007"/>
    </row>
    <row r="706" spans="1:22" ht="21" hidden="1">
      <c r="A706" s="1011"/>
      <c r="B706" s="1003"/>
      <c r="C706" s="1093" t="s">
        <v>434</v>
      </c>
      <c r="D706" s="1003" t="s">
        <v>347</v>
      </c>
      <c r="E706" s="1003"/>
      <c r="F706" s="1003"/>
      <c r="G706" s="1011"/>
      <c r="H706" s="1006" t="e">
        <f t="shared" si="318"/>
        <v>#DIV/0!</v>
      </c>
      <c r="I706" s="1006" t="e">
        <f t="shared" si="318"/>
        <v>#DIV/0!</v>
      </c>
      <c r="J706" s="1006" t="e">
        <f t="shared" si="317"/>
        <v>#DIV/0!</v>
      </c>
      <c r="K706" s="1006" t="e">
        <f t="shared" si="317"/>
        <v>#DIV/0!</v>
      </c>
      <c r="L706" s="1006" t="e">
        <f t="shared" si="317"/>
        <v>#DIV/0!</v>
      </c>
      <c r="M706" s="1006" t="e">
        <f t="shared" si="317"/>
        <v>#DIV/0!</v>
      </c>
      <c r="N706" s="1006" t="e">
        <f t="shared" si="317"/>
        <v>#DIV/0!</v>
      </c>
      <c r="O706" s="1006" t="e">
        <f t="shared" si="317"/>
        <v>#DIV/0!</v>
      </c>
      <c r="P706" s="1006" t="e">
        <f t="shared" si="317"/>
        <v>#DIV/0!</v>
      </c>
      <c r="Q706" s="1006" t="e">
        <f t="shared" si="317"/>
        <v>#DIV/0!</v>
      </c>
      <c r="R706" s="1006" t="e">
        <f t="shared" si="317"/>
        <v>#DIV/0!</v>
      </c>
      <c r="S706" s="1006" t="e">
        <f t="shared" si="317"/>
        <v>#DIV/0!</v>
      </c>
      <c r="T706" s="1006" t="e">
        <f>T701/T$698*1000</f>
        <v>#DIV/0!</v>
      </c>
      <c r="U706" s="1007"/>
      <c r="V706" s="1007"/>
    </row>
    <row r="707" spans="1:22" ht="21" hidden="1">
      <c r="A707" s="1011"/>
      <c r="B707" s="1003"/>
      <c r="C707" s="1093" t="s">
        <v>488</v>
      </c>
      <c r="D707" s="1003" t="s">
        <v>347</v>
      </c>
      <c r="E707" s="1003"/>
      <c r="F707" s="1003"/>
      <c r="G707" s="1011"/>
      <c r="H707" s="1006" t="e">
        <f t="shared" si="318"/>
        <v>#DIV/0!</v>
      </c>
      <c r="I707" s="1006" t="e">
        <f>I702/I$698*1000</f>
        <v>#DIV/0!</v>
      </c>
      <c r="J707" s="1006" t="e">
        <f t="shared" si="317"/>
        <v>#DIV/0!</v>
      </c>
      <c r="K707" s="1006" t="e">
        <f t="shared" si="317"/>
        <v>#DIV/0!</v>
      </c>
      <c r="L707" s="1006" t="e">
        <f t="shared" si="317"/>
        <v>#DIV/0!</v>
      </c>
      <c r="M707" s="1006" t="e">
        <f t="shared" si="317"/>
        <v>#DIV/0!</v>
      </c>
      <c r="N707" s="1006" t="e">
        <f t="shared" si="317"/>
        <v>#DIV/0!</v>
      </c>
      <c r="O707" s="1006" t="e">
        <f t="shared" si="317"/>
        <v>#DIV/0!</v>
      </c>
      <c r="P707" s="1006" t="e">
        <f t="shared" si="317"/>
        <v>#DIV/0!</v>
      </c>
      <c r="Q707" s="1006" t="e">
        <f t="shared" si="317"/>
        <v>#DIV/0!</v>
      </c>
      <c r="R707" s="1006" t="e">
        <f t="shared" si="317"/>
        <v>#DIV/0!</v>
      </c>
      <c r="S707" s="1006" t="e">
        <f t="shared" si="317"/>
        <v>#DIV/0!</v>
      </c>
      <c r="T707" s="1006" t="e">
        <f>T702/T$698*1000</f>
        <v>#DIV/0!</v>
      </c>
      <c r="U707" s="1007"/>
      <c r="V707" s="1007"/>
    </row>
    <row r="708" spans="1:22" ht="23.25" hidden="1">
      <c r="A708" s="1011"/>
      <c r="B708" s="1003"/>
      <c r="C708" s="1008" t="s">
        <v>584</v>
      </c>
      <c r="D708" s="1003" t="s">
        <v>347</v>
      </c>
      <c r="E708" s="1003"/>
      <c r="F708" s="1003"/>
      <c r="G708" s="1011"/>
      <c r="H708" s="1006" t="e">
        <f>H703/H$698*1000</f>
        <v>#DIV/0!</v>
      </c>
      <c r="I708" s="1006" t="e">
        <f>I703/I$698*1000</f>
        <v>#DIV/0!</v>
      </c>
      <c r="J708" s="1006" t="e">
        <f t="shared" si="317"/>
        <v>#DIV/0!</v>
      </c>
      <c r="K708" s="1006" t="e">
        <f t="shared" si="317"/>
        <v>#DIV/0!</v>
      </c>
      <c r="L708" s="1006" t="e">
        <f t="shared" si="317"/>
        <v>#DIV/0!</v>
      </c>
      <c r="M708" s="1006" t="e">
        <f t="shared" si="317"/>
        <v>#DIV/0!</v>
      </c>
      <c r="N708" s="1006" t="e">
        <f t="shared" si="317"/>
        <v>#DIV/0!</v>
      </c>
      <c r="O708" s="1006" t="e">
        <f t="shared" si="317"/>
        <v>#DIV/0!</v>
      </c>
      <c r="P708" s="1006" t="e">
        <f t="shared" si="317"/>
        <v>#DIV/0!</v>
      </c>
      <c r="Q708" s="1006" t="e">
        <f t="shared" si="317"/>
        <v>#DIV/0!</v>
      </c>
      <c r="R708" s="1006" t="e">
        <f t="shared" si="317"/>
        <v>#DIV/0!</v>
      </c>
      <c r="S708" s="1006" t="e">
        <f t="shared" si="317"/>
        <v>#DIV/0!</v>
      </c>
      <c r="T708" s="1021" t="e">
        <f>T703/T698*1000</f>
        <v>#DIV/0!</v>
      </c>
      <c r="U708" s="1007"/>
      <c r="V708" s="1007"/>
    </row>
    <row r="709" spans="1:22" ht="21" hidden="1">
      <c r="A709" s="964"/>
      <c r="B709" s="964"/>
      <c r="C709" s="983"/>
      <c r="D709" s="964"/>
      <c r="E709" s="964"/>
      <c r="F709" s="964"/>
      <c r="G709" s="964"/>
      <c r="H709" s="985"/>
      <c r="I709" s="985"/>
      <c r="J709" s="985"/>
      <c r="K709" s="985"/>
      <c r="L709" s="985"/>
      <c r="M709" s="985"/>
      <c r="N709" s="985"/>
      <c r="O709" s="985"/>
      <c r="P709" s="985"/>
      <c r="Q709" s="985"/>
      <c r="R709" s="985"/>
      <c r="S709" s="985"/>
      <c r="T709" s="987"/>
      <c r="U709" s="966"/>
      <c r="V709" s="966"/>
    </row>
    <row r="710" spans="1:22" ht="21" hidden="1">
      <c r="A710" s="964"/>
      <c r="B710" s="964" t="s">
        <v>585</v>
      </c>
      <c r="C710" s="983"/>
      <c r="D710" s="964"/>
      <c r="E710" s="964"/>
      <c r="F710" s="964"/>
      <c r="G710" s="964"/>
      <c r="H710" s="985"/>
      <c r="I710" s="985"/>
      <c r="J710" s="985"/>
      <c r="K710" s="985"/>
      <c r="L710" s="985"/>
      <c r="M710" s="985"/>
      <c r="N710" s="985"/>
      <c r="O710" s="985"/>
      <c r="P710" s="985"/>
      <c r="Q710" s="985"/>
      <c r="R710" s="985"/>
      <c r="S710" s="985"/>
      <c r="T710" s="987"/>
      <c r="U710" s="966"/>
      <c r="V710" s="966"/>
    </row>
    <row r="711" spans="1:22" ht="21" hidden="1">
      <c r="A711" s="964"/>
      <c r="B711" s="964" t="s">
        <v>586</v>
      </c>
      <c r="C711" s="1052" t="s">
        <v>398</v>
      </c>
      <c r="D711" s="1052" t="s">
        <v>173</v>
      </c>
      <c r="E711" s="964"/>
      <c r="F711" s="964"/>
      <c r="G711" s="964"/>
      <c r="H711" s="1099">
        <v>0</v>
      </c>
      <c r="I711" s="1099">
        <v>5306.7517200000002</v>
      </c>
      <c r="J711" s="1099"/>
      <c r="K711" s="1099"/>
      <c r="L711" s="1099"/>
      <c r="M711" s="1099"/>
      <c r="N711" s="1099"/>
      <c r="O711" s="1099"/>
      <c r="P711" s="1099"/>
      <c r="Q711" s="1099"/>
      <c r="R711" s="1099"/>
      <c r="S711" s="1099"/>
      <c r="T711" s="1089">
        <f>SUM(H711:S711)</f>
        <v>5306.7517200000002</v>
      </c>
      <c r="U711" s="966"/>
      <c r="V711" s="966"/>
    </row>
    <row r="712" spans="1:22" ht="21" hidden="1">
      <c r="A712" s="964"/>
      <c r="B712" s="964"/>
      <c r="C712" s="1052" t="s">
        <v>492</v>
      </c>
      <c r="D712" s="1052" t="s">
        <v>173</v>
      </c>
      <c r="E712" s="964"/>
      <c r="F712" s="964"/>
      <c r="G712" s="964"/>
      <c r="H712" s="1099">
        <v>0</v>
      </c>
      <c r="I712" s="1099">
        <v>9087.1500000000015</v>
      </c>
      <c r="J712" s="1099"/>
      <c r="K712" s="1099"/>
      <c r="L712" s="1099"/>
      <c r="M712" s="1099"/>
      <c r="N712" s="1099"/>
      <c r="O712" s="1099"/>
      <c r="P712" s="1099"/>
      <c r="Q712" s="1099"/>
      <c r="R712" s="1099"/>
      <c r="S712" s="1099"/>
      <c r="T712" s="1089">
        <f>SUM(H712:S712)</f>
        <v>9087.1500000000015</v>
      </c>
      <c r="U712" s="966"/>
      <c r="V712" s="966"/>
    </row>
    <row r="713" spans="1:22" ht="21" hidden="1">
      <c r="A713" s="964"/>
      <c r="B713" s="964"/>
      <c r="C713" s="1052" t="s">
        <v>497</v>
      </c>
      <c r="D713" s="1052" t="s">
        <v>401</v>
      </c>
      <c r="E713" s="964"/>
      <c r="F713" s="964"/>
      <c r="G713" s="964"/>
      <c r="H713" s="1099" t="e">
        <f>H711/H712*100</f>
        <v>#DIV/0!</v>
      </c>
      <c r="I713" s="1099">
        <f>I711/I712*100</f>
        <v>58.398416665291087</v>
      </c>
      <c r="J713" s="1099"/>
      <c r="K713" s="1099"/>
      <c r="L713" s="1099"/>
      <c r="M713" s="1099"/>
      <c r="N713" s="1099"/>
      <c r="O713" s="1099"/>
      <c r="P713" s="1099"/>
      <c r="Q713" s="1099"/>
      <c r="R713" s="1099"/>
      <c r="S713" s="1099"/>
      <c r="T713" s="1099">
        <f t="shared" ref="T713" si="319">T711/T712*100</f>
        <v>58.398416665291087</v>
      </c>
      <c r="U713" s="966"/>
      <c r="V713" s="966"/>
    </row>
    <row r="714" spans="1:22" ht="21" hidden="1">
      <c r="A714" s="964"/>
      <c r="B714" s="964" t="s">
        <v>587</v>
      </c>
      <c r="C714" s="1052" t="s">
        <v>398</v>
      </c>
      <c r="D714" s="1052" t="s">
        <v>173</v>
      </c>
      <c r="E714" s="964"/>
      <c r="F714" s="964"/>
      <c r="G714" s="964"/>
      <c r="H714" s="1099">
        <v>0</v>
      </c>
      <c r="I714" s="1099">
        <v>1032.672851</v>
      </c>
      <c r="J714" s="1099"/>
      <c r="K714" s="1099"/>
      <c r="L714" s="1099"/>
      <c r="M714" s="1099"/>
      <c r="N714" s="1099"/>
      <c r="O714" s="1099"/>
      <c r="P714" s="1099"/>
      <c r="Q714" s="1099"/>
      <c r="R714" s="985"/>
      <c r="S714" s="985"/>
      <c r="T714" s="1089">
        <f>SUM(H714:S714)</f>
        <v>1032.672851</v>
      </c>
      <c r="U714" s="966"/>
      <c r="V714" s="966"/>
    </row>
    <row r="715" spans="1:22" ht="21" hidden="1">
      <c r="A715" s="964"/>
      <c r="B715" s="964"/>
      <c r="C715" s="1052" t="s">
        <v>492</v>
      </c>
      <c r="D715" s="1052" t="s">
        <v>173</v>
      </c>
      <c r="E715" s="964"/>
      <c r="F715" s="964"/>
      <c r="G715" s="964"/>
      <c r="H715" s="1099">
        <v>0</v>
      </c>
      <c r="I715" s="1099">
        <v>6664.6623593999993</v>
      </c>
      <c r="J715" s="1099"/>
      <c r="K715" s="1099"/>
      <c r="L715" s="1099"/>
      <c r="M715" s="1099"/>
      <c r="N715" s="1099"/>
      <c r="O715" s="1099"/>
      <c r="P715" s="1099"/>
      <c r="Q715" s="1099"/>
      <c r="R715" s="985"/>
      <c r="S715" s="985"/>
      <c r="T715" s="1089">
        <f>SUM(H715:S715)</f>
        <v>6664.6623593999993</v>
      </c>
      <c r="U715" s="966"/>
      <c r="V715" s="966"/>
    </row>
    <row r="716" spans="1:22" ht="21" hidden="1">
      <c r="A716" s="964"/>
      <c r="B716" s="964"/>
      <c r="C716" s="1052" t="s">
        <v>497</v>
      </c>
      <c r="D716" s="1052" t="s">
        <v>401</v>
      </c>
      <c r="E716" s="964"/>
      <c r="F716" s="964"/>
      <c r="G716" s="964"/>
      <c r="H716" s="1099" t="e">
        <f t="shared" ref="H716:T716" si="320">H714/H715*100</f>
        <v>#DIV/0!</v>
      </c>
      <c r="I716" s="1099">
        <f t="shared" si="320"/>
        <v>15.494751201364215</v>
      </c>
      <c r="J716" s="1099"/>
      <c r="K716" s="1099"/>
      <c r="L716" s="1099"/>
      <c r="M716" s="1099"/>
      <c r="N716" s="1099"/>
      <c r="O716" s="1099"/>
      <c r="P716" s="1099"/>
      <c r="Q716" s="1099"/>
      <c r="R716" s="1099"/>
      <c r="S716" s="1099"/>
      <c r="T716" s="1099">
        <f t="shared" si="320"/>
        <v>15.494751201364215</v>
      </c>
      <c r="U716" s="966"/>
      <c r="V716" s="966"/>
    </row>
    <row r="717" spans="1:22" ht="21" hidden="1">
      <c r="A717" s="964"/>
      <c r="B717" s="964" t="s">
        <v>588</v>
      </c>
      <c r="C717" s="1052" t="s">
        <v>398</v>
      </c>
      <c r="D717" s="1052" t="s">
        <v>173</v>
      </c>
      <c r="E717" s="964"/>
      <c r="F717" s="964"/>
      <c r="G717" s="964"/>
      <c r="H717" s="1099">
        <v>0</v>
      </c>
      <c r="I717" s="1099">
        <v>8826.3647999999994</v>
      </c>
      <c r="J717" s="1099"/>
      <c r="K717" s="1099"/>
      <c r="L717" s="1099"/>
      <c r="M717" s="1099"/>
      <c r="N717" s="1099"/>
      <c r="O717" s="1099"/>
      <c r="P717" s="1099"/>
      <c r="Q717" s="1099"/>
      <c r="R717" s="985"/>
      <c r="S717" s="985"/>
      <c r="T717" s="1089">
        <f>SUM(H717:S717)</f>
        <v>8826.3647999999994</v>
      </c>
      <c r="U717" s="966"/>
      <c r="V717" s="966"/>
    </row>
    <row r="718" spans="1:22" ht="21" hidden="1">
      <c r="A718" s="964"/>
      <c r="B718" s="964"/>
      <c r="C718" s="1052" t="s">
        <v>492</v>
      </c>
      <c r="D718" s="1052" t="s">
        <v>173</v>
      </c>
      <c r="E718" s="964"/>
      <c r="F718" s="964"/>
      <c r="G718" s="964"/>
      <c r="H718" s="1099">
        <v>0</v>
      </c>
      <c r="I718" s="1099">
        <v>9033.4889462996452</v>
      </c>
      <c r="J718" s="1099"/>
      <c r="K718" s="1099"/>
      <c r="L718" s="1099"/>
      <c r="M718" s="1099"/>
      <c r="N718" s="1099"/>
      <c r="O718" s="1099"/>
      <c r="P718" s="1099"/>
      <c r="Q718" s="1099"/>
      <c r="R718" s="985"/>
      <c r="S718" s="985"/>
      <c r="T718" s="1089">
        <f>SUM(H718:S718)</f>
        <v>9033.4889462996452</v>
      </c>
      <c r="U718" s="966"/>
      <c r="V718" s="966"/>
    </row>
    <row r="719" spans="1:22" ht="21" hidden="1">
      <c r="A719" s="964"/>
      <c r="B719" s="964"/>
      <c r="C719" s="1052" t="s">
        <v>497</v>
      </c>
      <c r="D719" s="1052" t="s">
        <v>401</v>
      </c>
      <c r="E719" s="964"/>
      <c r="F719" s="964"/>
      <c r="G719" s="964"/>
      <c r="H719" s="1099" t="e">
        <f t="shared" ref="H719:T719" si="321">H717/H718*100</f>
        <v>#DIV/0!</v>
      </c>
      <c r="I719" s="1099">
        <f t="shared" si="321"/>
        <v>97.707152269395436</v>
      </c>
      <c r="J719" s="1099"/>
      <c r="K719" s="1099"/>
      <c r="L719" s="1099"/>
      <c r="M719" s="1099"/>
      <c r="N719" s="1099"/>
      <c r="O719" s="1099"/>
      <c r="P719" s="1099"/>
      <c r="Q719" s="1099"/>
      <c r="R719" s="1099"/>
      <c r="S719" s="1099"/>
      <c r="T719" s="1099">
        <f t="shared" si="321"/>
        <v>97.707152269395436</v>
      </c>
      <c r="U719" s="966"/>
      <c r="V719" s="966"/>
    </row>
    <row r="720" spans="1:22" ht="21" hidden="1">
      <c r="A720" s="964">
        <v>24</v>
      </c>
      <c r="B720" s="964" t="s">
        <v>585</v>
      </c>
      <c r="C720" s="1052" t="s">
        <v>398</v>
      </c>
      <c r="D720" s="1052" t="s">
        <v>173</v>
      </c>
      <c r="E720" s="964"/>
      <c r="F720" s="964"/>
      <c r="G720" s="964"/>
      <c r="H720" s="1099">
        <f>H711+H714+H717</f>
        <v>0</v>
      </c>
      <c r="I720" s="1099">
        <f t="shared" ref="I720:I721" si="322">I711+I714+I717</f>
        <v>15165.789370999999</v>
      </c>
      <c r="J720" s="1099"/>
      <c r="K720" s="1099"/>
      <c r="L720" s="1099"/>
      <c r="M720" s="1099"/>
      <c r="N720" s="1099"/>
      <c r="O720" s="1099"/>
      <c r="P720" s="1099"/>
      <c r="Q720" s="1099"/>
      <c r="R720" s="1099"/>
      <c r="S720" s="1099"/>
      <c r="T720" s="1089">
        <f>SUM(H720:S720)</f>
        <v>15165.789370999999</v>
      </c>
      <c r="U720" s="966"/>
      <c r="V720" s="966"/>
    </row>
    <row r="721" spans="1:29" ht="21" hidden="1">
      <c r="A721" s="964"/>
      <c r="B721" s="964"/>
      <c r="C721" s="1052" t="s">
        <v>492</v>
      </c>
      <c r="D721" s="1052" t="s">
        <v>173</v>
      </c>
      <c r="E721" s="964"/>
      <c r="F721" s="964"/>
      <c r="G721" s="964"/>
      <c r="H721" s="1099">
        <f>H712+H715+H718</f>
        <v>0</v>
      </c>
      <c r="I721" s="1099">
        <f t="shared" si="322"/>
        <v>24785.301305699646</v>
      </c>
      <c r="J721" s="1099"/>
      <c r="K721" s="1099"/>
      <c r="L721" s="1099"/>
      <c r="M721" s="1099"/>
      <c r="N721" s="1099"/>
      <c r="O721" s="1099"/>
      <c r="P721" s="1099"/>
      <c r="Q721" s="1099"/>
      <c r="R721" s="1099"/>
      <c r="S721" s="1099"/>
      <c r="T721" s="1089">
        <f>SUM(H721:S721)</f>
        <v>24785.301305699646</v>
      </c>
      <c r="U721" s="966"/>
      <c r="V721" s="966"/>
      <c r="W721" s="936"/>
      <c r="X721" s="937"/>
      <c r="Y721" s="937"/>
      <c r="Z721" s="937"/>
      <c r="AA721" s="937"/>
      <c r="AB721" s="937"/>
      <c r="AC721" s="937"/>
    </row>
    <row r="722" spans="1:29" ht="21" hidden="1">
      <c r="A722" s="964"/>
      <c r="B722" s="964"/>
      <c r="C722" s="1052" t="s">
        <v>497</v>
      </c>
      <c r="D722" s="1052" t="s">
        <v>401</v>
      </c>
      <c r="E722" s="964"/>
      <c r="F722" s="964"/>
      <c r="G722" s="964"/>
      <c r="H722" s="1099" t="e">
        <f t="shared" ref="H722:T722" si="323">H720/H721*100</f>
        <v>#DIV/0!</v>
      </c>
      <c r="I722" s="1099">
        <f t="shared" si="323"/>
        <v>61.188642348731356</v>
      </c>
      <c r="J722" s="1099"/>
      <c r="K722" s="1099"/>
      <c r="L722" s="1099"/>
      <c r="M722" s="1099"/>
      <c r="N722" s="1099"/>
      <c r="O722" s="1099"/>
      <c r="P722" s="1099"/>
      <c r="Q722" s="1099"/>
      <c r="R722" s="1099"/>
      <c r="S722" s="1099"/>
      <c r="T722" s="1099">
        <f t="shared" si="323"/>
        <v>61.188642348731356</v>
      </c>
      <c r="U722" s="966"/>
      <c r="V722" s="966"/>
      <c r="W722" s="936"/>
      <c r="X722" s="937"/>
      <c r="Y722" s="937"/>
      <c r="Z722" s="937"/>
      <c r="AA722" s="937"/>
      <c r="AB722" s="937"/>
      <c r="AC722" s="937"/>
    </row>
    <row r="723" spans="1:29" ht="21" hidden="1">
      <c r="A723" s="964"/>
      <c r="B723" s="964"/>
      <c r="C723" s="983"/>
      <c r="D723" s="964"/>
      <c r="E723" s="964"/>
      <c r="F723" s="964"/>
      <c r="G723" s="964"/>
      <c r="H723" s="968"/>
      <c r="I723" s="968"/>
      <c r="J723" s="968"/>
      <c r="K723" s="968"/>
      <c r="L723" s="968"/>
      <c r="M723" s="968"/>
      <c r="N723" s="966"/>
      <c r="O723" s="966"/>
      <c r="P723" s="966"/>
      <c r="Q723" s="966"/>
      <c r="R723" s="966"/>
      <c r="S723" s="966"/>
      <c r="T723" s="966"/>
      <c r="U723" s="966"/>
      <c r="V723" s="966"/>
      <c r="W723" s="936"/>
      <c r="X723" s="937"/>
      <c r="Y723" s="937"/>
      <c r="Z723" s="937"/>
      <c r="AA723" s="937"/>
      <c r="AB723" s="937"/>
      <c r="AC723" s="937"/>
    </row>
    <row r="724" spans="1:29" ht="21" hidden="1">
      <c r="A724" s="964"/>
      <c r="B724" s="964" t="s">
        <v>585</v>
      </c>
      <c r="C724" s="1031" t="s">
        <v>138</v>
      </c>
      <c r="D724" s="964" t="s">
        <v>90</v>
      </c>
      <c r="E724" s="984">
        <f>'[11]Price&amp;Heating-Value'!$R$6</f>
        <v>3.6</v>
      </c>
      <c r="F724" s="964"/>
      <c r="G724" s="1014">
        <f>'[11]Price&amp;Heating-Value'!$P$6</f>
        <v>2.7124999999999999</v>
      </c>
      <c r="H724" s="966">
        <v>2294553</v>
      </c>
      <c r="I724" s="966">
        <v>2451768</v>
      </c>
      <c r="J724" s="966"/>
      <c r="K724" s="966"/>
      <c r="L724" s="966"/>
      <c r="M724" s="966"/>
      <c r="N724" s="966"/>
      <c r="O724" s="966"/>
      <c r="P724" s="966"/>
      <c r="Q724" s="966"/>
      <c r="R724" s="966"/>
      <c r="S724" s="966"/>
      <c r="T724" s="966">
        <f>SUM(H724:S724)</f>
        <v>4746321</v>
      </c>
      <c r="U724" s="966">
        <f>T724*E724</f>
        <v>17086755.600000001</v>
      </c>
      <c r="V724" s="966">
        <f>G724*T724</f>
        <v>12874395.7125</v>
      </c>
      <c r="W724" s="954">
        <f>'[11]Price&amp;Heating-Value'!D$6</f>
        <v>2.4500000000000002</v>
      </c>
      <c r="X724" s="954">
        <f>'[11]Price&amp;Heating-Value'!E$6</f>
        <v>2.54</v>
      </c>
      <c r="Y724" s="954">
        <f>'[11]Price&amp;Heating-Value'!F$6</f>
        <v>2.58</v>
      </c>
      <c r="Z724" s="954">
        <f>'[11]Price&amp;Heating-Value'!G$6</f>
        <v>2.67</v>
      </c>
      <c r="AA724" s="954">
        <f>'[11]Price&amp;Heating-Value'!H$6</f>
        <v>2.67</v>
      </c>
      <c r="AB724" s="954">
        <f>'[11]Price&amp;Heating-Value'!I$6</f>
        <v>2.67</v>
      </c>
      <c r="AC724" s="954">
        <f>'[11]Price&amp;Heating-Value'!J$6</f>
        <v>2.62</v>
      </c>
    </row>
    <row r="725" spans="1:29" ht="21" hidden="1">
      <c r="A725" s="1011"/>
      <c r="B725" s="1011"/>
      <c r="C725" s="1031" t="s">
        <v>152</v>
      </c>
      <c r="D725" s="964" t="s">
        <v>147</v>
      </c>
      <c r="E725" s="964">
        <f>'[11]Price&amp;Heating-Value'!$R$9</f>
        <v>2803</v>
      </c>
      <c r="F725" s="964"/>
      <c r="G725" s="965">
        <f>'[11]Price&amp;Heating-Value'!$P$9</f>
        <v>1301.5833333333333</v>
      </c>
      <c r="H725" s="981"/>
      <c r="I725" s="981">
        <v>2261.6570000000002</v>
      </c>
      <c r="J725" s="981"/>
      <c r="K725" s="981"/>
      <c r="L725" s="981"/>
      <c r="M725" s="981"/>
      <c r="N725" s="981"/>
      <c r="O725" s="981"/>
      <c r="P725" s="981"/>
      <c r="Q725" s="981"/>
      <c r="R725" s="981"/>
      <c r="S725" s="981"/>
      <c r="T725" s="966">
        <f>SUM(H725:S725)</f>
        <v>2261.6570000000002</v>
      </c>
      <c r="U725" s="966">
        <f>T725*E725</f>
        <v>6339424.5710000005</v>
      </c>
      <c r="V725" s="966">
        <f>G725*T725</f>
        <v>2943735.0569166667</v>
      </c>
      <c r="W725" s="982">
        <f>'[11]Price&amp;Heating-Value'!D$9</f>
        <v>1210</v>
      </c>
      <c r="X725" s="982">
        <f>'[11]Price&amp;Heating-Value'!E$9</f>
        <v>1218</v>
      </c>
      <c r="Y725" s="982">
        <f>'[11]Price&amp;Heating-Value'!F$9</f>
        <v>1207</v>
      </c>
      <c r="Z725" s="982">
        <f>'[11]Price&amp;Heating-Value'!G$9</f>
        <v>1232</v>
      </c>
      <c r="AA725" s="982">
        <f>'[11]Price&amp;Heating-Value'!H$9</f>
        <v>1352</v>
      </c>
      <c r="AB725" s="982">
        <f>'[11]Price&amp;Heating-Value'!I$9</f>
        <v>1491</v>
      </c>
      <c r="AC725" s="982">
        <f>'[11]Price&amp;Heating-Value'!J$9</f>
        <v>1588</v>
      </c>
    </row>
    <row r="726" spans="1:29" ht="21" hidden="1">
      <c r="A726" s="1011"/>
      <c r="B726" s="989"/>
      <c r="C726" s="990" t="s">
        <v>107</v>
      </c>
      <c r="D726" s="989" t="s">
        <v>147</v>
      </c>
      <c r="E726" s="989"/>
      <c r="F726" s="989"/>
      <c r="G726" s="1011"/>
      <c r="H726" s="994">
        <v>2742088.9005479994</v>
      </c>
      <c r="I726" s="994">
        <v>2611023.235754</v>
      </c>
      <c r="J726" s="994"/>
      <c r="K726" s="994"/>
      <c r="L726" s="994"/>
      <c r="M726" s="994"/>
      <c r="N726" s="994"/>
      <c r="O726" s="994"/>
      <c r="P726" s="994"/>
      <c r="Q726" s="994"/>
      <c r="R726" s="994"/>
      <c r="S726" s="994"/>
      <c r="T726" s="996">
        <f>SUM(H726:S726)</f>
        <v>5353112.1363019999</v>
      </c>
      <c r="U726" s="995"/>
      <c r="V726" s="1026" t="e">
        <f>#REF!/T726</f>
        <v>#REF!</v>
      </c>
      <c r="W726" s="936"/>
      <c r="X726" s="937"/>
      <c r="Y726" s="937"/>
      <c r="Z726" s="937"/>
      <c r="AA726" s="937"/>
      <c r="AB726" s="937"/>
      <c r="AC726" s="937"/>
    </row>
    <row r="727" spans="1:29" ht="21" hidden="1">
      <c r="A727" s="1011"/>
      <c r="B727" s="1011"/>
      <c r="C727" s="1030"/>
      <c r="D727" s="1011"/>
      <c r="E727" s="1011"/>
      <c r="F727" s="1011"/>
      <c r="G727" s="1011"/>
      <c r="H727" s="981"/>
      <c r="I727" s="981"/>
      <c r="J727" s="981"/>
      <c r="K727" s="981"/>
      <c r="L727" s="981"/>
      <c r="M727" s="981"/>
      <c r="N727" s="981"/>
      <c r="O727" s="981"/>
      <c r="P727" s="981"/>
      <c r="Q727" s="981"/>
      <c r="R727" s="981"/>
      <c r="S727" s="981"/>
      <c r="T727" s="981"/>
      <c r="U727" s="981"/>
      <c r="V727" s="997" t="s">
        <v>137</v>
      </c>
      <c r="W727" s="936"/>
      <c r="X727" s="937"/>
      <c r="Y727" s="937"/>
      <c r="Z727" s="937"/>
      <c r="AA727" s="937"/>
      <c r="AB727" s="937"/>
      <c r="AC727" s="937"/>
    </row>
    <row r="728" spans="1:29" ht="21" hidden="1">
      <c r="A728" s="1011"/>
      <c r="B728" s="1011"/>
      <c r="C728" s="1031" t="s">
        <v>138</v>
      </c>
      <c r="D728" s="1011" t="s">
        <v>173</v>
      </c>
      <c r="E728" s="964"/>
      <c r="F728" s="964"/>
      <c r="G728" s="1011"/>
      <c r="H728" s="981">
        <f>H724*$E$724/1000</f>
        <v>8260.3907999999992</v>
      </c>
      <c r="I728" s="981">
        <f t="shared" ref="I728:S728" si="324">I724*$E$724/1000</f>
        <v>8826.3648000000012</v>
      </c>
      <c r="J728" s="981">
        <f t="shared" si="324"/>
        <v>0</v>
      </c>
      <c r="K728" s="981">
        <f t="shared" si="324"/>
        <v>0</v>
      </c>
      <c r="L728" s="981">
        <f t="shared" si="324"/>
        <v>0</v>
      </c>
      <c r="M728" s="981">
        <f t="shared" si="324"/>
        <v>0</v>
      </c>
      <c r="N728" s="981">
        <f t="shared" si="324"/>
        <v>0</v>
      </c>
      <c r="O728" s="981">
        <f t="shared" si="324"/>
        <v>0</v>
      </c>
      <c r="P728" s="981">
        <f t="shared" si="324"/>
        <v>0</v>
      </c>
      <c r="Q728" s="981">
        <f t="shared" si="324"/>
        <v>0</v>
      </c>
      <c r="R728" s="981">
        <f t="shared" si="324"/>
        <v>0</v>
      </c>
      <c r="S728" s="981">
        <f t="shared" si="324"/>
        <v>0</v>
      </c>
      <c r="T728" s="981">
        <f>SUM(H728:S728)</f>
        <v>17086.7556</v>
      </c>
      <c r="U728" s="981"/>
      <c r="V728" s="981"/>
      <c r="W728" s="936"/>
      <c r="X728" s="937"/>
      <c r="Y728" s="937"/>
      <c r="Z728" s="937"/>
      <c r="AA728" s="937"/>
      <c r="AB728" s="937"/>
      <c r="AC728" s="937"/>
    </row>
    <row r="729" spans="1:29" ht="21" hidden="1">
      <c r="A729" s="1011"/>
      <c r="B729" s="1011"/>
      <c r="C729" s="1031" t="s">
        <v>152</v>
      </c>
      <c r="D729" s="1011" t="s">
        <v>173</v>
      </c>
      <c r="E729" s="964"/>
      <c r="F729" s="964"/>
      <c r="G729" s="1011"/>
      <c r="H729" s="981">
        <f>H725*$E$725/1000</f>
        <v>0</v>
      </c>
      <c r="I729" s="981">
        <f t="shared" ref="I729:S729" si="325">I725*$E$725/1000</f>
        <v>6339.4245710000005</v>
      </c>
      <c r="J729" s="981">
        <f t="shared" si="325"/>
        <v>0</v>
      </c>
      <c r="K729" s="981">
        <f t="shared" si="325"/>
        <v>0</v>
      </c>
      <c r="L729" s="981">
        <f t="shared" si="325"/>
        <v>0</v>
      </c>
      <c r="M729" s="981">
        <f t="shared" si="325"/>
        <v>0</v>
      </c>
      <c r="N729" s="981">
        <f t="shared" si="325"/>
        <v>0</v>
      </c>
      <c r="O729" s="981">
        <f t="shared" si="325"/>
        <v>0</v>
      </c>
      <c r="P729" s="981">
        <f t="shared" si="325"/>
        <v>0</v>
      </c>
      <c r="Q729" s="981">
        <f t="shared" si="325"/>
        <v>0</v>
      </c>
      <c r="R729" s="981">
        <f t="shared" si="325"/>
        <v>0</v>
      </c>
      <c r="S729" s="981">
        <f t="shared" si="325"/>
        <v>0</v>
      </c>
      <c r="T729" s="981">
        <f>SUM(H729:S729)</f>
        <v>6339.4245710000005</v>
      </c>
      <c r="U729" s="981"/>
      <c r="V729" s="981"/>
      <c r="W729" s="936"/>
      <c r="X729" s="937"/>
      <c r="Y729" s="937"/>
      <c r="Z729" s="937"/>
      <c r="AA729" s="937"/>
      <c r="AB729" s="937"/>
      <c r="AC729" s="937"/>
    </row>
    <row r="730" spans="1:29" ht="21" hidden="1">
      <c r="A730" s="1011"/>
      <c r="B730" s="964"/>
      <c r="C730" s="983" t="s">
        <v>591</v>
      </c>
      <c r="D730" s="964" t="s">
        <v>173</v>
      </c>
      <c r="E730" s="1011"/>
      <c r="F730" s="1011"/>
      <c r="G730" s="1011"/>
      <c r="H730" s="981">
        <f>H720</f>
        <v>0</v>
      </c>
      <c r="I730" s="981">
        <f t="shared" ref="I730:T731" si="326">I720</f>
        <v>15165.789370999999</v>
      </c>
      <c r="J730" s="981">
        <f t="shared" si="326"/>
        <v>0</v>
      </c>
      <c r="K730" s="981">
        <f t="shared" si="326"/>
        <v>0</v>
      </c>
      <c r="L730" s="981">
        <f t="shared" si="326"/>
        <v>0</v>
      </c>
      <c r="M730" s="981">
        <f t="shared" si="326"/>
        <v>0</v>
      </c>
      <c r="N730" s="981">
        <f t="shared" si="326"/>
        <v>0</v>
      </c>
      <c r="O730" s="981">
        <f t="shared" si="326"/>
        <v>0</v>
      </c>
      <c r="P730" s="981">
        <f t="shared" si="326"/>
        <v>0</v>
      </c>
      <c r="Q730" s="981">
        <f t="shared" si="326"/>
        <v>0</v>
      </c>
      <c r="R730" s="981">
        <f t="shared" si="326"/>
        <v>0</v>
      </c>
      <c r="S730" s="981">
        <f t="shared" si="326"/>
        <v>0</v>
      </c>
      <c r="T730" s="981">
        <f t="shared" si="326"/>
        <v>15165.789370999999</v>
      </c>
      <c r="U730" s="981"/>
      <c r="V730" s="1033" t="e">
        <f>#REF!/T730</f>
        <v>#REF!</v>
      </c>
      <c r="W730" s="936"/>
      <c r="X730" s="937"/>
      <c r="Y730" s="937"/>
      <c r="Z730" s="937"/>
      <c r="AA730" s="937"/>
      <c r="AB730" s="937"/>
      <c r="AC730" s="937"/>
    </row>
    <row r="731" spans="1:29" ht="21" hidden="1">
      <c r="A731" s="1011"/>
      <c r="B731" s="964"/>
      <c r="C731" s="983" t="s">
        <v>345</v>
      </c>
      <c r="D731" s="964" t="s">
        <v>173</v>
      </c>
      <c r="E731" s="964"/>
      <c r="F731" s="964"/>
      <c r="G731" s="1011"/>
      <c r="H731" s="966">
        <f>H721</f>
        <v>0</v>
      </c>
      <c r="I731" s="966">
        <f t="shared" si="326"/>
        <v>24785.301305699646</v>
      </c>
      <c r="J731" s="966">
        <f t="shared" si="326"/>
        <v>0</v>
      </c>
      <c r="K731" s="966">
        <f t="shared" si="326"/>
        <v>0</v>
      </c>
      <c r="L731" s="966">
        <f t="shared" si="326"/>
        <v>0</v>
      </c>
      <c r="M731" s="966">
        <f t="shared" si="326"/>
        <v>0</v>
      </c>
      <c r="N731" s="966">
        <f t="shared" si="326"/>
        <v>0</v>
      </c>
      <c r="O731" s="966">
        <f t="shared" si="326"/>
        <v>0</v>
      </c>
      <c r="P731" s="966">
        <f t="shared" si="326"/>
        <v>0</v>
      </c>
      <c r="Q731" s="966">
        <f t="shared" si="326"/>
        <v>0</v>
      </c>
      <c r="R731" s="966">
        <f t="shared" si="326"/>
        <v>0</v>
      </c>
      <c r="S731" s="966">
        <f t="shared" si="326"/>
        <v>0</v>
      </c>
      <c r="T731" s="966">
        <f t="shared" si="326"/>
        <v>24785.301305699646</v>
      </c>
      <c r="U731" s="966"/>
      <c r="V731" s="1001" t="s">
        <v>158</v>
      </c>
      <c r="W731" s="936"/>
      <c r="X731" s="937"/>
      <c r="Y731" s="937"/>
      <c r="Z731" s="937"/>
      <c r="AA731" s="937"/>
      <c r="AB731" s="937"/>
      <c r="AC731" s="937"/>
    </row>
    <row r="732" spans="1:29" ht="21" hidden="1">
      <c r="A732" s="1011"/>
      <c r="B732" s="1003" t="s">
        <v>174</v>
      </c>
      <c r="C732" s="1004" t="s">
        <v>138</v>
      </c>
      <c r="D732" s="1003" t="s">
        <v>394</v>
      </c>
      <c r="E732" s="1003"/>
      <c r="F732" s="1003"/>
      <c r="G732" s="1011"/>
      <c r="H732" s="1006">
        <f>H728/H$726*1000</f>
        <v>3.0124445631026697</v>
      </c>
      <c r="I732" s="1006">
        <f t="shared" ref="I732:S732" si="327">I728/I$726*1000</f>
        <v>3.3804236895085165</v>
      </c>
      <c r="J732" s="1006" t="e">
        <f t="shared" si="327"/>
        <v>#DIV/0!</v>
      </c>
      <c r="K732" s="1006" t="e">
        <f t="shared" si="327"/>
        <v>#DIV/0!</v>
      </c>
      <c r="L732" s="1006" t="e">
        <f t="shared" si="327"/>
        <v>#DIV/0!</v>
      </c>
      <c r="M732" s="1006" t="e">
        <f t="shared" si="327"/>
        <v>#DIV/0!</v>
      </c>
      <c r="N732" s="1006" t="e">
        <f t="shared" si="327"/>
        <v>#DIV/0!</v>
      </c>
      <c r="O732" s="1006" t="e">
        <f t="shared" si="327"/>
        <v>#DIV/0!</v>
      </c>
      <c r="P732" s="1006" t="e">
        <f t="shared" si="327"/>
        <v>#DIV/0!</v>
      </c>
      <c r="Q732" s="1006" t="e">
        <f t="shared" si="327"/>
        <v>#DIV/0!</v>
      </c>
      <c r="R732" s="1006" t="e">
        <f t="shared" si="327"/>
        <v>#DIV/0!</v>
      </c>
      <c r="S732" s="1006" t="e">
        <f t="shared" si="327"/>
        <v>#DIV/0!</v>
      </c>
      <c r="T732" s="1006">
        <f>T728/T$726*1000</f>
        <v>3.1919293235287527</v>
      </c>
      <c r="U732" s="1007"/>
      <c r="V732" s="1007"/>
      <c r="W732" s="936"/>
      <c r="X732" s="937"/>
      <c r="Y732" s="937"/>
      <c r="Z732" s="937"/>
      <c r="AA732" s="937"/>
      <c r="AB732" s="937"/>
      <c r="AC732" s="937"/>
    </row>
    <row r="733" spans="1:29" ht="21" hidden="1">
      <c r="A733" s="1011"/>
      <c r="B733" s="1003"/>
      <c r="C733" s="1004" t="s">
        <v>152</v>
      </c>
      <c r="D733" s="1003" t="s">
        <v>394</v>
      </c>
      <c r="E733" s="1003"/>
      <c r="F733" s="1003"/>
      <c r="G733" s="1011"/>
      <c r="H733" s="1006">
        <f t="shared" ref="H733:S734" si="328">H729/H$726*1000</f>
        <v>0</v>
      </c>
      <c r="I733" s="1006">
        <f t="shared" si="328"/>
        <v>2.4279464403806155</v>
      </c>
      <c r="J733" s="1006" t="e">
        <f t="shared" si="328"/>
        <v>#DIV/0!</v>
      </c>
      <c r="K733" s="1006" t="e">
        <f t="shared" si="328"/>
        <v>#DIV/0!</v>
      </c>
      <c r="L733" s="1006" t="e">
        <f t="shared" si="328"/>
        <v>#DIV/0!</v>
      </c>
      <c r="M733" s="1006" t="e">
        <f t="shared" si="328"/>
        <v>#DIV/0!</v>
      </c>
      <c r="N733" s="1006" t="e">
        <f t="shared" si="328"/>
        <v>#DIV/0!</v>
      </c>
      <c r="O733" s="1006" t="e">
        <f t="shared" si="328"/>
        <v>#DIV/0!</v>
      </c>
      <c r="P733" s="1006" t="e">
        <f t="shared" si="328"/>
        <v>#DIV/0!</v>
      </c>
      <c r="Q733" s="1006" t="e">
        <f t="shared" si="328"/>
        <v>#DIV/0!</v>
      </c>
      <c r="R733" s="1006" t="e">
        <f t="shared" si="328"/>
        <v>#DIV/0!</v>
      </c>
      <c r="S733" s="1006" t="e">
        <f t="shared" si="328"/>
        <v>#DIV/0!</v>
      </c>
      <c r="T733" s="1006">
        <f>T729/T$726*1000</f>
        <v>1.1842502846165592</v>
      </c>
      <c r="U733" s="1007"/>
      <c r="V733" s="1007"/>
      <c r="W733" s="936"/>
      <c r="X733" s="937"/>
      <c r="Y733" s="937"/>
      <c r="Z733" s="937"/>
      <c r="AA733" s="937"/>
      <c r="AB733" s="937"/>
      <c r="AC733" s="937"/>
    </row>
    <row r="734" spans="1:29" ht="23.25" hidden="1">
      <c r="A734" s="1011"/>
      <c r="B734" s="1003"/>
      <c r="C734" s="1008" t="s">
        <v>592</v>
      </c>
      <c r="D734" s="1003" t="s">
        <v>394</v>
      </c>
      <c r="E734" s="1003"/>
      <c r="F734" s="1003"/>
      <c r="G734" s="1011"/>
      <c r="H734" s="1006">
        <f>H730/H$726*1000</f>
        <v>0</v>
      </c>
      <c r="I734" s="1006">
        <f t="shared" si="328"/>
        <v>5.8083701298891306</v>
      </c>
      <c r="J734" s="1006" t="e">
        <f t="shared" si="328"/>
        <v>#DIV/0!</v>
      </c>
      <c r="K734" s="1006" t="e">
        <f t="shared" si="328"/>
        <v>#DIV/0!</v>
      </c>
      <c r="L734" s="1006" t="e">
        <f t="shared" si="328"/>
        <v>#DIV/0!</v>
      </c>
      <c r="M734" s="1006" t="e">
        <f t="shared" si="328"/>
        <v>#DIV/0!</v>
      </c>
      <c r="N734" s="1006" t="e">
        <f t="shared" si="328"/>
        <v>#DIV/0!</v>
      </c>
      <c r="O734" s="1006" t="e">
        <f t="shared" si="328"/>
        <v>#DIV/0!</v>
      </c>
      <c r="P734" s="1006" t="e">
        <f t="shared" si="328"/>
        <v>#DIV/0!</v>
      </c>
      <c r="Q734" s="1006" t="e">
        <f t="shared" si="328"/>
        <v>#DIV/0!</v>
      </c>
      <c r="R734" s="1006" t="e">
        <f t="shared" si="328"/>
        <v>#DIV/0!</v>
      </c>
      <c r="S734" s="1006" t="e">
        <f t="shared" si="328"/>
        <v>#DIV/0!</v>
      </c>
      <c r="T734" s="1021">
        <f>T730/T726*1000</f>
        <v>2.8330789613304694</v>
      </c>
      <c r="U734" s="1007"/>
      <c r="V734" s="1007"/>
      <c r="W734" s="936"/>
      <c r="X734" s="937"/>
      <c r="Y734" s="937"/>
      <c r="Z734" s="937"/>
      <c r="AA734" s="937"/>
      <c r="AB734" s="937"/>
      <c r="AC734" s="937"/>
    </row>
    <row r="735" spans="1:29" ht="21" hidden="1">
      <c r="A735" s="1011"/>
      <c r="B735" s="1003"/>
      <c r="C735" s="1008" t="s">
        <v>593</v>
      </c>
      <c r="D735" s="1003"/>
      <c r="E735" s="1003"/>
      <c r="F735" s="1003"/>
      <c r="G735" s="1011"/>
      <c r="H735" s="1110" t="e">
        <f>H730/H731*100</f>
        <v>#DIV/0!</v>
      </c>
      <c r="I735" s="1110">
        <f t="shared" ref="I735:T735" si="329">I730/I731*100</f>
        <v>61.188642348731356</v>
      </c>
      <c r="J735" s="1110" t="e">
        <f t="shared" si="329"/>
        <v>#DIV/0!</v>
      </c>
      <c r="K735" s="1009" t="e">
        <f t="shared" si="329"/>
        <v>#DIV/0!</v>
      </c>
      <c r="L735" s="1009" t="e">
        <f t="shared" si="329"/>
        <v>#DIV/0!</v>
      </c>
      <c r="M735" s="1009" t="e">
        <f t="shared" si="329"/>
        <v>#DIV/0!</v>
      </c>
      <c r="N735" s="1009" t="e">
        <f t="shared" si="329"/>
        <v>#DIV/0!</v>
      </c>
      <c r="O735" s="1009" t="e">
        <f t="shared" si="329"/>
        <v>#DIV/0!</v>
      </c>
      <c r="P735" s="1009" t="e">
        <f t="shared" si="329"/>
        <v>#DIV/0!</v>
      </c>
      <c r="Q735" s="1009" t="e">
        <f t="shared" si="329"/>
        <v>#DIV/0!</v>
      </c>
      <c r="R735" s="1009" t="e">
        <f t="shared" si="329"/>
        <v>#DIV/0!</v>
      </c>
      <c r="S735" s="1009" t="e">
        <f t="shared" si="329"/>
        <v>#DIV/0!</v>
      </c>
      <c r="T735" s="1009">
        <f t="shared" si="329"/>
        <v>61.188642348731356</v>
      </c>
      <c r="U735" s="1007"/>
      <c r="V735" s="1007"/>
      <c r="W735" s="936"/>
      <c r="X735" s="937"/>
      <c r="Y735" s="937"/>
      <c r="Z735" s="937"/>
      <c r="AA735" s="937"/>
      <c r="AB735" s="937"/>
      <c r="AC735" s="937"/>
    </row>
    <row r="736" spans="1:29" ht="21" hidden="1">
      <c r="A736" s="964">
        <v>25</v>
      </c>
      <c r="B736" s="1117" t="s">
        <v>589</v>
      </c>
      <c r="C736" s="1052" t="s">
        <v>398</v>
      </c>
      <c r="D736" s="1052" t="s">
        <v>173</v>
      </c>
      <c r="E736" s="964"/>
      <c r="F736" s="964"/>
      <c r="G736" s="964"/>
      <c r="H736" s="1182">
        <v>12812.5665276</v>
      </c>
      <c r="I736" s="1182">
        <v>12331.335186799999</v>
      </c>
      <c r="J736" s="1183">
        <v>13399.960291200001</v>
      </c>
      <c r="K736" s="1099"/>
      <c r="L736" s="1099"/>
      <c r="M736" s="1099"/>
      <c r="N736" s="1099"/>
      <c r="O736" s="1099"/>
      <c r="P736" s="1099"/>
      <c r="Q736" s="1099"/>
      <c r="R736" s="1099"/>
      <c r="S736" s="1099"/>
      <c r="T736" s="1089">
        <f>SUM(H736:S736)</f>
        <v>38543.8620056</v>
      </c>
      <c r="U736" s="966"/>
      <c r="V736" s="966"/>
      <c r="W736" s="936"/>
      <c r="X736" s="937"/>
      <c r="Y736" s="937"/>
      <c r="Z736" s="937"/>
      <c r="AA736" s="937"/>
      <c r="AB736" s="937"/>
      <c r="AC736" s="937"/>
    </row>
    <row r="737" spans="1:29" ht="21" hidden="1">
      <c r="A737" s="964"/>
      <c r="B737" s="964"/>
      <c r="C737" s="1052" t="s">
        <v>492</v>
      </c>
      <c r="D737" s="1052" t="s">
        <v>173</v>
      </c>
      <c r="E737" s="964"/>
      <c r="F737" s="964"/>
      <c r="G737" s="964"/>
      <c r="H737" s="1182">
        <v>18452.724506999999</v>
      </c>
      <c r="I737" s="1182">
        <v>18876.872924700001</v>
      </c>
      <c r="J737" s="1183">
        <v>19035.577884309001</v>
      </c>
      <c r="K737" s="1099"/>
      <c r="L737" s="1099"/>
      <c r="M737" s="1099"/>
      <c r="N737" s="1099"/>
      <c r="O737" s="1099"/>
      <c r="P737" s="1099"/>
      <c r="Q737" s="1099"/>
      <c r="R737" s="1099"/>
      <c r="S737" s="1099"/>
      <c r="T737" s="1089">
        <f>SUM(H737:S737)</f>
        <v>56365.175316009001</v>
      </c>
      <c r="U737" s="966"/>
      <c r="V737" s="966"/>
      <c r="W737" s="936"/>
      <c r="X737" s="937"/>
      <c r="Y737" s="937"/>
      <c r="Z737" s="937"/>
      <c r="AA737" s="937"/>
      <c r="AB737" s="937"/>
      <c r="AC737" s="937"/>
    </row>
    <row r="738" spans="1:29" ht="21" hidden="1">
      <c r="A738" s="964"/>
      <c r="B738" s="964"/>
      <c r="C738" s="1052" t="s">
        <v>497</v>
      </c>
      <c r="D738" s="1052" t="s">
        <v>401</v>
      </c>
      <c r="E738" s="964"/>
      <c r="F738" s="964"/>
      <c r="G738" s="964"/>
      <c r="H738" s="1184">
        <f>H736/H737*100</f>
        <v>69.434551644336224</v>
      </c>
      <c r="I738" s="1184">
        <f t="shared" ref="I738:T738" si="330">I736/I737*100</f>
        <v>65.325095083225889</v>
      </c>
      <c r="J738" s="1184">
        <f t="shared" si="330"/>
        <v>70.3942920600565</v>
      </c>
      <c r="K738" s="1099"/>
      <c r="L738" s="1099"/>
      <c r="M738" s="1099"/>
      <c r="N738" s="1099"/>
      <c r="O738" s="1099"/>
      <c r="P738" s="1099"/>
      <c r="Q738" s="1099"/>
      <c r="R738" s="1099"/>
      <c r="S738" s="1099"/>
      <c r="T738" s="1099">
        <f t="shared" si="330"/>
        <v>68.382404187524386</v>
      </c>
      <c r="U738" s="966"/>
      <c r="V738" s="966"/>
      <c r="W738" s="936"/>
      <c r="X738" s="937"/>
      <c r="Y738" s="937"/>
      <c r="Z738" s="937"/>
      <c r="AA738" s="937"/>
      <c r="AB738" s="937"/>
      <c r="AC738" s="937"/>
    </row>
    <row r="739" spans="1:29" ht="21" hidden="1">
      <c r="A739" s="964"/>
      <c r="B739" s="964" t="s">
        <v>589</v>
      </c>
      <c r="C739" s="1031" t="s">
        <v>138</v>
      </c>
      <c r="D739" s="964" t="s">
        <v>90</v>
      </c>
      <c r="E739" s="984">
        <f>'[11]Price&amp;Heating-Value'!$R$6</f>
        <v>3.6</v>
      </c>
      <c r="F739" s="964"/>
      <c r="G739" s="1014">
        <f>'[11]Price&amp;Heating-Value'!$P$6</f>
        <v>2.7124999999999999</v>
      </c>
      <c r="H739" s="966">
        <v>1438109.591</v>
      </c>
      <c r="I739" s="966">
        <v>1363608.6629999999</v>
      </c>
      <c r="J739" s="966"/>
      <c r="K739" s="966"/>
      <c r="L739" s="966"/>
      <c r="M739" s="966"/>
      <c r="N739" s="966"/>
      <c r="O739" s="966"/>
      <c r="P739" s="966"/>
      <c r="Q739" s="966"/>
      <c r="R739" s="966"/>
      <c r="S739" s="966"/>
      <c r="T739" s="966">
        <f>SUM(H739:S739)</f>
        <v>2801718.2539999997</v>
      </c>
      <c r="U739" s="966">
        <f>T739*E739</f>
        <v>10086185.714399999</v>
      </c>
      <c r="V739" s="966">
        <f>G739*T739</f>
        <v>7599660.7639749991</v>
      </c>
      <c r="W739" s="954">
        <f>'[11]Price&amp;Heating-Value'!D$6</f>
        <v>2.4500000000000002</v>
      </c>
      <c r="X739" s="954">
        <f>'[11]Price&amp;Heating-Value'!E$6</f>
        <v>2.54</v>
      </c>
      <c r="Y739" s="954">
        <f>'[11]Price&amp;Heating-Value'!F$6</f>
        <v>2.58</v>
      </c>
      <c r="Z739" s="954">
        <f>'[11]Price&amp;Heating-Value'!G$6</f>
        <v>2.67</v>
      </c>
      <c r="AA739" s="954">
        <f>'[11]Price&amp;Heating-Value'!H$6</f>
        <v>2.67</v>
      </c>
      <c r="AB739" s="954">
        <f>'[11]Price&amp;Heating-Value'!I$6</f>
        <v>2.67</v>
      </c>
      <c r="AC739" s="954">
        <f>'[11]Price&amp;Heating-Value'!J$6</f>
        <v>2.62</v>
      </c>
    </row>
    <row r="740" spans="1:29" ht="21" hidden="1">
      <c r="A740" s="1011"/>
      <c r="B740" s="1011"/>
      <c r="C740" s="1031" t="s">
        <v>152</v>
      </c>
      <c r="D740" s="964" t="s">
        <v>147</v>
      </c>
      <c r="E740" s="964">
        <f>'[11]Price&amp;Heating-Value'!$R$9</f>
        <v>2803</v>
      </c>
      <c r="F740" s="964"/>
      <c r="G740" s="965">
        <f>'[11]Price&amp;Heating-Value'!$P$9</f>
        <v>1301.5833333333333</v>
      </c>
      <c r="H740" s="981">
        <v>2724</v>
      </c>
      <c r="I740" s="981">
        <v>2648</v>
      </c>
      <c r="J740" s="981"/>
      <c r="K740" s="981"/>
      <c r="L740" s="981"/>
      <c r="M740" s="981"/>
      <c r="N740" s="981"/>
      <c r="O740" s="981"/>
      <c r="P740" s="981"/>
      <c r="Q740" s="981"/>
      <c r="R740" s="981"/>
      <c r="S740" s="981"/>
      <c r="T740" s="966">
        <f>SUM(H740:S740)</f>
        <v>5372</v>
      </c>
      <c r="U740" s="966">
        <f>T740*E740</f>
        <v>15057716</v>
      </c>
      <c r="V740" s="966">
        <f>G740*T740</f>
        <v>6992105.666666666</v>
      </c>
      <c r="W740" s="982">
        <f>'[11]Price&amp;Heating-Value'!D$9</f>
        <v>1210</v>
      </c>
      <c r="X740" s="982">
        <f>'[11]Price&amp;Heating-Value'!E$9</f>
        <v>1218</v>
      </c>
      <c r="Y740" s="982">
        <f>'[11]Price&amp;Heating-Value'!F$9</f>
        <v>1207</v>
      </c>
      <c r="Z740" s="982">
        <f>'[11]Price&amp;Heating-Value'!G$9</f>
        <v>1232</v>
      </c>
      <c r="AA740" s="982">
        <f>'[11]Price&amp;Heating-Value'!H$9</f>
        <v>1352</v>
      </c>
      <c r="AB740" s="982">
        <f>'[11]Price&amp;Heating-Value'!I$9</f>
        <v>1491</v>
      </c>
      <c r="AC740" s="982">
        <f>'[11]Price&amp;Heating-Value'!J$9</f>
        <v>1588</v>
      </c>
    </row>
    <row r="741" spans="1:29" ht="21" hidden="1">
      <c r="A741" s="1011"/>
      <c r="B741" s="989"/>
      <c r="C741" s="990" t="s">
        <v>107</v>
      </c>
      <c r="D741" s="989" t="s">
        <v>147</v>
      </c>
      <c r="E741" s="989"/>
      <c r="F741" s="989"/>
      <c r="G741" s="1011"/>
      <c r="H741" s="994">
        <v>217827.56133200001</v>
      </c>
      <c r="I741" s="994">
        <v>194898.71070000003</v>
      </c>
      <c r="J741" s="994"/>
      <c r="K741" s="994"/>
      <c r="L741" s="994"/>
      <c r="M741" s="994"/>
      <c r="N741" s="994"/>
      <c r="O741" s="994"/>
      <c r="P741" s="994"/>
      <c r="Q741" s="994"/>
      <c r="R741" s="994"/>
      <c r="S741" s="994"/>
      <c r="T741" s="996">
        <f>SUM(H741:S741)</f>
        <v>412726.27203200001</v>
      </c>
      <c r="U741" s="995"/>
      <c r="V741" s="1026" t="e">
        <f>#REF!/T741</f>
        <v>#REF!</v>
      </c>
      <c r="W741" s="936"/>
      <c r="X741" s="937"/>
      <c r="Y741" s="937"/>
      <c r="Z741" s="937"/>
      <c r="AA741" s="937"/>
      <c r="AB741" s="937"/>
      <c r="AC741" s="937"/>
    </row>
    <row r="742" spans="1:29" ht="21" hidden="1">
      <c r="A742" s="1011"/>
      <c r="B742" s="1011"/>
      <c r="C742" s="1030"/>
      <c r="D742" s="1011"/>
      <c r="E742" s="1011"/>
      <c r="F742" s="1011"/>
      <c r="G742" s="1011"/>
      <c r="H742" s="981"/>
      <c r="I742" s="981"/>
      <c r="J742" s="981"/>
      <c r="K742" s="981"/>
      <c r="L742" s="981"/>
      <c r="M742" s="981"/>
      <c r="N742" s="981"/>
      <c r="O742" s="981"/>
      <c r="P742" s="981"/>
      <c r="Q742" s="981"/>
      <c r="R742" s="981"/>
      <c r="S742" s="981"/>
      <c r="T742" s="981"/>
      <c r="U742" s="981"/>
      <c r="V742" s="997" t="s">
        <v>137</v>
      </c>
      <c r="W742" s="936"/>
      <c r="X742" s="937"/>
      <c r="Y742" s="937"/>
      <c r="Z742" s="937"/>
      <c r="AA742" s="937"/>
      <c r="AB742" s="937"/>
      <c r="AC742" s="937"/>
    </row>
    <row r="743" spans="1:29" ht="21" hidden="1">
      <c r="A743" s="1011"/>
      <c r="B743" s="1011"/>
      <c r="C743" s="1031" t="s">
        <v>138</v>
      </c>
      <c r="D743" s="1011" t="s">
        <v>173</v>
      </c>
      <c r="E743" s="964"/>
      <c r="F743" s="964"/>
      <c r="G743" s="1011"/>
      <c r="H743" s="981">
        <f>H739*$E$724/1000</f>
        <v>5177.1945276000006</v>
      </c>
      <c r="I743" s="981">
        <f t="shared" ref="I743:S743" si="331">I739*$E$724/1000</f>
        <v>4908.9911867999999</v>
      </c>
      <c r="J743" s="981">
        <f t="shared" si="331"/>
        <v>0</v>
      </c>
      <c r="K743" s="981">
        <f t="shared" si="331"/>
        <v>0</v>
      </c>
      <c r="L743" s="981">
        <f t="shared" si="331"/>
        <v>0</v>
      </c>
      <c r="M743" s="981">
        <f t="shared" si="331"/>
        <v>0</v>
      </c>
      <c r="N743" s="981">
        <f t="shared" si="331"/>
        <v>0</v>
      </c>
      <c r="O743" s="981">
        <f t="shared" si="331"/>
        <v>0</v>
      </c>
      <c r="P743" s="981">
        <f t="shared" si="331"/>
        <v>0</v>
      </c>
      <c r="Q743" s="981">
        <f t="shared" si="331"/>
        <v>0</v>
      </c>
      <c r="R743" s="981">
        <f t="shared" si="331"/>
        <v>0</v>
      </c>
      <c r="S743" s="981">
        <f t="shared" si="331"/>
        <v>0</v>
      </c>
      <c r="T743" s="981">
        <f>SUM(H743:S743)</f>
        <v>10086.185714400001</v>
      </c>
      <c r="U743" s="981"/>
      <c r="V743" s="981"/>
      <c r="W743" s="936"/>
      <c r="X743" s="937"/>
      <c r="Y743" s="937"/>
      <c r="Z743" s="937"/>
      <c r="AA743" s="937"/>
      <c r="AB743" s="937"/>
      <c r="AC743" s="937"/>
    </row>
    <row r="744" spans="1:29" ht="21" hidden="1">
      <c r="A744" s="1011"/>
      <c r="B744" s="1011"/>
      <c r="C744" s="1031" t="s">
        <v>152</v>
      </c>
      <c r="D744" s="1011" t="s">
        <v>173</v>
      </c>
      <c r="E744" s="964"/>
      <c r="F744" s="964"/>
      <c r="G744" s="1011"/>
      <c r="H744" s="981">
        <f>H740*$E$725/1000</f>
        <v>7635.3720000000003</v>
      </c>
      <c r="I744" s="981">
        <f t="shared" ref="I744:S744" si="332">I740*$E$725/1000</f>
        <v>7422.3440000000001</v>
      </c>
      <c r="J744" s="981">
        <f t="shared" si="332"/>
        <v>0</v>
      </c>
      <c r="K744" s="981">
        <f t="shared" si="332"/>
        <v>0</v>
      </c>
      <c r="L744" s="981">
        <f t="shared" si="332"/>
        <v>0</v>
      </c>
      <c r="M744" s="981">
        <f t="shared" si="332"/>
        <v>0</v>
      </c>
      <c r="N744" s="981">
        <f t="shared" si="332"/>
        <v>0</v>
      </c>
      <c r="O744" s="981">
        <f t="shared" si="332"/>
        <v>0</v>
      </c>
      <c r="P744" s="981">
        <f t="shared" si="332"/>
        <v>0</v>
      </c>
      <c r="Q744" s="981">
        <f t="shared" si="332"/>
        <v>0</v>
      </c>
      <c r="R744" s="981">
        <f t="shared" si="332"/>
        <v>0</v>
      </c>
      <c r="S744" s="981">
        <f t="shared" si="332"/>
        <v>0</v>
      </c>
      <c r="T744" s="981">
        <f>SUM(H744:S744)</f>
        <v>15057.716</v>
      </c>
      <c r="U744" s="981"/>
      <c r="V744" s="981"/>
      <c r="W744" s="936"/>
      <c r="X744" s="937"/>
      <c r="Y744" s="937"/>
      <c r="Z744" s="937"/>
      <c r="AA744" s="937"/>
      <c r="AB744" s="937"/>
      <c r="AC744" s="937"/>
    </row>
    <row r="745" spans="1:29" ht="21" hidden="1">
      <c r="A745" s="1011"/>
      <c r="B745" s="964"/>
      <c r="C745" s="983" t="s">
        <v>594</v>
      </c>
      <c r="D745" s="964" t="s">
        <v>173</v>
      </c>
      <c r="E745" s="1011"/>
      <c r="F745" s="1011"/>
      <c r="G745" s="1011"/>
      <c r="H745" s="981">
        <f>H732</f>
        <v>3.0124445631026697</v>
      </c>
      <c r="I745" s="981">
        <f t="shared" ref="I745:T746" si="333">I732</f>
        <v>3.3804236895085165</v>
      </c>
      <c r="J745" s="981" t="e">
        <f t="shared" si="333"/>
        <v>#DIV/0!</v>
      </c>
      <c r="K745" s="981" t="e">
        <f t="shared" si="333"/>
        <v>#DIV/0!</v>
      </c>
      <c r="L745" s="981" t="e">
        <f t="shared" si="333"/>
        <v>#DIV/0!</v>
      </c>
      <c r="M745" s="981" t="e">
        <f t="shared" si="333"/>
        <v>#DIV/0!</v>
      </c>
      <c r="N745" s="981" t="e">
        <f t="shared" si="333"/>
        <v>#DIV/0!</v>
      </c>
      <c r="O745" s="981" t="e">
        <f t="shared" si="333"/>
        <v>#DIV/0!</v>
      </c>
      <c r="P745" s="981" t="e">
        <f t="shared" si="333"/>
        <v>#DIV/0!</v>
      </c>
      <c r="Q745" s="981" t="e">
        <f t="shared" si="333"/>
        <v>#DIV/0!</v>
      </c>
      <c r="R745" s="981" t="e">
        <f t="shared" si="333"/>
        <v>#DIV/0!</v>
      </c>
      <c r="S745" s="981" t="e">
        <f t="shared" si="333"/>
        <v>#DIV/0!</v>
      </c>
      <c r="T745" s="981">
        <f t="shared" si="333"/>
        <v>3.1919293235287527</v>
      </c>
      <c r="U745" s="981"/>
      <c r="V745" s="1033" t="e">
        <f>#REF!/T745</f>
        <v>#REF!</v>
      </c>
      <c r="W745" s="936"/>
      <c r="X745" s="937"/>
      <c r="Y745" s="937"/>
      <c r="Z745" s="937"/>
      <c r="AA745" s="937"/>
      <c r="AB745" s="937"/>
      <c r="AC745" s="937"/>
    </row>
    <row r="746" spans="1:29" ht="21" hidden="1">
      <c r="A746" s="1011"/>
      <c r="B746" s="964"/>
      <c r="C746" s="983" t="s">
        <v>345</v>
      </c>
      <c r="D746" s="964" t="s">
        <v>173</v>
      </c>
      <c r="E746" s="964"/>
      <c r="F746" s="964"/>
      <c r="G746" s="1011"/>
      <c r="H746" s="966">
        <f>H733</f>
        <v>0</v>
      </c>
      <c r="I746" s="966">
        <f t="shared" si="333"/>
        <v>2.4279464403806155</v>
      </c>
      <c r="J746" s="966" t="e">
        <f t="shared" si="333"/>
        <v>#DIV/0!</v>
      </c>
      <c r="K746" s="966" t="e">
        <f t="shared" si="333"/>
        <v>#DIV/0!</v>
      </c>
      <c r="L746" s="966" t="e">
        <f t="shared" si="333"/>
        <v>#DIV/0!</v>
      </c>
      <c r="M746" s="966" t="e">
        <f t="shared" si="333"/>
        <v>#DIV/0!</v>
      </c>
      <c r="N746" s="966" t="e">
        <f t="shared" si="333"/>
        <v>#DIV/0!</v>
      </c>
      <c r="O746" s="966" t="e">
        <f t="shared" si="333"/>
        <v>#DIV/0!</v>
      </c>
      <c r="P746" s="966" t="e">
        <f t="shared" si="333"/>
        <v>#DIV/0!</v>
      </c>
      <c r="Q746" s="966" t="e">
        <f t="shared" si="333"/>
        <v>#DIV/0!</v>
      </c>
      <c r="R746" s="966" t="e">
        <f t="shared" si="333"/>
        <v>#DIV/0!</v>
      </c>
      <c r="S746" s="966" t="e">
        <f t="shared" si="333"/>
        <v>#DIV/0!</v>
      </c>
      <c r="T746" s="966">
        <f t="shared" si="333"/>
        <v>1.1842502846165592</v>
      </c>
      <c r="U746" s="966"/>
      <c r="V746" s="1001" t="s">
        <v>158</v>
      </c>
      <c r="W746" s="936"/>
      <c r="X746" s="937"/>
      <c r="Y746" s="937"/>
      <c r="Z746" s="937"/>
      <c r="AA746" s="937"/>
      <c r="AB746" s="937"/>
      <c r="AC746" s="937"/>
    </row>
    <row r="747" spans="1:29" ht="21" hidden="1">
      <c r="A747" s="1011"/>
      <c r="B747" s="1003" t="s">
        <v>174</v>
      </c>
      <c r="C747" s="1004" t="s">
        <v>138</v>
      </c>
      <c r="D747" s="1003" t="s">
        <v>394</v>
      </c>
      <c r="E747" s="1003"/>
      <c r="F747" s="1003"/>
      <c r="G747" s="1011"/>
      <c r="H747" s="1006">
        <f>H743/H$726*1000</f>
        <v>1.8880476583255019</v>
      </c>
      <c r="I747" s="1006">
        <f t="shared" ref="I747:S747" si="334">I743/I$726*1000</f>
        <v>1.8801024516284714</v>
      </c>
      <c r="J747" s="1006" t="e">
        <f t="shared" si="334"/>
        <v>#DIV/0!</v>
      </c>
      <c r="K747" s="1006" t="e">
        <f t="shared" si="334"/>
        <v>#DIV/0!</v>
      </c>
      <c r="L747" s="1006" t="e">
        <f t="shared" si="334"/>
        <v>#DIV/0!</v>
      </c>
      <c r="M747" s="1006" t="e">
        <f t="shared" si="334"/>
        <v>#DIV/0!</v>
      </c>
      <c r="N747" s="1006" t="e">
        <f t="shared" si="334"/>
        <v>#DIV/0!</v>
      </c>
      <c r="O747" s="1006" t="e">
        <f t="shared" si="334"/>
        <v>#DIV/0!</v>
      </c>
      <c r="P747" s="1006" t="e">
        <f t="shared" si="334"/>
        <v>#DIV/0!</v>
      </c>
      <c r="Q747" s="1006" t="e">
        <f t="shared" si="334"/>
        <v>#DIV/0!</v>
      </c>
      <c r="R747" s="1006" t="e">
        <f t="shared" si="334"/>
        <v>#DIV/0!</v>
      </c>
      <c r="S747" s="1006" t="e">
        <f t="shared" si="334"/>
        <v>#DIV/0!</v>
      </c>
      <c r="T747" s="1006">
        <f>T743/T$726*1000</f>
        <v>1.8841723202472775</v>
      </c>
      <c r="U747" s="1007"/>
      <c r="V747" s="1007"/>
      <c r="W747" s="936"/>
      <c r="X747" s="937"/>
      <c r="Y747" s="937"/>
      <c r="Z747" s="937"/>
      <c r="AA747" s="937"/>
      <c r="AB747" s="937"/>
      <c r="AC747" s="937"/>
    </row>
    <row r="748" spans="1:29" ht="21" hidden="1">
      <c r="A748" s="1011"/>
      <c r="B748" s="1003"/>
      <c r="C748" s="1004" t="s">
        <v>152</v>
      </c>
      <c r="D748" s="1003" t="s">
        <v>394</v>
      </c>
      <c r="E748" s="1003"/>
      <c r="F748" s="1003"/>
      <c r="G748" s="1011"/>
      <c r="H748" s="1006">
        <f t="shared" ref="H748:S749" si="335">H744/H$726*1000</f>
        <v>2.7845092835881764</v>
      </c>
      <c r="I748" s="1006">
        <f t="shared" si="335"/>
        <v>2.842695498976135</v>
      </c>
      <c r="J748" s="1006" t="e">
        <f t="shared" si="335"/>
        <v>#DIV/0!</v>
      </c>
      <c r="K748" s="1006" t="e">
        <f t="shared" si="335"/>
        <v>#DIV/0!</v>
      </c>
      <c r="L748" s="1006" t="e">
        <f t="shared" si="335"/>
        <v>#DIV/0!</v>
      </c>
      <c r="M748" s="1006" t="e">
        <f t="shared" si="335"/>
        <v>#DIV/0!</v>
      </c>
      <c r="N748" s="1006" t="e">
        <f t="shared" si="335"/>
        <v>#DIV/0!</v>
      </c>
      <c r="O748" s="1006" t="e">
        <f t="shared" si="335"/>
        <v>#DIV/0!</v>
      </c>
      <c r="P748" s="1006" t="e">
        <f t="shared" si="335"/>
        <v>#DIV/0!</v>
      </c>
      <c r="Q748" s="1006" t="e">
        <f t="shared" si="335"/>
        <v>#DIV/0!</v>
      </c>
      <c r="R748" s="1006" t="e">
        <f t="shared" si="335"/>
        <v>#DIV/0!</v>
      </c>
      <c r="S748" s="1006" t="e">
        <f t="shared" si="335"/>
        <v>#DIV/0!</v>
      </c>
      <c r="T748" s="1006">
        <f>T744/T$726*1000</f>
        <v>2.8128900752678923</v>
      </c>
      <c r="U748" s="1007"/>
      <c r="V748" s="1007"/>
      <c r="W748" s="936"/>
      <c r="X748" s="937"/>
      <c r="Y748" s="937"/>
      <c r="Z748" s="937"/>
      <c r="AA748" s="937"/>
      <c r="AB748" s="937"/>
      <c r="AC748" s="937"/>
    </row>
    <row r="749" spans="1:29" ht="23.25" hidden="1">
      <c r="A749" s="1011"/>
      <c r="B749" s="1003"/>
      <c r="C749" s="1008" t="s">
        <v>596</v>
      </c>
      <c r="D749" s="1003" t="s">
        <v>394</v>
      </c>
      <c r="E749" s="1003"/>
      <c r="F749" s="1003"/>
      <c r="G749" s="1011"/>
      <c r="H749" s="1006">
        <f>H745/H$726*1000</f>
        <v>1.0985947838892606E-3</v>
      </c>
      <c r="I749" s="1006">
        <f t="shared" si="335"/>
        <v>1.2946739206372219E-3</v>
      </c>
      <c r="J749" s="1006" t="e">
        <f t="shared" si="335"/>
        <v>#DIV/0!</v>
      </c>
      <c r="K749" s="1006" t="e">
        <f t="shared" si="335"/>
        <v>#DIV/0!</v>
      </c>
      <c r="L749" s="1006" t="e">
        <f t="shared" si="335"/>
        <v>#DIV/0!</v>
      </c>
      <c r="M749" s="1006" t="e">
        <f t="shared" si="335"/>
        <v>#DIV/0!</v>
      </c>
      <c r="N749" s="1006" t="e">
        <f t="shared" si="335"/>
        <v>#DIV/0!</v>
      </c>
      <c r="O749" s="1006" t="e">
        <f t="shared" si="335"/>
        <v>#DIV/0!</v>
      </c>
      <c r="P749" s="1006" t="e">
        <f t="shared" si="335"/>
        <v>#DIV/0!</v>
      </c>
      <c r="Q749" s="1006" t="e">
        <f t="shared" si="335"/>
        <v>#DIV/0!</v>
      </c>
      <c r="R749" s="1006" t="e">
        <f t="shared" si="335"/>
        <v>#DIV/0!</v>
      </c>
      <c r="S749" s="1006" t="e">
        <f t="shared" si="335"/>
        <v>#DIV/0!</v>
      </c>
      <c r="T749" s="1021">
        <f>T745/T741*1000</f>
        <v>7.7337682135274208E-3</v>
      </c>
      <c r="U749" s="1007"/>
      <c r="V749" s="1007"/>
      <c r="W749" s="936"/>
      <c r="X749" s="937"/>
      <c r="Y749" s="937"/>
      <c r="Z749" s="937"/>
      <c r="AA749" s="937"/>
      <c r="AB749" s="937"/>
      <c r="AC749" s="937"/>
    </row>
    <row r="750" spans="1:29" ht="21" hidden="1">
      <c r="A750" s="1011"/>
      <c r="B750" s="1003"/>
      <c r="C750" s="1008" t="s">
        <v>597</v>
      </c>
      <c r="D750" s="1003"/>
      <c r="E750" s="1003"/>
      <c r="F750" s="1003"/>
      <c r="G750" s="1011"/>
      <c r="H750" s="1009" t="e">
        <f>H745/H746*100</f>
        <v>#DIV/0!</v>
      </c>
      <c r="I750" s="1009">
        <f t="shared" ref="I750:T750" si="336">I745/I746*100</f>
        <v>139.22974713472618</v>
      </c>
      <c r="J750" s="1009" t="e">
        <f t="shared" si="336"/>
        <v>#DIV/0!</v>
      </c>
      <c r="K750" s="1009" t="e">
        <f t="shared" si="336"/>
        <v>#DIV/0!</v>
      </c>
      <c r="L750" s="1009" t="e">
        <f t="shared" si="336"/>
        <v>#DIV/0!</v>
      </c>
      <c r="M750" s="1009" t="e">
        <f t="shared" si="336"/>
        <v>#DIV/0!</v>
      </c>
      <c r="N750" s="1009" t="e">
        <f t="shared" si="336"/>
        <v>#DIV/0!</v>
      </c>
      <c r="O750" s="1009" t="e">
        <f t="shared" si="336"/>
        <v>#DIV/0!</v>
      </c>
      <c r="P750" s="1009" t="e">
        <f t="shared" si="336"/>
        <v>#DIV/0!</v>
      </c>
      <c r="Q750" s="1009" t="e">
        <f t="shared" si="336"/>
        <v>#DIV/0!</v>
      </c>
      <c r="R750" s="1009" t="e">
        <f t="shared" si="336"/>
        <v>#DIV/0!</v>
      </c>
      <c r="S750" s="1009" t="e">
        <f t="shared" si="336"/>
        <v>#DIV/0!</v>
      </c>
      <c r="T750" s="1009">
        <f t="shared" si="336"/>
        <v>269.53164926299735</v>
      </c>
      <c r="U750" s="1007"/>
      <c r="V750" s="1007"/>
      <c r="W750" s="936"/>
      <c r="X750" s="937"/>
      <c r="Y750" s="937"/>
      <c r="Z750" s="937"/>
      <c r="AA750" s="937"/>
      <c r="AB750" s="937"/>
      <c r="AC750" s="937"/>
    </row>
    <row r="751" spans="1:29" ht="21" hidden="1">
      <c r="A751" s="964">
        <v>26</v>
      </c>
      <c r="B751" s="1117" t="s">
        <v>590</v>
      </c>
      <c r="C751" s="1052" t="s">
        <v>398</v>
      </c>
      <c r="D751" s="1052" t="s">
        <v>173</v>
      </c>
      <c r="E751" s="964"/>
      <c r="F751" s="964"/>
      <c r="G751" s="964"/>
      <c r="H751" s="1183">
        <v>13972.922759999999</v>
      </c>
      <c r="I751" s="1183">
        <v>13040.050658181815</v>
      </c>
      <c r="J751" s="1183">
        <v>14025.483087272733</v>
      </c>
      <c r="K751" s="1099"/>
      <c r="L751" s="1099"/>
      <c r="M751" s="1099"/>
      <c r="N751" s="1099"/>
      <c r="O751" s="1099"/>
      <c r="P751" s="1099"/>
      <c r="Q751" s="1099"/>
      <c r="R751" s="1099"/>
      <c r="S751" s="1099"/>
      <c r="T751" s="1089">
        <f>SUM(H751:S751)</f>
        <v>41038.456505454546</v>
      </c>
      <c r="U751" s="966"/>
      <c r="V751" s="966"/>
      <c r="W751" s="936"/>
      <c r="X751" s="937"/>
      <c r="Y751" s="937"/>
      <c r="Z751" s="937"/>
      <c r="AA751" s="937"/>
      <c r="AB751" s="937"/>
      <c r="AC751" s="937"/>
    </row>
    <row r="752" spans="1:29" ht="21" hidden="1">
      <c r="A752" s="964"/>
      <c r="B752" s="964"/>
      <c r="C752" s="1052" t="s">
        <v>492</v>
      </c>
      <c r="D752" s="1052" t="s">
        <v>173</v>
      </c>
      <c r="E752" s="964"/>
      <c r="F752" s="964"/>
      <c r="G752" s="964"/>
      <c r="H752" s="1183">
        <v>13899.9843</v>
      </c>
      <c r="I752" s="1183">
        <v>13881.058199999999</v>
      </c>
      <c r="J752" s="1183">
        <v>14038.428900000001</v>
      </c>
      <c r="K752" s="1099"/>
      <c r="L752" s="1099"/>
      <c r="M752" s="1099"/>
      <c r="N752" s="1099"/>
      <c r="O752" s="1099"/>
      <c r="P752" s="1099"/>
      <c r="Q752" s="1099"/>
      <c r="R752" s="1099"/>
      <c r="S752" s="1099"/>
      <c r="T752" s="1089">
        <f>SUM(H752:S752)</f>
        <v>41819.471400000002</v>
      </c>
      <c r="U752" s="966"/>
      <c r="V752" s="966"/>
      <c r="W752" s="936"/>
      <c r="X752" s="937"/>
      <c r="Y752" s="937"/>
      <c r="Z752" s="937"/>
      <c r="AA752" s="937"/>
      <c r="AB752" s="937"/>
      <c r="AC752" s="937"/>
    </row>
    <row r="753" spans="1:29" ht="21" hidden="1">
      <c r="A753" s="964"/>
      <c r="B753" s="964"/>
      <c r="C753" s="1052" t="s">
        <v>497</v>
      </c>
      <c r="D753" s="1052" t="s">
        <v>401</v>
      </c>
      <c r="E753" s="964"/>
      <c r="F753" s="964"/>
      <c r="G753" s="964"/>
      <c r="H753" s="1183">
        <f t="shared" ref="H753:T753" si="337">H751/H752*100</f>
        <v>100.5247377149915</v>
      </c>
      <c r="I753" s="1183">
        <f t="shared" si="337"/>
        <v>93.941329762465926</v>
      </c>
      <c r="J753" s="1183">
        <f t="shared" si="337"/>
        <v>99.90778303740764</v>
      </c>
      <c r="K753" s="1099"/>
      <c r="L753" s="1099"/>
      <c r="M753" s="1099"/>
      <c r="N753" s="1099"/>
      <c r="O753" s="1099"/>
      <c r="P753" s="1099"/>
      <c r="Q753" s="1099"/>
      <c r="R753" s="1099"/>
      <c r="S753" s="1099"/>
      <c r="T753" s="1099">
        <f t="shared" si="337"/>
        <v>98.13241327927102</v>
      </c>
      <c r="U753" s="966"/>
      <c r="V753" s="966"/>
      <c r="W753" s="936"/>
      <c r="X753" s="937"/>
      <c r="Y753" s="937"/>
      <c r="Z753" s="937"/>
      <c r="AA753" s="937"/>
      <c r="AB753" s="937"/>
      <c r="AC753" s="937"/>
    </row>
    <row r="754" spans="1:29" ht="21" hidden="1">
      <c r="A754" s="964"/>
      <c r="B754" s="964" t="s">
        <v>590</v>
      </c>
      <c r="C754" s="1031" t="s">
        <v>138</v>
      </c>
      <c r="D754" s="964" t="s">
        <v>90</v>
      </c>
      <c r="E754" s="984">
        <f>'[11]Price&amp;Heating-Value'!$R$6</f>
        <v>3.6</v>
      </c>
      <c r="F754" s="964"/>
      <c r="G754" s="1014">
        <f>'[11]Price&amp;Heating-Value'!$P$6</f>
        <v>2.7124999999999999</v>
      </c>
      <c r="H754" s="1154">
        <v>663430</v>
      </c>
      <c r="I754" s="1154">
        <v>551344</v>
      </c>
      <c r="J754" s="966"/>
      <c r="K754" s="966"/>
      <c r="L754" s="966"/>
      <c r="M754" s="966"/>
      <c r="N754" s="966"/>
      <c r="O754" s="966"/>
      <c r="P754" s="966"/>
      <c r="Q754" s="966"/>
      <c r="R754" s="966"/>
      <c r="S754" s="966"/>
      <c r="T754" s="966">
        <f>SUM(H754:S754)</f>
        <v>1214774</v>
      </c>
      <c r="U754" s="966">
        <f>T754*E754</f>
        <v>4373186.4000000004</v>
      </c>
      <c r="V754" s="966">
        <f>G754*T754</f>
        <v>3295074.4750000001</v>
      </c>
      <c r="W754" s="954">
        <f>'[11]Price&amp;Heating-Value'!D$6</f>
        <v>2.4500000000000002</v>
      </c>
      <c r="X754" s="954">
        <f>'[11]Price&amp;Heating-Value'!E$6</f>
        <v>2.54</v>
      </c>
      <c r="Y754" s="954">
        <f>'[11]Price&amp;Heating-Value'!F$6</f>
        <v>2.58</v>
      </c>
      <c r="Z754" s="954">
        <f>'[11]Price&amp;Heating-Value'!G$6</f>
        <v>2.67</v>
      </c>
      <c r="AA754" s="954">
        <f>'[11]Price&amp;Heating-Value'!H$6</f>
        <v>2.67</v>
      </c>
      <c r="AB754" s="954">
        <f>'[11]Price&amp;Heating-Value'!I$6</f>
        <v>2.67</v>
      </c>
      <c r="AC754" s="954">
        <f>'[11]Price&amp;Heating-Value'!J$6</f>
        <v>2.62</v>
      </c>
    </row>
    <row r="755" spans="1:29" ht="21" hidden="1">
      <c r="A755" s="1011"/>
      <c r="B755" s="1011"/>
      <c r="C755" s="1031" t="s">
        <v>152</v>
      </c>
      <c r="D755" s="964" t="s">
        <v>147</v>
      </c>
      <c r="E755" s="964">
        <f>'[11]Price&amp;Heating-Value'!$R$9</f>
        <v>2803</v>
      </c>
      <c r="F755" s="964"/>
      <c r="G755" s="965">
        <f>'[11]Price&amp;Heating-Value'!$P$9</f>
        <v>1301.5833333333333</v>
      </c>
      <c r="H755" s="1185">
        <v>4132.92</v>
      </c>
      <c r="I755" s="1185">
        <v>3466.32</v>
      </c>
      <c r="J755" s="981"/>
      <c r="K755" s="981"/>
      <c r="L755" s="981"/>
      <c r="M755" s="981"/>
      <c r="N755" s="981"/>
      <c r="O755" s="981"/>
      <c r="P755" s="981"/>
      <c r="Q755" s="981"/>
      <c r="R755" s="981"/>
      <c r="S755" s="981"/>
      <c r="T755" s="966">
        <f>SUM(H755:S755)</f>
        <v>7599.24</v>
      </c>
      <c r="U755" s="966">
        <f>T755*E755</f>
        <v>21300669.719999999</v>
      </c>
      <c r="V755" s="966">
        <f>G755*T755</f>
        <v>9891044.129999999</v>
      </c>
      <c r="W755" s="982">
        <f>'[11]Price&amp;Heating-Value'!D$9</f>
        <v>1210</v>
      </c>
      <c r="X755" s="982">
        <f>'[11]Price&amp;Heating-Value'!E$9</f>
        <v>1218</v>
      </c>
      <c r="Y755" s="982">
        <f>'[11]Price&amp;Heating-Value'!F$9</f>
        <v>1207</v>
      </c>
      <c r="Z755" s="982">
        <f>'[11]Price&amp;Heating-Value'!G$9</f>
        <v>1232</v>
      </c>
      <c r="AA755" s="982">
        <f>'[11]Price&amp;Heating-Value'!H$9</f>
        <v>1352</v>
      </c>
      <c r="AB755" s="982">
        <f>'[11]Price&amp;Heating-Value'!I$9</f>
        <v>1491</v>
      </c>
      <c r="AC755" s="982">
        <f>'[11]Price&amp;Heating-Value'!J$9</f>
        <v>1588</v>
      </c>
    </row>
    <row r="756" spans="1:29" ht="21" hidden="1">
      <c r="A756" s="1011"/>
      <c r="B756" s="989"/>
      <c r="C756" s="990" t="s">
        <v>107</v>
      </c>
      <c r="D756" s="989" t="s">
        <v>147</v>
      </c>
      <c r="E756" s="989"/>
      <c r="F756" s="989"/>
      <c r="G756" s="1011"/>
      <c r="H756" s="1186">
        <v>510579</v>
      </c>
      <c r="I756" s="1186">
        <v>456968</v>
      </c>
      <c r="J756" s="994"/>
      <c r="K756" s="994"/>
      <c r="L756" s="994"/>
      <c r="M756" s="994"/>
      <c r="N756" s="994"/>
      <c r="O756" s="994"/>
      <c r="P756" s="994"/>
      <c r="Q756" s="994"/>
      <c r="R756" s="994"/>
      <c r="S756" s="994"/>
      <c r="T756" s="996">
        <f>SUM(H756:S756)</f>
        <v>967547</v>
      </c>
      <c r="U756" s="995"/>
      <c r="V756" s="1026" t="e">
        <f>#REF!/T756</f>
        <v>#REF!</v>
      </c>
      <c r="W756" s="936"/>
      <c r="X756" s="937"/>
      <c r="Y756" s="937"/>
      <c r="Z756" s="937"/>
      <c r="AA756" s="937"/>
      <c r="AB756" s="937"/>
      <c r="AC756" s="937"/>
    </row>
    <row r="757" spans="1:29" ht="21" hidden="1">
      <c r="A757" s="1011"/>
      <c r="B757" s="1011"/>
      <c r="C757" s="1030"/>
      <c r="D757" s="1011"/>
      <c r="E757" s="1011"/>
      <c r="F757" s="1011"/>
      <c r="G757" s="1011"/>
      <c r="H757" s="981"/>
      <c r="I757" s="981"/>
      <c r="J757" s="981"/>
      <c r="K757" s="981"/>
      <c r="L757" s="981"/>
      <c r="M757" s="981"/>
      <c r="N757" s="981"/>
      <c r="O757" s="981"/>
      <c r="P757" s="981"/>
      <c r="Q757" s="981"/>
      <c r="R757" s="981"/>
      <c r="S757" s="981"/>
      <c r="T757" s="981"/>
      <c r="U757" s="981"/>
      <c r="V757" s="997" t="s">
        <v>137</v>
      </c>
      <c r="W757" s="936"/>
      <c r="X757" s="937"/>
      <c r="Y757" s="937"/>
      <c r="Z757" s="937"/>
      <c r="AA757" s="937"/>
      <c r="AB757" s="937"/>
      <c r="AC757" s="937"/>
    </row>
    <row r="758" spans="1:29" ht="21" hidden="1">
      <c r="A758" s="1011"/>
      <c r="B758" s="1011"/>
      <c r="C758" s="1031" t="s">
        <v>138</v>
      </c>
      <c r="D758" s="1011" t="s">
        <v>173</v>
      </c>
      <c r="E758" s="964"/>
      <c r="F758" s="964"/>
      <c r="G758" s="1011"/>
      <c r="H758" s="981">
        <f>H754*$E$724/1000</f>
        <v>2388.348</v>
      </c>
      <c r="I758" s="981">
        <f t="shared" ref="I758:S758" si="338">I754*$E$724/1000</f>
        <v>1984.8384000000001</v>
      </c>
      <c r="J758" s="981">
        <f t="shared" si="338"/>
        <v>0</v>
      </c>
      <c r="K758" s="981">
        <f t="shared" si="338"/>
        <v>0</v>
      </c>
      <c r="L758" s="981">
        <f t="shared" si="338"/>
        <v>0</v>
      </c>
      <c r="M758" s="981">
        <f t="shared" si="338"/>
        <v>0</v>
      </c>
      <c r="N758" s="981">
        <f t="shared" si="338"/>
        <v>0</v>
      </c>
      <c r="O758" s="981">
        <f t="shared" si="338"/>
        <v>0</v>
      </c>
      <c r="P758" s="981">
        <f t="shared" si="338"/>
        <v>0</v>
      </c>
      <c r="Q758" s="981">
        <f t="shared" si="338"/>
        <v>0</v>
      </c>
      <c r="R758" s="981">
        <f t="shared" si="338"/>
        <v>0</v>
      </c>
      <c r="S758" s="981">
        <f t="shared" si="338"/>
        <v>0</v>
      </c>
      <c r="T758" s="981">
        <f>SUM(H758:S758)</f>
        <v>4373.1864000000005</v>
      </c>
      <c r="U758" s="981"/>
      <c r="V758" s="981"/>
      <c r="W758" s="936"/>
      <c r="X758" s="937"/>
      <c r="Y758" s="937"/>
      <c r="Z758" s="937"/>
      <c r="AA758" s="937"/>
      <c r="AB758" s="937"/>
      <c r="AC758" s="937"/>
    </row>
    <row r="759" spans="1:29" ht="21" hidden="1">
      <c r="A759" s="1011"/>
      <c r="B759" s="1011"/>
      <c r="C759" s="1031" t="s">
        <v>152</v>
      </c>
      <c r="D759" s="1011" t="s">
        <v>173</v>
      </c>
      <c r="E759" s="964"/>
      <c r="F759" s="964"/>
      <c r="G759" s="1011"/>
      <c r="H759" s="981">
        <f>H755*$E$725/1000</f>
        <v>11584.57476</v>
      </c>
      <c r="I759" s="981">
        <f t="shared" ref="I759:S759" si="339">I755*$E$725/1000</f>
        <v>9716.0949600000004</v>
      </c>
      <c r="J759" s="981">
        <f t="shared" si="339"/>
        <v>0</v>
      </c>
      <c r="K759" s="981">
        <f t="shared" si="339"/>
        <v>0</v>
      </c>
      <c r="L759" s="981">
        <f t="shared" si="339"/>
        <v>0</v>
      </c>
      <c r="M759" s="981">
        <f t="shared" si="339"/>
        <v>0</v>
      </c>
      <c r="N759" s="981">
        <f t="shared" si="339"/>
        <v>0</v>
      </c>
      <c r="O759" s="981">
        <f t="shared" si="339"/>
        <v>0</v>
      </c>
      <c r="P759" s="981">
        <f t="shared" si="339"/>
        <v>0</v>
      </c>
      <c r="Q759" s="981">
        <f t="shared" si="339"/>
        <v>0</v>
      </c>
      <c r="R759" s="981">
        <f t="shared" si="339"/>
        <v>0</v>
      </c>
      <c r="S759" s="981">
        <f t="shared" si="339"/>
        <v>0</v>
      </c>
      <c r="T759" s="981">
        <f>SUM(H759:S759)</f>
        <v>21300.669719999998</v>
      </c>
      <c r="U759" s="981"/>
      <c r="V759" s="981"/>
      <c r="W759" s="936"/>
      <c r="X759" s="937"/>
      <c r="Y759" s="937"/>
      <c r="Z759" s="937"/>
      <c r="AA759" s="937"/>
      <c r="AB759" s="937"/>
      <c r="AC759" s="937"/>
    </row>
    <row r="760" spans="1:29" ht="21" hidden="1">
      <c r="A760" s="1011"/>
      <c r="B760" s="964"/>
      <c r="C760" s="983" t="s">
        <v>599</v>
      </c>
      <c r="D760" s="964" t="s">
        <v>173</v>
      </c>
      <c r="E760" s="1011"/>
      <c r="F760" s="1011"/>
      <c r="G760" s="1011"/>
      <c r="H760" s="981">
        <f>H747</f>
        <v>1.8880476583255019</v>
      </c>
      <c r="I760" s="981">
        <f t="shared" ref="I760:T761" si="340">I747</f>
        <v>1.8801024516284714</v>
      </c>
      <c r="J760" s="981" t="e">
        <f t="shared" si="340"/>
        <v>#DIV/0!</v>
      </c>
      <c r="K760" s="981" t="e">
        <f t="shared" si="340"/>
        <v>#DIV/0!</v>
      </c>
      <c r="L760" s="981" t="e">
        <f t="shared" si="340"/>
        <v>#DIV/0!</v>
      </c>
      <c r="M760" s="981" t="e">
        <f t="shared" si="340"/>
        <v>#DIV/0!</v>
      </c>
      <c r="N760" s="981" t="e">
        <f t="shared" si="340"/>
        <v>#DIV/0!</v>
      </c>
      <c r="O760" s="981" t="e">
        <f t="shared" si="340"/>
        <v>#DIV/0!</v>
      </c>
      <c r="P760" s="981" t="e">
        <f t="shared" si="340"/>
        <v>#DIV/0!</v>
      </c>
      <c r="Q760" s="981" t="e">
        <f t="shared" si="340"/>
        <v>#DIV/0!</v>
      </c>
      <c r="R760" s="981" t="e">
        <f t="shared" si="340"/>
        <v>#DIV/0!</v>
      </c>
      <c r="S760" s="981" t="e">
        <f t="shared" si="340"/>
        <v>#DIV/0!</v>
      </c>
      <c r="T760" s="981">
        <f t="shared" si="340"/>
        <v>1.8841723202472775</v>
      </c>
      <c r="U760" s="981"/>
      <c r="V760" s="1033" t="e">
        <f>#REF!/T760</f>
        <v>#REF!</v>
      </c>
      <c r="W760" s="936"/>
      <c r="X760" s="937"/>
      <c r="Y760" s="937"/>
      <c r="Z760" s="937"/>
      <c r="AA760" s="937"/>
      <c r="AB760" s="937"/>
      <c r="AC760" s="937"/>
    </row>
    <row r="761" spans="1:29" ht="21" hidden="1">
      <c r="A761" s="1011"/>
      <c r="B761" s="964"/>
      <c r="C761" s="983" t="s">
        <v>345</v>
      </c>
      <c r="D761" s="964" t="s">
        <v>173</v>
      </c>
      <c r="E761" s="964"/>
      <c r="F761" s="964"/>
      <c r="G761" s="1011"/>
      <c r="H761" s="966">
        <f>H748</f>
        <v>2.7845092835881764</v>
      </c>
      <c r="I761" s="966">
        <f t="shared" si="340"/>
        <v>2.842695498976135</v>
      </c>
      <c r="J761" s="966" t="e">
        <f t="shared" si="340"/>
        <v>#DIV/0!</v>
      </c>
      <c r="K761" s="966" t="e">
        <f t="shared" si="340"/>
        <v>#DIV/0!</v>
      </c>
      <c r="L761" s="966" t="e">
        <f t="shared" si="340"/>
        <v>#DIV/0!</v>
      </c>
      <c r="M761" s="966" t="e">
        <f t="shared" si="340"/>
        <v>#DIV/0!</v>
      </c>
      <c r="N761" s="966" t="e">
        <f t="shared" si="340"/>
        <v>#DIV/0!</v>
      </c>
      <c r="O761" s="966" t="e">
        <f t="shared" si="340"/>
        <v>#DIV/0!</v>
      </c>
      <c r="P761" s="966" t="e">
        <f t="shared" si="340"/>
        <v>#DIV/0!</v>
      </c>
      <c r="Q761" s="966" t="e">
        <f t="shared" si="340"/>
        <v>#DIV/0!</v>
      </c>
      <c r="R761" s="966" t="e">
        <f t="shared" si="340"/>
        <v>#DIV/0!</v>
      </c>
      <c r="S761" s="966" t="e">
        <f t="shared" si="340"/>
        <v>#DIV/0!</v>
      </c>
      <c r="T761" s="966">
        <f t="shared" si="340"/>
        <v>2.8128900752678923</v>
      </c>
      <c r="U761" s="966"/>
      <c r="V761" s="1001" t="s">
        <v>158</v>
      </c>
      <c r="W761" s="936"/>
      <c r="X761" s="937"/>
      <c r="Y761" s="937"/>
      <c r="Z761" s="937"/>
      <c r="AA761" s="937"/>
      <c r="AB761" s="937"/>
      <c r="AC761" s="937"/>
    </row>
    <row r="762" spans="1:29" ht="21" hidden="1">
      <c r="A762" s="1011"/>
      <c r="B762" s="1003" t="s">
        <v>174</v>
      </c>
      <c r="C762" s="1004" t="s">
        <v>138</v>
      </c>
      <c r="D762" s="1003" t="s">
        <v>394</v>
      </c>
      <c r="E762" s="1003"/>
      <c r="F762" s="1003"/>
      <c r="G762" s="1011"/>
      <c r="H762" s="1006">
        <f>H758/H$726*1000</f>
        <v>0.87099583077802278</v>
      </c>
      <c r="I762" s="1006">
        <f t="shared" ref="I762:S762" si="341">I758/I$726*1000</f>
        <v>0.76017645987237914</v>
      </c>
      <c r="J762" s="1006" t="e">
        <f t="shared" si="341"/>
        <v>#DIV/0!</v>
      </c>
      <c r="K762" s="1006" t="e">
        <f t="shared" si="341"/>
        <v>#DIV/0!</v>
      </c>
      <c r="L762" s="1006" t="e">
        <f t="shared" si="341"/>
        <v>#DIV/0!</v>
      </c>
      <c r="M762" s="1006" t="e">
        <f t="shared" si="341"/>
        <v>#DIV/0!</v>
      </c>
      <c r="N762" s="1006" t="e">
        <f t="shared" si="341"/>
        <v>#DIV/0!</v>
      </c>
      <c r="O762" s="1006" t="e">
        <f t="shared" si="341"/>
        <v>#DIV/0!</v>
      </c>
      <c r="P762" s="1006" t="e">
        <f t="shared" si="341"/>
        <v>#DIV/0!</v>
      </c>
      <c r="Q762" s="1006" t="e">
        <f t="shared" si="341"/>
        <v>#DIV/0!</v>
      </c>
      <c r="R762" s="1006" t="e">
        <f t="shared" si="341"/>
        <v>#DIV/0!</v>
      </c>
      <c r="S762" s="1006" t="e">
        <f t="shared" si="341"/>
        <v>#DIV/0!</v>
      </c>
      <c r="T762" s="1006">
        <f>T758/T$726*1000</f>
        <v>0.81694279675991532</v>
      </c>
      <c r="U762" s="1007"/>
      <c r="V762" s="1007"/>
      <c r="W762" s="936"/>
      <c r="X762" s="937"/>
      <c r="Y762" s="937"/>
      <c r="Z762" s="937"/>
      <c r="AA762" s="937"/>
      <c r="AB762" s="937"/>
      <c r="AC762" s="937"/>
    </row>
    <row r="763" spans="1:29" ht="21" hidden="1">
      <c r="A763" s="1011"/>
      <c r="B763" s="1003"/>
      <c r="C763" s="1004" t="s">
        <v>152</v>
      </c>
      <c r="D763" s="1003" t="s">
        <v>394</v>
      </c>
      <c r="E763" s="1003"/>
      <c r="F763" s="1003"/>
      <c r="G763" s="1011"/>
      <c r="H763" s="1006">
        <f t="shared" ref="H763:S764" si="342">H759/H$726*1000</f>
        <v>4.2247261778000169</v>
      </c>
      <c r="I763" s="1006">
        <f t="shared" si="342"/>
        <v>3.7211828784029293</v>
      </c>
      <c r="J763" s="1006" t="e">
        <f t="shared" si="342"/>
        <v>#DIV/0!</v>
      </c>
      <c r="K763" s="1006" t="e">
        <f t="shared" si="342"/>
        <v>#DIV/0!</v>
      </c>
      <c r="L763" s="1006" t="e">
        <f t="shared" si="342"/>
        <v>#DIV/0!</v>
      </c>
      <c r="M763" s="1006" t="e">
        <f t="shared" si="342"/>
        <v>#DIV/0!</v>
      </c>
      <c r="N763" s="1006" t="e">
        <f t="shared" si="342"/>
        <v>#DIV/0!</v>
      </c>
      <c r="O763" s="1006" t="e">
        <f t="shared" si="342"/>
        <v>#DIV/0!</v>
      </c>
      <c r="P763" s="1006" t="e">
        <f t="shared" si="342"/>
        <v>#DIV/0!</v>
      </c>
      <c r="Q763" s="1006" t="e">
        <f t="shared" si="342"/>
        <v>#DIV/0!</v>
      </c>
      <c r="R763" s="1006" t="e">
        <f t="shared" si="342"/>
        <v>#DIV/0!</v>
      </c>
      <c r="S763" s="1006" t="e">
        <f t="shared" si="342"/>
        <v>#DIV/0!</v>
      </c>
      <c r="T763" s="1006">
        <f>T759/T$726*1000</f>
        <v>3.9791189083355873</v>
      </c>
      <c r="U763" s="1007"/>
      <c r="V763" s="1007"/>
      <c r="W763" s="936"/>
      <c r="X763" s="937"/>
      <c r="Y763" s="937"/>
      <c r="Z763" s="937"/>
      <c r="AA763" s="937"/>
      <c r="AB763" s="937"/>
      <c r="AC763" s="937"/>
    </row>
    <row r="764" spans="1:29" ht="23.25" hidden="1">
      <c r="A764" s="1011"/>
      <c r="B764" s="1003"/>
      <c r="C764" s="1008" t="s">
        <v>600</v>
      </c>
      <c r="D764" s="1003" t="s">
        <v>394</v>
      </c>
      <c r="E764" s="1003"/>
      <c r="F764" s="1003"/>
      <c r="G764" s="1011"/>
      <c r="H764" s="1006">
        <f>H760/H$726*1000</f>
        <v>6.8854356178903631E-4</v>
      </c>
      <c r="I764" s="1006">
        <f t="shared" si="342"/>
        <v>7.2006347009223137E-4</v>
      </c>
      <c r="J764" s="1006" t="e">
        <f t="shared" si="342"/>
        <v>#DIV/0!</v>
      </c>
      <c r="K764" s="1006" t="e">
        <f t="shared" si="342"/>
        <v>#DIV/0!</v>
      </c>
      <c r="L764" s="1006" t="e">
        <f t="shared" si="342"/>
        <v>#DIV/0!</v>
      </c>
      <c r="M764" s="1006" t="e">
        <f t="shared" si="342"/>
        <v>#DIV/0!</v>
      </c>
      <c r="N764" s="1006" t="e">
        <f t="shared" si="342"/>
        <v>#DIV/0!</v>
      </c>
      <c r="O764" s="1006" t="e">
        <f t="shared" si="342"/>
        <v>#DIV/0!</v>
      </c>
      <c r="P764" s="1006" t="e">
        <f t="shared" si="342"/>
        <v>#DIV/0!</v>
      </c>
      <c r="Q764" s="1006" t="e">
        <f t="shared" si="342"/>
        <v>#DIV/0!</v>
      </c>
      <c r="R764" s="1006" t="e">
        <f t="shared" si="342"/>
        <v>#DIV/0!</v>
      </c>
      <c r="S764" s="1006" t="e">
        <f t="shared" si="342"/>
        <v>#DIV/0!</v>
      </c>
      <c r="T764" s="1021">
        <f>T760/T756*1000</f>
        <v>1.9473703295522363E-3</v>
      </c>
      <c r="U764" s="1007"/>
      <c r="V764" s="1007"/>
      <c r="W764" s="936"/>
      <c r="X764" s="937"/>
      <c r="Y764" s="937"/>
      <c r="Z764" s="937"/>
      <c r="AA764" s="937"/>
      <c r="AB764" s="937"/>
      <c r="AC764" s="937"/>
    </row>
    <row r="765" spans="1:29" ht="21" hidden="1">
      <c r="A765" s="1011"/>
      <c r="B765" s="1003"/>
      <c r="C765" s="1008" t="s">
        <v>601</v>
      </c>
      <c r="D765" s="1003"/>
      <c r="E765" s="1003"/>
      <c r="F765" s="1003"/>
      <c r="G765" s="1011"/>
      <c r="H765" s="1009">
        <f>H760/H761*100</f>
        <v>67.805400019802576</v>
      </c>
      <c r="I765" s="1009">
        <f t="shared" ref="I765:T765" si="343">I760/I761*100</f>
        <v>66.138017677434519</v>
      </c>
      <c r="J765" s="1009" t="e">
        <f t="shared" si="343"/>
        <v>#DIV/0!</v>
      </c>
      <c r="K765" s="1009" t="e">
        <f t="shared" si="343"/>
        <v>#DIV/0!</v>
      </c>
      <c r="L765" s="1009" t="e">
        <f t="shared" si="343"/>
        <v>#DIV/0!</v>
      </c>
      <c r="M765" s="1009" t="e">
        <f t="shared" si="343"/>
        <v>#DIV/0!</v>
      </c>
      <c r="N765" s="1009" t="e">
        <f t="shared" si="343"/>
        <v>#DIV/0!</v>
      </c>
      <c r="O765" s="1009" t="e">
        <f t="shared" si="343"/>
        <v>#DIV/0!</v>
      </c>
      <c r="P765" s="1009" t="e">
        <f t="shared" si="343"/>
        <v>#DIV/0!</v>
      </c>
      <c r="Q765" s="1009" t="e">
        <f t="shared" si="343"/>
        <v>#DIV/0!</v>
      </c>
      <c r="R765" s="1009" t="e">
        <f t="shared" si="343"/>
        <v>#DIV/0!</v>
      </c>
      <c r="S765" s="1009" t="e">
        <f t="shared" si="343"/>
        <v>#DIV/0!</v>
      </c>
      <c r="T765" s="1009">
        <f t="shared" si="343"/>
        <v>66.983503437041847</v>
      </c>
      <c r="U765" s="1007"/>
      <c r="V765" s="1007"/>
      <c r="W765" s="936"/>
      <c r="X765" s="937"/>
      <c r="Y765" s="937"/>
      <c r="Z765" s="937"/>
      <c r="AA765" s="937"/>
      <c r="AB765" s="937"/>
      <c r="AC765" s="937"/>
    </row>
    <row r="766" spans="1:29" ht="21" hidden="1">
      <c r="A766" s="964"/>
      <c r="B766" s="964" t="s">
        <v>602</v>
      </c>
      <c r="C766" s="1052" t="s">
        <v>398</v>
      </c>
      <c r="D766" s="1052" t="s">
        <v>173</v>
      </c>
      <c r="E766" s="964"/>
      <c r="F766" s="964"/>
      <c r="G766" s="964"/>
      <c r="H766" s="1099">
        <f>H751+H736+H720</f>
        <v>26785.489287600001</v>
      </c>
      <c r="I766" s="1099">
        <f t="shared" ref="I766:S767" si="344">I751+I736+I720</f>
        <v>40537.175215981813</v>
      </c>
      <c r="J766" s="1099">
        <f t="shared" si="344"/>
        <v>27425.443378472733</v>
      </c>
      <c r="K766" s="1099">
        <f t="shared" si="344"/>
        <v>0</v>
      </c>
      <c r="L766" s="1099">
        <f t="shared" si="344"/>
        <v>0</v>
      </c>
      <c r="M766" s="1099">
        <f t="shared" si="344"/>
        <v>0</v>
      </c>
      <c r="N766" s="1099">
        <f t="shared" si="344"/>
        <v>0</v>
      </c>
      <c r="O766" s="1099">
        <f t="shared" si="344"/>
        <v>0</v>
      </c>
      <c r="P766" s="1099">
        <f t="shared" si="344"/>
        <v>0</v>
      </c>
      <c r="Q766" s="1099">
        <f t="shared" si="344"/>
        <v>0</v>
      </c>
      <c r="R766" s="1099">
        <f t="shared" si="344"/>
        <v>0</v>
      </c>
      <c r="S766" s="1099">
        <f t="shared" si="344"/>
        <v>0</v>
      </c>
      <c r="T766" s="1089">
        <f>SUM(H766:S766)</f>
        <v>94748.107882054552</v>
      </c>
      <c r="U766" s="966"/>
      <c r="V766" s="966"/>
      <c r="W766" s="936"/>
      <c r="X766" s="937"/>
      <c r="Y766" s="937"/>
      <c r="Z766" s="937"/>
      <c r="AA766" s="937"/>
      <c r="AB766" s="937"/>
      <c r="AC766" s="937"/>
    </row>
    <row r="767" spans="1:29" ht="21" hidden="1">
      <c r="A767" s="964"/>
      <c r="B767" s="964"/>
      <c r="C767" s="1052" t="s">
        <v>492</v>
      </c>
      <c r="D767" s="1052" t="s">
        <v>173</v>
      </c>
      <c r="E767" s="964"/>
      <c r="F767" s="964"/>
      <c r="G767" s="964"/>
      <c r="H767" s="1099">
        <f>H752+H737+H721</f>
        <v>32352.708806999999</v>
      </c>
      <c r="I767" s="1099">
        <f t="shared" si="344"/>
        <v>57543.232430399643</v>
      </c>
      <c r="J767" s="1099">
        <f t="shared" si="344"/>
        <v>33074.006784309</v>
      </c>
      <c r="K767" s="1099">
        <f t="shared" si="344"/>
        <v>0</v>
      </c>
      <c r="L767" s="1099">
        <f t="shared" si="344"/>
        <v>0</v>
      </c>
      <c r="M767" s="1099">
        <f>M752+M737+M721</f>
        <v>0</v>
      </c>
      <c r="N767" s="1099">
        <f t="shared" si="344"/>
        <v>0</v>
      </c>
      <c r="O767" s="1099">
        <f t="shared" si="344"/>
        <v>0</v>
      </c>
      <c r="P767" s="1099">
        <f t="shared" si="344"/>
        <v>0</v>
      </c>
      <c r="Q767" s="1099">
        <f t="shared" si="344"/>
        <v>0</v>
      </c>
      <c r="R767" s="1099">
        <f t="shared" si="344"/>
        <v>0</v>
      </c>
      <c r="S767" s="1099">
        <f t="shared" si="344"/>
        <v>0</v>
      </c>
      <c r="T767" s="1089">
        <f>SUM(H767:S767)</f>
        <v>122969.94802170864</v>
      </c>
      <c r="U767" s="966"/>
      <c r="V767" s="966"/>
      <c r="W767" s="936"/>
      <c r="X767" s="937"/>
      <c r="Y767" s="937"/>
      <c r="Z767" s="937"/>
      <c r="AA767" s="937"/>
      <c r="AB767" s="937"/>
      <c r="AC767" s="937"/>
    </row>
    <row r="768" spans="1:29" ht="21" hidden="1">
      <c r="A768" s="964"/>
      <c r="B768" s="964"/>
      <c r="C768" s="1052" t="s">
        <v>497</v>
      </c>
      <c r="D768" s="1052" t="s">
        <v>401</v>
      </c>
      <c r="E768" s="964"/>
      <c r="F768" s="964"/>
      <c r="G768" s="964"/>
      <c r="H768" s="1099">
        <f t="shared" ref="H768:T768" si="345">H766/H767*100</f>
        <v>82.792106983649404</v>
      </c>
      <c r="I768" s="1099">
        <f t="shared" si="345"/>
        <v>70.4464686877172</v>
      </c>
      <c r="J768" s="1099">
        <f t="shared" si="345"/>
        <v>82.921442077843238</v>
      </c>
      <c r="K768" s="1099" t="e">
        <f t="shared" si="345"/>
        <v>#DIV/0!</v>
      </c>
      <c r="L768" s="1099" t="e">
        <f>L766/L767*100</f>
        <v>#DIV/0!</v>
      </c>
      <c r="M768" s="1099" t="e">
        <f t="shared" si="345"/>
        <v>#DIV/0!</v>
      </c>
      <c r="N768" s="1099" t="e">
        <f t="shared" si="345"/>
        <v>#DIV/0!</v>
      </c>
      <c r="O768" s="1099" t="e">
        <f t="shared" si="345"/>
        <v>#DIV/0!</v>
      </c>
      <c r="P768" s="1099" t="e">
        <f t="shared" si="345"/>
        <v>#DIV/0!</v>
      </c>
      <c r="Q768" s="1099" t="e">
        <f t="shared" si="345"/>
        <v>#DIV/0!</v>
      </c>
      <c r="R768" s="1099" t="e">
        <f t="shared" si="345"/>
        <v>#DIV/0!</v>
      </c>
      <c r="S768" s="1099" t="e">
        <f t="shared" si="345"/>
        <v>#DIV/0!</v>
      </c>
      <c r="T768" s="1099">
        <f t="shared" si="345"/>
        <v>77.049807214139904</v>
      </c>
      <c r="U768" s="966"/>
      <c r="V768" s="966"/>
      <c r="W768" s="936"/>
      <c r="X768" s="937"/>
      <c r="Y768" s="937"/>
      <c r="Z768" s="937"/>
      <c r="AA768" s="937"/>
      <c r="AB768" s="937"/>
      <c r="AC768" s="937"/>
    </row>
    <row r="769" spans="1:23" s="1189" customFormat="1" ht="21" hidden="1">
      <c r="A769" s="1073"/>
      <c r="B769" s="1074"/>
      <c r="C769" s="1075"/>
      <c r="D769" s="1074"/>
      <c r="E769" s="1074"/>
      <c r="F769" s="1074"/>
      <c r="G769" s="1074"/>
      <c r="H769" s="1187"/>
      <c r="I769" s="1187"/>
      <c r="J769" s="1187"/>
      <c r="K769" s="1187"/>
      <c r="L769" s="1187"/>
      <c r="M769" s="1187"/>
      <c r="N769" s="1187"/>
      <c r="O769" s="1187"/>
      <c r="P769" s="1187"/>
      <c r="Q769" s="1187"/>
      <c r="R769" s="1187"/>
      <c r="S769" s="1187"/>
      <c r="T769" s="1187"/>
      <c r="U769" s="1078"/>
      <c r="V769" s="1078"/>
      <c r="W769" s="1188"/>
    </row>
    <row r="770" spans="1:23" s="1189" customFormat="1" ht="21" hidden="1">
      <c r="A770" s="1190"/>
      <c r="B770" s="1080"/>
      <c r="C770" s="1075"/>
      <c r="D770" s="1080"/>
      <c r="E770" s="1080"/>
      <c r="F770" s="1080"/>
      <c r="G770" s="1080"/>
      <c r="H770" s="1191"/>
      <c r="I770" s="1191"/>
      <c r="J770" s="1191"/>
      <c r="K770" s="1191"/>
      <c r="L770" s="1191"/>
      <c r="M770" s="1191"/>
      <c r="N770" s="1079"/>
      <c r="O770" s="1079"/>
      <c r="P770" s="1079"/>
      <c r="Q770" s="1079"/>
      <c r="R770" s="1079"/>
      <c r="S770" s="1079"/>
      <c r="T770" s="1192"/>
      <c r="U770" s="1192"/>
      <c r="V770" s="1001"/>
      <c r="W770" s="1188"/>
    </row>
    <row r="771" spans="1:23" s="1189" customFormat="1" ht="21" hidden="1">
      <c r="A771" s="1190"/>
      <c r="B771" s="1080"/>
      <c r="C771" s="1075"/>
      <c r="D771" s="1080"/>
      <c r="E771" s="1080"/>
      <c r="F771" s="1080"/>
      <c r="G771" s="1080"/>
      <c r="H771" s="1191"/>
      <c r="I771" s="1191"/>
      <c r="J771" s="1191"/>
      <c r="K771" s="1191"/>
      <c r="L771" s="1191"/>
      <c r="M771" s="1191"/>
      <c r="N771" s="1191"/>
      <c r="O771" s="1191"/>
      <c r="P771" s="1191"/>
      <c r="Q771" s="1191"/>
      <c r="R771" s="1191"/>
      <c r="S771" s="1191"/>
      <c r="T771" s="1191"/>
      <c r="U771" s="1192"/>
      <c r="V771" s="1192"/>
      <c r="W771" s="1188"/>
    </row>
    <row r="772" spans="1:23" s="1189" customFormat="1" ht="21" hidden="1">
      <c r="A772" s="1190"/>
      <c r="B772" s="1080"/>
      <c r="C772" s="1193"/>
      <c r="D772" s="1080"/>
      <c r="E772" s="1080"/>
      <c r="F772" s="1080"/>
      <c r="G772" s="1080"/>
      <c r="H772" s="1191"/>
      <c r="I772" s="1191"/>
      <c r="J772" s="1191"/>
      <c r="K772" s="1191"/>
      <c r="L772" s="1191"/>
      <c r="M772" s="1191"/>
      <c r="N772" s="1191"/>
      <c r="O772" s="1191"/>
      <c r="P772" s="1191"/>
      <c r="Q772" s="1191"/>
      <c r="R772" s="1191"/>
      <c r="S772" s="1191"/>
      <c r="T772" s="1191"/>
      <c r="U772" s="1192"/>
      <c r="V772" s="1192"/>
      <c r="W772" s="1188"/>
    </row>
    <row r="773" spans="1:23" s="1189" customFormat="1" ht="21" hidden="1">
      <c r="A773" s="964">
        <v>25</v>
      </c>
      <c r="B773" s="1013" t="s">
        <v>603</v>
      </c>
      <c r="C773" s="1194"/>
      <c r="D773" s="964"/>
      <c r="E773" s="964"/>
      <c r="F773" s="964"/>
      <c r="G773" s="964"/>
      <c r="H773" s="966"/>
      <c r="I773" s="966"/>
      <c r="J773" s="966"/>
      <c r="K773" s="966"/>
      <c r="L773" s="966"/>
      <c r="M773" s="966"/>
      <c r="N773" s="966"/>
      <c r="O773" s="966"/>
      <c r="P773" s="966"/>
      <c r="Q773" s="966"/>
      <c r="R773" s="966"/>
      <c r="S773" s="966"/>
      <c r="T773" s="966"/>
      <c r="U773" s="966"/>
      <c r="V773" s="966"/>
      <c r="W773" s="1188"/>
    </row>
    <row r="774" spans="1:23" s="1189" customFormat="1" ht="21" hidden="1">
      <c r="A774" s="956"/>
      <c r="B774" s="1172">
        <v>25.1</v>
      </c>
      <c r="C774" s="1180" t="s">
        <v>604</v>
      </c>
      <c r="D774" s="956"/>
      <c r="E774" s="956"/>
      <c r="F774" s="956"/>
      <c r="G774" s="956"/>
      <c r="H774" s="961"/>
      <c r="I774" s="961"/>
      <c r="J774" s="961"/>
      <c r="K774" s="961"/>
      <c r="L774" s="961"/>
      <c r="M774" s="961"/>
      <c r="N774" s="961"/>
      <c r="O774" s="961"/>
      <c r="P774" s="961"/>
      <c r="Q774" s="961"/>
      <c r="R774" s="961"/>
      <c r="S774" s="961"/>
      <c r="T774" s="961"/>
      <c r="U774" s="961"/>
      <c r="V774" s="961"/>
      <c r="W774" s="1188"/>
    </row>
    <row r="775" spans="1:23" s="1189" customFormat="1" ht="21" hidden="1">
      <c r="A775" s="956"/>
      <c r="B775" s="956"/>
      <c r="C775" s="1105" t="s">
        <v>138</v>
      </c>
      <c r="D775" s="956" t="s">
        <v>90</v>
      </c>
      <c r="E775" s="1195">
        <v>3.6</v>
      </c>
      <c r="F775" s="956"/>
      <c r="G775" s="956">
        <v>2.59</v>
      </c>
      <c r="H775" s="1106">
        <v>4562671</v>
      </c>
      <c r="I775" s="961">
        <v>4665264</v>
      </c>
      <c r="J775" s="961">
        <v>4719806</v>
      </c>
      <c r="K775" s="961"/>
      <c r="L775" s="961"/>
      <c r="M775" s="961"/>
      <c r="N775" s="961"/>
      <c r="O775" s="961"/>
      <c r="P775" s="961"/>
      <c r="Q775" s="961"/>
      <c r="R775" s="961"/>
      <c r="S775" s="961"/>
      <c r="T775" s="961">
        <f>SUM(H775:S775)</f>
        <v>13947741</v>
      </c>
      <c r="U775" s="961"/>
      <c r="V775" s="961"/>
      <c r="W775" s="1188"/>
    </row>
    <row r="776" spans="1:23" s="1189" customFormat="1" ht="21" hidden="1">
      <c r="A776" s="956"/>
      <c r="B776" s="956"/>
      <c r="C776" s="1105" t="s">
        <v>605</v>
      </c>
      <c r="D776" s="956" t="s">
        <v>121</v>
      </c>
      <c r="E776" s="1195">
        <f>'[14]ETP-2011'!$D$1</f>
        <v>54070</v>
      </c>
      <c r="F776" s="1195">
        <v>52000</v>
      </c>
      <c r="G776" s="956"/>
      <c r="H776" s="1106">
        <v>14810.575937250427</v>
      </c>
      <c r="I776" s="961">
        <v>13108.199444334512</v>
      </c>
      <c r="J776" s="961">
        <v>14566.992951442568</v>
      </c>
      <c r="K776" s="961"/>
      <c r="L776" s="961"/>
      <c r="M776" s="961"/>
      <c r="N776" s="961"/>
      <c r="O776" s="961"/>
      <c r="P776" s="961"/>
      <c r="Q776" s="961"/>
      <c r="R776" s="961"/>
      <c r="S776" s="961"/>
      <c r="T776" s="961">
        <f t="shared" ref="T776:T781" si="346">SUM(H776:S776)</f>
        <v>42485.768333027503</v>
      </c>
      <c r="U776" s="961"/>
      <c r="V776" s="961"/>
      <c r="W776" s="1188"/>
    </row>
    <row r="777" spans="1:23" s="1189" customFormat="1" ht="21" hidden="1">
      <c r="A777" s="956"/>
      <c r="B777" s="956"/>
      <c r="C777" s="1105" t="s">
        <v>606</v>
      </c>
      <c r="D777" s="956" t="s">
        <v>121</v>
      </c>
      <c r="E777" s="1195">
        <f>'[14]ETP-2011'!$L$1</f>
        <v>487</v>
      </c>
      <c r="F777" s="956"/>
      <c r="G777" s="956"/>
      <c r="H777" s="1106">
        <v>143215.68000000002</v>
      </c>
      <c r="I777" s="961">
        <v>137442.62</v>
      </c>
      <c r="J777" s="961">
        <v>149792.95000000001</v>
      </c>
      <c r="K777" s="961"/>
      <c r="L777" s="961"/>
      <c r="M777" s="961"/>
      <c r="N777" s="961"/>
      <c r="O777" s="961"/>
      <c r="P777" s="961"/>
      <c r="Q777" s="961"/>
      <c r="R777" s="961"/>
      <c r="S777" s="961"/>
      <c r="T777" s="961">
        <f t="shared" si="346"/>
        <v>430451.25000000006</v>
      </c>
      <c r="U777" s="961"/>
      <c r="V777" s="961"/>
      <c r="W777" s="1188"/>
    </row>
    <row r="778" spans="1:23" s="1189" customFormat="1" ht="21" hidden="1">
      <c r="A778" s="956"/>
      <c r="B778" s="956"/>
      <c r="C778" s="1105" t="s">
        <v>607</v>
      </c>
      <c r="D778" s="956" t="s">
        <v>121</v>
      </c>
      <c r="E778" s="1195">
        <f>'[14]ETP-2011'!$H$1</f>
        <v>3406</v>
      </c>
      <c r="F778" s="956"/>
      <c r="G778" s="956"/>
      <c r="H778" s="1106">
        <v>138572</v>
      </c>
      <c r="I778" s="961">
        <v>129334</v>
      </c>
      <c r="J778" s="961">
        <v>145073</v>
      </c>
      <c r="K778" s="961"/>
      <c r="L778" s="961"/>
      <c r="M778" s="961"/>
      <c r="N778" s="961"/>
      <c r="O778" s="961"/>
      <c r="P778" s="961"/>
      <c r="Q778" s="961"/>
      <c r="R778" s="961"/>
      <c r="S778" s="961"/>
      <c r="T778" s="961">
        <f>SUM(H778:S778)</f>
        <v>412979</v>
      </c>
      <c r="U778" s="961"/>
      <c r="V778" s="961"/>
      <c r="W778" s="1188"/>
    </row>
    <row r="779" spans="1:23" s="1189" customFormat="1" ht="21" hidden="1">
      <c r="A779" s="956"/>
      <c r="B779" s="956"/>
      <c r="C779" s="1105" t="s">
        <v>608</v>
      </c>
      <c r="D779" s="956" t="s">
        <v>121</v>
      </c>
      <c r="E779" s="1195">
        <f>'[14]ETP-2011'!$H$2</f>
        <v>3156</v>
      </c>
      <c r="F779" s="956"/>
      <c r="G779" s="956"/>
      <c r="H779" s="1106">
        <v>129964.18</v>
      </c>
      <c r="I779" s="961">
        <v>127452.70600000002</v>
      </c>
      <c r="J779" s="961">
        <v>155348.63700000005</v>
      </c>
      <c r="K779" s="961"/>
      <c r="L779" s="961"/>
      <c r="M779" s="961"/>
      <c r="N779" s="961"/>
      <c r="O779" s="961"/>
      <c r="P779" s="961"/>
      <c r="Q779" s="961"/>
      <c r="R779" s="961"/>
      <c r="S779" s="961"/>
      <c r="T779" s="961">
        <f t="shared" si="346"/>
        <v>412765.52300000004</v>
      </c>
      <c r="U779" s="961"/>
      <c r="V779" s="961"/>
      <c r="W779" s="1188"/>
    </row>
    <row r="780" spans="1:23" s="1189" customFormat="1" ht="21" hidden="1">
      <c r="A780" s="956"/>
      <c r="B780" s="956"/>
      <c r="C780" s="1105" t="s">
        <v>609</v>
      </c>
      <c r="D780" s="956" t="s">
        <v>121</v>
      </c>
      <c r="E780" s="1195">
        <f>'[14]ETP-2011'!$H$3</f>
        <v>2996</v>
      </c>
      <c r="F780" s="956"/>
      <c r="G780" s="956"/>
      <c r="H780" s="1106">
        <v>31857.400000000005</v>
      </c>
      <c r="I780" s="961">
        <v>33801.17</v>
      </c>
      <c r="J780" s="961">
        <v>50422.020000000004</v>
      </c>
      <c r="K780" s="961"/>
      <c r="L780" s="961"/>
      <c r="M780" s="961"/>
      <c r="N780" s="961"/>
      <c r="O780" s="961"/>
      <c r="P780" s="961"/>
      <c r="Q780" s="961"/>
      <c r="R780" s="961"/>
      <c r="S780" s="961"/>
      <c r="T780" s="961">
        <f t="shared" si="346"/>
        <v>116080.59000000001</v>
      </c>
      <c r="U780" s="961"/>
      <c r="V780" s="961"/>
      <c r="W780" s="1188"/>
    </row>
    <row r="781" spans="1:23" s="1189" customFormat="1" ht="21" hidden="1">
      <c r="A781" s="956"/>
      <c r="B781" s="956"/>
      <c r="C781" s="1105" t="s">
        <v>610</v>
      </c>
      <c r="D781" s="956" t="s">
        <v>121</v>
      </c>
      <c r="E781" s="1195">
        <f>'[14]ETP-2011'!$H$4</f>
        <v>2815</v>
      </c>
      <c r="F781" s="956"/>
      <c r="G781" s="956"/>
      <c r="H781" s="1106">
        <v>38560.920000000013</v>
      </c>
      <c r="I781" s="961">
        <v>29182.980000000007</v>
      </c>
      <c r="J781" s="961">
        <v>28087.670000000002</v>
      </c>
      <c r="K781" s="961"/>
      <c r="L781" s="961"/>
      <c r="M781" s="961"/>
      <c r="N781" s="961"/>
      <c r="O781" s="961"/>
      <c r="P781" s="961"/>
      <c r="Q781" s="961"/>
      <c r="R781" s="961"/>
      <c r="S781" s="961"/>
      <c r="T781" s="961">
        <f t="shared" si="346"/>
        <v>95831.570000000022</v>
      </c>
      <c r="U781" s="961"/>
      <c r="V781" s="961"/>
      <c r="W781" s="1188"/>
    </row>
    <row r="782" spans="1:23" s="1189" customFormat="1" ht="21" hidden="1">
      <c r="A782" s="956"/>
      <c r="B782" s="956"/>
      <c r="C782" s="1105" t="s">
        <v>611</v>
      </c>
      <c r="D782" s="956" t="s">
        <v>121</v>
      </c>
      <c r="E782" s="1195">
        <f>'[14]ETP-2011'!$L$2</f>
        <v>206</v>
      </c>
      <c r="F782" s="956"/>
      <c r="G782" s="956"/>
      <c r="H782" s="1106">
        <v>2154</v>
      </c>
      <c r="I782" s="961">
        <v>2119</v>
      </c>
      <c r="J782" s="961">
        <v>2241</v>
      </c>
      <c r="K782" s="961"/>
      <c r="L782" s="961"/>
      <c r="M782" s="961"/>
      <c r="N782" s="961"/>
      <c r="O782" s="961"/>
      <c r="P782" s="961"/>
      <c r="Q782" s="961"/>
      <c r="R782" s="961"/>
      <c r="S782" s="961"/>
      <c r="T782" s="961">
        <f>SUM(H782:S782)</f>
        <v>6514</v>
      </c>
      <c r="U782" s="961"/>
      <c r="V782" s="961"/>
      <c r="W782" s="1188"/>
    </row>
    <row r="783" spans="1:23" s="1189" customFormat="1" ht="21" hidden="1">
      <c r="A783" s="956"/>
      <c r="B783" s="956"/>
      <c r="C783" s="1180"/>
      <c r="D783" s="956"/>
      <c r="E783" s="956"/>
      <c r="F783" s="956"/>
      <c r="G783" s="956"/>
      <c r="H783" s="961"/>
      <c r="I783" s="961"/>
      <c r="J783" s="961"/>
      <c r="K783" s="961"/>
      <c r="L783" s="961"/>
      <c r="M783" s="961"/>
      <c r="N783" s="961"/>
      <c r="O783" s="961"/>
      <c r="P783" s="961"/>
      <c r="Q783" s="961"/>
      <c r="R783" s="961"/>
      <c r="S783" s="961"/>
      <c r="T783" s="961"/>
      <c r="U783" s="961"/>
      <c r="V783" s="961"/>
      <c r="W783" s="1188"/>
    </row>
    <row r="784" spans="1:23" ht="21" hidden="1">
      <c r="A784" s="1011"/>
      <c r="B784" s="989">
        <v>1</v>
      </c>
      <c r="C784" s="989" t="s">
        <v>614</v>
      </c>
      <c r="D784" s="989" t="s">
        <v>121</v>
      </c>
      <c r="E784" s="989"/>
      <c r="F784" s="989"/>
      <c r="G784" s="1011"/>
      <c r="H784" s="1023">
        <v>28310.652000000002</v>
      </c>
      <c r="I784" s="994">
        <v>26596.648000000001</v>
      </c>
      <c r="J784" s="994">
        <v>28775.171000000002</v>
      </c>
      <c r="K784" s="994"/>
      <c r="L784" s="994"/>
      <c r="M784" s="994"/>
      <c r="N784" s="994"/>
      <c r="O784" s="994"/>
      <c r="P784" s="994"/>
      <c r="Q784" s="994"/>
      <c r="R784" s="994"/>
      <c r="S784" s="994"/>
      <c r="T784" s="995">
        <f>SUM(H784:S784)</f>
        <v>83682.471000000005</v>
      </c>
      <c r="U784" s="995"/>
      <c r="V784" s="1026">
        <f>V783/T784</f>
        <v>0</v>
      </c>
      <c r="W784" s="936"/>
    </row>
    <row r="785" spans="1:23" ht="21" hidden="1">
      <c r="A785" s="1150"/>
      <c r="B785" s="1196">
        <v>2</v>
      </c>
      <c r="C785" s="1196" t="s">
        <v>616</v>
      </c>
      <c r="D785" s="989" t="s">
        <v>121</v>
      </c>
      <c r="E785" s="1196"/>
      <c r="F785" s="1196"/>
      <c r="G785" s="1150"/>
      <c r="H785" s="1023">
        <v>16228.429</v>
      </c>
      <c r="I785" s="1197">
        <v>15839.687000000002</v>
      </c>
      <c r="J785" s="1197">
        <v>16419.738000000001</v>
      </c>
      <c r="K785" s="1197"/>
      <c r="L785" s="1197"/>
      <c r="M785" s="1197"/>
      <c r="N785" s="1197"/>
      <c r="O785" s="1197"/>
      <c r="P785" s="1197"/>
      <c r="Q785" s="1197"/>
      <c r="R785" s="1197"/>
      <c r="S785" s="1197"/>
      <c r="T785" s="995">
        <f>SUM(H785:S785)</f>
        <v>48487.854000000007</v>
      </c>
      <c r="U785" s="1198"/>
      <c r="V785" s="1199"/>
      <c r="W785" s="936"/>
    </row>
    <row r="786" spans="1:23" ht="21" hidden="1">
      <c r="A786" s="1150"/>
      <c r="B786" s="1196"/>
      <c r="C786" s="1200" t="s">
        <v>411</v>
      </c>
      <c r="D786" s="989" t="s">
        <v>121</v>
      </c>
      <c r="E786" s="1196"/>
      <c r="F786" s="1196"/>
      <c r="G786" s="1150"/>
      <c r="H786" s="1197">
        <v>44539.081000000006</v>
      </c>
      <c r="I786" s="1197">
        <v>42436.335000000006</v>
      </c>
      <c r="J786" s="1197">
        <v>45194.909</v>
      </c>
      <c r="K786" s="1197"/>
      <c r="L786" s="1197"/>
      <c r="M786" s="1197"/>
      <c r="N786" s="1197"/>
      <c r="O786" s="1197"/>
      <c r="P786" s="1197"/>
      <c r="Q786" s="1197"/>
      <c r="R786" s="1197"/>
      <c r="S786" s="1197"/>
      <c r="T786" s="996">
        <f>SUM(H786:S786)</f>
        <v>132170.32500000001</v>
      </c>
      <c r="U786" s="1198"/>
      <c r="V786" s="1199"/>
      <c r="W786" s="936"/>
    </row>
    <row r="787" spans="1:23" s="1189" customFormat="1" ht="21" hidden="1">
      <c r="A787" s="956"/>
      <c r="B787" s="956"/>
      <c r="C787" s="1180"/>
      <c r="D787" s="956"/>
      <c r="E787" s="956"/>
      <c r="F787" s="956"/>
      <c r="G787" s="956"/>
      <c r="H787" s="961"/>
      <c r="I787" s="961"/>
      <c r="J787" s="961"/>
      <c r="K787" s="961"/>
      <c r="L787" s="961"/>
      <c r="M787" s="961"/>
      <c r="N787" s="961"/>
      <c r="O787" s="961"/>
      <c r="P787" s="961"/>
      <c r="Q787" s="961"/>
      <c r="R787" s="961"/>
      <c r="S787" s="961"/>
      <c r="T787" s="961"/>
      <c r="U787" s="961"/>
      <c r="V787" s="961"/>
      <c r="W787" s="1188"/>
    </row>
    <row r="788" spans="1:23" ht="21" hidden="1">
      <c r="A788" s="1011"/>
      <c r="B788" s="1042"/>
      <c r="C788" s="1043" t="s">
        <v>534</v>
      </c>
      <c r="D788" s="1042"/>
      <c r="E788" s="1042"/>
      <c r="F788" s="1042"/>
      <c r="G788" s="1042"/>
      <c r="H788" s="1044"/>
      <c r="I788" s="1044"/>
      <c r="J788" s="1044"/>
      <c r="K788" s="1044"/>
      <c r="L788" s="1044"/>
      <c r="M788" s="1044"/>
      <c r="N788" s="1044"/>
      <c r="O788" s="1044"/>
      <c r="P788" s="1044"/>
      <c r="Q788" s="1044"/>
      <c r="R788" s="1044"/>
      <c r="S788" s="1044"/>
      <c r="T788" s="1045"/>
      <c r="U788" s="1045"/>
      <c r="V788" s="1046"/>
      <c r="W788" s="936"/>
    </row>
    <row r="789" spans="1:23" ht="21" hidden="1">
      <c r="A789" s="1011"/>
      <c r="B789" s="1042"/>
      <c r="C789" s="1047" t="s">
        <v>618</v>
      </c>
      <c r="D789" s="1042" t="s">
        <v>121</v>
      </c>
      <c r="E789" s="1201">
        <f>'[14]ETP-2011'!$H$1</f>
        <v>3406</v>
      </c>
      <c r="F789" s="1042"/>
      <c r="G789" s="1042"/>
      <c r="H789" s="1015">
        <v>140351</v>
      </c>
      <c r="I789" s="1202">
        <v>134694</v>
      </c>
      <c r="J789" s="1202">
        <v>146795</v>
      </c>
      <c r="K789" s="1202"/>
      <c r="L789" s="1202"/>
      <c r="M789" s="1202"/>
      <c r="N789" s="1202"/>
      <c r="O789" s="1202"/>
      <c r="P789" s="1202"/>
      <c r="Q789" s="1202"/>
      <c r="R789" s="1202"/>
      <c r="S789" s="1202"/>
      <c r="T789" s="1202">
        <f t="shared" ref="T789:T794" si="347">SUM(H789:S789)</f>
        <v>421840</v>
      </c>
      <c r="U789" s="1167">
        <f>T789*E789</f>
        <v>1436787040</v>
      </c>
      <c r="V789" s="1042">
        <f>T789*G789</f>
        <v>0</v>
      </c>
      <c r="W789" s="936"/>
    </row>
    <row r="790" spans="1:23" ht="21" hidden="1">
      <c r="A790" s="1011"/>
      <c r="B790" s="1042"/>
      <c r="C790" s="1047" t="s">
        <v>619</v>
      </c>
      <c r="D790" s="1042" t="s">
        <v>121</v>
      </c>
      <c r="E790" s="1201">
        <f>'[14]ETP-2011'!$H$2</f>
        <v>3156</v>
      </c>
      <c r="F790" s="1042"/>
      <c r="G790" s="1042"/>
      <c r="H790" s="1106">
        <v>112314.46999999999</v>
      </c>
      <c r="I790" s="1203">
        <v>103371.92</v>
      </c>
      <c r="J790" s="1203">
        <v>119148.43000000001</v>
      </c>
      <c r="K790" s="1203"/>
      <c r="L790" s="1203"/>
      <c r="M790" s="1203"/>
      <c r="N790" s="1203"/>
      <c r="O790" s="1203"/>
      <c r="P790" s="1203"/>
      <c r="Q790" s="1203"/>
      <c r="R790" s="1203"/>
      <c r="S790" s="1203"/>
      <c r="T790" s="1203">
        <f t="shared" si="347"/>
        <v>334834.82</v>
      </c>
      <c r="U790" s="1167"/>
      <c r="V790" s="1042"/>
      <c r="W790" s="936"/>
    </row>
    <row r="791" spans="1:23" ht="21" hidden="1">
      <c r="A791" s="1011"/>
      <c r="B791" s="1042"/>
      <c r="C791" s="1047" t="s">
        <v>620</v>
      </c>
      <c r="D791" s="1042" t="s">
        <v>121</v>
      </c>
      <c r="E791" s="1201">
        <f>'[14]ETP-2011'!$H$3</f>
        <v>2996</v>
      </c>
      <c r="F791" s="1042"/>
      <c r="G791" s="1042"/>
      <c r="H791" s="1106">
        <v>42729.85</v>
      </c>
      <c r="I791" s="1203">
        <v>39751.78</v>
      </c>
      <c r="J791" s="1203">
        <v>61586.11</v>
      </c>
      <c r="K791" s="1203"/>
      <c r="L791" s="1203"/>
      <c r="M791" s="1203"/>
      <c r="N791" s="1203"/>
      <c r="O791" s="1203"/>
      <c r="P791" s="1203"/>
      <c r="Q791" s="1203"/>
      <c r="R791" s="1203"/>
      <c r="S791" s="1203"/>
      <c r="T791" s="1203">
        <f t="shared" si="347"/>
        <v>144067.74</v>
      </c>
      <c r="U791" s="1167"/>
      <c r="V791" s="1042"/>
      <c r="W791" s="936"/>
    </row>
    <row r="792" spans="1:23" ht="21" hidden="1">
      <c r="A792" s="1011"/>
      <c r="B792" s="1042"/>
      <c r="C792" s="1047" t="s">
        <v>621</v>
      </c>
      <c r="D792" s="1042" t="s">
        <v>121</v>
      </c>
      <c r="E792" s="1201">
        <f>'[14]ETP-2011'!$H$4</f>
        <v>2815</v>
      </c>
      <c r="F792" s="1042"/>
      <c r="G792" s="1042"/>
      <c r="H792" s="1106">
        <v>60127.92</v>
      </c>
      <c r="I792" s="1203">
        <v>59524.979999999989</v>
      </c>
      <c r="J792" s="1203">
        <v>63495.67</v>
      </c>
      <c r="K792" s="1203"/>
      <c r="L792" s="1203"/>
      <c r="M792" s="1203"/>
      <c r="N792" s="1203"/>
      <c r="O792" s="1203"/>
      <c r="P792" s="1203"/>
      <c r="Q792" s="1203"/>
      <c r="R792" s="1203"/>
      <c r="S792" s="1203"/>
      <c r="T792" s="1203">
        <f t="shared" si="347"/>
        <v>183148.57</v>
      </c>
      <c r="U792" s="1167"/>
      <c r="V792" s="1042"/>
      <c r="W792" s="936"/>
    </row>
    <row r="793" spans="1:23" ht="21" hidden="1">
      <c r="A793" s="1011"/>
      <c r="B793" s="1042"/>
      <c r="C793" s="1047" t="s">
        <v>622</v>
      </c>
      <c r="D793" s="1042" t="s">
        <v>121</v>
      </c>
      <c r="E793" s="1201">
        <f>'[14]ETP-2011'!$L$2</f>
        <v>206</v>
      </c>
      <c r="F793" s="1042"/>
      <c r="G793" s="1042"/>
      <c r="H793" s="1106">
        <v>51571.969200000007</v>
      </c>
      <c r="I793" s="1203">
        <v>54733.388400000011</v>
      </c>
      <c r="J793" s="1203">
        <v>58566.681600000011</v>
      </c>
      <c r="K793" s="1203"/>
      <c r="L793" s="1203"/>
      <c r="M793" s="1203"/>
      <c r="N793" s="1203"/>
      <c r="O793" s="1203"/>
      <c r="P793" s="1203"/>
      <c r="Q793" s="1203"/>
      <c r="R793" s="1203"/>
      <c r="S793" s="1203"/>
      <c r="T793" s="1203">
        <f t="shared" si="347"/>
        <v>164872.03920000003</v>
      </c>
      <c r="U793" s="1167"/>
      <c r="V793" s="1042"/>
      <c r="W793" s="936"/>
    </row>
    <row r="794" spans="1:23" ht="21" hidden="1">
      <c r="A794" s="1011"/>
      <c r="B794" s="1042"/>
      <c r="C794" s="1047" t="s">
        <v>623</v>
      </c>
      <c r="D794" s="1042" t="s">
        <v>121</v>
      </c>
      <c r="E794" s="1167">
        <f>'[14]ETP-2011'!$L$3</f>
        <v>210</v>
      </c>
      <c r="F794" s="1042"/>
      <c r="G794" s="1042"/>
      <c r="H794" s="1106">
        <v>31569.689999999995</v>
      </c>
      <c r="I794" s="1203">
        <v>29436.069999999996</v>
      </c>
      <c r="J794" s="1203">
        <v>32335.9</v>
      </c>
      <c r="K794" s="1203"/>
      <c r="L794" s="1203"/>
      <c r="M794" s="1203"/>
      <c r="N794" s="1203"/>
      <c r="O794" s="1203"/>
      <c r="P794" s="1203"/>
      <c r="Q794" s="1203"/>
      <c r="R794" s="1203"/>
      <c r="S794" s="1203"/>
      <c r="T794" s="1203">
        <f t="shared" si="347"/>
        <v>93341.66</v>
      </c>
      <c r="U794" s="1167"/>
      <c r="V794" s="1042"/>
      <c r="W794" s="936"/>
    </row>
    <row r="795" spans="1:23" ht="21" hidden="1">
      <c r="A795" s="1011"/>
      <c r="B795" s="1042"/>
      <c r="C795" s="1047"/>
      <c r="D795" s="1042"/>
      <c r="E795" s="1042"/>
      <c r="F795" s="1042"/>
      <c r="G795" s="1042"/>
      <c r="H795" s="1042"/>
      <c r="I795" s="1042"/>
      <c r="J795" s="1042"/>
      <c r="K795" s="1042"/>
      <c r="L795" s="1042"/>
      <c r="M795" s="1042"/>
      <c r="N795" s="1042"/>
      <c r="O795" s="1042"/>
      <c r="P795" s="1042"/>
      <c r="Q795" s="1042"/>
      <c r="R795" s="1042"/>
      <c r="S795" s="1042"/>
      <c r="T795" s="1045"/>
      <c r="U795" s="1167"/>
      <c r="V795" s="1042"/>
      <c r="W795" s="936"/>
    </row>
    <row r="796" spans="1:23" ht="21" hidden="1">
      <c r="A796" s="1011"/>
      <c r="B796" s="1042"/>
      <c r="C796" s="1043" t="s">
        <v>536</v>
      </c>
      <c r="D796" s="1042"/>
      <c r="E796" s="1042"/>
      <c r="F796" s="1042"/>
      <c r="G796" s="1042"/>
      <c r="H796" s="1044"/>
      <c r="I796" s="1044"/>
      <c r="J796" s="1044"/>
      <c r="K796" s="1044"/>
      <c r="L796" s="1044"/>
      <c r="M796" s="1044"/>
      <c r="N796" s="1044"/>
      <c r="O796" s="1044"/>
      <c r="P796" s="1044"/>
      <c r="Q796" s="1044"/>
      <c r="R796" s="1044"/>
      <c r="S796" s="1044"/>
      <c r="T796" s="1045"/>
      <c r="U796" s="1045"/>
      <c r="V796" s="1046"/>
      <c r="W796" s="936"/>
    </row>
    <row r="797" spans="1:23" ht="21" hidden="1">
      <c r="A797" s="1011"/>
      <c r="B797" s="1042"/>
      <c r="C797" s="1047" t="s">
        <v>618</v>
      </c>
      <c r="D797" s="1042" t="s">
        <v>173</v>
      </c>
      <c r="E797" s="1042"/>
      <c r="F797" s="1042"/>
      <c r="G797" s="1042"/>
      <c r="H797" s="1044">
        <v>478035.50599999999</v>
      </c>
      <c r="I797" s="1044">
        <v>458767.76400000002</v>
      </c>
      <c r="J797" s="1044">
        <v>499983.77</v>
      </c>
      <c r="K797" s="1044"/>
      <c r="L797" s="1044"/>
      <c r="M797" s="1044"/>
      <c r="N797" s="1044"/>
      <c r="O797" s="1044"/>
      <c r="P797" s="1044"/>
      <c r="Q797" s="1044"/>
      <c r="R797" s="1044"/>
      <c r="S797" s="1044"/>
      <c r="T797" s="1045">
        <f t="shared" ref="T797:T803" si="348">SUM(H797:S797)</f>
        <v>1436787.04</v>
      </c>
      <c r="U797" s="1045"/>
      <c r="V797" s="1046"/>
      <c r="W797" s="936"/>
    </row>
    <row r="798" spans="1:23" ht="21" hidden="1">
      <c r="A798" s="1011"/>
      <c r="B798" s="1042"/>
      <c r="C798" s="1047" t="s">
        <v>619</v>
      </c>
      <c r="D798" s="1042" t="s">
        <v>173</v>
      </c>
      <c r="E798" s="1042"/>
      <c r="F798" s="1042"/>
      <c r="G798" s="1042"/>
      <c r="H798" s="1044">
        <v>354464.46731999994</v>
      </c>
      <c r="I798" s="1044">
        <v>326241.77951999998</v>
      </c>
      <c r="J798" s="1044">
        <v>376032.44508000003</v>
      </c>
      <c r="K798" s="1044"/>
      <c r="L798" s="1044"/>
      <c r="M798" s="1044"/>
      <c r="N798" s="1044"/>
      <c r="O798" s="1044"/>
      <c r="P798" s="1044"/>
      <c r="Q798" s="1044"/>
      <c r="R798" s="1044"/>
      <c r="S798" s="1044"/>
      <c r="T798" s="1045">
        <f t="shared" si="348"/>
        <v>1056738.6919199999</v>
      </c>
      <c r="U798" s="1045"/>
      <c r="V798" s="1046"/>
      <c r="W798" s="936"/>
    </row>
    <row r="799" spans="1:23" ht="21" hidden="1">
      <c r="A799" s="1011"/>
      <c r="B799" s="1042"/>
      <c r="C799" s="1047" t="s">
        <v>620</v>
      </c>
      <c r="D799" s="1042" t="s">
        <v>173</v>
      </c>
      <c r="E799" s="1042"/>
      <c r="F799" s="1042"/>
      <c r="G799" s="1042"/>
      <c r="H799" s="1044">
        <v>128018.63059999999</v>
      </c>
      <c r="I799" s="1044">
        <v>119096.33288</v>
      </c>
      <c r="J799" s="1044">
        <v>184511.98556</v>
      </c>
      <c r="K799" s="1044"/>
      <c r="L799" s="1044"/>
      <c r="M799" s="1044"/>
      <c r="N799" s="1044"/>
      <c r="O799" s="1044"/>
      <c r="P799" s="1044"/>
      <c r="Q799" s="1044"/>
      <c r="R799" s="1044"/>
      <c r="S799" s="1044"/>
      <c r="T799" s="1045">
        <f t="shared" si="348"/>
        <v>431626.94903999998</v>
      </c>
      <c r="U799" s="1045"/>
      <c r="V799" s="1046"/>
      <c r="W799" s="936"/>
    </row>
    <row r="800" spans="1:23" ht="21" hidden="1">
      <c r="A800" s="1011"/>
      <c r="B800" s="1042"/>
      <c r="C800" s="1047" t="s">
        <v>621</v>
      </c>
      <c r="D800" s="1042" t="s">
        <v>173</v>
      </c>
      <c r="E800" s="1042"/>
      <c r="F800" s="1042"/>
      <c r="G800" s="1042"/>
      <c r="H800" s="1044">
        <v>169260.09479999999</v>
      </c>
      <c r="I800" s="1044">
        <v>167562.81869999995</v>
      </c>
      <c r="J800" s="1044">
        <v>178740.31104999999</v>
      </c>
      <c r="K800" s="1044"/>
      <c r="L800" s="1044"/>
      <c r="M800" s="1044"/>
      <c r="N800" s="1044"/>
      <c r="O800" s="1044"/>
      <c r="P800" s="1044"/>
      <c r="Q800" s="1044"/>
      <c r="R800" s="1044"/>
      <c r="S800" s="1044"/>
      <c r="T800" s="1045">
        <f t="shared" si="348"/>
        <v>515563.22454999993</v>
      </c>
      <c r="U800" s="1045"/>
      <c r="V800" s="1046"/>
      <c r="W800" s="936"/>
    </row>
    <row r="801" spans="1:23" ht="21" hidden="1">
      <c r="A801" s="1011"/>
      <c r="B801" s="1042"/>
      <c r="C801" s="1047" t="s">
        <v>622</v>
      </c>
      <c r="D801" s="1042" t="s">
        <v>173</v>
      </c>
      <c r="E801" s="1042"/>
      <c r="F801" s="1042"/>
      <c r="G801" s="1042"/>
      <c r="H801" s="1044">
        <v>10623.8256552</v>
      </c>
      <c r="I801" s="1044">
        <v>11275.078010400002</v>
      </c>
      <c r="J801" s="1044">
        <v>12064.736409600002</v>
      </c>
      <c r="K801" s="1044"/>
      <c r="L801" s="1044"/>
      <c r="M801" s="1044"/>
      <c r="N801" s="1044"/>
      <c r="O801" s="1044"/>
      <c r="P801" s="1044"/>
      <c r="Q801" s="1044"/>
      <c r="R801" s="1044"/>
      <c r="S801" s="1044"/>
      <c r="T801" s="1045">
        <f t="shared" si="348"/>
        <v>33963.640075200005</v>
      </c>
      <c r="U801" s="1045"/>
      <c r="V801" s="1046"/>
      <c r="W801" s="936"/>
    </row>
    <row r="802" spans="1:23" ht="21" hidden="1">
      <c r="A802" s="1011"/>
      <c r="B802" s="1042"/>
      <c r="C802" s="1047" t="s">
        <v>623</v>
      </c>
      <c r="D802" s="1042" t="s">
        <v>173</v>
      </c>
      <c r="E802" s="1042"/>
      <c r="F802" s="1042"/>
      <c r="G802" s="1042"/>
      <c r="H802" s="1044">
        <v>6629.6348999999982</v>
      </c>
      <c r="I802" s="1044">
        <v>6181.5746999999992</v>
      </c>
      <c r="J802" s="1044">
        <v>6790.5389999999998</v>
      </c>
      <c r="K802" s="1044"/>
      <c r="L802" s="1044"/>
      <c r="M802" s="1044"/>
      <c r="N802" s="1044"/>
      <c r="O802" s="1044"/>
      <c r="P802" s="1044"/>
      <c r="Q802" s="1044"/>
      <c r="R802" s="1044"/>
      <c r="S802" s="1044"/>
      <c r="T802" s="1045">
        <f t="shared" si="348"/>
        <v>19601.748599999999</v>
      </c>
      <c r="U802" s="1045"/>
      <c r="V802" s="1046"/>
      <c r="W802" s="936"/>
    </row>
    <row r="803" spans="1:23" ht="21" hidden="1">
      <c r="A803" s="1011"/>
      <c r="B803" s="1042"/>
      <c r="C803" s="1042" t="s">
        <v>537</v>
      </c>
      <c r="D803" s="1042" t="s">
        <v>173</v>
      </c>
      <c r="E803" s="1042"/>
      <c r="F803" s="1042"/>
      <c r="G803" s="1042"/>
      <c r="H803" s="1044">
        <v>1147032.1592752</v>
      </c>
      <c r="I803" s="1044">
        <v>1089125.3478104002</v>
      </c>
      <c r="J803" s="1044">
        <v>1258123.7870995998</v>
      </c>
      <c r="K803" s="1044"/>
      <c r="L803" s="1044"/>
      <c r="M803" s="1044"/>
      <c r="N803" s="1044"/>
      <c r="O803" s="1044"/>
      <c r="P803" s="1044"/>
      <c r="Q803" s="1044"/>
      <c r="R803" s="1044"/>
      <c r="S803" s="1044"/>
      <c r="T803" s="1045">
        <f t="shared" si="348"/>
        <v>3494281.2941851998</v>
      </c>
      <c r="U803" s="1045"/>
      <c r="V803" s="1046"/>
      <c r="W803" s="936"/>
    </row>
    <row r="804" spans="1:23" s="1189" customFormat="1" ht="21" hidden="1">
      <c r="A804" s="956"/>
      <c r="B804" s="956"/>
      <c r="C804" s="1180"/>
      <c r="D804" s="956"/>
      <c r="E804" s="956"/>
      <c r="F804" s="956"/>
      <c r="G804" s="956"/>
      <c r="H804" s="961"/>
      <c r="I804" s="961"/>
      <c r="J804" s="961"/>
      <c r="K804" s="961"/>
      <c r="L804" s="961"/>
      <c r="M804" s="961"/>
      <c r="N804" s="961"/>
      <c r="O804" s="961"/>
      <c r="P804" s="961"/>
      <c r="Q804" s="961"/>
      <c r="R804" s="961"/>
      <c r="S804" s="961"/>
      <c r="T804" s="961"/>
      <c r="U804" s="961"/>
      <c r="V804" s="961"/>
      <c r="W804" s="1188"/>
    </row>
    <row r="805" spans="1:23" s="1189" customFormat="1" ht="21" hidden="1">
      <c r="A805" s="956"/>
      <c r="B805" s="956"/>
      <c r="C805" s="1180" t="s">
        <v>624</v>
      </c>
      <c r="D805" s="956"/>
      <c r="E805" s="956"/>
      <c r="F805" s="956"/>
      <c r="G805" s="956"/>
      <c r="H805" s="961"/>
      <c r="I805" s="961"/>
      <c r="J805" s="961"/>
      <c r="K805" s="961"/>
      <c r="L805" s="961"/>
      <c r="M805" s="961"/>
      <c r="N805" s="961"/>
      <c r="O805" s="961"/>
      <c r="P805" s="961"/>
      <c r="Q805" s="961"/>
      <c r="R805" s="961"/>
      <c r="S805" s="961"/>
      <c r="T805" s="961"/>
      <c r="U805" s="961"/>
      <c r="V805" s="961"/>
      <c r="W805" s="1188"/>
    </row>
    <row r="806" spans="1:23" s="1189" customFormat="1" ht="21" hidden="1">
      <c r="A806" s="956"/>
      <c r="B806" s="956"/>
      <c r="C806" s="1105" t="s">
        <v>138</v>
      </c>
      <c r="D806" s="956" t="s">
        <v>173</v>
      </c>
      <c r="E806" s="956"/>
      <c r="F806" s="956"/>
      <c r="G806" s="956"/>
      <c r="H806" s="961">
        <v>16425.615600000001</v>
      </c>
      <c r="I806" s="961">
        <v>16794.950400000002</v>
      </c>
      <c r="J806" s="961">
        <v>16991.301600000003</v>
      </c>
      <c r="K806" s="961"/>
      <c r="L806" s="961"/>
      <c r="M806" s="961"/>
      <c r="N806" s="961"/>
      <c r="O806" s="961"/>
      <c r="P806" s="961"/>
      <c r="Q806" s="961"/>
      <c r="R806" s="961"/>
      <c r="S806" s="961"/>
      <c r="T806" s="961">
        <f>SUM(H806:S806)</f>
        <v>50211.867600000012</v>
      </c>
      <c r="U806" s="961"/>
      <c r="V806" s="961"/>
      <c r="W806" s="1188"/>
    </row>
    <row r="807" spans="1:23" s="1189" customFormat="1" ht="21" hidden="1">
      <c r="A807" s="956"/>
      <c r="B807" s="956"/>
      <c r="C807" s="1105" t="s">
        <v>605</v>
      </c>
      <c r="D807" s="956" t="s">
        <v>173</v>
      </c>
      <c r="E807" s="956"/>
      <c r="F807" s="956"/>
      <c r="G807" s="956"/>
      <c r="H807" s="961">
        <v>758301.4879872218</v>
      </c>
      <c r="I807" s="961">
        <v>671139.81154992699</v>
      </c>
      <c r="J807" s="961">
        <v>745830.03911385941</v>
      </c>
      <c r="K807" s="961"/>
      <c r="L807" s="961"/>
      <c r="M807" s="961"/>
      <c r="N807" s="961"/>
      <c r="O807" s="961"/>
      <c r="P807" s="961"/>
      <c r="Q807" s="961"/>
      <c r="R807" s="961"/>
      <c r="S807" s="961"/>
      <c r="T807" s="961">
        <f t="shared" ref="T807:T816" si="349">SUM(H807:S807)</f>
        <v>2175271.338651008</v>
      </c>
      <c r="U807" s="961"/>
      <c r="V807" s="961"/>
      <c r="W807" s="1188"/>
    </row>
    <row r="808" spans="1:23" s="1189" customFormat="1" ht="21" hidden="1">
      <c r="A808" s="956"/>
      <c r="B808" s="956"/>
      <c r="C808" s="1105" t="s">
        <v>606</v>
      </c>
      <c r="D808" s="956" t="s">
        <v>173</v>
      </c>
      <c r="E808" s="956"/>
      <c r="F808" s="956"/>
      <c r="G808" s="956"/>
      <c r="H808" s="961">
        <v>69746.036160000018</v>
      </c>
      <c r="I808" s="961">
        <v>66934.555939999991</v>
      </c>
      <c r="J808" s="961">
        <v>72949.166649999999</v>
      </c>
      <c r="K808" s="961"/>
      <c r="L808" s="961"/>
      <c r="M808" s="961"/>
      <c r="N808" s="961"/>
      <c r="O808" s="961"/>
      <c r="P808" s="961"/>
      <c r="Q808" s="961"/>
      <c r="R808" s="961"/>
      <c r="S808" s="961"/>
      <c r="T808" s="961">
        <f t="shared" si="349"/>
        <v>209629.75875000001</v>
      </c>
      <c r="U808" s="961"/>
      <c r="V808" s="961"/>
      <c r="W808" s="1188"/>
    </row>
    <row r="809" spans="1:23" s="1189" customFormat="1" ht="21" hidden="1">
      <c r="A809" s="956"/>
      <c r="B809" s="956"/>
      <c r="C809" s="1105" t="s">
        <v>607</v>
      </c>
      <c r="D809" s="956" t="s">
        <v>173</v>
      </c>
      <c r="E809" s="956"/>
      <c r="F809" s="956"/>
      <c r="G809" s="956"/>
      <c r="H809" s="961">
        <v>471976.23200000002</v>
      </c>
      <c r="I809" s="961">
        <v>440511.60399999999</v>
      </c>
      <c r="J809" s="961">
        <v>494118.63799999998</v>
      </c>
      <c r="K809" s="961"/>
      <c r="L809" s="961"/>
      <c r="M809" s="961"/>
      <c r="N809" s="961"/>
      <c r="O809" s="961"/>
      <c r="P809" s="961"/>
      <c r="Q809" s="961"/>
      <c r="R809" s="961"/>
      <c r="S809" s="961"/>
      <c r="T809" s="961">
        <f t="shared" si="349"/>
        <v>1406606.4739999999</v>
      </c>
      <c r="U809" s="961"/>
      <c r="V809" s="961"/>
      <c r="W809" s="1188"/>
    </row>
    <row r="810" spans="1:23" s="1189" customFormat="1" ht="21" hidden="1">
      <c r="A810" s="956"/>
      <c r="B810" s="956"/>
      <c r="C810" s="1105" t="s">
        <v>608</v>
      </c>
      <c r="D810" s="956" t="s">
        <v>173</v>
      </c>
      <c r="E810" s="956"/>
      <c r="F810" s="956"/>
      <c r="G810" s="956"/>
      <c r="H810" s="961">
        <v>410166.95207999996</v>
      </c>
      <c r="I810" s="961">
        <v>402240.74013600004</v>
      </c>
      <c r="J810" s="961">
        <v>490280.29837200016</v>
      </c>
      <c r="K810" s="961"/>
      <c r="L810" s="961"/>
      <c r="M810" s="961"/>
      <c r="N810" s="961"/>
      <c r="O810" s="961"/>
      <c r="P810" s="961"/>
      <c r="Q810" s="961"/>
      <c r="R810" s="961"/>
      <c r="S810" s="961"/>
      <c r="T810" s="961">
        <f t="shared" si="349"/>
        <v>1302687.9905880003</v>
      </c>
      <c r="U810" s="961"/>
      <c r="V810" s="961"/>
      <c r="W810" s="1188"/>
    </row>
    <row r="811" spans="1:23" s="1189" customFormat="1" ht="21" hidden="1">
      <c r="A811" s="956"/>
      <c r="B811" s="956"/>
      <c r="C811" s="1105" t="s">
        <v>609</v>
      </c>
      <c r="D811" s="956" t="s">
        <v>173</v>
      </c>
      <c r="E811" s="956"/>
      <c r="F811" s="956"/>
      <c r="G811" s="956"/>
      <c r="H811" s="961">
        <v>95444.770400000023</v>
      </c>
      <c r="I811" s="961">
        <v>101268.30532</v>
      </c>
      <c r="J811" s="961">
        <v>151064.37192000001</v>
      </c>
      <c r="K811" s="961"/>
      <c r="L811" s="961"/>
      <c r="M811" s="961"/>
      <c r="N811" s="961"/>
      <c r="O811" s="961"/>
      <c r="P811" s="961"/>
      <c r="Q811" s="961"/>
      <c r="R811" s="961"/>
      <c r="S811" s="961"/>
      <c r="T811" s="961">
        <f t="shared" si="349"/>
        <v>347777.44764000003</v>
      </c>
      <c r="U811" s="961"/>
      <c r="V811" s="961"/>
      <c r="W811" s="1188"/>
    </row>
    <row r="812" spans="1:23" s="1189" customFormat="1" ht="21" hidden="1">
      <c r="A812" s="956"/>
      <c r="B812" s="956"/>
      <c r="C812" s="1105" t="s">
        <v>610</v>
      </c>
      <c r="D812" s="956" t="s">
        <v>173</v>
      </c>
      <c r="E812" s="956"/>
      <c r="F812" s="956"/>
      <c r="G812" s="956"/>
      <c r="H812" s="961">
        <v>108548.98980000004</v>
      </c>
      <c r="I812" s="961">
        <v>82150.088700000022</v>
      </c>
      <c r="J812" s="961">
        <v>79066.791050000014</v>
      </c>
      <c r="K812" s="961"/>
      <c r="L812" s="961"/>
      <c r="M812" s="961"/>
      <c r="N812" s="961"/>
      <c r="O812" s="961"/>
      <c r="P812" s="961"/>
      <c r="Q812" s="961"/>
      <c r="R812" s="961"/>
      <c r="S812" s="961"/>
      <c r="T812" s="961">
        <f t="shared" si="349"/>
        <v>269765.86955000006</v>
      </c>
      <c r="U812" s="961"/>
      <c r="V812" s="961"/>
      <c r="W812" s="1188"/>
    </row>
    <row r="813" spans="1:23" s="1189" customFormat="1" ht="21" hidden="1">
      <c r="A813" s="956"/>
      <c r="B813" s="956"/>
      <c r="C813" s="1105" t="s">
        <v>611</v>
      </c>
      <c r="D813" s="956" t="s">
        <v>173</v>
      </c>
      <c r="E813" s="956"/>
      <c r="F813" s="956"/>
      <c r="G813" s="956"/>
      <c r="H813" s="961">
        <v>443.72399999999999</v>
      </c>
      <c r="I813" s="961">
        <v>436.51400000000001</v>
      </c>
      <c r="J813" s="961">
        <v>461.64600000000002</v>
      </c>
      <c r="K813" s="961"/>
      <c r="L813" s="961"/>
      <c r="M813" s="961"/>
      <c r="N813" s="961"/>
      <c r="O813" s="961"/>
      <c r="P813" s="961"/>
      <c r="Q813" s="961"/>
      <c r="R813" s="961"/>
      <c r="S813" s="961"/>
      <c r="T813" s="961">
        <f t="shared" si="349"/>
        <v>1341.884</v>
      </c>
      <c r="U813" s="961"/>
      <c r="V813" s="961"/>
      <c r="W813" s="1188"/>
    </row>
    <row r="814" spans="1:23" s="1189" customFormat="1" ht="21" hidden="1">
      <c r="A814" s="956"/>
      <c r="B814" s="956"/>
      <c r="C814" s="1204" t="s">
        <v>625</v>
      </c>
      <c r="D814" s="956" t="s">
        <v>173</v>
      </c>
      <c r="E814" s="956"/>
      <c r="F814" s="956"/>
      <c r="G814" s="956"/>
      <c r="H814" s="961">
        <v>1931053.8080272218</v>
      </c>
      <c r="I814" s="961">
        <v>1781476.5700459271</v>
      </c>
      <c r="J814" s="961">
        <v>2050762.2527058597</v>
      </c>
      <c r="K814" s="961"/>
      <c r="L814" s="961"/>
      <c r="M814" s="961"/>
      <c r="N814" s="961"/>
      <c r="O814" s="961"/>
      <c r="P814" s="961"/>
      <c r="Q814" s="961"/>
      <c r="R814" s="961"/>
      <c r="S814" s="961"/>
      <c r="T814" s="961">
        <f t="shared" si="349"/>
        <v>5763292.6307790084</v>
      </c>
      <c r="U814" s="961"/>
      <c r="V814" s="961"/>
      <c r="W814" s="1188"/>
    </row>
    <row r="815" spans="1:23" s="1189" customFormat="1" ht="21" hidden="1">
      <c r="A815" s="956"/>
      <c r="B815" s="956"/>
      <c r="C815" s="1205" t="s">
        <v>626</v>
      </c>
      <c r="D815" s="956" t="s">
        <v>173</v>
      </c>
      <c r="E815" s="956"/>
      <c r="F815" s="956"/>
      <c r="G815" s="956"/>
      <c r="H815" s="961">
        <v>784021.64875202184</v>
      </c>
      <c r="I815" s="961">
        <v>692351.22223552689</v>
      </c>
      <c r="J815" s="961">
        <v>792638.46560625988</v>
      </c>
      <c r="K815" s="961"/>
      <c r="L815" s="961"/>
      <c r="M815" s="961"/>
      <c r="N815" s="961"/>
      <c r="O815" s="961"/>
      <c r="P815" s="961"/>
      <c r="Q815" s="961"/>
      <c r="R815" s="961"/>
      <c r="S815" s="961"/>
      <c r="T815" s="1206">
        <f t="shared" si="349"/>
        <v>2269011.3365938086</v>
      </c>
      <c r="U815" s="961"/>
      <c r="V815" s="961"/>
      <c r="W815" s="1188"/>
    </row>
    <row r="816" spans="1:23" s="1189" customFormat="1" ht="21" hidden="1">
      <c r="A816" s="956"/>
      <c r="B816" s="956"/>
      <c r="C816" s="983" t="s">
        <v>345</v>
      </c>
      <c r="D816" s="964" t="s">
        <v>173</v>
      </c>
      <c r="E816" s="956"/>
      <c r="F816" s="956"/>
      <c r="G816" s="956"/>
      <c r="H816" s="1207">
        <v>811223.27507851401</v>
      </c>
      <c r="I816" s="961">
        <v>817588.58238662116</v>
      </c>
      <c r="J816" s="961">
        <v>822354.63978754589</v>
      </c>
      <c r="K816" s="961"/>
      <c r="L816" s="961"/>
      <c r="M816" s="961"/>
      <c r="N816" s="961"/>
      <c r="O816" s="961"/>
      <c r="P816" s="961"/>
      <c r="Q816" s="961"/>
      <c r="R816" s="961"/>
      <c r="S816" s="961"/>
      <c r="T816" s="1206">
        <f t="shared" si="349"/>
        <v>2451166.4972526813</v>
      </c>
      <c r="U816" s="961"/>
      <c r="V816" s="961"/>
      <c r="W816" s="1188"/>
    </row>
    <row r="817" spans="1:23" s="1189" customFormat="1" ht="21" hidden="1">
      <c r="A817" s="956"/>
      <c r="B817" s="1124"/>
      <c r="C817" s="1208" t="s">
        <v>627</v>
      </c>
      <c r="D817" s="1124"/>
      <c r="E817" s="1124"/>
      <c r="F817" s="1124"/>
      <c r="G817" s="1124"/>
      <c r="H817" s="1127"/>
      <c r="I817" s="1127"/>
      <c r="J817" s="1127"/>
      <c r="K817" s="1127"/>
      <c r="L817" s="1127"/>
      <c r="M817" s="1127"/>
      <c r="N817" s="1127"/>
      <c r="O817" s="1127"/>
      <c r="P817" s="1127"/>
      <c r="Q817" s="1127"/>
      <c r="R817" s="1127"/>
      <c r="S817" s="1127"/>
      <c r="T817" s="1127"/>
      <c r="U817" s="1127"/>
      <c r="V817" s="1127"/>
      <c r="W817" s="1188"/>
    </row>
    <row r="818" spans="1:23" s="1189" customFormat="1" ht="21" hidden="1">
      <c r="A818" s="956"/>
      <c r="B818" s="1124"/>
      <c r="C818" s="1209" t="s">
        <v>138</v>
      </c>
      <c r="D818" s="1124" t="s">
        <v>347</v>
      </c>
      <c r="E818" s="1124"/>
      <c r="F818" s="1124"/>
      <c r="G818" s="1124"/>
      <c r="H818" s="1159">
        <v>0.36879107586436277</v>
      </c>
      <c r="I818" s="1159">
        <v>0.39576816423944244</v>
      </c>
      <c r="J818" s="1159">
        <v>0.37595609717899869</v>
      </c>
      <c r="K818" s="1159"/>
      <c r="L818" s="1159"/>
      <c r="M818" s="1159"/>
      <c r="N818" s="1159"/>
      <c r="O818" s="1159"/>
      <c r="P818" s="1159"/>
      <c r="Q818" s="1159"/>
      <c r="R818" s="1159"/>
      <c r="S818" s="1159"/>
      <c r="T818" s="1159">
        <f t="shared" ref="T818:T827" si="350">T806/T$786</f>
        <v>0.37990273232663996</v>
      </c>
      <c r="U818" s="1127"/>
      <c r="V818" s="1127"/>
      <c r="W818" s="1188"/>
    </row>
    <row r="819" spans="1:23" s="1189" customFormat="1" ht="21" hidden="1">
      <c r="A819" s="956"/>
      <c r="B819" s="1124"/>
      <c r="C819" s="1209" t="s">
        <v>605</v>
      </c>
      <c r="D819" s="1124" t="s">
        <v>347</v>
      </c>
      <c r="E819" s="1124"/>
      <c r="F819" s="1124"/>
      <c r="G819" s="1124"/>
      <c r="H819" s="1159">
        <v>17.025530634258523</v>
      </c>
      <c r="I819" s="1159">
        <v>15.815216171470201</v>
      </c>
      <c r="J819" s="1159">
        <v>16.502523306637467</v>
      </c>
      <c r="K819" s="1159"/>
      <c r="L819" s="1159"/>
      <c r="M819" s="1159"/>
      <c r="N819" s="1159"/>
      <c r="O819" s="1159"/>
      <c r="P819" s="1159"/>
      <c r="Q819" s="1159"/>
      <c r="R819" s="1159"/>
      <c r="S819" s="1159"/>
      <c r="T819" s="1159">
        <f t="shared" si="350"/>
        <v>16.458091774012114</v>
      </c>
      <c r="U819" s="1127"/>
      <c r="V819" s="1127"/>
      <c r="W819" s="1188"/>
    </row>
    <row r="820" spans="1:23" s="1189" customFormat="1" ht="21" hidden="1">
      <c r="A820" s="956"/>
      <c r="B820" s="1124"/>
      <c r="C820" s="1209" t="s">
        <v>606</v>
      </c>
      <c r="D820" s="1124" t="s">
        <v>347</v>
      </c>
      <c r="E820" s="1124"/>
      <c r="F820" s="1124"/>
      <c r="G820" s="1124"/>
      <c r="H820" s="1159">
        <v>1.565951398054217</v>
      </c>
      <c r="I820" s="1159">
        <v>1.5772935136834974</v>
      </c>
      <c r="J820" s="1159">
        <v>1.6141014168210848</v>
      </c>
      <c r="K820" s="1159"/>
      <c r="L820" s="1159"/>
      <c r="M820" s="1159"/>
      <c r="N820" s="1159"/>
      <c r="O820" s="1159"/>
      <c r="P820" s="1159"/>
      <c r="Q820" s="1159"/>
      <c r="R820" s="1159"/>
      <c r="S820" s="1159"/>
      <c r="T820" s="1159">
        <f t="shared" si="350"/>
        <v>1.5860576778486395</v>
      </c>
      <c r="U820" s="1127"/>
      <c r="V820" s="1127"/>
      <c r="W820" s="1188"/>
    </row>
    <row r="821" spans="1:23" s="1189" customFormat="1" ht="21" hidden="1">
      <c r="A821" s="956"/>
      <c r="B821" s="1124"/>
      <c r="C821" s="1209" t="s">
        <v>607</v>
      </c>
      <c r="D821" s="1124" t="s">
        <v>347</v>
      </c>
      <c r="E821" s="1124"/>
      <c r="F821" s="1124"/>
      <c r="G821" s="1124"/>
      <c r="H821" s="1159">
        <v>10.596901000269852</v>
      </c>
      <c r="I821" s="1159">
        <v>10.380528950014178</v>
      </c>
      <c r="J821" s="1159">
        <v>10.933059694843063</v>
      </c>
      <c r="K821" s="1159"/>
      <c r="L821" s="1159"/>
      <c r="M821" s="1159"/>
      <c r="N821" s="1159"/>
      <c r="O821" s="1159"/>
      <c r="P821" s="1159"/>
      <c r="Q821" s="1159"/>
      <c r="R821" s="1159"/>
      <c r="S821" s="1159"/>
      <c r="T821" s="1159">
        <f t="shared" si="350"/>
        <v>10.642377356641893</v>
      </c>
      <c r="U821" s="1127"/>
      <c r="V821" s="1127"/>
      <c r="W821" s="1188"/>
    </row>
    <row r="822" spans="1:23" s="1189" customFormat="1" ht="21" hidden="1">
      <c r="A822" s="956"/>
      <c r="B822" s="1124"/>
      <c r="C822" s="1209" t="s">
        <v>608</v>
      </c>
      <c r="D822" s="1124" t="s">
        <v>347</v>
      </c>
      <c r="E822" s="1124"/>
      <c r="F822" s="1124"/>
      <c r="G822" s="1124"/>
      <c r="H822" s="1159">
        <v>9.2091471775091165</v>
      </c>
      <c r="I822" s="1159">
        <v>9.478687076440508</v>
      </c>
      <c r="J822" s="1159">
        <v>10.84813111078507</v>
      </c>
      <c r="K822" s="1159"/>
      <c r="L822" s="1159"/>
      <c r="M822" s="1159"/>
      <c r="N822" s="1159"/>
      <c r="O822" s="1159"/>
      <c r="P822" s="1159"/>
      <c r="Q822" s="1159"/>
      <c r="R822" s="1159"/>
      <c r="S822" s="1159"/>
      <c r="T822" s="1159">
        <f t="shared" si="350"/>
        <v>9.856130644968907</v>
      </c>
      <c r="U822" s="1127"/>
      <c r="V822" s="1127"/>
      <c r="W822" s="1188"/>
    </row>
    <row r="823" spans="1:23" s="1189" customFormat="1" ht="21" hidden="1">
      <c r="A823" s="956"/>
      <c r="B823" s="1124"/>
      <c r="C823" s="1209" t="s">
        <v>609</v>
      </c>
      <c r="D823" s="1124" t="s">
        <v>347</v>
      </c>
      <c r="E823" s="1124"/>
      <c r="F823" s="1124"/>
      <c r="G823" s="1124"/>
      <c r="H823" s="1159">
        <v>2.1429443144549842</v>
      </c>
      <c r="I823" s="1159">
        <v>2.3863584195006471</v>
      </c>
      <c r="J823" s="1159">
        <v>3.3425085980370048</v>
      </c>
      <c r="K823" s="1159"/>
      <c r="L823" s="1159"/>
      <c r="M823" s="1159"/>
      <c r="N823" s="1159"/>
      <c r="O823" s="1159"/>
      <c r="P823" s="1159"/>
      <c r="Q823" s="1159"/>
      <c r="R823" s="1159"/>
      <c r="S823" s="1159"/>
      <c r="T823" s="1159">
        <f t="shared" si="350"/>
        <v>2.6312823823350664</v>
      </c>
      <c r="U823" s="1127"/>
      <c r="V823" s="1127"/>
      <c r="W823" s="1188"/>
    </row>
    <row r="824" spans="1:23" s="1189" customFormat="1" ht="21" hidden="1">
      <c r="A824" s="956"/>
      <c r="B824" s="1124"/>
      <c r="C824" s="1209" t="s">
        <v>610</v>
      </c>
      <c r="D824" s="1124" t="s">
        <v>347</v>
      </c>
      <c r="E824" s="1124"/>
      <c r="F824" s="1124"/>
      <c r="G824" s="1124"/>
      <c r="H824" s="1159">
        <v>2.4371627649883485</v>
      </c>
      <c r="I824" s="1159">
        <v>1.9358431565779657</v>
      </c>
      <c r="J824" s="1159">
        <v>1.7494623354590673</v>
      </c>
      <c r="K824" s="1159"/>
      <c r="L824" s="1159"/>
      <c r="M824" s="1159"/>
      <c r="N824" s="1159"/>
      <c r="O824" s="1159"/>
      <c r="P824" s="1159"/>
      <c r="Q824" s="1159"/>
      <c r="R824" s="1159"/>
      <c r="S824" s="1159"/>
      <c r="T824" s="1159">
        <f t="shared" si="350"/>
        <v>2.0410471832463153</v>
      </c>
      <c r="U824" s="1127"/>
      <c r="V824" s="1127"/>
      <c r="W824" s="1188"/>
    </row>
    <row r="825" spans="1:23" s="1189" customFormat="1" ht="21" hidden="1">
      <c r="A825" s="956"/>
      <c r="B825" s="1124"/>
      <c r="C825" s="1209" t="s">
        <v>611</v>
      </c>
      <c r="D825" s="1124" t="s">
        <v>347</v>
      </c>
      <c r="E825" s="1124"/>
      <c r="F825" s="1124"/>
      <c r="G825" s="1124"/>
      <c r="H825" s="1159">
        <v>9.9625764617819555E-3</v>
      </c>
      <c r="I825" s="1159">
        <v>1.0286326564252072E-2</v>
      </c>
      <c r="J825" s="1159">
        <v>1.0214557573287736E-2</v>
      </c>
      <c r="K825" s="1159"/>
      <c r="L825" s="1159"/>
      <c r="M825" s="1159"/>
      <c r="N825" s="1159"/>
      <c r="O825" s="1159"/>
      <c r="P825" s="1159"/>
      <c r="Q825" s="1159"/>
      <c r="R825" s="1159"/>
      <c r="S825" s="1159"/>
      <c r="T825" s="1159">
        <f t="shared" si="350"/>
        <v>1.0152687450832854E-2</v>
      </c>
      <c r="U825" s="1127"/>
      <c r="V825" s="1127"/>
      <c r="W825" s="1188"/>
    </row>
    <row r="826" spans="1:23" s="1189" customFormat="1" ht="21" hidden="1">
      <c r="A826" s="956"/>
      <c r="B826" s="1124"/>
      <c r="C826" s="1210" t="s">
        <v>628</v>
      </c>
      <c r="D826" s="1124" t="s">
        <v>347</v>
      </c>
      <c r="E826" s="1124"/>
      <c r="F826" s="1124"/>
      <c r="G826" s="1124"/>
      <c r="H826" s="1159">
        <v>43.356390941861186</v>
      </c>
      <c r="I826" s="1159">
        <v>41.979981778490689</v>
      </c>
      <c r="J826" s="1159">
        <v>45.375957117335048</v>
      </c>
      <c r="K826" s="1159"/>
      <c r="L826" s="1159"/>
      <c r="M826" s="1159"/>
      <c r="N826" s="1159"/>
      <c r="O826" s="1159"/>
      <c r="P826" s="1159"/>
      <c r="Q826" s="1159"/>
      <c r="R826" s="1159"/>
      <c r="S826" s="1159"/>
      <c r="T826" s="1159">
        <f t="shared" si="350"/>
        <v>43.605042438830409</v>
      </c>
      <c r="U826" s="1127"/>
      <c r="V826" s="1127"/>
      <c r="W826" s="1188"/>
    </row>
    <row r="827" spans="1:23" s="1189" customFormat="1" ht="23.25" hidden="1">
      <c r="A827" s="956"/>
      <c r="B827" s="1124"/>
      <c r="C827" s="1211" t="s">
        <v>629</v>
      </c>
      <c r="D827" s="1124" t="s">
        <v>347</v>
      </c>
      <c r="E827" s="1124"/>
      <c r="F827" s="1124"/>
      <c r="G827" s="1124"/>
      <c r="H827" s="1159">
        <v>17.603004623108898</v>
      </c>
      <c r="I827" s="1159">
        <v>16.315056949086834</v>
      </c>
      <c r="J827" s="1159">
        <v>17.53822461742892</v>
      </c>
      <c r="K827" s="1159"/>
      <c r="L827" s="1159"/>
      <c r="M827" s="1159"/>
      <c r="N827" s="1159"/>
      <c r="O827" s="1159"/>
      <c r="P827" s="1159"/>
      <c r="Q827" s="1159"/>
      <c r="R827" s="1159"/>
      <c r="S827" s="1159"/>
      <c r="T827" s="1212">
        <f t="shared" si="350"/>
        <v>17.167328116911328</v>
      </c>
      <c r="U827" s="1127"/>
      <c r="V827" s="1127"/>
      <c r="W827" s="1188"/>
    </row>
    <row r="828" spans="1:23" s="1189" customFormat="1" ht="21" hidden="1">
      <c r="A828" s="956"/>
      <c r="B828" s="1124"/>
      <c r="C828" s="1211" t="s">
        <v>630</v>
      </c>
      <c r="D828" s="1124" t="s">
        <v>347</v>
      </c>
      <c r="E828" s="1124"/>
      <c r="F828" s="1124"/>
      <c r="G828" s="1124"/>
      <c r="H828" s="1159">
        <v>96.646838526192496</v>
      </c>
      <c r="I828" s="1159">
        <v>84.682105052700933</v>
      </c>
      <c r="J828" s="1159">
        <v>96.386452663663064</v>
      </c>
      <c r="K828" s="1159"/>
      <c r="L828" s="1159"/>
      <c r="M828" s="1159"/>
      <c r="N828" s="1159"/>
      <c r="O828" s="1159"/>
      <c r="P828" s="1159"/>
      <c r="Q828" s="1159"/>
      <c r="R828" s="1159"/>
      <c r="S828" s="1159"/>
      <c r="T828" s="1159">
        <f t="shared" ref="T828" si="351">T815/T816*100</f>
        <v>92.568633715292862</v>
      </c>
      <c r="U828" s="961"/>
      <c r="V828" s="961"/>
      <c r="W828" s="1188"/>
    </row>
    <row r="829" spans="1:23" s="1189" customFormat="1" ht="21" hidden="1">
      <c r="A829" s="956"/>
      <c r="B829" s="1213">
        <v>25.2</v>
      </c>
      <c r="C829" s="1180" t="s">
        <v>115</v>
      </c>
      <c r="D829" s="956"/>
      <c r="E829" s="956"/>
      <c r="F829" s="956"/>
      <c r="G829" s="956"/>
      <c r="H829" s="961"/>
      <c r="I829" s="961"/>
      <c r="J829" s="961"/>
      <c r="K829" s="961"/>
      <c r="L829" s="961"/>
      <c r="M829" s="961"/>
      <c r="N829" s="961"/>
      <c r="O829" s="961"/>
      <c r="P829" s="961"/>
      <c r="Q829" s="961"/>
      <c r="R829" s="961"/>
      <c r="S829" s="961"/>
      <c r="T829" s="961"/>
      <c r="U829" s="961"/>
      <c r="V829" s="961"/>
      <c r="W829" s="1188"/>
    </row>
    <row r="830" spans="1:23" s="1189" customFormat="1" ht="21" hidden="1">
      <c r="A830" s="956"/>
      <c r="B830" s="956"/>
      <c r="C830" s="1105" t="s">
        <v>138</v>
      </c>
      <c r="D830" s="956" t="s">
        <v>90</v>
      </c>
      <c r="E830" s="1195">
        <v>3.6</v>
      </c>
      <c r="F830" s="956"/>
      <c r="G830" s="956">
        <v>2.59</v>
      </c>
      <c r="H830" s="1106">
        <v>220137</v>
      </c>
      <c r="I830" s="961">
        <v>191994</v>
      </c>
      <c r="J830" s="961">
        <v>241789</v>
      </c>
      <c r="K830" s="961"/>
      <c r="L830" s="961"/>
      <c r="M830" s="961"/>
      <c r="N830" s="961"/>
      <c r="O830" s="961"/>
      <c r="P830" s="961"/>
      <c r="Q830" s="961"/>
      <c r="R830" s="961"/>
      <c r="S830" s="961"/>
      <c r="T830" s="961">
        <f>SUM(H830:S830)</f>
        <v>653920</v>
      </c>
      <c r="U830" s="961"/>
      <c r="V830" s="961"/>
      <c r="W830" s="1188"/>
    </row>
    <row r="831" spans="1:23" s="1189" customFormat="1" ht="21" hidden="1">
      <c r="A831" s="956"/>
      <c r="B831" s="956"/>
      <c r="C831" s="1105" t="s">
        <v>631</v>
      </c>
      <c r="D831" s="956" t="s">
        <v>121</v>
      </c>
      <c r="E831" s="1195">
        <f>'[14]ETP-2011'!$H$1</f>
        <v>3406</v>
      </c>
      <c r="F831" s="956"/>
      <c r="G831" s="956"/>
      <c r="H831" s="1106">
        <v>1488</v>
      </c>
      <c r="I831" s="961">
        <v>1392</v>
      </c>
      <c r="J831" s="961">
        <v>1488</v>
      </c>
      <c r="K831" s="961"/>
      <c r="L831" s="961"/>
      <c r="M831" s="961"/>
      <c r="N831" s="961"/>
      <c r="O831" s="961"/>
      <c r="P831" s="961"/>
      <c r="Q831" s="961"/>
      <c r="R831" s="961"/>
      <c r="S831" s="961"/>
      <c r="T831" s="961">
        <f>SUM(H831:S831)</f>
        <v>4368</v>
      </c>
      <c r="U831" s="961"/>
      <c r="V831" s="961"/>
      <c r="W831" s="1188"/>
    </row>
    <row r="832" spans="1:23" s="1189" customFormat="1" ht="21" hidden="1">
      <c r="A832" s="956"/>
      <c r="B832" s="956"/>
      <c r="C832" s="1105" t="s">
        <v>632</v>
      </c>
      <c r="D832" s="956" t="s">
        <v>121</v>
      </c>
      <c r="E832" s="1195">
        <f>'[14]ETP-2011'!$H$2</f>
        <v>3156</v>
      </c>
      <c r="F832" s="956"/>
      <c r="G832" s="956"/>
      <c r="H832" s="1106">
        <v>7060.85</v>
      </c>
      <c r="I832" s="961">
        <v>5658.1500000000005</v>
      </c>
      <c r="J832" s="961">
        <v>5789.22</v>
      </c>
      <c r="K832" s="961"/>
      <c r="L832" s="961"/>
      <c r="M832" s="961"/>
      <c r="N832" s="961"/>
      <c r="O832" s="961"/>
      <c r="P832" s="961"/>
      <c r="Q832" s="961"/>
      <c r="R832" s="961"/>
      <c r="S832" s="961"/>
      <c r="T832" s="961">
        <f>SUM(H832:S832)</f>
        <v>18508.22</v>
      </c>
      <c r="U832" s="961"/>
      <c r="V832" s="961"/>
      <c r="W832" s="1188"/>
    </row>
    <row r="833" spans="1:23" s="1189" customFormat="1" ht="21" hidden="1">
      <c r="A833" s="956"/>
      <c r="B833" s="956"/>
      <c r="C833" s="1105" t="s">
        <v>633</v>
      </c>
      <c r="D833" s="956" t="s">
        <v>121</v>
      </c>
      <c r="E833" s="1195">
        <f>'[14]ETP-2011'!$H$3</f>
        <v>2996</v>
      </c>
      <c r="F833" s="956"/>
      <c r="G833" s="956"/>
      <c r="H833" s="1106">
        <v>4855.46</v>
      </c>
      <c r="I833" s="961">
        <v>3887.0900000000006</v>
      </c>
      <c r="J833" s="961">
        <v>4037.4099999999994</v>
      </c>
      <c r="K833" s="961"/>
      <c r="L833" s="961"/>
      <c r="M833" s="961"/>
      <c r="N833" s="961"/>
      <c r="O833" s="961"/>
      <c r="P833" s="961"/>
      <c r="Q833" s="961"/>
      <c r="R833" s="961"/>
      <c r="S833" s="961"/>
      <c r="T833" s="961">
        <f>SUM(H833:S833)</f>
        <v>12779.960000000001</v>
      </c>
      <c r="U833" s="961"/>
      <c r="V833" s="961"/>
      <c r="W833" s="1188"/>
    </row>
    <row r="834" spans="1:23" s="1189" customFormat="1" ht="21" hidden="1">
      <c r="A834" s="956"/>
      <c r="B834" s="956"/>
      <c r="C834" s="1105" t="s">
        <v>634</v>
      </c>
      <c r="D834" s="956" t="s">
        <v>121</v>
      </c>
      <c r="E834" s="1195">
        <f>'[14]ETP-2011'!$H$4</f>
        <v>2815</v>
      </c>
      <c r="F834" s="956"/>
      <c r="G834" s="956"/>
      <c r="H834" s="1106">
        <v>3162</v>
      </c>
      <c r="I834" s="961">
        <v>2958</v>
      </c>
      <c r="J834" s="961">
        <v>3162</v>
      </c>
      <c r="K834" s="961"/>
      <c r="L834" s="961"/>
      <c r="M834" s="961"/>
      <c r="N834" s="961"/>
      <c r="O834" s="961"/>
      <c r="P834" s="961"/>
      <c r="Q834" s="961"/>
      <c r="R834" s="961"/>
      <c r="S834" s="961"/>
      <c r="T834" s="961">
        <f>SUM(H834:S834)</f>
        <v>9282</v>
      </c>
      <c r="U834" s="961"/>
      <c r="V834" s="961"/>
      <c r="W834" s="1188"/>
    </row>
    <row r="835" spans="1:23" s="1189" customFormat="1" ht="21" hidden="1">
      <c r="A835" s="956"/>
      <c r="B835" s="956"/>
      <c r="C835" s="1180"/>
      <c r="D835" s="956"/>
      <c r="E835" s="956"/>
      <c r="F835" s="956"/>
      <c r="G835" s="956"/>
      <c r="H835" s="961"/>
      <c r="I835" s="961"/>
      <c r="J835" s="961"/>
      <c r="K835" s="961"/>
      <c r="L835" s="961"/>
      <c r="M835" s="961"/>
      <c r="N835" s="961"/>
      <c r="O835" s="961"/>
      <c r="P835" s="961"/>
      <c r="Q835" s="961"/>
      <c r="R835" s="961"/>
      <c r="S835" s="961"/>
      <c r="T835" s="961"/>
      <c r="U835" s="961"/>
      <c r="V835" s="961"/>
      <c r="W835" s="1188"/>
    </row>
    <row r="836" spans="1:23" ht="21" hidden="1">
      <c r="A836" s="1150"/>
      <c r="B836" s="1196"/>
      <c r="C836" s="1200" t="s">
        <v>635</v>
      </c>
      <c r="D836" s="989" t="s">
        <v>121</v>
      </c>
      <c r="E836" s="1196"/>
      <c r="F836" s="1196"/>
      <c r="G836" s="1150"/>
      <c r="H836" s="993">
        <v>13997.994654</v>
      </c>
      <c r="I836" s="1197">
        <v>11410.359237999999</v>
      </c>
      <c r="J836" s="1197">
        <v>12098.129681</v>
      </c>
      <c r="K836" s="1197"/>
      <c r="L836" s="1197"/>
      <c r="M836" s="1197"/>
      <c r="N836" s="1197"/>
      <c r="O836" s="1197"/>
      <c r="P836" s="1197"/>
      <c r="Q836" s="1197"/>
      <c r="R836" s="1197"/>
      <c r="S836" s="1197"/>
      <c r="T836" s="996">
        <f>SUM(H836:S836)</f>
        <v>37506.483572999998</v>
      </c>
      <c r="U836" s="1198"/>
      <c r="V836" s="1199"/>
      <c r="W836" s="936"/>
    </row>
    <row r="837" spans="1:23" s="1189" customFormat="1" ht="21" hidden="1">
      <c r="A837" s="956"/>
      <c r="B837" s="956"/>
      <c r="C837" s="1180"/>
      <c r="D837" s="956"/>
      <c r="E837" s="956"/>
      <c r="F837" s="956"/>
      <c r="G837" s="956"/>
      <c r="H837" s="961"/>
      <c r="I837" s="961"/>
      <c r="J837" s="961"/>
      <c r="K837" s="961"/>
      <c r="L837" s="961"/>
      <c r="M837" s="961"/>
      <c r="N837" s="961"/>
      <c r="O837" s="961"/>
      <c r="P837" s="961"/>
      <c r="Q837" s="961"/>
      <c r="R837" s="961"/>
      <c r="S837" s="961"/>
      <c r="T837" s="961"/>
      <c r="U837" s="961"/>
      <c r="V837" s="961"/>
      <c r="W837" s="1188"/>
    </row>
    <row r="838" spans="1:23" ht="21" hidden="1">
      <c r="A838" s="1011"/>
      <c r="B838" s="1042"/>
      <c r="C838" s="1043" t="s">
        <v>534</v>
      </c>
      <c r="D838" s="1042"/>
      <c r="E838" s="1042"/>
      <c r="F838" s="1042"/>
      <c r="G838" s="1042"/>
      <c r="H838" s="1044"/>
      <c r="I838" s="1044"/>
      <c r="J838" s="1044"/>
      <c r="K838" s="1044"/>
      <c r="L838" s="1044"/>
      <c r="M838" s="1044"/>
      <c r="N838" s="1044"/>
      <c r="O838" s="1044"/>
      <c r="P838" s="1044"/>
      <c r="Q838" s="1044"/>
      <c r="R838" s="1044"/>
      <c r="S838" s="1044"/>
      <c r="T838" s="1045"/>
      <c r="U838" s="1045"/>
      <c r="V838" s="1046"/>
      <c r="W838" s="936"/>
    </row>
    <row r="839" spans="1:23" ht="21" hidden="1">
      <c r="A839" s="1011"/>
      <c r="B839" s="1042"/>
      <c r="C839" s="1047" t="s">
        <v>636</v>
      </c>
      <c r="D839" s="1042" t="s">
        <v>121</v>
      </c>
      <c r="E839" s="1167">
        <f>'[14]ETP-2011'!$L$3</f>
        <v>210</v>
      </c>
      <c r="F839" s="1042"/>
      <c r="G839" s="1042"/>
      <c r="H839" s="1015">
        <v>6603</v>
      </c>
      <c r="I839" s="1202">
        <v>6157</v>
      </c>
      <c r="J839" s="1202">
        <v>6763</v>
      </c>
      <c r="K839" s="1202"/>
      <c r="L839" s="1202"/>
      <c r="M839" s="1202"/>
      <c r="N839" s="1202"/>
      <c r="O839" s="1202"/>
      <c r="P839" s="1202"/>
      <c r="Q839" s="1202"/>
      <c r="R839" s="1202"/>
      <c r="S839" s="1202"/>
      <c r="T839" s="1202">
        <f>SUM(H839:S839)</f>
        <v>19523</v>
      </c>
      <c r="U839" s="1167"/>
      <c r="V839" s="1042"/>
      <c r="W839" s="936"/>
    </row>
    <row r="840" spans="1:23" ht="21" hidden="1">
      <c r="A840" s="1011"/>
      <c r="B840" s="1042"/>
      <c r="C840" s="1047"/>
      <c r="D840" s="1042"/>
      <c r="E840" s="1042"/>
      <c r="F840" s="1042"/>
      <c r="G840" s="1042"/>
      <c r="H840" s="1042"/>
      <c r="I840" s="1042"/>
      <c r="J840" s="1042"/>
      <c r="K840" s="1042"/>
      <c r="L840" s="1042"/>
      <c r="M840" s="1042"/>
      <c r="N840" s="1042"/>
      <c r="O840" s="1042"/>
      <c r="P840" s="1042"/>
      <c r="Q840" s="1042"/>
      <c r="R840" s="1042"/>
      <c r="S840" s="1042"/>
      <c r="T840" s="1045"/>
      <c r="U840" s="1167"/>
      <c r="V840" s="1042"/>
      <c r="W840" s="936"/>
    </row>
    <row r="841" spans="1:23" ht="21" hidden="1">
      <c r="A841" s="1011"/>
      <c r="B841" s="1042"/>
      <c r="C841" s="1043" t="s">
        <v>536</v>
      </c>
      <c r="D841" s="1042"/>
      <c r="E841" s="1042"/>
      <c r="F841" s="1042"/>
      <c r="G841" s="1042"/>
      <c r="H841" s="1044"/>
      <c r="I841" s="1044"/>
      <c r="J841" s="1044"/>
      <c r="K841" s="1044"/>
      <c r="L841" s="1044"/>
      <c r="M841" s="1044"/>
      <c r="N841" s="1044"/>
      <c r="O841" s="1044"/>
      <c r="P841" s="1044"/>
      <c r="Q841" s="1044"/>
      <c r="R841" s="1044"/>
      <c r="S841" s="1044"/>
      <c r="T841" s="1045"/>
      <c r="U841" s="1045"/>
      <c r="V841" s="1046"/>
      <c r="W841" s="936"/>
    </row>
    <row r="842" spans="1:23" ht="21" hidden="1">
      <c r="A842" s="1011"/>
      <c r="B842" s="1042"/>
      <c r="C842" s="1047" t="s">
        <v>636</v>
      </c>
      <c r="D842" s="1042" t="s">
        <v>173</v>
      </c>
      <c r="E842" s="1042"/>
      <c r="F842" s="1042"/>
      <c r="G842" s="1042"/>
      <c r="H842" s="1044">
        <v>1386.63</v>
      </c>
      <c r="I842" s="1044">
        <v>1292.97</v>
      </c>
      <c r="J842" s="1044">
        <v>1420.23</v>
      </c>
      <c r="K842" s="1044"/>
      <c r="L842" s="1044"/>
      <c r="M842" s="1044"/>
      <c r="N842" s="1044"/>
      <c r="O842" s="1044"/>
      <c r="P842" s="1044"/>
      <c r="Q842" s="1044"/>
      <c r="R842" s="1044"/>
      <c r="S842" s="1044"/>
      <c r="T842" s="1045">
        <f>SUM(H842:S842)</f>
        <v>4099.83</v>
      </c>
      <c r="U842" s="1045"/>
      <c r="V842" s="1046"/>
      <c r="W842" s="936"/>
    </row>
    <row r="843" spans="1:23" ht="21" hidden="1">
      <c r="A843" s="1011"/>
      <c r="B843" s="1042"/>
      <c r="C843" s="1042" t="s">
        <v>537</v>
      </c>
      <c r="D843" s="1042" t="s">
        <v>173</v>
      </c>
      <c r="E843" s="1042"/>
      <c r="F843" s="1042"/>
      <c r="G843" s="1042"/>
      <c r="H843" s="1044">
        <v>1386.63</v>
      </c>
      <c r="I843" s="1044">
        <v>1292.97</v>
      </c>
      <c r="J843" s="1044">
        <v>1420.23</v>
      </c>
      <c r="K843" s="1044"/>
      <c r="L843" s="1044"/>
      <c r="M843" s="1044"/>
      <c r="N843" s="1044"/>
      <c r="O843" s="1044"/>
      <c r="P843" s="1044"/>
      <c r="Q843" s="1044"/>
      <c r="R843" s="1044"/>
      <c r="S843" s="1044"/>
      <c r="T843" s="1045">
        <f>SUM(H843:S843)</f>
        <v>4099.83</v>
      </c>
      <c r="U843" s="1045"/>
      <c r="V843" s="1046"/>
      <c r="W843" s="936"/>
    </row>
    <row r="844" spans="1:23" s="1189" customFormat="1" ht="21" hidden="1">
      <c r="A844" s="956"/>
      <c r="B844" s="956"/>
      <c r="C844" s="1180"/>
      <c r="D844" s="956"/>
      <c r="E844" s="956"/>
      <c r="F844" s="956"/>
      <c r="G844" s="956"/>
      <c r="H844" s="961"/>
      <c r="I844" s="961"/>
      <c r="J844" s="961"/>
      <c r="K844" s="961"/>
      <c r="L844" s="961"/>
      <c r="M844" s="961"/>
      <c r="N844" s="961"/>
      <c r="O844" s="961"/>
      <c r="P844" s="961"/>
      <c r="Q844" s="961"/>
      <c r="R844" s="961"/>
      <c r="S844" s="961"/>
      <c r="T844" s="961"/>
      <c r="U844" s="961"/>
      <c r="V844" s="961"/>
      <c r="W844" s="1188"/>
    </row>
    <row r="845" spans="1:23" s="1189" customFormat="1" ht="21" hidden="1">
      <c r="A845" s="956"/>
      <c r="B845" s="956"/>
      <c r="C845" s="1180" t="s">
        <v>624</v>
      </c>
      <c r="D845" s="956"/>
      <c r="E845" s="956"/>
      <c r="F845" s="956"/>
      <c r="G845" s="956"/>
      <c r="H845" s="961"/>
      <c r="I845" s="961"/>
      <c r="J845" s="961"/>
      <c r="K845" s="961"/>
      <c r="L845" s="961"/>
      <c r="M845" s="961"/>
      <c r="N845" s="961"/>
      <c r="O845" s="961"/>
      <c r="P845" s="961"/>
      <c r="Q845" s="961"/>
      <c r="R845" s="961"/>
      <c r="S845" s="961"/>
      <c r="T845" s="961"/>
      <c r="U845" s="961"/>
      <c r="V845" s="961"/>
      <c r="W845" s="1188"/>
    </row>
    <row r="846" spans="1:23" s="1189" customFormat="1" ht="21" hidden="1">
      <c r="A846" s="956"/>
      <c r="B846" s="956"/>
      <c r="C846" s="1105" t="s">
        <v>138</v>
      </c>
      <c r="D846" s="956" t="s">
        <v>173</v>
      </c>
      <c r="E846" s="956"/>
      <c r="F846" s="956"/>
      <c r="G846" s="956"/>
      <c r="H846" s="961">
        <v>792.49320000000012</v>
      </c>
      <c r="I846" s="961">
        <v>691.17840000000001</v>
      </c>
      <c r="J846" s="961">
        <v>870.44040000000007</v>
      </c>
      <c r="K846" s="961"/>
      <c r="L846" s="961"/>
      <c r="M846" s="961"/>
      <c r="N846" s="961"/>
      <c r="O846" s="961"/>
      <c r="P846" s="961"/>
      <c r="Q846" s="961"/>
      <c r="R846" s="961"/>
      <c r="S846" s="961"/>
      <c r="T846" s="961">
        <f>SUM(H846:S846)</f>
        <v>2354.1120000000001</v>
      </c>
      <c r="U846" s="961"/>
      <c r="V846" s="961"/>
      <c r="W846" s="1188"/>
    </row>
    <row r="847" spans="1:23" s="1189" customFormat="1" ht="21" hidden="1">
      <c r="A847" s="956"/>
      <c r="B847" s="956"/>
      <c r="C847" s="1105" t="s">
        <v>631</v>
      </c>
      <c r="D847" s="956" t="s">
        <v>173</v>
      </c>
      <c r="E847" s="956"/>
      <c r="F847" s="956"/>
      <c r="G847" s="956"/>
      <c r="H847" s="961">
        <v>5068.1279999999997</v>
      </c>
      <c r="I847" s="961">
        <v>4741.152</v>
      </c>
      <c r="J847" s="961">
        <v>5068.1279999999997</v>
      </c>
      <c r="K847" s="961"/>
      <c r="L847" s="961"/>
      <c r="M847" s="961"/>
      <c r="N847" s="961"/>
      <c r="O847" s="961"/>
      <c r="P847" s="961"/>
      <c r="Q847" s="961"/>
      <c r="R847" s="961"/>
      <c r="S847" s="961"/>
      <c r="T847" s="961">
        <f t="shared" ref="T847:T853" si="352">SUM(H847:S847)</f>
        <v>14877.407999999999</v>
      </c>
      <c r="U847" s="961"/>
      <c r="V847" s="961"/>
      <c r="W847" s="1188"/>
    </row>
    <row r="848" spans="1:23" s="1189" customFormat="1" ht="21" hidden="1">
      <c r="A848" s="956"/>
      <c r="B848" s="956"/>
      <c r="C848" s="1105" t="s">
        <v>632</v>
      </c>
      <c r="D848" s="956" t="s">
        <v>173</v>
      </c>
      <c r="E848" s="956"/>
      <c r="F848" s="956"/>
      <c r="G848" s="956"/>
      <c r="H848" s="961">
        <v>22284.042600000001</v>
      </c>
      <c r="I848" s="961">
        <v>17857.121400000004</v>
      </c>
      <c r="J848" s="961">
        <v>18270.778320000001</v>
      </c>
      <c r="K848" s="961"/>
      <c r="L848" s="961"/>
      <c r="M848" s="961"/>
      <c r="N848" s="961"/>
      <c r="O848" s="961"/>
      <c r="P848" s="961"/>
      <c r="Q848" s="961"/>
      <c r="R848" s="961"/>
      <c r="S848" s="961"/>
      <c r="T848" s="961">
        <f t="shared" si="352"/>
        <v>58411.942320000002</v>
      </c>
      <c r="U848" s="961"/>
      <c r="V848" s="961"/>
      <c r="W848" s="1188"/>
    </row>
    <row r="849" spans="1:23" s="1189" customFormat="1" ht="21" hidden="1">
      <c r="A849" s="956"/>
      <c r="B849" s="956"/>
      <c r="C849" s="1105" t="s">
        <v>633</v>
      </c>
      <c r="D849" s="956" t="s">
        <v>173</v>
      </c>
      <c r="E849" s="956"/>
      <c r="F849" s="956"/>
      <c r="G849" s="956"/>
      <c r="H849" s="961">
        <v>14546.95816</v>
      </c>
      <c r="I849" s="961">
        <v>11645.721640000002</v>
      </c>
      <c r="J849" s="961">
        <v>12096.080359999998</v>
      </c>
      <c r="K849" s="961"/>
      <c r="L849" s="961"/>
      <c r="M849" s="961"/>
      <c r="N849" s="961"/>
      <c r="O849" s="961"/>
      <c r="P849" s="961"/>
      <c r="Q849" s="961"/>
      <c r="R849" s="961"/>
      <c r="S849" s="961"/>
      <c r="T849" s="961">
        <f t="shared" si="352"/>
        <v>38288.760159999998</v>
      </c>
      <c r="U849" s="961"/>
      <c r="V849" s="961"/>
      <c r="W849" s="1188"/>
    </row>
    <row r="850" spans="1:23" s="1189" customFormat="1" ht="21" hidden="1">
      <c r="A850" s="956"/>
      <c r="B850" s="956"/>
      <c r="C850" s="1105" t="s">
        <v>634</v>
      </c>
      <c r="D850" s="956" t="s">
        <v>173</v>
      </c>
      <c r="E850" s="956"/>
      <c r="F850" s="956"/>
      <c r="G850" s="956"/>
      <c r="H850" s="961">
        <v>8901.0300000000007</v>
      </c>
      <c r="I850" s="961">
        <v>8326.77</v>
      </c>
      <c r="J850" s="961">
        <v>8901.0300000000007</v>
      </c>
      <c r="K850" s="961"/>
      <c r="L850" s="961"/>
      <c r="M850" s="961"/>
      <c r="N850" s="961"/>
      <c r="O850" s="961"/>
      <c r="P850" s="961"/>
      <c r="Q850" s="961"/>
      <c r="R850" s="961"/>
      <c r="S850" s="961"/>
      <c r="T850" s="961">
        <f t="shared" si="352"/>
        <v>26128.83</v>
      </c>
      <c r="U850" s="961"/>
      <c r="V850" s="961"/>
      <c r="W850" s="1188"/>
    </row>
    <row r="851" spans="1:23" s="1189" customFormat="1" ht="21" hidden="1">
      <c r="A851" s="956"/>
      <c r="B851" s="956"/>
      <c r="C851" s="1204" t="s">
        <v>625</v>
      </c>
      <c r="D851" s="956" t="s">
        <v>173</v>
      </c>
      <c r="E851" s="956"/>
      <c r="F851" s="956"/>
      <c r="G851" s="956"/>
      <c r="H851" s="961">
        <v>51592.651960000003</v>
      </c>
      <c r="I851" s="961">
        <v>43261.943440000003</v>
      </c>
      <c r="J851" s="961">
        <v>45206.45708</v>
      </c>
      <c r="K851" s="961"/>
      <c r="L851" s="961"/>
      <c r="M851" s="961"/>
      <c r="N851" s="961"/>
      <c r="O851" s="961"/>
      <c r="P851" s="961"/>
      <c r="Q851" s="961"/>
      <c r="R851" s="961"/>
      <c r="S851" s="961"/>
      <c r="T851" s="961">
        <f t="shared" si="352"/>
        <v>140061.05248000001</v>
      </c>
      <c r="U851" s="961"/>
      <c r="V851" s="961"/>
      <c r="W851" s="1188"/>
    </row>
    <row r="852" spans="1:23" s="1189" customFormat="1" ht="21" hidden="1">
      <c r="A852" s="956"/>
      <c r="B852" s="956"/>
      <c r="C852" s="1205" t="s">
        <v>626</v>
      </c>
      <c r="D852" s="956" t="s">
        <v>173</v>
      </c>
      <c r="E852" s="956"/>
      <c r="F852" s="956"/>
      <c r="G852" s="956"/>
      <c r="H852" s="961">
        <v>50206.021960000005</v>
      </c>
      <c r="I852" s="961">
        <v>41968.973440000002</v>
      </c>
      <c r="J852" s="961">
        <v>43786.227079999997</v>
      </c>
      <c r="K852" s="961"/>
      <c r="L852" s="961"/>
      <c r="M852" s="961"/>
      <c r="N852" s="961"/>
      <c r="O852" s="961"/>
      <c r="P852" s="961"/>
      <c r="Q852" s="961"/>
      <c r="R852" s="961"/>
      <c r="S852" s="961"/>
      <c r="T852" s="1206">
        <f t="shared" si="352"/>
        <v>135961.22248</v>
      </c>
      <c r="U852" s="961"/>
      <c r="V852" s="961"/>
      <c r="W852" s="1188"/>
    </row>
    <row r="853" spans="1:23" s="1189" customFormat="1" ht="21" hidden="1">
      <c r="A853" s="956"/>
      <c r="B853" s="956"/>
      <c r="C853" s="983" t="s">
        <v>345</v>
      </c>
      <c r="D853" s="964" t="s">
        <v>173</v>
      </c>
      <c r="E853" s="956"/>
      <c r="F853" s="956"/>
      <c r="G853" s="956"/>
      <c r="H853" s="1207">
        <v>51157.89221517367</v>
      </c>
      <c r="I853" s="961">
        <v>45957.286002885354</v>
      </c>
      <c r="J853" s="961">
        <v>46464.1644482911</v>
      </c>
      <c r="K853" s="961"/>
      <c r="L853" s="961"/>
      <c r="M853" s="961"/>
      <c r="N853" s="961"/>
      <c r="O853" s="961"/>
      <c r="P853" s="961"/>
      <c r="Q853" s="961"/>
      <c r="R853" s="961"/>
      <c r="S853" s="961"/>
      <c r="T853" s="1206">
        <f t="shared" si="352"/>
        <v>143579.34266635013</v>
      </c>
      <c r="U853" s="961"/>
      <c r="V853" s="961"/>
      <c r="W853" s="1188"/>
    </row>
    <row r="854" spans="1:23" s="1189" customFormat="1" ht="21" hidden="1">
      <c r="A854" s="956"/>
      <c r="B854" s="1124"/>
      <c r="C854" s="1208" t="s">
        <v>637</v>
      </c>
      <c r="D854" s="1124"/>
      <c r="E854" s="1124"/>
      <c r="F854" s="1124"/>
      <c r="G854" s="1124"/>
      <c r="H854" s="1127"/>
      <c r="I854" s="1127"/>
      <c r="J854" s="1127"/>
      <c r="K854" s="1127"/>
      <c r="L854" s="1127"/>
      <c r="M854" s="1127"/>
      <c r="N854" s="1127"/>
      <c r="O854" s="1127"/>
      <c r="P854" s="1127"/>
      <c r="Q854" s="1127"/>
      <c r="R854" s="1127"/>
      <c r="S854" s="1127"/>
      <c r="T854" s="1127"/>
      <c r="U854" s="1127"/>
      <c r="V854" s="1127"/>
      <c r="W854" s="1188"/>
    </row>
    <row r="855" spans="1:23" s="1189" customFormat="1" ht="21" hidden="1">
      <c r="A855" s="956"/>
      <c r="B855" s="1124"/>
      <c r="C855" s="1209" t="s">
        <v>138</v>
      </c>
      <c r="D855" s="1124" t="s">
        <v>347</v>
      </c>
      <c r="E855" s="1124"/>
      <c r="F855" s="1124"/>
      <c r="G855" s="1124"/>
      <c r="H855" s="1159">
        <v>5.661476658540808E-2</v>
      </c>
      <c r="I855" s="1159">
        <v>6.0574639727219437E-2</v>
      </c>
      <c r="J855" s="1159">
        <v>7.1948344326893648E-2</v>
      </c>
      <c r="K855" s="1159"/>
      <c r="L855" s="1159"/>
      <c r="M855" s="1159"/>
      <c r="N855" s="1159"/>
      <c r="O855" s="1159"/>
      <c r="P855" s="1159"/>
      <c r="Q855" s="1159"/>
      <c r="R855" s="1159"/>
      <c r="S855" s="1159"/>
      <c r="T855" s="1159">
        <f t="shared" ref="T855:T856" si="353">T846/T$836</f>
        <v>6.276546814681043E-2</v>
      </c>
      <c r="U855" s="1127"/>
      <c r="V855" s="1127"/>
      <c r="W855" s="1188"/>
    </row>
    <row r="856" spans="1:23" s="1189" customFormat="1" ht="21" hidden="1">
      <c r="A856" s="956"/>
      <c r="B856" s="1124"/>
      <c r="C856" s="1209" t="s">
        <v>631</v>
      </c>
      <c r="D856" s="1124" t="s">
        <v>347</v>
      </c>
      <c r="E856" s="1124"/>
      <c r="F856" s="1124"/>
      <c r="G856" s="1124"/>
      <c r="H856" s="1159">
        <v>0.36206100411331105</v>
      </c>
      <c r="I856" s="1159">
        <v>0.41551294758630458</v>
      </c>
      <c r="J856" s="1159">
        <v>0.4189183066833419</v>
      </c>
      <c r="K856" s="1159"/>
      <c r="L856" s="1159"/>
      <c r="M856" s="1159"/>
      <c r="N856" s="1159"/>
      <c r="O856" s="1159"/>
      <c r="P856" s="1159"/>
      <c r="Q856" s="1159"/>
      <c r="R856" s="1159"/>
      <c r="S856" s="1159"/>
      <c r="T856" s="1159">
        <f t="shared" si="353"/>
        <v>0.39666229896075572</v>
      </c>
      <c r="U856" s="1127"/>
      <c r="V856" s="1127"/>
      <c r="W856" s="1188"/>
    </row>
    <row r="857" spans="1:23" s="1189" customFormat="1" ht="21" hidden="1">
      <c r="A857" s="956"/>
      <c r="B857" s="1124"/>
      <c r="C857" s="1209" t="s">
        <v>632</v>
      </c>
      <c r="D857" s="1124" t="s">
        <v>347</v>
      </c>
      <c r="E857" s="1124"/>
      <c r="F857" s="1124"/>
      <c r="G857" s="1124"/>
      <c r="H857" s="1159">
        <v>1.5919453572324533</v>
      </c>
      <c r="I857" s="1159">
        <v>1.5649920416642369</v>
      </c>
      <c r="J857" s="1159">
        <v>1.5102151160351742</v>
      </c>
      <c r="K857" s="1159"/>
      <c r="L857" s="1159"/>
      <c r="M857" s="1159"/>
      <c r="N857" s="1159"/>
      <c r="O857" s="1159"/>
      <c r="P857" s="1159"/>
      <c r="Q857" s="1159"/>
      <c r="R857" s="1159"/>
      <c r="S857" s="1159"/>
      <c r="T857" s="1159">
        <f>T848/T$836</f>
        <v>1.5573825311112166</v>
      </c>
      <c r="U857" s="1127"/>
      <c r="V857" s="1127"/>
      <c r="W857" s="1188"/>
    </row>
    <row r="858" spans="1:23" s="1189" customFormat="1" ht="21" hidden="1">
      <c r="A858" s="956"/>
      <c r="B858" s="1124"/>
      <c r="C858" s="1209" t="s">
        <v>633</v>
      </c>
      <c r="D858" s="1124" t="s">
        <v>347</v>
      </c>
      <c r="E858" s="1124"/>
      <c r="F858" s="1124"/>
      <c r="G858" s="1124"/>
      <c r="H858" s="1159">
        <v>1.0392172964463258</v>
      </c>
      <c r="I858" s="1159">
        <v>1.0206270808035713</v>
      </c>
      <c r="J858" s="1159">
        <v>0.99983060844493832</v>
      </c>
      <c r="K858" s="1159"/>
      <c r="L858" s="1159"/>
      <c r="M858" s="1159"/>
      <c r="N858" s="1159"/>
      <c r="O858" s="1159"/>
      <c r="P858" s="1159"/>
      <c r="Q858" s="1159"/>
      <c r="R858" s="1159"/>
      <c r="S858" s="1159"/>
      <c r="T858" s="1159">
        <f>T849/T$836</f>
        <v>1.0208571028920221</v>
      </c>
      <c r="U858" s="1127"/>
      <c r="V858" s="1127"/>
      <c r="W858" s="1188"/>
    </row>
    <row r="859" spans="1:23" s="1189" customFormat="1" ht="21" hidden="1">
      <c r="A859" s="956"/>
      <c r="B859" s="1124"/>
      <c r="C859" s="1209" t="s">
        <v>634</v>
      </c>
      <c r="D859" s="1124" t="s">
        <v>347</v>
      </c>
      <c r="E859" s="1124"/>
      <c r="F859" s="1124"/>
      <c r="G859" s="1124"/>
      <c r="H859" s="1159">
        <v>0.63587893980631616</v>
      </c>
      <c r="I859" s="1159">
        <v>0.72975528870899176</v>
      </c>
      <c r="J859" s="1159">
        <v>0.73573603810669885</v>
      </c>
      <c r="K859" s="1159"/>
      <c r="L859" s="1159"/>
      <c r="M859" s="1159"/>
      <c r="N859" s="1159"/>
      <c r="O859" s="1159"/>
      <c r="P859" s="1159"/>
      <c r="Q859" s="1159"/>
      <c r="R859" s="1159"/>
      <c r="S859" s="1159"/>
      <c r="T859" s="1159">
        <f>T850/T$836</f>
        <v>0.69664835278798332</v>
      </c>
      <c r="U859" s="1127"/>
      <c r="V859" s="1127"/>
      <c r="W859" s="1188"/>
    </row>
    <row r="860" spans="1:23" s="1189" customFormat="1" ht="21" hidden="1">
      <c r="A860" s="956"/>
      <c r="B860" s="1124"/>
      <c r="C860" s="1210" t="s">
        <v>628</v>
      </c>
      <c r="D860" s="1124" t="s">
        <v>347</v>
      </c>
      <c r="E860" s="1124"/>
      <c r="F860" s="1124"/>
      <c r="G860" s="1124"/>
      <c r="H860" s="1159">
        <v>3.6857173641838141</v>
      </c>
      <c r="I860" s="1159">
        <v>3.7914619984903237</v>
      </c>
      <c r="J860" s="1159">
        <v>3.736648413597047</v>
      </c>
      <c r="K860" s="1159"/>
      <c r="L860" s="1159"/>
      <c r="M860" s="1159"/>
      <c r="N860" s="1159"/>
      <c r="O860" s="1159"/>
      <c r="P860" s="1159"/>
      <c r="Q860" s="1159"/>
      <c r="R860" s="1159"/>
      <c r="S860" s="1159"/>
      <c r="T860" s="1159">
        <f>T851/T$836</f>
        <v>3.7343157538987883</v>
      </c>
      <c r="U860" s="1127"/>
      <c r="V860" s="1127"/>
      <c r="W860" s="1188"/>
    </row>
    <row r="861" spans="1:23" s="1189" customFormat="1" ht="23.25" hidden="1">
      <c r="A861" s="956"/>
      <c r="B861" s="1124"/>
      <c r="C861" s="1211" t="s">
        <v>629</v>
      </c>
      <c r="D861" s="1124" t="s">
        <v>347</v>
      </c>
      <c r="E861" s="1124"/>
      <c r="F861" s="1124"/>
      <c r="G861" s="1124"/>
      <c r="H861" s="1159">
        <v>3.5866581750446214</v>
      </c>
      <c r="I861" s="1159">
        <v>3.6781465477642841</v>
      </c>
      <c r="J861" s="1159">
        <v>3.6192558878556129</v>
      </c>
      <c r="K861" s="1159"/>
      <c r="L861" s="1159"/>
      <c r="M861" s="1159"/>
      <c r="N861" s="1159"/>
      <c r="O861" s="1159"/>
      <c r="P861" s="1159"/>
      <c r="Q861" s="1159"/>
      <c r="R861" s="1159"/>
      <c r="S861" s="1159"/>
      <c r="T861" s="1212">
        <f>T852/T$836</f>
        <v>3.6250058530646996</v>
      </c>
      <c r="U861" s="1127"/>
      <c r="V861" s="1127"/>
      <c r="W861" s="1188"/>
    </row>
    <row r="862" spans="1:23" s="1189" customFormat="1" ht="21" hidden="1">
      <c r="A862" s="956"/>
      <c r="B862" s="1124"/>
      <c r="C862" s="1211" t="s">
        <v>630</v>
      </c>
      <c r="D862" s="1124" t="s">
        <v>347</v>
      </c>
      <c r="E862" s="1124"/>
      <c r="F862" s="1124"/>
      <c r="G862" s="1124"/>
      <c r="H862" s="1159">
        <v>98.139348174920826</v>
      </c>
      <c r="I862" s="1159">
        <v>91.321696928241252</v>
      </c>
      <c r="J862" s="1159">
        <v>94.236553266181474</v>
      </c>
      <c r="K862" s="1159"/>
      <c r="L862" s="1159"/>
      <c r="M862" s="1159"/>
      <c r="N862" s="1159"/>
      <c r="O862" s="1159"/>
      <c r="P862" s="1159"/>
      <c r="Q862" s="1159"/>
      <c r="R862" s="1159"/>
      <c r="S862" s="1159"/>
      <c r="T862" s="1159">
        <f t="shared" ref="T862" si="354">T852/T853*100</f>
        <v>94.694139111603874</v>
      </c>
      <c r="U862" s="961"/>
      <c r="V862" s="961"/>
      <c r="W862" s="1188"/>
    </row>
    <row r="863" spans="1:23" s="1189" customFormat="1" ht="21" hidden="1">
      <c r="A863" s="956"/>
      <c r="B863" s="1213">
        <v>25.3</v>
      </c>
      <c r="C863" s="1214" t="s">
        <v>119</v>
      </c>
      <c r="D863" s="956"/>
      <c r="E863" s="956"/>
      <c r="F863" s="956"/>
      <c r="G863" s="956"/>
      <c r="H863" s="961"/>
      <c r="I863" s="961"/>
      <c r="J863" s="961"/>
      <c r="K863" s="961"/>
      <c r="L863" s="961"/>
      <c r="M863" s="961"/>
      <c r="N863" s="961"/>
      <c r="O863" s="961"/>
      <c r="P863" s="961"/>
      <c r="Q863" s="961"/>
      <c r="R863" s="961"/>
      <c r="S863" s="961"/>
      <c r="T863" s="961"/>
      <c r="U863" s="961"/>
      <c r="V863" s="961"/>
      <c r="W863" s="1188"/>
    </row>
    <row r="864" spans="1:23" s="1189" customFormat="1" ht="21" hidden="1">
      <c r="A864" s="956"/>
      <c r="B864" s="956"/>
      <c r="C864" s="1105" t="s">
        <v>138</v>
      </c>
      <c r="D864" s="956" t="s">
        <v>90</v>
      </c>
      <c r="E864" s="1195">
        <v>3.6</v>
      </c>
      <c r="F864" s="956"/>
      <c r="G864" s="956">
        <v>2.59</v>
      </c>
      <c r="H864" s="1106">
        <v>774140</v>
      </c>
      <c r="I864" s="961">
        <v>716440</v>
      </c>
      <c r="J864" s="961">
        <v>768343</v>
      </c>
      <c r="K864" s="961"/>
      <c r="L864" s="961"/>
      <c r="M864" s="961"/>
      <c r="N864" s="961"/>
      <c r="O864" s="961"/>
      <c r="P864" s="961"/>
      <c r="Q864" s="961"/>
      <c r="R864" s="961"/>
      <c r="S864" s="961"/>
      <c r="T864" s="961">
        <f>SUM(H864:S864)</f>
        <v>2258923</v>
      </c>
      <c r="U864" s="961"/>
      <c r="V864" s="961"/>
      <c r="W864" s="1188"/>
    </row>
    <row r="865" spans="1:23" s="1189" customFormat="1" ht="21" hidden="1">
      <c r="A865" s="956"/>
      <c r="B865" s="956"/>
      <c r="C865" s="1105" t="s">
        <v>638</v>
      </c>
      <c r="D865" s="956" t="s">
        <v>121</v>
      </c>
      <c r="E865" s="1195">
        <f>'[14]ETP-2011'!$H$3</f>
        <v>2996</v>
      </c>
      <c r="F865" s="956"/>
      <c r="G865" s="956"/>
      <c r="H865" s="1106">
        <v>11469.989999999998</v>
      </c>
      <c r="I865" s="961">
        <v>10666.52</v>
      </c>
      <c r="J865" s="961">
        <v>11014.68</v>
      </c>
      <c r="K865" s="961"/>
      <c r="L865" s="961"/>
      <c r="M865" s="961"/>
      <c r="N865" s="961"/>
      <c r="O865" s="961"/>
      <c r="P865" s="961"/>
      <c r="Q865" s="961"/>
      <c r="R865" s="961"/>
      <c r="S865" s="961"/>
      <c r="T865" s="961">
        <f>SUM(H865:S865)</f>
        <v>33151.19</v>
      </c>
      <c r="U865" s="961"/>
      <c r="V865" s="961"/>
      <c r="W865" s="1188"/>
    </row>
    <row r="866" spans="1:23" s="1189" customFormat="1" ht="21" hidden="1">
      <c r="A866" s="956"/>
      <c r="B866" s="956"/>
      <c r="C866" s="1180"/>
      <c r="D866" s="956"/>
      <c r="E866" s="956"/>
      <c r="F866" s="956"/>
      <c r="G866" s="956"/>
      <c r="H866" s="961"/>
      <c r="I866" s="961"/>
      <c r="J866" s="961"/>
      <c r="K866" s="961"/>
      <c r="L866" s="961"/>
      <c r="M866" s="961"/>
      <c r="N866" s="961"/>
      <c r="O866" s="961"/>
      <c r="P866" s="961"/>
      <c r="Q866" s="961"/>
      <c r="R866" s="961"/>
      <c r="S866" s="961"/>
      <c r="T866" s="961"/>
      <c r="U866" s="961"/>
      <c r="V866" s="961"/>
      <c r="W866" s="1188"/>
    </row>
    <row r="867" spans="1:23" ht="21" hidden="1">
      <c r="A867" s="1150"/>
      <c r="B867" s="1196"/>
      <c r="C867" s="1200" t="s">
        <v>639</v>
      </c>
      <c r="D867" s="989" t="s">
        <v>121</v>
      </c>
      <c r="E867" s="1196"/>
      <c r="F867" s="1196"/>
      <c r="G867" s="1150"/>
      <c r="H867" s="993">
        <v>4439.25</v>
      </c>
      <c r="I867" s="1197">
        <v>4299.7299999999996</v>
      </c>
      <c r="J867" s="1197">
        <v>4594.0240000000003</v>
      </c>
      <c r="K867" s="1197"/>
      <c r="L867" s="1197"/>
      <c r="M867" s="1197"/>
      <c r="N867" s="1197"/>
      <c r="O867" s="1197"/>
      <c r="P867" s="1197"/>
      <c r="Q867" s="1197"/>
      <c r="R867" s="1197"/>
      <c r="S867" s="1197"/>
      <c r="T867" s="996">
        <f>SUM(H867:S867)</f>
        <v>13333.004000000001</v>
      </c>
      <c r="U867" s="1198"/>
      <c r="V867" s="1199"/>
      <c r="W867" s="936"/>
    </row>
    <row r="868" spans="1:23" s="1189" customFormat="1" ht="21" hidden="1">
      <c r="A868" s="956"/>
      <c r="B868" s="956"/>
      <c r="C868" s="1180"/>
      <c r="D868" s="956"/>
      <c r="E868" s="956"/>
      <c r="F868" s="956"/>
      <c r="G868" s="956"/>
      <c r="H868" s="961"/>
      <c r="I868" s="961"/>
      <c r="J868" s="961"/>
      <c r="K868" s="961"/>
      <c r="L868" s="961"/>
      <c r="M868" s="961"/>
      <c r="N868" s="961"/>
      <c r="O868" s="961"/>
      <c r="P868" s="961"/>
      <c r="Q868" s="961"/>
      <c r="R868" s="961"/>
      <c r="S868" s="961"/>
      <c r="T868" s="961"/>
      <c r="U868" s="961"/>
      <c r="V868" s="961"/>
      <c r="W868" s="1188"/>
    </row>
    <row r="869" spans="1:23" ht="21" hidden="1">
      <c r="A869" s="1011"/>
      <c r="B869" s="1042"/>
      <c r="C869" s="1043" t="s">
        <v>534</v>
      </c>
      <c r="D869" s="1042"/>
      <c r="E869" s="1042"/>
      <c r="F869" s="1042"/>
      <c r="G869" s="1042"/>
      <c r="H869" s="1044"/>
      <c r="I869" s="1044"/>
      <c r="J869" s="1044"/>
      <c r="K869" s="1044"/>
      <c r="L869" s="1044"/>
      <c r="M869" s="1044"/>
      <c r="N869" s="1044"/>
      <c r="O869" s="1044"/>
      <c r="P869" s="1044"/>
      <c r="Q869" s="1044"/>
      <c r="R869" s="1044"/>
      <c r="S869" s="1044"/>
      <c r="T869" s="1045"/>
      <c r="U869" s="1045"/>
      <c r="V869" s="1046"/>
      <c r="W869" s="936"/>
    </row>
    <row r="870" spans="1:23" ht="21" hidden="1">
      <c r="A870" s="1011"/>
      <c r="B870" s="1042"/>
      <c r="C870" s="1047" t="s">
        <v>636</v>
      </c>
      <c r="D870" s="1042" t="s">
        <v>121</v>
      </c>
      <c r="E870" s="1167">
        <f>'[14]ETP-2011'!$L$3</f>
        <v>210</v>
      </c>
      <c r="F870" s="1042"/>
      <c r="G870" s="1042"/>
      <c r="H870" s="1015">
        <v>8560</v>
      </c>
      <c r="I870" s="1202">
        <v>7983</v>
      </c>
      <c r="J870" s="1202">
        <v>8770</v>
      </c>
      <c r="K870" s="1202"/>
      <c r="L870" s="1202"/>
      <c r="M870" s="1202"/>
      <c r="N870" s="1202"/>
      <c r="O870" s="1202"/>
      <c r="P870" s="1202"/>
      <c r="Q870" s="1202"/>
      <c r="R870" s="1202"/>
      <c r="S870" s="1202"/>
      <c r="T870" s="1202">
        <f>SUM(H870:S870)</f>
        <v>25313</v>
      </c>
      <c r="U870" s="1167"/>
      <c r="V870" s="1042"/>
      <c r="W870" s="936"/>
    </row>
    <row r="871" spans="1:23" ht="21" hidden="1">
      <c r="A871" s="1011"/>
      <c r="B871" s="1042"/>
      <c r="C871" s="1047"/>
      <c r="D871" s="1042"/>
      <c r="E871" s="1042"/>
      <c r="F871" s="1042"/>
      <c r="G871" s="1042"/>
      <c r="H871" s="1042"/>
      <c r="I871" s="1042"/>
      <c r="J871" s="1042"/>
      <c r="K871" s="1042"/>
      <c r="L871" s="1042"/>
      <c r="M871" s="1042"/>
      <c r="N871" s="1042"/>
      <c r="O871" s="1042"/>
      <c r="P871" s="1042"/>
      <c r="Q871" s="1042"/>
      <c r="R871" s="1042"/>
      <c r="S871" s="1042"/>
      <c r="T871" s="1045"/>
      <c r="U871" s="1167"/>
      <c r="V871" s="1042"/>
      <c r="W871" s="936"/>
    </row>
    <row r="872" spans="1:23" ht="21" hidden="1">
      <c r="A872" s="1011"/>
      <c r="B872" s="1042"/>
      <c r="C872" s="1043" t="s">
        <v>536</v>
      </c>
      <c r="D872" s="1042"/>
      <c r="E872" s="1042"/>
      <c r="F872" s="1042"/>
      <c r="G872" s="1042"/>
      <c r="H872" s="1044"/>
      <c r="I872" s="1044"/>
      <c r="J872" s="1044"/>
      <c r="K872" s="1044"/>
      <c r="L872" s="1044"/>
      <c r="M872" s="1044"/>
      <c r="N872" s="1044"/>
      <c r="O872" s="1044"/>
      <c r="P872" s="1044"/>
      <c r="Q872" s="1044"/>
      <c r="R872" s="1044"/>
      <c r="S872" s="1044"/>
      <c r="T872" s="1045"/>
      <c r="U872" s="1045"/>
      <c r="V872" s="1046"/>
      <c r="W872" s="936"/>
    </row>
    <row r="873" spans="1:23" ht="21" hidden="1">
      <c r="A873" s="1011"/>
      <c r="B873" s="1042"/>
      <c r="C873" s="1047" t="s">
        <v>636</v>
      </c>
      <c r="D873" s="1042" t="s">
        <v>173</v>
      </c>
      <c r="E873" s="1042"/>
      <c r="F873" s="1042"/>
      <c r="G873" s="1042"/>
      <c r="H873" s="1044">
        <v>1797.6</v>
      </c>
      <c r="I873" s="1044">
        <v>1676.43</v>
      </c>
      <c r="J873" s="1044">
        <v>1841.7</v>
      </c>
      <c r="K873" s="1044"/>
      <c r="L873" s="1044"/>
      <c r="M873" s="1044"/>
      <c r="N873" s="1044"/>
      <c r="O873" s="1044"/>
      <c r="P873" s="1044"/>
      <c r="Q873" s="1044"/>
      <c r="R873" s="1044"/>
      <c r="S873" s="1044"/>
      <c r="T873" s="1045">
        <f>SUM(H873:S873)</f>
        <v>5315.73</v>
      </c>
      <c r="U873" s="1045"/>
      <c r="V873" s="1046"/>
      <c r="W873" s="936"/>
    </row>
    <row r="874" spans="1:23" ht="21" hidden="1">
      <c r="A874" s="1011"/>
      <c r="B874" s="1042"/>
      <c r="C874" s="1042" t="s">
        <v>537</v>
      </c>
      <c r="D874" s="1042" t="s">
        <v>173</v>
      </c>
      <c r="E874" s="1042"/>
      <c r="F874" s="1042"/>
      <c r="G874" s="1042"/>
      <c r="H874" s="1044">
        <v>1797.6</v>
      </c>
      <c r="I874" s="1044">
        <v>1676.43</v>
      </c>
      <c r="J874" s="1044">
        <v>1841.7</v>
      </c>
      <c r="K874" s="1044"/>
      <c r="L874" s="1044"/>
      <c r="M874" s="1044"/>
      <c r="N874" s="1044"/>
      <c r="O874" s="1044"/>
      <c r="P874" s="1044"/>
      <c r="Q874" s="1044"/>
      <c r="R874" s="1044"/>
      <c r="S874" s="1044"/>
      <c r="T874" s="1045">
        <f>SUM(H874:S874)</f>
        <v>5315.73</v>
      </c>
      <c r="U874" s="1045"/>
      <c r="V874" s="1046"/>
      <c r="W874" s="936"/>
    </row>
    <row r="875" spans="1:23" s="1189" customFormat="1" ht="21" hidden="1">
      <c r="A875" s="956"/>
      <c r="B875" s="956"/>
      <c r="C875" s="1180"/>
      <c r="D875" s="956"/>
      <c r="E875" s="956"/>
      <c r="F875" s="956"/>
      <c r="G875" s="956"/>
      <c r="H875" s="961"/>
      <c r="I875" s="961"/>
      <c r="J875" s="961"/>
      <c r="K875" s="961"/>
      <c r="L875" s="961"/>
      <c r="M875" s="961"/>
      <c r="N875" s="961"/>
      <c r="O875" s="961"/>
      <c r="P875" s="961"/>
      <c r="Q875" s="961"/>
      <c r="R875" s="961"/>
      <c r="S875" s="961"/>
      <c r="T875" s="961"/>
      <c r="U875" s="961"/>
      <c r="V875" s="961"/>
      <c r="W875" s="1188"/>
    </row>
    <row r="876" spans="1:23" s="1189" customFormat="1" ht="21" hidden="1">
      <c r="A876" s="956"/>
      <c r="B876" s="956"/>
      <c r="C876" s="1180" t="s">
        <v>624</v>
      </c>
      <c r="D876" s="956"/>
      <c r="E876" s="956"/>
      <c r="F876" s="956"/>
      <c r="G876" s="956"/>
      <c r="H876" s="961"/>
      <c r="I876" s="961"/>
      <c r="J876" s="961"/>
      <c r="K876" s="961"/>
      <c r="L876" s="961"/>
      <c r="M876" s="961"/>
      <c r="N876" s="961"/>
      <c r="O876" s="961"/>
      <c r="P876" s="961"/>
      <c r="Q876" s="961"/>
      <c r="R876" s="961"/>
      <c r="S876" s="961"/>
      <c r="T876" s="961"/>
      <c r="U876" s="961"/>
      <c r="V876" s="961"/>
      <c r="W876" s="1188"/>
    </row>
    <row r="877" spans="1:23" s="1189" customFormat="1" ht="21" hidden="1">
      <c r="A877" s="956"/>
      <c r="B877" s="956"/>
      <c r="C877" s="1105" t="s">
        <v>138</v>
      </c>
      <c r="D877" s="956" t="s">
        <v>173</v>
      </c>
      <c r="E877" s="956"/>
      <c r="F877" s="956"/>
      <c r="G877" s="956"/>
      <c r="H877" s="961">
        <v>2786.904</v>
      </c>
      <c r="I877" s="961">
        <v>2579.1840000000002</v>
      </c>
      <c r="J877" s="961">
        <v>2766.0348000000004</v>
      </c>
      <c r="K877" s="961"/>
      <c r="L877" s="961"/>
      <c r="M877" s="961"/>
      <c r="N877" s="961"/>
      <c r="O877" s="961"/>
      <c r="P877" s="961"/>
      <c r="Q877" s="961"/>
      <c r="R877" s="961"/>
      <c r="S877" s="961"/>
      <c r="T877" s="961">
        <f>SUM(H877:S877)</f>
        <v>8132.1228000000001</v>
      </c>
      <c r="U877" s="961"/>
      <c r="V877" s="961"/>
      <c r="W877" s="1188"/>
    </row>
    <row r="878" spans="1:23" s="1189" customFormat="1" ht="21" hidden="1">
      <c r="A878" s="956"/>
      <c r="B878" s="956"/>
      <c r="C878" s="1105" t="s">
        <v>638</v>
      </c>
      <c r="D878" s="956" t="s">
        <v>173</v>
      </c>
      <c r="E878" s="956"/>
      <c r="F878" s="956"/>
      <c r="G878" s="956"/>
      <c r="H878" s="961">
        <v>34364.090039999988</v>
      </c>
      <c r="I878" s="961">
        <v>31956.893920000002</v>
      </c>
      <c r="J878" s="961">
        <v>32999.98128</v>
      </c>
      <c r="K878" s="961"/>
      <c r="L878" s="961"/>
      <c r="M878" s="961"/>
      <c r="N878" s="961"/>
      <c r="O878" s="961"/>
      <c r="P878" s="961"/>
      <c r="Q878" s="961"/>
      <c r="R878" s="961"/>
      <c r="S878" s="961"/>
      <c r="T878" s="961">
        <f>SUM(H878:S878)</f>
        <v>99320.96523999999</v>
      </c>
      <c r="U878" s="961"/>
      <c r="V878" s="961"/>
      <c r="W878" s="1188"/>
    </row>
    <row r="879" spans="1:23" s="1189" customFormat="1" ht="21" hidden="1">
      <c r="A879" s="956"/>
      <c r="B879" s="956"/>
      <c r="C879" s="1204" t="s">
        <v>625</v>
      </c>
      <c r="D879" s="956" t="s">
        <v>173</v>
      </c>
      <c r="E879" s="956"/>
      <c r="F879" s="956"/>
      <c r="G879" s="956"/>
      <c r="H879" s="961">
        <v>37150.99403999999</v>
      </c>
      <c r="I879" s="961">
        <v>34536.077920000003</v>
      </c>
      <c r="J879" s="961">
        <v>35766.016080000001</v>
      </c>
      <c r="K879" s="961"/>
      <c r="L879" s="961"/>
      <c r="M879" s="961"/>
      <c r="N879" s="961"/>
      <c r="O879" s="961"/>
      <c r="P879" s="961"/>
      <c r="Q879" s="961"/>
      <c r="R879" s="961"/>
      <c r="S879" s="961"/>
      <c r="T879" s="961">
        <f>SUM(H879:S879)</f>
        <v>107453.08804</v>
      </c>
      <c r="U879" s="961"/>
      <c r="V879" s="961"/>
      <c r="W879" s="1188"/>
    </row>
    <row r="880" spans="1:23" s="1189" customFormat="1" ht="21" hidden="1">
      <c r="A880" s="956"/>
      <c r="B880" s="956"/>
      <c r="C880" s="1205" t="s">
        <v>626</v>
      </c>
      <c r="D880" s="956" t="s">
        <v>173</v>
      </c>
      <c r="E880" s="956"/>
      <c r="F880" s="956"/>
      <c r="G880" s="956"/>
      <c r="H880" s="961">
        <v>35353.394039999992</v>
      </c>
      <c r="I880" s="961">
        <v>32859.647920000003</v>
      </c>
      <c r="J880" s="961">
        <v>33924.316080000004</v>
      </c>
      <c r="K880" s="961"/>
      <c r="L880" s="961"/>
      <c r="M880" s="961"/>
      <c r="N880" s="961"/>
      <c r="O880" s="961"/>
      <c r="P880" s="961"/>
      <c r="Q880" s="961"/>
      <c r="R880" s="961"/>
      <c r="S880" s="961"/>
      <c r="T880" s="1206">
        <f>SUM(H880:S880)</f>
        <v>102137.35804000001</v>
      </c>
      <c r="U880" s="961"/>
      <c r="V880" s="961"/>
      <c r="W880" s="1188"/>
    </row>
    <row r="881" spans="1:23" s="1189" customFormat="1" ht="21" hidden="1">
      <c r="A881" s="956"/>
      <c r="B881" s="956"/>
      <c r="C881" s="983" t="s">
        <v>345</v>
      </c>
      <c r="D881" s="964" t="s">
        <v>173</v>
      </c>
      <c r="E881" s="956"/>
      <c r="F881" s="956"/>
      <c r="G881" s="956"/>
      <c r="H881" s="961">
        <v>40610.052756239995</v>
      </c>
      <c r="I881" s="961">
        <v>39198.623694836642</v>
      </c>
      <c r="J881" s="961">
        <v>41957.566164222728</v>
      </c>
      <c r="K881" s="961"/>
      <c r="L881" s="961"/>
      <c r="M881" s="961"/>
      <c r="N881" s="961"/>
      <c r="O881" s="961"/>
      <c r="P881" s="961"/>
      <c r="Q881" s="961"/>
      <c r="R881" s="961"/>
      <c r="S881" s="961"/>
      <c r="T881" s="1206">
        <f>SUM(H881:S881)</f>
        <v>121766.24261529936</v>
      </c>
      <c r="U881" s="961"/>
      <c r="V881" s="961"/>
      <c r="W881" s="1188"/>
    </row>
    <row r="882" spans="1:23" s="1189" customFormat="1" ht="21" hidden="1">
      <c r="A882" s="956"/>
      <c r="B882" s="1124"/>
      <c r="C882" s="1208" t="s">
        <v>640</v>
      </c>
      <c r="D882" s="1124"/>
      <c r="E882" s="1124"/>
      <c r="F882" s="1124"/>
      <c r="G882" s="1124"/>
      <c r="H882" s="1127"/>
      <c r="I882" s="1127"/>
      <c r="J882" s="1127"/>
      <c r="K882" s="1127"/>
      <c r="L882" s="1127"/>
      <c r="M882" s="1127"/>
      <c r="N882" s="1127"/>
      <c r="O882" s="1127"/>
      <c r="P882" s="1127"/>
      <c r="Q882" s="1127"/>
      <c r="R882" s="1127"/>
      <c r="S882" s="1127"/>
      <c r="T882" s="1127"/>
      <c r="U882" s="1127"/>
      <c r="V882" s="1127"/>
      <c r="W882" s="1188"/>
    </row>
    <row r="883" spans="1:23" s="1189" customFormat="1" ht="21" hidden="1">
      <c r="A883" s="956"/>
      <c r="B883" s="1124"/>
      <c r="C883" s="1209" t="s">
        <v>138</v>
      </c>
      <c r="D883" s="1124" t="s">
        <v>347</v>
      </c>
      <c r="E883" s="1124"/>
      <c r="F883" s="1124"/>
      <c r="G883" s="1124"/>
      <c r="H883" s="1159">
        <v>0.62778712620375066</v>
      </c>
      <c r="I883" s="1159">
        <v>0.59984789742611755</v>
      </c>
      <c r="J883" s="1159">
        <v>0.60209411182875838</v>
      </c>
      <c r="K883" s="1159"/>
      <c r="L883" s="1159"/>
      <c r="M883" s="1159"/>
      <c r="N883" s="1159"/>
      <c r="O883" s="1159"/>
      <c r="P883" s="1159"/>
      <c r="Q883" s="1159"/>
      <c r="R883" s="1159"/>
      <c r="S883" s="1159"/>
      <c r="T883" s="1159">
        <f t="shared" ref="T883" si="355">T877/T$867</f>
        <v>0.60992427512959568</v>
      </c>
      <c r="U883" s="1127"/>
      <c r="V883" s="1127"/>
      <c r="W883" s="1188"/>
    </row>
    <row r="884" spans="1:23" s="1189" customFormat="1" ht="21" hidden="1">
      <c r="A884" s="956"/>
      <c r="B884" s="1124"/>
      <c r="C884" s="1209" t="s">
        <v>638</v>
      </c>
      <c r="D884" s="1124" t="s">
        <v>347</v>
      </c>
      <c r="E884" s="1124"/>
      <c r="F884" s="1124"/>
      <c r="G884" s="1124"/>
      <c r="H884" s="1159">
        <v>7.7409675147829002</v>
      </c>
      <c r="I884" s="1159">
        <v>7.4323024748065585</v>
      </c>
      <c r="J884" s="1159">
        <v>7.1832409408396645</v>
      </c>
      <c r="K884" s="1159"/>
      <c r="L884" s="1159"/>
      <c r="M884" s="1159"/>
      <c r="N884" s="1159"/>
      <c r="O884" s="1159"/>
      <c r="P884" s="1159"/>
      <c r="Q884" s="1159"/>
      <c r="R884" s="1159"/>
      <c r="S884" s="1159"/>
      <c r="T884" s="1159">
        <f>T878/T$867</f>
        <v>7.449256389632823</v>
      </c>
      <c r="U884" s="1127"/>
      <c r="V884" s="1127"/>
      <c r="W884" s="1188"/>
    </row>
    <row r="885" spans="1:23" s="1189" customFormat="1" ht="21" hidden="1">
      <c r="A885" s="956"/>
      <c r="B885" s="1124"/>
      <c r="C885" s="1210" t="s">
        <v>628</v>
      </c>
      <c r="D885" s="1124" t="s">
        <v>347</v>
      </c>
      <c r="E885" s="1124"/>
      <c r="F885" s="1124"/>
      <c r="G885" s="1124"/>
      <c r="H885" s="1159">
        <v>8.3687546409866513</v>
      </c>
      <c r="I885" s="1159">
        <v>8.0321503722326764</v>
      </c>
      <c r="J885" s="1159">
        <v>7.7853350526684224</v>
      </c>
      <c r="K885" s="1159"/>
      <c r="L885" s="1159"/>
      <c r="M885" s="1159"/>
      <c r="N885" s="1159"/>
      <c r="O885" s="1159"/>
      <c r="P885" s="1159"/>
      <c r="Q885" s="1159"/>
      <c r="R885" s="1159"/>
      <c r="S885" s="1159"/>
      <c r="T885" s="1159">
        <f>T879/T$867</f>
        <v>8.0591806647624189</v>
      </c>
      <c r="U885" s="1127"/>
      <c r="V885" s="1127"/>
      <c r="W885" s="1188"/>
    </row>
    <row r="886" spans="1:23" s="1189" customFormat="1" ht="23.25" hidden="1">
      <c r="A886" s="956"/>
      <c r="B886" s="1124"/>
      <c r="C886" s="1211" t="s">
        <v>629</v>
      </c>
      <c r="D886" s="1124" t="s">
        <v>347</v>
      </c>
      <c r="E886" s="1124"/>
      <c r="F886" s="1124"/>
      <c r="G886" s="1124"/>
      <c r="H886" s="1159">
        <v>7.9638213752323006</v>
      </c>
      <c r="I886" s="1159">
        <v>7.642258448786321</v>
      </c>
      <c r="J886" s="1159">
        <v>7.3844446785650231</v>
      </c>
      <c r="K886" s="1159"/>
      <c r="L886" s="1159"/>
      <c r="M886" s="1159"/>
      <c r="N886" s="1159"/>
      <c r="O886" s="1159"/>
      <c r="P886" s="1159"/>
      <c r="Q886" s="1159"/>
      <c r="R886" s="1159"/>
      <c r="S886" s="1159"/>
      <c r="T886" s="1212">
        <f>T880/T$867</f>
        <v>7.6604910671293585</v>
      </c>
      <c r="U886" s="1127"/>
      <c r="V886" s="1127"/>
      <c r="W886" s="1188"/>
    </row>
    <row r="887" spans="1:23" s="1189" customFormat="1" ht="21" hidden="1">
      <c r="A887" s="956"/>
      <c r="B887" s="1124"/>
      <c r="C887" s="1211" t="s">
        <v>630</v>
      </c>
      <c r="D887" s="1124" t="s">
        <v>347</v>
      </c>
      <c r="E887" s="1124"/>
      <c r="F887" s="1124"/>
      <c r="G887" s="1124"/>
      <c r="H887" s="1159">
        <v>87.055769792290448</v>
      </c>
      <c r="I887" s="1159">
        <v>83.828575655650823</v>
      </c>
      <c r="J887" s="1159">
        <v>80.853870186892095</v>
      </c>
      <c r="K887" s="1159"/>
      <c r="L887" s="1159"/>
      <c r="M887" s="1159"/>
      <c r="N887" s="1159"/>
      <c r="O887" s="1159"/>
      <c r="P887" s="1159"/>
      <c r="Q887" s="1159"/>
      <c r="R887" s="1159"/>
      <c r="S887" s="1159"/>
      <c r="T887" s="1159">
        <f t="shared" ref="T887" si="356">T880/T881*100</f>
        <v>83.879863455002365</v>
      </c>
      <c r="U887" s="961"/>
      <c r="V887" s="961"/>
      <c r="W887" s="1188"/>
    </row>
    <row r="888" spans="1:23" s="1189" customFormat="1" ht="21" hidden="1">
      <c r="A888" s="956"/>
      <c r="B888" s="1213">
        <v>25.4</v>
      </c>
      <c r="C888" s="1180" t="s">
        <v>150</v>
      </c>
      <c r="D888" s="956"/>
      <c r="E888" s="956"/>
      <c r="F888" s="956"/>
      <c r="G888" s="956"/>
      <c r="H888" s="961"/>
      <c r="I888" s="961"/>
      <c r="J888" s="961"/>
      <c r="K888" s="961"/>
      <c r="L888" s="961"/>
      <c r="M888" s="961"/>
      <c r="N888" s="961"/>
      <c r="O888" s="961"/>
      <c r="P888" s="961"/>
      <c r="Q888" s="961"/>
      <c r="R888" s="961"/>
      <c r="S888" s="961"/>
      <c r="T888" s="961"/>
      <c r="U888" s="961"/>
      <c r="V888" s="961"/>
      <c r="W888" s="1188"/>
    </row>
    <row r="889" spans="1:23" s="1189" customFormat="1" ht="21" hidden="1">
      <c r="A889" s="956"/>
      <c r="B889" s="956"/>
      <c r="C889" s="1105" t="s">
        <v>138</v>
      </c>
      <c r="D889" s="956" t="s">
        <v>90</v>
      </c>
      <c r="E889" s="1195">
        <v>3.6</v>
      </c>
      <c r="F889" s="956"/>
      <c r="G889" s="956">
        <v>2.59</v>
      </c>
      <c r="H889" s="1106">
        <v>39494</v>
      </c>
      <c r="I889" s="961">
        <v>73462</v>
      </c>
      <c r="J889" s="961">
        <v>80003</v>
      </c>
      <c r="K889" s="961"/>
      <c r="L889" s="961"/>
      <c r="M889" s="961"/>
      <c r="N889" s="961"/>
      <c r="O889" s="961"/>
      <c r="P889" s="961"/>
      <c r="Q889" s="961"/>
      <c r="R889" s="961"/>
      <c r="S889" s="961"/>
      <c r="T889" s="961">
        <f>SUM(H889:S889)</f>
        <v>192959</v>
      </c>
      <c r="U889" s="961"/>
      <c r="V889" s="961"/>
      <c r="W889" s="1188"/>
    </row>
    <row r="890" spans="1:23" s="1189" customFormat="1" ht="21" hidden="1">
      <c r="A890" s="956"/>
      <c r="B890" s="956"/>
      <c r="C890" s="1180"/>
      <c r="D890" s="956"/>
      <c r="E890" s="956"/>
      <c r="F890" s="956"/>
      <c r="G890" s="956"/>
      <c r="H890" s="961"/>
      <c r="I890" s="961"/>
      <c r="J890" s="961"/>
      <c r="K890" s="961"/>
      <c r="L890" s="961"/>
      <c r="M890" s="961"/>
      <c r="N890" s="961"/>
      <c r="O890" s="961"/>
      <c r="P890" s="961"/>
      <c r="Q890" s="961"/>
      <c r="R890" s="961"/>
      <c r="S890" s="961"/>
      <c r="T890" s="961"/>
      <c r="U890" s="961"/>
      <c r="V890" s="961"/>
      <c r="W890" s="1188"/>
    </row>
    <row r="891" spans="1:23" ht="21" hidden="1">
      <c r="A891" s="1150"/>
      <c r="B891" s="1196"/>
      <c r="C891" s="1200" t="s">
        <v>641</v>
      </c>
      <c r="D891" s="989" t="s">
        <v>121</v>
      </c>
      <c r="E891" s="1196"/>
      <c r="F891" s="1196"/>
      <c r="G891" s="1150"/>
      <c r="H891" s="993">
        <v>296.74400000000003</v>
      </c>
      <c r="I891" s="1197">
        <v>274.38</v>
      </c>
      <c r="J891" s="1197">
        <v>290.72000000000003</v>
      </c>
      <c r="K891" s="1197"/>
      <c r="L891" s="1197"/>
      <c r="M891" s="1197"/>
      <c r="N891" s="1197"/>
      <c r="O891" s="1197"/>
      <c r="P891" s="1197"/>
      <c r="Q891" s="1197"/>
      <c r="R891" s="1197"/>
      <c r="S891" s="1197"/>
      <c r="T891" s="996">
        <f>SUM(H891:S891)</f>
        <v>861.84400000000005</v>
      </c>
      <c r="U891" s="1198"/>
      <c r="V891" s="1199"/>
      <c r="W891" s="936"/>
    </row>
    <row r="892" spans="1:23" s="1189" customFormat="1" ht="21" hidden="1">
      <c r="A892" s="956"/>
      <c r="B892" s="956"/>
      <c r="C892" s="1180"/>
      <c r="D892" s="956"/>
      <c r="E892" s="956"/>
      <c r="F892" s="956"/>
      <c r="G892" s="956"/>
      <c r="H892" s="961"/>
      <c r="I892" s="961"/>
      <c r="J892" s="961"/>
      <c r="K892" s="961"/>
      <c r="L892" s="961"/>
      <c r="M892" s="961"/>
      <c r="N892" s="961"/>
      <c r="O892" s="961"/>
      <c r="P892" s="961"/>
      <c r="Q892" s="961"/>
      <c r="R892" s="961"/>
      <c r="S892" s="961"/>
      <c r="T892" s="961"/>
      <c r="U892" s="961"/>
      <c r="V892" s="961"/>
      <c r="W892" s="1188"/>
    </row>
    <row r="893" spans="1:23" s="1189" customFormat="1" ht="21" hidden="1">
      <c r="A893" s="956"/>
      <c r="B893" s="956"/>
      <c r="C893" s="1180"/>
      <c r="D893" s="956"/>
      <c r="E893" s="956"/>
      <c r="F893" s="956"/>
      <c r="G893" s="956"/>
      <c r="H893" s="961"/>
      <c r="I893" s="961"/>
      <c r="J893" s="961"/>
      <c r="K893" s="961"/>
      <c r="L893" s="961"/>
      <c r="M893" s="961"/>
      <c r="N893" s="961"/>
      <c r="O893" s="961"/>
      <c r="P893" s="961"/>
      <c r="Q893" s="961"/>
      <c r="R893" s="961"/>
      <c r="S893" s="961"/>
      <c r="T893" s="961"/>
      <c r="U893" s="961"/>
      <c r="V893" s="961"/>
      <c r="W893" s="1188"/>
    </row>
    <row r="894" spans="1:23" s="1189" customFormat="1" ht="21" hidden="1">
      <c r="A894" s="956"/>
      <c r="B894" s="956"/>
      <c r="C894" s="1180" t="s">
        <v>624</v>
      </c>
      <c r="D894" s="956"/>
      <c r="E894" s="956"/>
      <c r="F894" s="956"/>
      <c r="G894" s="956"/>
      <c r="H894" s="961"/>
      <c r="I894" s="961"/>
      <c r="J894" s="961"/>
      <c r="K894" s="961"/>
      <c r="L894" s="961"/>
      <c r="M894" s="961"/>
      <c r="N894" s="961"/>
      <c r="O894" s="961"/>
      <c r="P894" s="961"/>
      <c r="Q894" s="961"/>
      <c r="R894" s="961"/>
      <c r="S894" s="961"/>
      <c r="T894" s="961"/>
      <c r="U894" s="961"/>
      <c r="V894" s="961"/>
      <c r="W894" s="1188"/>
    </row>
    <row r="895" spans="1:23" s="1189" customFormat="1" ht="21" hidden="1">
      <c r="A895" s="956"/>
      <c r="B895" s="956"/>
      <c r="C895" s="1105" t="s">
        <v>138</v>
      </c>
      <c r="D895" s="956" t="s">
        <v>173</v>
      </c>
      <c r="E895" s="956"/>
      <c r="F895" s="956"/>
      <c r="G895" s="956"/>
      <c r="H895" s="961">
        <v>142.17839999999998</v>
      </c>
      <c r="I895" s="961">
        <v>264.46320000000003</v>
      </c>
      <c r="J895" s="961">
        <v>288.01079999999996</v>
      </c>
      <c r="K895" s="961"/>
      <c r="L895" s="961"/>
      <c r="M895" s="961"/>
      <c r="N895" s="961"/>
      <c r="O895" s="961"/>
      <c r="P895" s="961"/>
      <c r="Q895" s="961"/>
      <c r="R895" s="961"/>
      <c r="S895" s="961"/>
      <c r="T895" s="961">
        <f>SUM(H895:S895)</f>
        <v>694.65239999999994</v>
      </c>
      <c r="U895" s="961"/>
      <c r="V895" s="961"/>
      <c r="W895" s="1188"/>
    </row>
    <row r="896" spans="1:23" s="1189" customFormat="1" ht="21" hidden="1">
      <c r="A896" s="956"/>
      <c r="B896" s="956"/>
      <c r="C896" s="1172" t="s">
        <v>625</v>
      </c>
      <c r="D896" s="956" t="s">
        <v>173</v>
      </c>
      <c r="E896" s="956"/>
      <c r="F896" s="956"/>
      <c r="G896" s="956"/>
      <c r="H896" s="961">
        <v>142.17839999999998</v>
      </c>
      <c r="I896" s="961">
        <v>264.46320000000003</v>
      </c>
      <c r="J896" s="961">
        <v>288.01079999999996</v>
      </c>
      <c r="K896" s="961"/>
      <c r="L896" s="961"/>
      <c r="M896" s="961"/>
      <c r="N896" s="961"/>
      <c r="O896" s="961"/>
      <c r="P896" s="961"/>
      <c r="Q896" s="961"/>
      <c r="R896" s="961"/>
      <c r="S896" s="961"/>
      <c r="T896" s="961">
        <f>SUM(H896:S896)</f>
        <v>694.65239999999994</v>
      </c>
      <c r="U896" s="961"/>
      <c r="V896" s="961"/>
      <c r="W896" s="1188"/>
    </row>
    <row r="897" spans="1:23" s="1189" customFormat="1" ht="21" hidden="1">
      <c r="A897" s="956"/>
      <c r="B897" s="956"/>
      <c r="C897" s="983" t="s">
        <v>345</v>
      </c>
      <c r="D897" s="964" t="s">
        <v>173</v>
      </c>
      <c r="E897" s="956"/>
      <c r="F897" s="956"/>
      <c r="G897" s="956"/>
      <c r="H897" s="961">
        <v>326.47989156351997</v>
      </c>
      <c r="I897" s="961">
        <v>307.03122000000002</v>
      </c>
      <c r="J897" s="961">
        <v>322.23630837760004</v>
      </c>
      <c r="K897" s="961"/>
      <c r="L897" s="961"/>
      <c r="M897" s="961"/>
      <c r="N897" s="961"/>
      <c r="O897" s="961"/>
      <c r="P897" s="961"/>
      <c r="Q897" s="961"/>
      <c r="R897" s="961"/>
      <c r="S897" s="961"/>
      <c r="T897" s="961">
        <f>SUM(H897:S897)</f>
        <v>955.74741994112003</v>
      </c>
      <c r="U897" s="961"/>
      <c r="V897" s="961"/>
      <c r="W897" s="1188"/>
    </row>
    <row r="898" spans="1:23" s="1189" customFormat="1" ht="21" hidden="1">
      <c r="A898" s="956"/>
      <c r="B898" s="1124"/>
      <c r="C898" s="1208" t="s">
        <v>640</v>
      </c>
      <c r="D898" s="1124"/>
      <c r="E898" s="1124"/>
      <c r="F898" s="1124"/>
      <c r="G898" s="1124"/>
      <c r="H898" s="1127"/>
      <c r="I898" s="1127"/>
      <c r="J898" s="1127"/>
      <c r="K898" s="1127"/>
      <c r="L898" s="1127"/>
      <c r="M898" s="1127"/>
      <c r="N898" s="1127"/>
      <c r="O898" s="1127"/>
      <c r="P898" s="1127"/>
      <c r="Q898" s="1127"/>
      <c r="R898" s="1127"/>
      <c r="S898" s="1127"/>
      <c r="T898" s="1127"/>
      <c r="U898" s="1127"/>
      <c r="V898" s="1127"/>
      <c r="W898" s="1188"/>
    </row>
    <row r="899" spans="1:23" s="1189" customFormat="1" ht="21" hidden="1">
      <c r="A899" s="956"/>
      <c r="B899" s="1124"/>
      <c r="C899" s="1209" t="s">
        <v>138</v>
      </c>
      <c r="D899" s="1124" t="s">
        <v>347</v>
      </c>
      <c r="E899" s="1124"/>
      <c r="F899" s="1124"/>
      <c r="G899" s="1124"/>
      <c r="H899" s="1159">
        <v>0.47912813738441207</v>
      </c>
      <c r="I899" s="1159">
        <v>0.96385742401049657</v>
      </c>
      <c r="J899" s="1159">
        <v>0.99068106769400088</v>
      </c>
      <c r="K899" s="1159"/>
      <c r="L899" s="1159"/>
      <c r="M899" s="1159"/>
      <c r="N899" s="1159"/>
      <c r="O899" s="1159"/>
      <c r="P899" s="1159"/>
      <c r="Q899" s="1159"/>
      <c r="R899" s="1159"/>
      <c r="S899" s="1159"/>
      <c r="T899" s="1159">
        <f t="shared" ref="T899" si="357">T895/T$891</f>
        <v>0.80600711961793536</v>
      </c>
      <c r="U899" s="1127"/>
      <c r="V899" s="1127"/>
      <c r="W899" s="1188"/>
    </row>
    <row r="900" spans="1:23" s="1189" customFormat="1" ht="23.25" hidden="1">
      <c r="A900" s="956"/>
      <c r="B900" s="1124"/>
      <c r="C900" s="1210" t="s">
        <v>628</v>
      </c>
      <c r="D900" s="1124" t="s">
        <v>347</v>
      </c>
      <c r="E900" s="1124"/>
      <c r="F900" s="1124"/>
      <c r="G900" s="1124"/>
      <c r="H900" s="1159">
        <v>0.47912813738441207</v>
      </c>
      <c r="I900" s="1159">
        <v>0.96385742401049657</v>
      </c>
      <c r="J900" s="1159">
        <v>0.99068106769400088</v>
      </c>
      <c r="K900" s="1159"/>
      <c r="L900" s="1159"/>
      <c r="M900" s="1159"/>
      <c r="N900" s="1159"/>
      <c r="O900" s="1159"/>
      <c r="P900" s="1159"/>
      <c r="Q900" s="1159"/>
      <c r="R900" s="1159"/>
      <c r="S900" s="1159"/>
      <c r="T900" s="1212">
        <f>T896/T$891</f>
        <v>0.80600711961793536</v>
      </c>
      <c r="U900" s="1127"/>
      <c r="V900" s="1127"/>
      <c r="W900" s="1188"/>
    </row>
    <row r="901" spans="1:23" s="1189" customFormat="1" ht="21" hidden="1">
      <c r="A901" s="956"/>
      <c r="B901" s="1124"/>
      <c r="C901" s="1210" t="s">
        <v>642</v>
      </c>
      <c r="D901" s="1124" t="s">
        <v>347</v>
      </c>
      <c r="E901" s="1124"/>
      <c r="F901" s="1124"/>
      <c r="G901" s="1124"/>
      <c r="H901" s="1159">
        <v>43.548899541440129</v>
      </c>
      <c r="I901" s="1159">
        <v>86.135605362868318</v>
      </c>
      <c r="J901" s="1159">
        <v>89.378754818189435</v>
      </c>
      <c r="K901" s="1159"/>
      <c r="L901" s="1159"/>
      <c r="M901" s="1159"/>
      <c r="N901" s="1159"/>
      <c r="O901" s="1159"/>
      <c r="P901" s="1159"/>
      <c r="Q901" s="1159"/>
      <c r="R901" s="1159"/>
      <c r="S901" s="1159"/>
      <c r="T901" s="1159">
        <f t="shared" ref="T901" si="358">T896/T897*100</f>
        <v>72.681587782135466</v>
      </c>
      <c r="U901" s="961"/>
      <c r="V901" s="961"/>
      <c r="W901" s="1188"/>
    </row>
    <row r="902" spans="1:23" s="1189" customFormat="1" ht="21" hidden="1">
      <c r="A902" s="956"/>
      <c r="B902" s="1172">
        <v>25.5</v>
      </c>
      <c r="C902" s="1215" t="s">
        <v>643</v>
      </c>
      <c r="D902" s="956"/>
      <c r="E902" s="956"/>
      <c r="F902" s="956"/>
      <c r="G902" s="956"/>
      <c r="H902" s="961"/>
      <c r="I902" s="961"/>
      <c r="J902" s="961"/>
      <c r="K902" s="961"/>
      <c r="L902" s="961"/>
      <c r="M902" s="961"/>
      <c r="N902" s="961"/>
      <c r="O902" s="961"/>
      <c r="P902" s="961"/>
      <c r="Q902" s="961"/>
      <c r="R902" s="961"/>
      <c r="S902" s="961"/>
      <c r="T902" s="961"/>
      <c r="U902" s="961"/>
      <c r="V902" s="961"/>
      <c r="W902" s="1188"/>
    </row>
    <row r="903" spans="1:23" s="1189" customFormat="1" ht="21" hidden="1">
      <c r="A903" s="956"/>
      <c r="B903" s="956"/>
      <c r="C903" s="1105" t="s">
        <v>138</v>
      </c>
      <c r="D903" s="956" t="s">
        <v>90</v>
      </c>
      <c r="E903" s="1195">
        <v>3.6</v>
      </c>
      <c r="F903" s="956"/>
      <c r="G903" s="956">
        <v>2.59</v>
      </c>
      <c r="H903" s="1106">
        <v>1805300</v>
      </c>
      <c r="I903" s="961">
        <v>1609200</v>
      </c>
      <c r="J903" s="961">
        <v>1145900</v>
      </c>
      <c r="K903" s="961"/>
      <c r="L903" s="961"/>
      <c r="M903" s="961"/>
      <c r="N903" s="961"/>
      <c r="O903" s="961"/>
      <c r="P903" s="961"/>
      <c r="Q903" s="961"/>
      <c r="R903" s="961"/>
      <c r="S903" s="961"/>
      <c r="T903" s="961">
        <f t="shared" ref="T903:T910" si="359">SUM(H903:S903)</f>
        <v>4560400</v>
      </c>
      <c r="U903" s="961"/>
      <c r="V903" s="961"/>
      <c r="W903" s="1188"/>
    </row>
    <row r="904" spans="1:23" s="1189" customFormat="1" ht="21" hidden="1">
      <c r="A904" s="956"/>
      <c r="B904" s="956"/>
      <c r="C904" s="1105" t="s">
        <v>644</v>
      </c>
      <c r="D904" s="956" t="s">
        <v>121</v>
      </c>
      <c r="E904" s="1195">
        <f>'[14]ETP-2011'!$D$3</f>
        <v>40070</v>
      </c>
      <c r="F904" s="956"/>
      <c r="G904" s="956"/>
      <c r="H904" s="1106">
        <v>2810.654</v>
      </c>
      <c r="I904" s="961">
        <v>2504.7040000000002</v>
      </c>
      <c r="J904" s="961">
        <v>3015.1713540000001</v>
      </c>
      <c r="K904" s="961"/>
      <c r="L904" s="961"/>
      <c r="M904" s="961"/>
      <c r="N904" s="961"/>
      <c r="O904" s="961"/>
      <c r="P904" s="961"/>
      <c r="Q904" s="961"/>
      <c r="R904" s="961"/>
      <c r="S904" s="961"/>
      <c r="T904" s="961">
        <f t="shared" si="359"/>
        <v>8330.5293540000002</v>
      </c>
      <c r="U904" s="961"/>
      <c r="V904" s="961"/>
      <c r="W904" s="1188"/>
    </row>
    <row r="905" spans="1:23" s="1189" customFormat="1" ht="21" hidden="1">
      <c r="A905" s="956"/>
      <c r="B905" s="956"/>
      <c r="C905" s="1105" t="s">
        <v>874</v>
      </c>
      <c r="D905" s="956" t="s">
        <v>121</v>
      </c>
      <c r="E905" s="1195">
        <f>'[14]ETP-2011'!$D$4</f>
        <v>44040</v>
      </c>
      <c r="F905" s="956"/>
      <c r="G905" s="956"/>
      <c r="H905" s="1106">
        <v>812.67499999999995</v>
      </c>
      <c r="I905" s="961">
        <v>982.91899999999987</v>
      </c>
      <c r="J905" s="961">
        <v>1059.595</v>
      </c>
      <c r="K905" s="961"/>
      <c r="L905" s="961"/>
      <c r="M905" s="961"/>
      <c r="N905" s="961"/>
      <c r="O905" s="961"/>
      <c r="P905" s="961"/>
      <c r="Q905" s="961"/>
      <c r="R905" s="961"/>
      <c r="S905" s="961"/>
      <c r="T905" s="961">
        <f t="shared" si="359"/>
        <v>2855.1889999999999</v>
      </c>
      <c r="U905" s="961"/>
      <c r="V905" s="961"/>
      <c r="W905" s="1188"/>
    </row>
    <row r="906" spans="1:23" s="1189" customFormat="1" ht="21" hidden="1">
      <c r="A906" s="956"/>
      <c r="B906" s="956"/>
      <c r="C906" s="1105" t="s">
        <v>645</v>
      </c>
      <c r="D906" s="956" t="s">
        <v>121</v>
      </c>
      <c r="E906" s="1195">
        <f>'[14]ETP-2011'!$D$1</f>
        <v>54070</v>
      </c>
      <c r="F906" s="1195">
        <v>52000</v>
      </c>
      <c r="G906" s="956"/>
      <c r="H906" s="1106">
        <v>2200.3000000000002</v>
      </c>
      <c r="I906" s="961">
        <v>2137.2000000000007</v>
      </c>
      <c r="J906" s="961">
        <v>2465.6</v>
      </c>
      <c r="K906" s="961"/>
      <c r="L906" s="961"/>
      <c r="M906" s="961"/>
      <c r="N906" s="961"/>
      <c r="O906" s="961"/>
      <c r="P906" s="961"/>
      <c r="Q906" s="961"/>
      <c r="R906" s="961"/>
      <c r="S906" s="961"/>
      <c r="T906" s="961">
        <f t="shared" si="359"/>
        <v>6803.1</v>
      </c>
      <c r="U906" s="961"/>
      <c r="V906" s="961"/>
      <c r="W906" s="1188"/>
    </row>
    <row r="907" spans="1:23" s="1189" customFormat="1" ht="21" hidden="1">
      <c r="A907" s="956"/>
      <c r="B907" s="956"/>
      <c r="C907" s="1105" t="s">
        <v>646</v>
      </c>
      <c r="D907" s="956" t="s">
        <v>121</v>
      </c>
      <c r="E907" s="1195">
        <f>'[14]ETP-2011'!$D$2</f>
        <v>39960</v>
      </c>
      <c r="F907" s="956"/>
      <c r="G907" s="956"/>
      <c r="H907" s="1106">
        <v>1085.1000000000001</v>
      </c>
      <c r="I907" s="961">
        <v>1047.3000000000002</v>
      </c>
      <c r="J907" s="961">
        <v>1245.6999999999996</v>
      </c>
      <c r="K907" s="961"/>
      <c r="L907" s="961"/>
      <c r="M907" s="961"/>
      <c r="N907" s="961"/>
      <c r="O907" s="961"/>
      <c r="P907" s="961"/>
      <c r="Q907" s="961"/>
      <c r="R907" s="961"/>
      <c r="S907" s="961"/>
      <c r="T907" s="961">
        <f t="shared" si="359"/>
        <v>3378.1000000000004</v>
      </c>
      <c r="U907" s="961"/>
      <c r="V907" s="961"/>
      <c r="W907" s="1188"/>
    </row>
    <row r="908" spans="1:23" s="1189" customFormat="1" ht="21" hidden="1">
      <c r="A908" s="956"/>
      <c r="B908" s="956"/>
      <c r="C908" s="1105" t="s">
        <v>647</v>
      </c>
      <c r="D908" s="956" t="s">
        <v>121</v>
      </c>
      <c r="E908" s="1195">
        <f>'[14]ETP-2011'!$L$1</f>
        <v>487</v>
      </c>
      <c r="F908" s="956"/>
      <c r="G908" s="956"/>
      <c r="H908" s="1106">
        <v>110878</v>
      </c>
      <c r="I908" s="961">
        <v>105369</v>
      </c>
      <c r="J908" s="961">
        <v>122088</v>
      </c>
      <c r="K908" s="961"/>
      <c r="L908" s="961"/>
      <c r="M908" s="961"/>
      <c r="N908" s="961"/>
      <c r="O908" s="961"/>
      <c r="P908" s="961"/>
      <c r="Q908" s="961"/>
      <c r="R908" s="961"/>
      <c r="S908" s="961"/>
      <c r="T908" s="961">
        <f t="shared" si="359"/>
        <v>338335</v>
      </c>
      <c r="U908" s="961"/>
      <c r="V908" s="961"/>
      <c r="W908" s="1188"/>
    </row>
    <row r="909" spans="1:23" s="1189" customFormat="1" ht="21" hidden="1">
      <c r="A909" s="956"/>
      <c r="B909" s="956"/>
      <c r="C909" s="1105" t="s">
        <v>648</v>
      </c>
      <c r="D909" s="956" t="s">
        <v>121</v>
      </c>
      <c r="E909" s="1195">
        <f>'[14]ETP-2011'!$H$3</f>
        <v>2996</v>
      </c>
      <c r="F909" s="956"/>
      <c r="G909" s="956"/>
      <c r="H909" s="1216">
        <v>18652</v>
      </c>
      <c r="I909" s="961">
        <v>18886</v>
      </c>
      <c r="J909" s="961">
        <v>29837</v>
      </c>
      <c r="K909" s="961"/>
      <c r="L909" s="961"/>
      <c r="M909" s="961"/>
      <c r="N909" s="961"/>
      <c r="O909" s="961"/>
      <c r="P909" s="961"/>
      <c r="Q909" s="961"/>
      <c r="R909" s="961"/>
      <c r="S909" s="961"/>
      <c r="T909" s="961">
        <f t="shared" si="359"/>
        <v>67375</v>
      </c>
      <c r="U909" s="961"/>
      <c r="V909" s="961"/>
      <c r="W909" s="1188"/>
    </row>
    <row r="910" spans="1:23" s="1189" customFormat="1" ht="21" hidden="1">
      <c r="A910" s="956"/>
      <c r="B910" s="956"/>
      <c r="C910" s="1105" t="s">
        <v>649</v>
      </c>
      <c r="D910" s="956" t="s">
        <v>121</v>
      </c>
      <c r="E910" s="1195">
        <f>'[14]ETP-2011'!$H$4</f>
        <v>2815</v>
      </c>
      <c r="F910" s="956"/>
      <c r="G910" s="956" t="s">
        <v>650</v>
      </c>
      <c r="H910" s="1106">
        <v>358</v>
      </c>
      <c r="I910" s="961">
        <v>273</v>
      </c>
      <c r="J910" s="961">
        <v>261</v>
      </c>
      <c r="K910" s="961"/>
      <c r="L910" s="961"/>
      <c r="M910" s="961"/>
      <c r="N910" s="961"/>
      <c r="O910" s="961"/>
      <c r="P910" s="961"/>
      <c r="Q910" s="961"/>
      <c r="R910" s="961"/>
      <c r="S910" s="961"/>
      <c r="T910" s="961">
        <f t="shared" si="359"/>
        <v>892</v>
      </c>
      <c r="U910" s="961"/>
      <c r="V910" s="961"/>
      <c r="W910" s="1188"/>
    </row>
    <row r="911" spans="1:23" s="1189" customFormat="1" ht="21" hidden="1">
      <c r="A911" s="956"/>
      <c r="B911" s="956"/>
      <c r="C911" s="1180"/>
      <c r="D911" s="956"/>
      <c r="E911" s="956"/>
      <c r="F911" s="956"/>
      <c r="G911" s="956"/>
      <c r="H911" s="961"/>
      <c r="I911" s="961"/>
      <c r="J911" s="961"/>
      <c r="K911" s="961"/>
      <c r="L911" s="961"/>
      <c r="M911" s="961"/>
      <c r="N911" s="961"/>
      <c r="O911" s="961"/>
      <c r="P911" s="961"/>
      <c r="Q911" s="961"/>
      <c r="R911" s="961"/>
      <c r="S911" s="961"/>
      <c r="T911" s="961"/>
      <c r="U911" s="961"/>
      <c r="V911" s="961"/>
      <c r="W911" s="1188"/>
    </row>
    <row r="912" spans="1:23" ht="21" hidden="1">
      <c r="A912" s="1150"/>
      <c r="B912" s="1196"/>
      <c r="C912" s="1200" t="s">
        <v>651</v>
      </c>
      <c r="D912" s="989" t="s">
        <v>121</v>
      </c>
      <c r="E912" s="1196"/>
      <c r="F912" s="1196"/>
      <c r="G912" s="1150"/>
      <c r="H912" s="993">
        <v>108808</v>
      </c>
      <c r="I912" s="1197">
        <v>103207</v>
      </c>
      <c r="J912" s="1197">
        <v>120011</v>
      </c>
      <c r="K912" s="1197"/>
      <c r="L912" s="1197"/>
      <c r="M912" s="1197"/>
      <c r="N912" s="1197"/>
      <c r="O912" s="1197"/>
      <c r="P912" s="1197"/>
      <c r="Q912" s="1197"/>
      <c r="R912" s="1197"/>
      <c r="S912" s="1197"/>
      <c r="T912" s="996">
        <f>SUM(H912:S912)</f>
        <v>332026</v>
      </c>
      <c r="U912" s="1198"/>
      <c r="V912" s="1199"/>
      <c r="W912" s="936"/>
    </row>
    <row r="913" spans="1:23" s="1189" customFormat="1" ht="21" hidden="1">
      <c r="A913" s="956"/>
      <c r="B913" s="956"/>
      <c r="C913" s="1180"/>
      <c r="D913" s="956"/>
      <c r="E913" s="956"/>
      <c r="F913" s="956"/>
      <c r="G913" s="956"/>
      <c r="H913" s="961"/>
      <c r="I913" s="961"/>
      <c r="J913" s="961"/>
      <c r="K913" s="961"/>
      <c r="L913" s="961"/>
      <c r="M913" s="961"/>
      <c r="N913" s="961"/>
      <c r="O913" s="961"/>
      <c r="P913" s="961"/>
      <c r="Q913" s="961"/>
      <c r="R913" s="961"/>
      <c r="S913" s="961"/>
      <c r="T913" s="961"/>
      <c r="U913" s="961"/>
      <c r="V913" s="961"/>
      <c r="W913" s="1188"/>
    </row>
    <row r="914" spans="1:23" ht="21" hidden="1">
      <c r="A914" s="1011"/>
      <c r="B914" s="1042"/>
      <c r="C914" s="1043" t="s">
        <v>534</v>
      </c>
      <c r="D914" s="1042"/>
      <c r="E914" s="1042"/>
      <c r="F914" s="1042"/>
      <c r="G914" s="1042"/>
      <c r="H914" s="1044"/>
      <c r="I914" s="1044"/>
      <c r="J914" s="1044"/>
      <c r="K914" s="1044"/>
      <c r="L914" s="1044"/>
      <c r="M914" s="1044"/>
      <c r="N914" s="1044"/>
      <c r="O914" s="1044"/>
      <c r="P914" s="1044"/>
      <c r="Q914" s="1044"/>
      <c r="R914" s="1044"/>
      <c r="S914" s="1044"/>
      <c r="T914" s="1045"/>
      <c r="U914" s="1045"/>
      <c r="V914" s="1046"/>
      <c r="W914" s="936"/>
    </row>
    <row r="915" spans="1:23" ht="21" hidden="1">
      <c r="A915" s="1011"/>
      <c r="B915" s="1042"/>
      <c r="C915" s="1047" t="s">
        <v>618</v>
      </c>
      <c r="D915" s="1042" t="s">
        <v>121</v>
      </c>
      <c r="E915" s="1201">
        <f>'[14]ETP-2011'!$H$1</f>
        <v>3406</v>
      </c>
      <c r="F915" s="1042"/>
      <c r="G915" s="1042"/>
      <c r="H915" s="1122">
        <v>108808</v>
      </c>
      <c r="I915" s="1202">
        <v>103207</v>
      </c>
      <c r="J915" s="1202">
        <v>120011</v>
      </c>
      <c r="K915" s="1202"/>
      <c r="L915" s="1202"/>
      <c r="M915" s="1202"/>
      <c r="N915" s="1202"/>
      <c r="O915" s="1202"/>
      <c r="P915" s="1202"/>
      <c r="Q915" s="1202"/>
      <c r="R915" s="1202"/>
      <c r="S915" s="1202"/>
      <c r="T915" s="1202">
        <f>SUM(H915:S915)</f>
        <v>332026</v>
      </c>
      <c r="U915" s="1167">
        <f>T915*E915</f>
        <v>1130880556</v>
      </c>
      <c r="V915" s="1042">
        <f>T915*G915</f>
        <v>0</v>
      </c>
      <c r="W915" s="936"/>
    </row>
    <row r="916" spans="1:23" ht="21" hidden="1">
      <c r="A916" s="1011"/>
      <c r="B916" s="1042"/>
      <c r="C916" s="1047" t="s">
        <v>652</v>
      </c>
      <c r="D916" s="1042" t="s">
        <v>121</v>
      </c>
      <c r="E916" s="1201">
        <f>'[14]ETP-2011'!$H$4</f>
        <v>2815</v>
      </c>
      <c r="F916" s="1042"/>
      <c r="G916" s="1042" t="s">
        <v>653</v>
      </c>
      <c r="H916" s="1015">
        <v>15372</v>
      </c>
      <c r="I916" s="1202">
        <v>14616</v>
      </c>
      <c r="J916" s="1202">
        <v>15624</v>
      </c>
      <c r="K916" s="1202"/>
      <c r="L916" s="1202"/>
      <c r="M916" s="1202"/>
      <c r="N916" s="1202"/>
      <c r="O916" s="1202"/>
      <c r="P916" s="1202"/>
      <c r="Q916" s="1202"/>
      <c r="R916" s="1202"/>
      <c r="S916" s="1202"/>
      <c r="T916" s="1203">
        <f>SUM(H916:S916)</f>
        <v>45612</v>
      </c>
      <c r="U916" s="1167"/>
      <c r="V916" s="1042"/>
      <c r="W916" s="936"/>
    </row>
    <row r="917" spans="1:23" ht="21" hidden="1">
      <c r="A917" s="1011"/>
      <c r="B917" s="1042"/>
      <c r="C917" s="1047" t="s">
        <v>654</v>
      </c>
      <c r="D917" s="1042" t="s">
        <v>121</v>
      </c>
      <c r="E917" s="1201">
        <f>'[14]ETP-2011'!$L$2</f>
        <v>206</v>
      </c>
      <c r="F917" s="1042"/>
      <c r="G917" s="1217" t="s">
        <v>655</v>
      </c>
      <c r="H917" s="1015">
        <v>16686</v>
      </c>
      <c r="I917" s="1202">
        <v>17709</v>
      </c>
      <c r="J917" s="1202">
        <v>18952</v>
      </c>
      <c r="K917" s="1202"/>
      <c r="L917" s="1202"/>
      <c r="M917" s="1202"/>
      <c r="N917" s="1202"/>
      <c r="O917" s="1202"/>
      <c r="P917" s="1202"/>
      <c r="Q917" s="1202"/>
      <c r="R917" s="1202"/>
      <c r="S917" s="1202"/>
      <c r="T917" s="1203">
        <f>SUM(H917:S917)</f>
        <v>53347</v>
      </c>
      <c r="U917" s="1167"/>
      <c r="V917" s="1042"/>
      <c r="W917" s="936"/>
    </row>
    <row r="918" spans="1:23" ht="21" hidden="1">
      <c r="A918" s="1011"/>
      <c r="B918" s="1042"/>
      <c r="C918" s="1047" t="s">
        <v>656</v>
      </c>
      <c r="D918" s="1042" t="s">
        <v>121</v>
      </c>
      <c r="E918" s="1167">
        <f>'[14]ETP-2011'!$L$3</f>
        <v>210</v>
      </c>
      <c r="F918" s="1042"/>
      <c r="G918" s="1218" t="s">
        <v>657</v>
      </c>
      <c r="H918" s="1015">
        <v>2758</v>
      </c>
      <c r="I918" s="1202">
        <v>2572</v>
      </c>
      <c r="J918" s="1202">
        <v>2824</v>
      </c>
      <c r="K918" s="1202"/>
      <c r="L918" s="1202"/>
      <c r="M918" s="1202"/>
      <c r="N918" s="1202"/>
      <c r="O918" s="1202"/>
      <c r="P918" s="1202"/>
      <c r="Q918" s="1202"/>
      <c r="R918" s="1202"/>
      <c r="S918" s="1202"/>
      <c r="T918" s="1203">
        <f>SUM(H918:S918)</f>
        <v>8154</v>
      </c>
      <c r="U918" s="1167"/>
      <c r="V918" s="1042"/>
      <c r="W918" s="936"/>
    </row>
    <row r="919" spans="1:23" ht="21" hidden="1">
      <c r="A919" s="1011"/>
      <c r="B919" s="1042"/>
      <c r="C919" s="1047"/>
      <c r="D919" s="1042"/>
      <c r="E919" s="1042"/>
      <c r="F919" s="1042"/>
      <c r="G919" s="1042"/>
      <c r="H919" s="1042"/>
      <c r="I919" s="1042"/>
      <c r="J919" s="1042"/>
      <c r="K919" s="1042"/>
      <c r="L919" s="1042"/>
      <c r="M919" s="1042"/>
      <c r="N919" s="1042"/>
      <c r="O919" s="1042"/>
      <c r="P919" s="1042"/>
      <c r="Q919" s="1042"/>
      <c r="R919" s="1042"/>
      <c r="S919" s="1042"/>
      <c r="T919" s="1045"/>
      <c r="U919" s="1167"/>
      <c r="V919" s="1042"/>
      <c r="W919" s="936"/>
    </row>
    <row r="920" spans="1:23" ht="21" hidden="1">
      <c r="A920" s="1011"/>
      <c r="B920" s="1042"/>
      <c r="C920" s="1043" t="s">
        <v>536</v>
      </c>
      <c r="D920" s="1042"/>
      <c r="E920" s="1042"/>
      <c r="F920" s="1042"/>
      <c r="G920" s="1042"/>
      <c r="H920" s="1044"/>
      <c r="I920" s="1044"/>
      <c r="J920" s="1044"/>
      <c r="K920" s="1044"/>
      <c r="L920" s="1044"/>
      <c r="M920" s="1044"/>
      <c r="N920" s="1044"/>
      <c r="O920" s="1044"/>
      <c r="P920" s="1044"/>
      <c r="Q920" s="1044"/>
      <c r="R920" s="1044"/>
      <c r="S920" s="1044"/>
      <c r="T920" s="1045"/>
      <c r="U920" s="1045"/>
      <c r="V920" s="1046"/>
      <c r="W920" s="936"/>
    </row>
    <row r="921" spans="1:23" ht="21" hidden="1">
      <c r="A921" s="1011"/>
      <c r="B921" s="1042"/>
      <c r="C921" s="1047" t="s">
        <v>618</v>
      </c>
      <c r="D921" s="1042" t="s">
        <v>173</v>
      </c>
      <c r="E921" s="1042"/>
      <c r="F921" s="1042"/>
      <c r="G921" s="1042"/>
      <c r="H921" s="1044">
        <v>370600.04800000001</v>
      </c>
      <c r="I921" s="1044">
        <v>351523.04200000002</v>
      </c>
      <c r="J921" s="1044">
        <v>408757.46600000001</v>
      </c>
      <c r="K921" s="1044"/>
      <c r="L921" s="1044"/>
      <c r="M921" s="1044"/>
      <c r="N921" s="1044"/>
      <c r="O921" s="1044"/>
      <c r="P921" s="1044"/>
      <c r="Q921" s="1044"/>
      <c r="R921" s="1044"/>
      <c r="S921" s="1044"/>
      <c r="T921" s="1045">
        <f>SUM(H921:S921)</f>
        <v>1130880.5560000001</v>
      </c>
      <c r="U921" s="1045"/>
      <c r="V921" s="1046"/>
      <c r="W921" s="936"/>
    </row>
    <row r="922" spans="1:23" ht="21" hidden="1">
      <c r="A922" s="1011"/>
      <c r="B922" s="1042"/>
      <c r="C922" s="1047" t="s">
        <v>658</v>
      </c>
      <c r="D922" s="1042" t="s">
        <v>173</v>
      </c>
      <c r="E922" s="1042"/>
      <c r="F922" s="1042"/>
      <c r="G922" s="1042"/>
      <c r="H922" s="1044">
        <v>43272.18</v>
      </c>
      <c r="I922" s="1044">
        <v>41144.04</v>
      </c>
      <c r="J922" s="1044">
        <v>43981.56</v>
      </c>
      <c r="K922" s="1044"/>
      <c r="L922" s="1044"/>
      <c r="M922" s="1044"/>
      <c r="N922" s="1044"/>
      <c r="O922" s="1044"/>
      <c r="P922" s="1044"/>
      <c r="Q922" s="1044"/>
      <c r="R922" s="1044"/>
      <c r="S922" s="1044"/>
      <c r="T922" s="1045">
        <f>SUM(H922:S922)</f>
        <v>128397.78</v>
      </c>
      <c r="U922" s="1045"/>
      <c r="V922" s="1046"/>
      <c r="W922" s="936"/>
    </row>
    <row r="923" spans="1:23" ht="21" hidden="1">
      <c r="A923" s="1011"/>
      <c r="B923" s="1042"/>
      <c r="C923" s="1047" t="s">
        <v>654</v>
      </c>
      <c r="D923" s="1042" t="s">
        <v>173</v>
      </c>
      <c r="E923" s="1042"/>
      <c r="F923" s="1042"/>
      <c r="G923" s="1042"/>
      <c r="H923" s="1044">
        <v>3437.3159999999998</v>
      </c>
      <c r="I923" s="1044">
        <v>3648.0540000000001</v>
      </c>
      <c r="J923" s="1044">
        <v>3904.1120000000001</v>
      </c>
      <c r="K923" s="1044"/>
      <c r="L923" s="1044"/>
      <c r="M923" s="1044"/>
      <c r="N923" s="1044"/>
      <c r="O923" s="1044"/>
      <c r="P923" s="1044"/>
      <c r="Q923" s="1044"/>
      <c r="R923" s="1044"/>
      <c r="S923" s="1044"/>
      <c r="T923" s="1045">
        <f>SUM(H923:S923)</f>
        <v>10989.482</v>
      </c>
      <c r="U923" s="1045"/>
      <c r="V923" s="1046"/>
      <c r="W923" s="936"/>
    </row>
    <row r="924" spans="1:23" ht="21" hidden="1">
      <c r="A924" s="1011"/>
      <c r="B924" s="1042"/>
      <c r="C924" s="1047" t="s">
        <v>656</v>
      </c>
      <c r="D924" s="1042" t="s">
        <v>173</v>
      </c>
      <c r="E924" s="1042"/>
      <c r="F924" s="1042"/>
      <c r="G924" s="1042"/>
      <c r="H924" s="1044">
        <v>579.17999999999995</v>
      </c>
      <c r="I924" s="1044">
        <v>540.12</v>
      </c>
      <c r="J924" s="1044">
        <v>593.04</v>
      </c>
      <c r="K924" s="1044"/>
      <c r="L924" s="1044"/>
      <c r="M924" s="1044"/>
      <c r="N924" s="1044"/>
      <c r="O924" s="1044"/>
      <c r="P924" s="1044"/>
      <c r="Q924" s="1044"/>
      <c r="R924" s="1044"/>
      <c r="S924" s="1044"/>
      <c r="T924" s="1045">
        <f>SUM(H924:S924)</f>
        <v>1712.34</v>
      </c>
      <c r="U924" s="1045"/>
      <c r="V924" s="1046"/>
      <c r="W924" s="936"/>
    </row>
    <row r="925" spans="1:23" ht="21" hidden="1">
      <c r="A925" s="1011"/>
      <c r="B925" s="1042"/>
      <c r="C925" s="1042" t="s">
        <v>537</v>
      </c>
      <c r="D925" s="1042" t="s">
        <v>173</v>
      </c>
      <c r="E925" s="1042"/>
      <c r="F925" s="1042"/>
      <c r="G925" s="1042"/>
      <c r="H925" s="1044">
        <v>417888.72399999999</v>
      </c>
      <c r="I925" s="1044">
        <v>396855.25599999999</v>
      </c>
      <c r="J925" s="1044">
        <v>457236.17800000001</v>
      </c>
      <c r="K925" s="1044"/>
      <c r="L925" s="1044"/>
      <c r="M925" s="1044"/>
      <c r="N925" s="1044"/>
      <c r="O925" s="1044"/>
      <c r="P925" s="1044"/>
      <c r="Q925" s="1044"/>
      <c r="R925" s="1044"/>
      <c r="S925" s="1044"/>
      <c r="T925" s="1045">
        <f>SUM(H925:S925)</f>
        <v>1271980.1580000001</v>
      </c>
      <c r="U925" s="1045"/>
      <c r="V925" s="1046"/>
      <c r="W925" s="936"/>
    </row>
    <row r="926" spans="1:23" s="1189" customFormat="1" ht="21" hidden="1">
      <c r="A926" s="956"/>
      <c r="B926" s="956"/>
      <c r="C926" s="1180"/>
      <c r="D926" s="956"/>
      <c r="E926" s="956"/>
      <c r="F926" s="956"/>
      <c r="G926" s="956"/>
      <c r="H926" s="961"/>
      <c r="I926" s="961"/>
      <c r="J926" s="961"/>
      <c r="K926" s="961"/>
      <c r="L926" s="961"/>
      <c r="M926" s="961"/>
      <c r="N926" s="961"/>
      <c r="O926" s="961"/>
      <c r="P926" s="961"/>
      <c r="Q926" s="961"/>
      <c r="R926" s="961"/>
      <c r="S926" s="961"/>
      <c r="T926" s="961"/>
      <c r="U926" s="961"/>
      <c r="V926" s="961"/>
      <c r="W926" s="1188"/>
    </row>
    <row r="927" spans="1:23" s="1189" customFormat="1" ht="21" hidden="1">
      <c r="A927" s="956"/>
      <c r="B927" s="956"/>
      <c r="C927" s="1180" t="s">
        <v>624</v>
      </c>
      <c r="D927" s="956"/>
      <c r="E927" s="956"/>
      <c r="F927" s="956"/>
      <c r="G927" s="956"/>
      <c r="H927" s="961"/>
      <c r="I927" s="961"/>
      <c r="J927" s="961"/>
      <c r="K927" s="961"/>
      <c r="L927" s="961"/>
      <c r="M927" s="961"/>
      <c r="N927" s="961"/>
      <c r="O927" s="961"/>
      <c r="P927" s="961"/>
      <c r="Q927" s="961"/>
      <c r="R927" s="961"/>
      <c r="S927" s="961"/>
      <c r="T927" s="961"/>
      <c r="U927" s="961"/>
      <c r="V927" s="961"/>
      <c r="W927" s="1188"/>
    </row>
    <row r="928" spans="1:23" s="1189" customFormat="1" ht="21" hidden="1">
      <c r="A928" s="956"/>
      <c r="B928" s="956"/>
      <c r="C928" s="1105" t="s">
        <v>138</v>
      </c>
      <c r="D928" s="956" t="s">
        <v>173</v>
      </c>
      <c r="E928" s="956"/>
      <c r="F928" s="956"/>
      <c r="G928" s="956"/>
      <c r="H928" s="961">
        <v>6499.08</v>
      </c>
      <c r="I928" s="961">
        <v>5793.12</v>
      </c>
      <c r="J928" s="961">
        <v>4125.24</v>
      </c>
      <c r="K928" s="961"/>
      <c r="L928" s="961"/>
      <c r="M928" s="961"/>
      <c r="N928" s="961"/>
      <c r="O928" s="961"/>
      <c r="P928" s="961"/>
      <c r="Q928" s="961"/>
      <c r="R928" s="961"/>
      <c r="S928" s="961"/>
      <c r="T928" s="961">
        <f>SUM(H928:S928)</f>
        <v>16417.440000000002</v>
      </c>
      <c r="U928" s="961"/>
      <c r="V928" s="961"/>
      <c r="W928" s="1188"/>
    </row>
    <row r="929" spans="1:23" s="1189" customFormat="1" ht="21" hidden="1">
      <c r="A929" s="956"/>
      <c r="B929" s="956"/>
      <c r="C929" s="1105" t="s">
        <v>644</v>
      </c>
      <c r="D929" s="956" t="s">
        <v>173</v>
      </c>
      <c r="E929" s="956"/>
      <c r="F929" s="956"/>
      <c r="G929" s="956"/>
      <c r="H929" s="961">
        <v>112622.90578</v>
      </c>
      <c r="I929" s="961">
        <v>100363.48927999999</v>
      </c>
      <c r="J929" s="961">
        <v>120817.91615478</v>
      </c>
      <c r="K929" s="961"/>
      <c r="L929" s="961"/>
      <c r="M929" s="961"/>
      <c r="N929" s="961"/>
      <c r="O929" s="961"/>
      <c r="P929" s="961"/>
      <c r="Q929" s="961"/>
      <c r="R929" s="961"/>
      <c r="S929" s="961"/>
      <c r="T929" s="961">
        <f t="shared" ref="T929:T937" si="360">SUM(H929:S929)</f>
        <v>333804.31121478003</v>
      </c>
      <c r="U929" s="961"/>
      <c r="V929" s="961"/>
      <c r="W929" s="1188"/>
    </row>
    <row r="930" spans="1:23" s="1189" customFormat="1" ht="21" hidden="1">
      <c r="A930" s="956"/>
      <c r="B930" s="956"/>
      <c r="C930" s="1105" t="s">
        <v>874</v>
      </c>
      <c r="D930" s="956" t="s">
        <v>173</v>
      </c>
      <c r="E930" s="956"/>
      <c r="F930" s="956"/>
      <c r="G930" s="956"/>
      <c r="H930" s="961">
        <v>35790.207000000002</v>
      </c>
      <c r="I930" s="961">
        <v>43287.752759999996</v>
      </c>
      <c r="J930" s="961">
        <v>46664.563800000004</v>
      </c>
      <c r="K930" s="961"/>
      <c r="L930" s="961"/>
      <c r="M930" s="961"/>
      <c r="N930" s="961"/>
      <c r="O930" s="961"/>
      <c r="P930" s="961"/>
      <c r="Q930" s="961"/>
      <c r="R930" s="961"/>
      <c r="S930" s="961"/>
      <c r="T930" s="961">
        <f t="shared" si="360"/>
        <v>125742.52356</v>
      </c>
      <c r="U930" s="961"/>
      <c r="V930" s="961"/>
      <c r="W930" s="1188"/>
    </row>
    <row r="931" spans="1:23" s="1189" customFormat="1" ht="21" hidden="1">
      <c r="A931" s="956"/>
      <c r="B931" s="956"/>
      <c r="C931" s="1105" t="s">
        <v>645</v>
      </c>
      <c r="D931" s="956" t="s">
        <v>173</v>
      </c>
      <c r="E931" s="956"/>
      <c r="F931" s="956"/>
      <c r="G931" s="956"/>
      <c r="H931" s="961">
        <v>112655.36000000002</v>
      </c>
      <c r="I931" s="961">
        <v>109424.64000000003</v>
      </c>
      <c r="J931" s="961">
        <v>126238.72</v>
      </c>
      <c r="K931" s="961"/>
      <c r="L931" s="961"/>
      <c r="M931" s="961"/>
      <c r="N931" s="961"/>
      <c r="O931" s="961"/>
      <c r="P931" s="961"/>
      <c r="Q931" s="961"/>
      <c r="R931" s="961"/>
      <c r="S931" s="961"/>
      <c r="T931" s="961">
        <f t="shared" si="360"/>
        <v>348318.72000000009</v>
      </c>
      <c r="U931" s="961"/>
      <c r="V931" s="961"/>
      <c r="W931" s="1188"/>
    </row>
    <row r="932" spans="1:23" s="1189" customFormat="1" ht="21" hidden="1">
      <c r="A932" s="956"/>
      <c r="B932" s="956"/>
      <c r="C932" s="1105" t="s">
        <v>646</v>
      </c>
      <c r="D932" s="956" t="s">
        <v>173</v>
      </c>
      <c r="E932" s="956"/>
      <c r="F932" s="956"/>
      <c r="G932" s="956"/>
      <c r="H932" s="961">
        <v>43360.596000000005</v>
      </c>
      <c r="I932" s="961">
        <v>41850.108000000007</v>
      </c>
      <c r="J932" s="961">
        <v>49778.171999999984</v>
      </c>
      <c r="K932" s="961"/>
      <c r="L932" s="961"/>
      <c r="M932" s="961"/>
      <c r="N932" s="961"/>
      <c r="O932" s="961"/>
      <c r="P932" s="961"/>
      <c r="Q932" s="961"/>
      <c r="R932" s="961"/>
      <c r="S932" s="961"/>
      <c r="T932" s="961">
        <f t="shared" si="360"/>
        <v>134988.87599999999</v>
      </c>
      <c r="U932" s="961"/>
      <c r="V932" s="961"/>
      <c r="W932" s="1188"/>
    </row>
    <row r="933" spans="1:23" s="1189" customFormat="1" ht="21" hidden="1">
      <c r="A933" s="956"/>
      <c r="B933" s="956"/>
      <c r="C933" s="1105" t="s">
        <v>647</v>
      </c>
      <c r="D933" s="956" t="s">
        <v>173</v>
      </c>
      <c r="E933" s="956"/>
      <c r="F933" s="956"/>
      <c r="G933" s="956"/>
      <c r="H933" s="961">
        <v>53997.586000000003</v>
      </c>
      <c r="I933" s="961">
        <v>51314.703000000001</v>
      </c>
      <c r="J933" s="961">
        <v>59456.856</v>
      </c>
      <c r="K933" s="961"/>
      <c r="L933" s="961"/>
      <c r="M933" s="961"/>
      <c r="N933" s="961"/>
      <c r="O933" s="961"/>
      <c r="P933" s="961"/>
      <c r="Q933" s="961"/>
      <c r="R933" s="961"/>
      <c r="S933" s="961"/>
      <c r="T933" s="961">
        <f t="shared" si="360"/>
        <v>164769.14500000002</v>
      </c>
      <c r="U933" s="961"/>
      <c r="V933" s="961"/>
      <c r="W933" s="1188"/>
    </row>
    <row r="934" spans="1:23" s="1189" customFormat="1" ht="21" hidden="1">
      <c r="A934" s="956"/>
      <c r="B934" s="956"/>
      <c r="C934" s="1105" t="s">
        <v>659</v>
      </c>
      <c r="D934" s="956" t="s">
        <v>173</v>
      </c>
      <c r="E934" s="956"/>
      <c r="F934" s="956"/>
      <c r="G934" s="956"/>
      <c r="H934" s="961">
        <v>55881.392</v>
      </c>
      <c r="I934" s="961">
        <v>56582.455999999998</v>
      </c>
      <c r="J934" s="961">
        <v>89391.652000000002</v>
      </c>
      <c r="K934" s="961"/>
      <c r="L934" s="961"/>
      <c r="M934" s="961"/>
      <c r="N934" s="961"/>
      <c r="O934" s="961"/>
      <c r="P934" s="961"/>
      <c r="Q934" s="961"/>
      <c r="R934" s="961"/>
      <c r="S934" s="961"/>
      <c r="T934" s="961">
        <f t="shared" si="360"/>
        <v>201855.5</v>
      </c>
      <c r="U934" s="961"/>
      <c r="V934" s="961"/>
      <c r="W934" s="1188"/>
    </row>
    <row r="935" spans="1:23" s="1189" customFormat="1" ht="21" hidden="1">
      <c r="A935" s="956"/>
      <c r="B935" s="956"/>
      <c r="C935" s="1105" t="s">
        <v>660</v>
      </c>
      <c r="D935" s="956" t="s">
        <v>173</v>
      </c>
      <c r="E935" s="956"/>
      <c r="F935" s="956"/>
      <c r="G935" s="956"/>
      <c r="H935" s="961">
        <v>1007.77</v>
      </c>
      <c r="I935" s="961">
        <v>768.495</v>
      </c>
      <c r="J935" s="961">
        <v>734.71500000000003</v>
      </c>
      <c r="K935" s="961"/>
      <c r="L935" s="961"/>
      <c r="M935" s="961"/>
      <c r="N935" s="961"/>
      <c r="O935" s="961"/>
      <c r="P935" s="961"/>
      <c r="Q935" s="961"/>
      <c r="R935" s="961"/>
      <c r="S935" s="961"/>
      <c r="T935" s="961">
        <f t="shared" si="360"/>
        <v>2510.98</v>
      </c>
      <c r="U935" s="961"/>
      <c r="V935" s="961"/>
      <c r="W935" s="1188"/>
    </row>
    <row r="936" spans="1:23" s="1189" customFormat="1" ht="21" hidden="1">
      <c r="A936" s="956"/>
      <c r="B936" s="956"/>
      <c r="C936" s="1204" t="s">
        <v>625</v>
      </c>
      <c r="D936" s="956" t="s">
        <v>173</v>
      </c>
      <c r="E936" s="956"/>
      <c r="F936" s="956"/>
      <c r="G936" s="956"/>
      <c r="H936" s="961">
        <v>421814.89678000007</v>
      </c>
      <c r="I936" s="961">
        <v>409384.76403999998</v>
      </c>
      <c r="J936" s="961">
        <v>497207.83495478</v>
      </c>
      <c r="K936" s="961"/>
      <c r="L936" s="961"/>
      <c r="M936" s="961"/>
      <c r="N936" s="961"/>
      <c r="O936" s="961"/>
      <c r="P936" s="961"/>
      <c r="Q936" s="961"/>
      <c r="R936" s="961"/>
      <c r="S936" s="961"/>
      <c r="T936" s="961">
        <f t="shared" si="360"/>
        <v>1328407.4957747802</v>
      </c>
      <c r="U936" s="961"/>
      <c r="V936" s="961"/>
      <c r="W936" s="1188"/>
    </row>
    <row r="937" spans="1:23" s="1189" customFormat="1" ht="21" hidden="1">
      <c r="A937" s="956"/>
      <c r="B937" s="956"/>
      <c r="C937" s="1205" t="s">
        <v>626</v>
      </c>
      <c r="D937" s="956" t="s">
        <v>173</v>
      </c>
      <c r="E937" s="956"/>
      <c r="F937" s="956"/>
      <c r="G937" s="956"/>
      <c r="H937" s="961">
        <v>421814.89678000007</v>
      </c>
      <c r="I937" s="961">
        <v>409384.76403999998</v>
      </c>
      <c r="J937" s="961">
        <v>497207.83495478</v>
      </c>
      <c r="K937" s="961"/>
      <c r="L937" s="961"/>
      <c r="M937" s="961"/>
      <c r="N937" s="961"/>
      <c r="O937" s="961"/>
      <c r="P937" s="961"/>
      <c r="Q937" s="961"/>
      <c r="R937" s="961"/>
      <c r="S937" s="961"/>
      <c r="T937" s="1206">
        <f t="shared" si="360"/>
        <v>1328407.4957747802</v>
      </c>
      <c r="U937" s="961"/>
      <c r="V937" s="961"/>
      <c r="W937" s="1188"/>
    </row>
    <row r="938" spans="1:23" s="1189" customFormat="1" ht="21" hidden="1">
      <c r="A938" s="956"/>
      <c r="B938" s="956"/>
      <c r="C938" s="983" t="s">
        <v>345</v>
      </c>
      <c r="D938" s="964" t="s">
        <v>173</v>
      </c>
      <c r="E938" s="956"/>
      <c r="F938" s="956" t="s">
        <v>661</v>
      </c>
      <c r="G938" s="956">
        <v>4.1881477985150903</v>
      </c>
      <c r="H938" s="961">
        <v>449777.95868456003</v>
      </c>
      <c r="I938" s="961">
        <v>429693.70485899004</v>
      </c>
      <c r="J938" s="961">
        <v>489950.05216927006</v>
      </c>
      <c r="K938" s="961"/>
      <c r="L938" s="961"/>
      <c r="M938" s="961"/>
      <c r="N938" s="961"/>
      <c r="O938" s="961"/>
      <c r="P938" s="961"/>
      <c r="Q938" s="961"/>
      <c r="R938" s="961"/>
      <c r="S938" s="961"/>
      <c r="T938" s="961">
        <f>SUM(H938:S938)</f>
        <v>1369421.7157128202</v>
      </c>
      <c r="U938" s="961"/>
      <c r="V938" s="961"/>
      <c r="W938" s="1188"/>
    </row>
    <row r="939" spans="1:23" s="1189" customFormat="1" ht="21" hidden="1">
      <c r="A939" s="956"/>
      <c r="B939" s="1124"/>
      <c r="C939" s="1208" t="s">
        <v>662</v>
      </c>
      <c r="D939" s="1124"/>
      <c r="E939" s="1124"/>
      <c r="F939" s="1124"/>
      <c r="G939" s="1124"/>
      <c r="H939" s="1127"/>
      <c r="I939" s="1127"/>
      <c r="J939" s="1127"/>
      <c r="K939" s="1127"/>
      <c r="L939" s="1127"/>
      <c r="M939" s="1127"/>
      <c r="N939" s="1127"/>
      <c r="O939" s="1127"/>
      <c r="P939" s="1127"/>
      <c r="Q939" s="1127"/>
      <c r="R939" s="1127"/>
      <c r="S939" s="1127"/>
      <c r="T939" s="1127"/>
      <c r="U939" s="1127"/>
      <c r="V939" s="1127"/>
      <c r="W939" s="1188"/>
    </row>
    <row r="940" spans="1:23" s="1189" customFormat="1" ht="21" hidden="1">
      <c r="A940" s="956"/>
      <c r="B940" s="1124"/>
      <c r="C940" s="1209" t="s">
        <v>138</v>
      </c>
      <c r="D940" s="1124" t="s">
        <v>347</v>
      </c>
      <c r="E940" s="1124"/>
      <c r="F940" s="1124"/>
      <c r="G940" s="1124"/>
      <c r="H940" s="1159">
        <v>5.9729799279464743E-2</v>
      </c>
      <c r="I940" s="1159">
        <v>5.6131076380478068E-2</v>
      </c>
      <c r="J940" s="1159">
        <v>3.4373849063835817E-2</v>
      </c>
      <c r="K940" s="1159"/>
      <c r="L940" s="1159"/>
      <c r="M940" s="1159"/>
      <c r="N940" s="1159"/>
      <c r="O940" s="1219"/>
      <c r="P940" s="1159"/>
      <c r="Q940" s="1159"/>
      <c r="R940" s="1159"/>
      <c r="S940" s="1159"/>
      <c r="T940" s="1159">
        <f t="shared" ref="T940:T948" si="361">T928/T$912</f>
        <v>4.9446248185383082E-2</v>
      </c>
      <c r="U940" s="1127"/>
      <c r="V940" s="1127"/>
      <c r="W940" s="1188"/>
    </row>
    <row r="941" spans="1:23" s="1189" customFormat="1" ht="21" hidden="1">
      <c r="A941" s="956"/>
      <c r="B941" s="1124"/>
      <c r="C941" s="1209" t="s">
        <v>644</v>
      </c>
      <c r="D941" s="1124" t="s">
        <v>347</v>
      </c>
      <c r="E941" s="1124"/>
      <c r="F941" s="1124"/>
      <c r="G941" s="1124"/>
      <c r="H941" s="1159">
        <v>1.035060894235718</v>
      </c>
      <c r="I941" s="1159">
        <v>0.97244847035569282</v>
      </c>
      <c r="J941" s="1159">
        <v>1.006723684952046</v>
      </c>
      <c r="K941" s="1159"/>
      <c r="L941" s="1159"/>
      <c r="M941" s="1159"/>
      <c r="N941" s="1159"/>
      <c r="O941" s="1159"/>
      <c r="P941" s="1159"/>
      <c r="Q941" s="1159"/>
      <c r="R941" s="1159"/>
      <c r="S941" s="1159"/>
      <c r="T941" s="1159">
        <f t="shared" si="361"/>
        <v>1.0053559396396066</v>
      </c>
      <c r="U941" s="1127"/>
      <c r="V941" s="1127"/>
      <c r="W941" s="1188"/>
    </row>
    <row r="942" spans="1:23" s="1189" customFormat="1" ht="21" hidden="1">
      <c r="A942" s="956"/>
      <c r="B942" s="1124"/>
      <c r="C942" s="1209" t="s">
        <v>874</v>
      </c>
      <c r="D942" s="1124" t="s">
        <v>347</v>
      </c>
      <c r="E942" s="1124"/>
      <c r="F942" s="1124"/>
      <c r="G942" s="1124"/>
      <c r="H942" s="1159">
        <v>0.32892992243217412</v>
      </c>
      <c r="I942" s="1159">
        <v>0.41942651913145423</v>
      </c>
      <c r="J942" s="1159">
        <v>0.38883572172550851</v>
      </c>
      <c r="K942" s="1159"/>
      <c r="L942" s="1159"/>
      <c r="M942" s="1159"/>
      <c r="N942" s="1159"/>
      <c r="O942" s="1219"/>
      <c r="P942" s="1159"/>
      <c r="Q942" s="1159"/>
      <c r="R942" s="1159"/>
      <c r="S942" s="1159"/>
      <c r="T942" s="1159">
        <f t="shared" si="361"/>
        <v>0.37871288260557906</v>
      </c>
      <c r="U942" s="1127"/>
      <c r="V942" s="1127"/>
      <c r="W942" s="1188"/>
    </row>
    <row r="943" spans="1:23" s="1189" customFormat="1" ht="21" hidden="1">
      <c r="A943" s="956"/>
      <c r="B943" s="1124"/>
      <c r="C943" s="1209" t="s">
        <v>645</v>
      </c>
      <c r="D943" s="1124" t="s">
        <v>347</v>
      </c>
      <c r="E943" s="1124"/>
      <c r="F943" s="1124"/>
      <c r="G943" s="1124"/>
      <c r="H943" s="1159">
        <v>1.0353591647672966</v>
      </c>
      <c r="I943" s="1159">
        <v>1.0602443632699334</v>
      </c>
      <c r="J943" s="1159">
        <v>1.0518929098166001</v>
      </c>
      <c r="K943" s="1159"/>
      <c r="L943" s="1159"/>
      <c r="M943" s="1159"/>
      <c r="N943" s="1159"/>
      <c r="O943" s="1159"/>
      <c r="P943" s="1159"/>
      <c r="Q943" s="1159"/>
      <c r="R943" s="1159"/>
      <c r="S943" s="1159"/>
      <c r="T943" s="1159">
        <f t="shared" si="361"/>
        <v>1.0490706149518414</v>
      </c>
      <c r="U943" s="1127"/>
      <c r="V943" s="1127"/>
      <c r="W943" s="1188"/>
    </row>
    <row r="944" spans="1:23" s="1189" customFormat="1" ht="21" hidden="1">
      <c r="A944" s="956"/>
      <c r="B944" s="1124"/>
      <c r="C944" s="1209" t="s">
        <v>646</v>
      </c>
      <c r="D944" s="1124" t="s">
        <v>347</v>
      </c>
      <c r="E944" s="1124"/>
      <c r="F944" s="1124"/>
      <c r="G944" s="1124"/>
      <c r="H944" s="1159">
        <v>0.39850558782442475</v>
      </c>
      <c r="I944" s="1159">
        <v>0.40549679769783065</v>
      </c>
      <c r="J944" s="1159">
        <v>0.41478007849280468</v>
      </c>
      <c r="K944" s="1159"/>
      <c r="L944" s="1159"/>
      <c r="M944" s="1159"/>
      <c r="N944" s="1159"/>
      <c r="O944" s="1219"/>
      <c r="P944" s="1159"/>
      <c r="Q944" s="1159"/>
      <c r="R944" s="1159"/>
      <c r="S944" s="1159"/>
      <c r="T944" s="1159">
        <f t="shared" si="361"/>
        <v>0.40656116087294364</v>
      </c>
      <c r="U944" s="1127"/>
      <c r="V944" s="1127"/>
      <c r="W944" s="1188"/>
    </row>
    <row r="945" spans="1:23" s="1189" customFormat="1" ht="21" hidden="1">
      <c r="A945" s="956"/>
      <c r="B945" s="1124"/>
      <c r="C945" s="1209" t="s">
        <v>647</v>
      </c>
      <c r="D945" s="1124" t="s">
        <v>347</v>
      </c>
      <c r="E945" s="1124"/>
      <c r="F945" s="1124"/>
      <c r="G945" s="1124"/>
      <c r="H945" s="1159">
        <v>0.49626485184912877</v>
      </c>
      <c r="I945" s="1159">
        <v>0.49720176925983706</v>
      </c>
      <c r="J945" s="1159">
        <v>0.49542838573130799</v>
      </c>
      <c r="K945" s="1159"/>
      <c r="L945" s="1159"/>
      <c r="M945" s="1159"/>
      <c r="N945" s="1159"/>
      <c r="O945" s="1159"/>
      <c r="P945" s="1159"/>
      <c r="Q945" s="1159"/>
      <c r="R945" s="1159"/>
      <c r="S945" s="1159"/>
      <c r="T945" s="1159">
        <f t="shared" si="361"/>
        <v>0.49625374217681756</v>
      </c>
      <c r="U945" s="1127"/>
      <c r="V945" s="1127"/>
      <c r="W945" s="1188"/>
    </row>
    <row r="946" spans="1:23" s="1189" customFormat="1" ht="21" hidden="1">
      <c r="A946" s="956"/>
      <c r="B946" s="1124"/>
      <c r="C946" s="1209" t="s">
        <v>659</v>
      </c>
      <c r="D946" s="1124" t="s">
        <v>347</v>
      </c>
      <c r="E946" s="1124"/>
      <c r="F946" s="1124"/>
      <c r="G946" s="1124"/>
      <c r="H946" s="1159">
        <v>0.51357797220792589</v>
      </c>
      <c r="I946" s="1159">
        <v>0.54824242541688062</v>
      </c>
      <c r="J946" s="1159">
        <v>0.74486215430252234</v>
      </c>
      <c r="K946" s="1159"/>
      <c r="L946" s="1159"/>
      <c r="M946" s="1159"/>
      <c r="N946" s="1159"/>
      <c r="O946" s="1159"/>
      <c r="P946" s="1159"/>
      <c r="Q946" s="1159"/>
      <c r="R946" s="1159"/>
      <c r="S946" s="1159"/>
      <c r="T946" s="1159">
        <f t="shared" si="361"/>
        <v>0.60795088336455583</v>
      </c>
      <c r="U946" s="1127"/>
      <c r="V946" s="1127"/>
      <c r="W946" s="1188"/>
    </row>
    <row r="947" spans="1:23" s="1189" customFormat="1" ht="21" hidden="1">
      <c r="A947" s="956"/>
      <c r="B947" s="1124"/>
      <c r="C947" s="1209" t="s">
        <v>660</v>
      </c>
      <c r="D947" s="1124" t="s">
        <v>347</v>
      </c>
      <c r="E947" s="1124"/>
      <c r="F947" s="1124"/>
      <c r="G947" s="1124"/>
      <c r="H947" s="1159">
        <v>9.2619108889052271E-3</v>
      </c>
      <c r="I947" s="1159">
        <v>7.4461519083007938E-3</v>
      </c>
      <c r="J947" s="1159">
        <v>6.1220638108173417E-3</v>
      </c>
      <c r="K947" s="1159"/>
      <c r="L947" s="1159"/>
      <c r="M947" s="1159"/>
      <c r="N947" s="1159"/>
      <c r="O947" s="1159"/>
      <c r="P947" s="1159"/>
      <c r="Q947" s="1159"/>
      <c r="R947" s="1159"/>
      <c r="S947" s="1159"/>
      <c r="T947" s="1159">
        <f t="shared" si="361"/>
        <v>7.5626005192364456E-3</v>
      </c>
      <c r="U947" s="1127"/>
      <c r="V947" s="1127"/>
      <c r="W947" s="1188"/>
    </row>
    <row r="948" spans="1:23" s="1189" customFormat="1" ht="21" hidden="1">
      <c r="A948" s="956"/>
      <c r="B948" s="1124"/>
      <c r="C948" s="1210" t="s">
        <v>628</v>
      </c>
      <c r="D948" s="1124" t="s">
        <v>347</v>
      </c>
      <c r="E948" s="1124"/>
      <c r="F948" s="1124"/>
      <c r="G948" s="1124"/>
      <c r="H948" s="1159">
        <v>3.8766901034850383</v>
      </c>
      <c r="I948" s="1159">
        <v>3.9666375734204071</v>
      </c>
      <c r="J948" s="1159">
        <v>4.1430188478954433</v>
      </c>
      <c r="K948" s="1159"/>
      <c r="L948" s="1159"/>
      <c r="M948" s="1159"/>
      <c r="N948" s="1159"/>
      <c r="O948" s="1159"/>
      <c r="P948" s="1159"/>
      <c r="Q948" s="1159"/>
      <c r="R948" s="1159"/>
      <c r="S948" s="1159"/>
      <c r="T948" s="1159">
        <f t="shared" si="361"/>
        <v>4.0009140723159637</v>
      </c>
      <c r="U948" s="1127"/>
      <c r="V948" s="1127"/>
      <c r="W948" s="1188"/>
    </row>
    <row r="949" spans="1:23" s="1189" customFormat="1" ht="23.25" hidden="1">
      <c r="A949" s="956"/>
      <c r="B949" s="1124"/>
      <c r="C949" s="1211" t="s">
        <v>629</v>
      </c>
      <c r="D949" s="1124" t="s">
        <v>347</v>
      </c>
      <c r="E949" s="1124"/>
      <c r="F949" s="1124"/>
      <c r="G949" s="1124"/>
      <c r="H949" s="1159">
        <v>3.8766901034850383</v>
      </c>
      <c r="I949" s="1159">
        <v>3.9666375734204071</v>
      </c>
      <c r="J949" s="1159">
        <v>4.1430188478954433</v>
      </c>
      <c r="K949" s="1159"/>
      <c r="L949" s="1159"/>
      <c r="M949" s="1159"/>
      <c r="N949" s="1159"/>
      <c r="O949" s="1159"/>
      <c r="P949" s="1159"/>
      <c r="Q949" s="1159"/>
      <c r="R949" s="1159"/>
      <c r="S949" s="1159"/>
      <c r="T949" s="1212">
        <f>T937/T912</f>
        <v>4.0009140723159637</v>
      </c>
      <c r="U949" s="1127"/>
      <c r="V949" s="1127"/>
      <c r="W949" s="1188"/>
    </row>
    <row r="950" spans="1:23" s="1189" customFormat="1" ht="21" hidden="1">
      <c r="A950" s="956"/>
      <c r="B950" s="1124"/>
      <c r="C950" s="1211" t="s">
        <v>630</v>
      </c>
      <c r="D950" s="1124" t="s">
        <v>347</v>
      </c>
      <c r="E950" s="1124"/>
      <c r="F950" s="1124"/>
      <c r="G950" s="1124"/>
      <c r="H950" s="1159">
        <v>93.782918579126928</v>
      </c>
      <c r="I950" s="1159">
        <v>95.273623841974896</v>
      </c>
      <c r="J950" s="1159">
        <v>101.48133115883465</v>
      </c>
      <c r="K950" s="1159"/>
      <c r="L950" s="1159"/>
      <c r="M950" s="1159"/>
      <c r="N950" s="1159"/>
      <c r="O950" s="1159"/>
      <c r="P950" s="1159"/>
      <c r="Q950" s="1159"/>
      <c r="R950" s="1159"/>
      <c r="S950" s="1159"/>
      <c r="T950" s="1159">
        <f t="shared" ref="T950" si="362">T937/T938*100</f>
        <v>97.004997111741346</v>
      </c>
      <c r="U950" s="961"/>
      <c r="V950" s="961"/>
      <c r="W950" s="1188"/>
    </row>
    <row r="951" spans="1:23" s="1189" customFormat="1" ht="21" hidden="1">
      <c r="A951" s="956"/>
      <c r="B951" s="1172">
        <v>25.6</v>
      </c>
      <c r="C951" s="1215" t="s">
        <v>663</v>
      </c>
      <c r="D951" s="956"/>
      <c r="E951" s="956"/>
      <c r="F951" s="956"/>
      <c r="G951" s="956"/>
      <c r="H951" s="961"/>
      <c r="I951" s="961"/>
      <c r="J951" s="961"/>
      <c r="K951" s="961"/>
      <c r="L951" s="961"/>
      <c r="M951" s="961"/>
      <c r="N951" s="961"/>
      <c r="O951" s="961"/>
      <c r="P951" s="961"/>
      <c r="Q951" s="961"/>
      <c r="R951" s="961"/>
      <c r="S951" s="961"/>
      <c r="T951" s="961"/>
      <c r="U951" s="961"/>
      <c r="V951" s="961"/>
      <c r="W951" s="1188"/>
    </row>
    <row r="952" spans="1:23" s="1189" customFormat="1" ht="21" hidden="1">
      <c r="A952" s="956"/>
      <c r="B952" s="956"/>
      <c r="C952" s="1105" t="s">
        <v>664</v>
      </c>
      <c r="D952" s="956" t="s">
        <v>121</v>
      </c>
      <c r="E952" s="1195">
        <f>'[14]ETP-2011'!$H$1</f>
        <v>3406</v>
      </c>
      <c r="F952" s="956"/>
      <c r="G952" s="956"/>
      <c r="H952" s="1106">
        <v>109099</v>
      </c>
      <c r="I952" s="961">
        <v>107175</v>
      </c>
      <c r="J952" s="961">
        <v>120245</v>
      </c>
      <c r="K952" s="961"/>
      <c r="L952" s="961"/>
      <c r="M952" s="961"/>
      <c r="N952" s="961"/>
      <c r="O952" s="961"/>
      <c r="P952" s="961"/>
      <c r="Q952" s="961"/>
      <c r="R952" s="961"/>
      <c r="S952" s="961"/>
      <c r="T952" s="961">
        <f>SUM(H952:S952)</f>
        <v>336519</v>
      </c>
      <c r="U952" s="961"/>
      <c r="V952" s="961"/>
      <c r="W952" s="1188"/>
    </row>
    <row r="953" spans="1:23" s="1189" customFormat="1" ht="21" hidden="1">
      <c r="A953" s="956"/>
      <c r="B953" s="956"/>
      <c r="C953" s="1105" t="s">
        <v>665</v>
      </c>
      <c r="D953" s="956" t="s">
        <v>121</v>
      </c>
      <c r="E953" s="1195">
        <f>'[14]ETP-2011'!$H$4</f>
        <v>2815</v>
      </c>
      <c r="F953" s="956"/>
      <c r="G953" s="956"/>
      <c r="H953" s="1106">
        <v>2377</v>
      </c>
      <c r="I953" s="961">
        <v>0</v>
      </c>
      <c r="J953" s="961">
        <v>0</v>
      </c>
      <c r="K953" s="961"/>
      <c r="L953" s="961"/>
      <c r="M953" s="961"/>
      <c r="N953" s="961"/>
      <c r="O953" s="961"/>
      <c r="P953" s="961"/>
      <c r="Q953" s="961"/>
      <c r="R953" s="961"/>
      <c r="S953" s="961"/>
      <c r="T953" s="961">
        <f>SUM(H953:S953)</f>
        <v>2377</v>
      </c>
      <c r="U953" s="961"/>
      <c r="V953" s="961"/>
      <c r="W953" s="1188"/>
    </row>
    <row r="954" spans="1:23" s="1189" customFormat="1" ht="21" hidden="1">
      <c r="A954" s="956"/>
      <c r="B954" s="956"/>
      <c r="C954" s="1180"/>
      <c r="D954" s="956"/>
      <c r="E954" s="956"/>
      <c r="F954" s="956"/>
      <c r="G954" s="956"/>
      <c r="H954" s="961"/>
      <c r="I954" s="961"/>
      <c r="J954" s="961"/>
      <c r="K954" s="961"/>
      <c r="L954" s="961"/>
      <c r="M954" s="961"/>
      <c r="N954" s="961"/>
      <c r="O954" s="961"/>
      <c r="P954" s="961"/>
      <c r="Q954" s="961"/>
      <c r="R954" s="961"/>
      <c r="S954" s="961"/>
      <c r="T954" s="961"/>
      <c r="U954" s="961"/>
      <c r="V954" s="961"/>
      <c r="W954" s="1188"/>
    </row>
    <row r="955" spans="1:23" ht="21" hidden="1">
      <c r="A955" s="1150"/>
      <c r="B955" s="1196"/>
      <c r="C955" s="1200" t="s">
        <v>666</v>
      </c>
      <c r="D955" s="989" t="s">
        <v>90</v>
      </c>
      <c r="E955" s="1196"/>
      <c r="F955" s="1196"/>
      <c r="G955" s="1150"/>
      <c r="H955" s="993">
        <v>15091000</v>
      </c>
      <c r="I955" s="1197">
        <v>13619000</v>
      </c>
      <c r="J955" s="1197">
        <v>14777000</v>
      </c>
      <c r="K955" s="1197"/>
      <c r="L955" s="1197"/>
      <c r="M955" s="1197"/>
      <c r="N955" s="1197"/>
      <c r="O955" s="1197"/>
      <c r="P955" s="1197"/>
      <c r="Q955" s="1197"/>
      <c r="R955" s="1197"/>
      <c r="S955" s="1197"/>
      <c r="T955" s="996">
        <f>SUM(H955:S955)</f>
        <v>43487000</v>
      </c>
      <c r="U955" s="1198"/>
      <c r="V955" s="1199"/>
      <c r="W955" s="936"/>
    </row>
    <row r="956" spans="1:23" s="1189" customFormat="1" ht="21" hidden="1">
      <c r="A956" s="956"/>
      <c r="B956" s="956"/>
      <c r="C956" s="1180"/>
      <c r="D956" s="956"/>
      <c r="E956" s="956"/>
      <c r="F956" s="956"/>
      <c r="G956" s="956"/>
      <c r="H956" s="961"/>
      <c r="I956" s="961"/>
      <c r="J956" s="961"/>
      <c r="K956" s="961"/>
      <c r="L956" s="961"/>
      <c r="M956" s="961"/>
      <c r="N956" s="961"/>
      <c r="O956" s="961"/>
      <c r="P956" s="961"/>
      <c r="Q956" s="961"/>
      <c r="R956" s="961"/>
      <c r="S956" s="961"/>
      <c r="T956" s="961"/>
      <c r="U956" s="961"/>
      <c r="V956" s="961"/>
      <c r="W956" s="1188"/>
    </row>
    <row r="957" spans="1:23" ht="21" hidden="1">
      <c r="A957" s="1011"/>
      <c r="B957" s="1042"/>
      <c r="C957" s="1043" t="s">
        <v>534</v>
      </c>
      <c r="D957" s="1042"/>
      <c r="E957" s="1042"/>
      <c r="F957" s="1042"/>
      <c r="G957" s="1042"/>
      <c r="H957" s="1044"/>
      <c r="I957" s="1044"/>
      <c r="J957" s="1044"/>
      <c r="K957" s="1044"/>
      <c r="L957" s="1044"/>
      <c r="M957" s="1044"/>
      <c r="N957" s="1044"/>
      <c r="O957" s="1044"/>
      <c r="P957" s="1044"/>
      <c r="Q957" s="1044"/>
      <c r="R957" s="1044"/>
      <c r="S957" s="1044"/>
      <c r="T957" s="1045"/>
      <c r="U957" s="1045"/>
      <c r="V957" s="1046"/>
      <c r="W957" s="936"/>
    </row>
    <row r="958" spans="1:23" ht="21" hidden="1">
      <c r="A958" s="1011"/>
      <c r="B958" s="1042"/>
      <c r="C958" s="1220" t="s">
        <v>667</v>
      </c>
      <c r="D958" s="1042" t="s">
        <v>90</v>
      </c>
      <c r="E958" s="1042">
        <v>3.6</v>
      </c>
      <c r="F958" s="1042"/>
      <c r="G958" s="1042">
        <v>2.59</v>
      </c>
      <c r="H958" s="1221">
        <v>15091000</v>
      </c>
      <c r="I958" s="1044">
        <v>13619000</v>
      </c>
      <c r="J958" s="1044">
        <v>14777000</v>
      </c>
      <c r="K958" s="1044"/>
      <c r="L958" s="1044"/>
      <c r="M958" s="1044"/>
      <c r="N958" s="1044"/>
      <c r="O958" s="1044"/>
      <c r="P958" s="1044"/>
      <c r="Q958" s="1044"/>
      <c r="R958" s="1044"/>
      <c r="S958" s="1044"/>
      <c r="T958" s="1045"/>
      <c r="U958" s="1045"/>
      <c r="V958" s="1046"/>
      <c r="W958" s="936"/>
    </row>
    <row r="959" spans="1:23" ht="21" hidden="1">
      <c r="A959" s="1011"/>
      <c r="B959" s="1042"/>
      <c r="C959" s="1047" t="s">
        <v>619</v>
      </c>
      <c r="D959" s="1042" t="s">
        <v>121</v>
      </c>
      <c r="E959" s="1222">
        <f>'[14]ETP-2011'!$H$2</f>
        <v>3156</v>
      </c>
      <c r="F959" s="1042"/>
      <c r="G959" s="1042"/>
      <c r="H959" s="1015">
        <v>40426</v>
      </c>
      <c r="I959" s="1202">
        <v>40424</v>
      </c>
      <c r="J959" s="1202">
        <v>46034</v>
      </c>
      <c r="K959" s="1202"/>
      <c r="L959" s="1202"/>
      <c r="M959" s="1202"/>
      <c r="N959" s="1202"/>
      <c r="O959" s="1202"/>
      <c r="P959" s="1202"/>
      <c r="Q959" s="1202"/>
      <c r="R959" s="1202"/>
      <c r="S959" s="1202"/>
      <c r="T959" s="1202">
        <f>SUM(H959:S959)</f>
        <v>126884</v>
      </c>
      <c r="U959" s="1167">
        <f>T959*E959</f>
        <v>400445904</v>
      </c>
      <c r="V959" s="1042">
        <f>T959*G959</f>
        <v>0</v>
      </c>
      <c r="W959" s="936"/>
    </row>
    <row r="960" spans="1:23" ht="21" hidden="1">
      <c r="A960" s="1011"/>
      <c r="B960" s="1042"/>
      <c r="C960" s="1047" t="s">
        <v>620</v>
      </c>
      <c r="D960" s="1042" t="s">
        <v>121</v>
      </c>
      <c r="E960" s="1201">
        <f>'[14]ETP-2011'!$H$3</f>
        <v>2996</v>
      </c>
      <c r="F960" s="1042"/>
      <c r="G960" s="1042"/>
      <c r="H960" s="1106">
        <v>24105</v>
      </c>
      <c r="I960" s="1203">
        <v>27489</v>
      </c>
      <c r="J960" s="1203">
        <v>33725</v>
      </c>
      <c r="K960" s="1203"/>
      <c r="L960" s="1203"/>
      <c r="M960" s="1203"/>
      <c r="N960" s="1203"/>
      <c r="O960" s="1203"/>
      <c r="P960" s="1203"/>
      <c r="Q960" s="1203"/>
      <c r="R960" s="1203"/>
      <c r="S960" s="1203"/>
      <c r="T960" s="1203">
        <f>SUM(H960:S960)</f>
        <v>85319</v>
      </c>
      <c r="U960" s="1167"/>
      <c r="V960" s="1042"/>
      <c r="W960" s="936"/>
    </row>
    <row r="961" spans="1:23" ht="21" hidden="1">
      <c r="A961" s="1011"/>
      <c r="B961" s="1042"/>
      <c r="C961" s="1047" t="s">
        <v>668</v>
      </c>
      <c r="D961" s="1042" t="s">
        <v>121</v>
      </c>
      <c r="E961" s="1201">
        <f>'[14]ETP-2011'!$L$2</f>
        <v>206</v>
      </c>
      <c r="F961" s="1042"/>
      <c r="G961" s="1042"/>
      <c r="H961" s="1106">
        <v>46945</v>
      </c>
      <c r="I961" s="1203">
        <v>39262</v>
      </c>
      <c r="J961" s="1203">
        <v>40486</v>
      </c>
      <c r="K961" s="1203"/>
      <c r="L961" s="1203"/>
      <c r="M961" s="1203"/>
      <c r="N961" s="1203"/>
      <c r="O961" s="1203"/>
      <c r="P961" s="1203"/>
      <c r="Q961" s="1203"/>
      <c r="R961" s="1203"/>
      <c r="S961" s="1203"/>
      <c r="T961" s="1203">
        <f>SUM(H961:S961)</f>
        <v>126693</v>
      </c>
      <c r="U961" s="1167"/>
      <c r="V961" s="1042"/>
      <c r="W961" s="936"/>
    </row>
    <row r="962" spans="1:23" ht="21" hidden="1">
      <c r="A962" s="1011"/>
      <c r="B962" s="1042"/>
      <c r="C962" s="1047"/>
      <c r="D962" s="1042"/>
      <c r="E962" s="1042"/>
      <c r="F962" s="1042"/>
      <c r="G962" s="1042"/>
      <c r="H962" s="1042"/>
      <c r="I962" s="1042"/>
      <c r="J962" s="1042"/>
      <c r="K962" s="1042"/>
      <c r="L962" s="1042"/>
      <c r="M962" s="1042"/>
      <c r="N962" s="1042"/>
      <c r="O962" s="1042"/>
      <c r="P962" s="1042"/>
      <c r="Q962" s="1042"/>
      <c r="R962" s="1042"/>
      <c r="S962" s="1042"/>
      <c r="T962" s="1045"/>
      <c r="U962" s="1167"/>
      <c r="V962" s="1042"/>
      <c r="W962" s="936"/>
    </row>
    <row r="963" spans="1:23" ht="21" hidden="1">
      <c r="A963" s="1011"/>
      <c r="B963" s="1042"/>
      <c r="C963" s="1043" t="s">
        <v>536</v>
      </c>
      <c r="D963" s="1042"/>
      <c r="E963" s="1042"/>
      <c r="F963" s="1042"/>
      <c r="G963" s="1042"/>
      <c r="H963" s="1044"/>
      <c r="I963" s="1044"/>
      <c r="J963" s="1044"/>
      <c r="K963" s="1044"/>
      <c r="L963" s="1044"/>
      <c r="M963" s="1044"/>
      <c r="N963" s="1044"/>
      <c r="O963" s="1044"/>
      <c r="P963" s="1044"/>
      <c r="Q963" s="1044"/>
      <c r="R963" s="1044"/>
      <c r="S963" s="1044"/>
      <c r="T963" s="1045"/>
      <c r="U963" s="1045"/>
      <c r="V963" s="1046"/>
      <c r="W963" s="936"/>
    </row>
    <row r="964" spans="1:23" ht="21" hidden="1">
      <c r="A964" s="1011"/>
      <c r="B964" s="1042"/>
      <c r="C964" s="1220" t="s">
        <v>667</v>
      </c>
      <c r="D964" s="1042" t="s">
        <v>173</v>
      </c>
      <c r="E964" s="1042"/>
      <c r="F964" s="1042"/>
      <c r="G964" s="1042"/>
      <c r="H964" s="1044">
        <v>54327.6</v>
      </c>
      <c r="I964" s="1044">
        <v>49028.4</v>
      </c>
      <c r="J964" s="1044">
        <v>53197.2</v>
      </c>
      <c r="K964" s="1044"/>
      <c r="L964" s="1044"/>
      <c r="M964" s="1044"/>
      <c r="N964" s="1044"/>
      <c r="O964" s="1044"/>
      <c r="P964" s="1044"/>
      <c r="Q964" s="1044"/>
      <c r="R964" s="1044"/>
      <c r="S964" s="1044"/>
      <c r="T964" s="1045">
        <f>SUM(H964:S964)</f>
        <v>156553.20000000001</v>
      </c>
      <c r="U964" s="1045"/>
      <c r="V964" s="1046"/>
      <c r="W964" s="936"/>
    </row>
    <row r="965" spans="1:23" ht="21" hidden="1">
      <c r="A965" s="1011"/>
      <c r="B965" s="1042"/>
      <c r="C965" s="1047" t="s">
        <v>619</v>
      </c>
      <c r="D965" s="1042" t="s">
        <v>173</v>
      </c>
      <c r="E965" s="1042"/>
      <c r="F965" s="1042"/>
      <c r="G965" s="1042"/>
      <c r="H965" s="1044">
        <v>127584.45600000001</v>
      </c>
      <c r="I965" s="1044">
        <v>127578.144</v>
      </c>
      <c r="J965" s="1044">
        <v>145283.304</v>
      </c>
      <c r="K965" s="1044"/>
      <c r="L965" s="1044"/>
      <c r="M965" s="1044"/>
      <c r="N965" s="1044"/>
      <c r="O965" s="1044"/>
      <c r="P965" s="1044"/>
      <c r="Q965" s="1044"/>
      <c r="R965" s="1044"/>
      <c r="S965" s="1044"/>
      <c r="T965" s="1045">
        <f>SUM(H965:S965)</f>
        <v>400445.90399999998</v>
      </c>
      <c r="U965" s="1045"/>
      <c r="V965" s="1046"/>
      <c r="W965" s="936"/>
    </row>
    <row r="966" spans="1:23" ht="21" hidden="1">
      <c r="A966" s="1011"/>
      <c r="B966" s="1042"/>
      <c r="C966" s="1047" t="s">
        <v>620</v>
      </c>
      <c r="D966" s="1042" t="s">
        <v>173</v>
      </c>
      <c r="E966" s="1042"/>
      <c r="F966" s="1042"/>
      <c r="G966" s="1042"/>
      <c r="H966" s="1044">
        <v>72218.58</v>
      </c>
      <c r="I966" s="1044">
        <v>82357.043999999994</v>
      </c>
      <c r="J966" s="1044">
        <v>101040.1</v>
      </c>
      <c r="K966" s="1044"/>
      <c r="L966" s="1044"/>
      <c r="M966" s="1044"/>
      <c r="N966" s="1044"/>
      <c r="O966" s="1044"/>
      <c r="P966" s="1044"/>
      <c r="Q966" s="1044"/>
      <c r="R966" s="1044"/>
      <c r="S966" s="1044"/>
      <c r="T966" s="1045">
        <f>SUM(H966:S966)</f>
        <v>255615.72400000002</v>
      </c>
      <c r="U966" s="1045"/>
      <c r="V966" s="1046"/>
      <c r="W966" s="936"/>
    </row>
    <row r="967" spans="1:23" ht="21" hidden="1">
      <c r="A967" s="1011"/>
      <c r="B967" s="1042"/>
      <c r="C967" s="1047" t="s">
        <v>668</v>
      </c>
      <c r="D967" s="1042" t="s">
        <v>173</v>
      </c>
      <c r="E967" s="1042"/>
      <c r="F967" s="1042"/>
      <c r="G967" s="1042"/>
      <c r="H967" s="1044">
        <v>9670.67</v>
      </c>
      <c r="I967" s="1044">
        <v>8087.9719999999998</v>
      </c>
      <c r="J967" s="1044">
        <v>8340.116</v>
      </c>
      <c r="K967" s="1044"/>
      <c r="L967" s="1044"/>
      <c r="M967" s="1044"/>
      <c r="N967" s="1044"/>
      <c r="O967" s="1044"/>
      <c r="P967" s="1044"/>
      <c r="Q967" s="1044"/>
      <c r="R967" s="1044"/>
      <c r="S967" s="1044"/>
      <c r="T967" s="1045">
        <f>SUM(H967:S967)</f>
        <v>26098.758000000002</v>
      </c>
      <c r="U967" s="1045"/>
      <c r="V967" s="1046"/>
      <c r="W967" s="936"/>
    </row>
    <row r="968" spans="1:23" ht="21" hidden="1">
      <c r="A968" s="1011"/>
      <c r="B968" s="1042"/>
      <c r="C968" s="1042" t="s">
        <v>537</v>
      </c>
      <c r="D968" s="1042" t="s">
        <v>173</v>
      </c>
      <c r="E968" s="1042"/>
      <c r="F968" s="1042"/>
      <c r="G968" s="1042"/>
      <c r="H968" s="1044">
        <v>263801.30599999998</v>
      </c>
      <c r="I968" s="1044">
        <v>267051.56</v>
      </c>
      <c r="J968" s="1044">
        <v>307860.72000000003</v>
      </c>
      <c r="K968" s="1044"/>
      <c r="L968" s="1044"/>
      <c r="M968" s="1044"/>
      <c r="N968" s="1044"/>
      <c r="O968" s="1044"/>
      <c r="P968" s="1044"/>
      <c r="Q968" s="1044"/>
      <c r="R968" s="1044"/>
      <c r="S968" s="1044"/>
      <c r="T968" s="1045">
        <f>SUM(H968:S968)</f>
        <v>838713.58599999989</v>
      </c>
      <c r="U968" s="1045"/>
      <c r="V968" s="1046"/>
      <c r="W968" s="936"/>
    </row>
    <row r="969" spans="1:23" s="1189" customFormat="1" ht="21" hidden="1">
      <c r="A969" s="956"/>
      <c r="B969" s="956"/>
      <c r="C969" s="1180"/>
      <c r="D969" s="956"/>
      <c r="E969" s="956"/>
      <c r="F969" s="956"/>
      <c r="G969" s="956"/>
      <c r="H969" s="961"/>
      <c r="I969" s="961"/>
      <c r="J969" s="961"/>
      <c r="K969" s="961"/>
      <c r="L969" s="961"/>
      <c r="M969" s="961"/>
      <c r="N969" s="961"/>
      <c r="O969" s="961"/>
      <c r="P969" s="961"/>
      <c r="Q969" s="961"/>
      <c r="R969" s="961"/>
      <c r="S969" s="961"/>
      <c r="T969" s="961"/>
      <c r="U969" s="961"/>
      <c r="V969" s="961"/>
      <c r="W969" s="1188"/>
    </row>
    <row r="970" spans="1:23" s="1189" customFormat="1" ht="21" hidden="1">
      <c r="A970" s="956"/>
      <c r="B970" s="956"/>
      <c r="C970" s="1180"/>
      <c r="D970" s="956"/>
      <c r="E970" s="956"/>
      <c r="F970" s="956"/>
      <c r="G970" s="956"/>
      <c r="H970" s="961"/>
      <c r="I970" s="961"/>
      <c r="J970" s="961"/>
      <c r="K970" s="961"/>
      <c r="L970" s="961"/>
      <c r="M970" s="961"/>
      <c r="N970" s="961"/>
      <c r="O970" s="961"/>
      <c r="P970" s="961"/>
      <c r="Q970" s="961"/>
      <c r="R970" s="961"/>
      <c r="S970" s="961"/>
      <c r="T970" s="961"/>
      <c r="U970" s="961"/>
      <c r="V970" s="961"/>
      <c r="W970" s="1188"/>
    </row>
    <row r="971" spans="1:23" s="1189" customFormat="1" ht="21" hidden="1">
      <c r="A971" s="956"/>
      <c r="B971" s="956"/>
      <c r="C971" s="1180" t="s">
        <v>624</v>
      </c>
      <c r="D971" s="956"/>
      <c r="E971" s="956"/>
      <c r="F971" s="956"/>
      <c r="G971" s="956"/>
      <c r="H971" s="961"/>
      <c r="I971" s="961"/>
      <c r="J971" s="961"/>
      <c r="K971" s="961"/>
      <c r="L971" s="961"/>
      <c r="M971" s="961"/>
      <c r="N971" s="961"/>
      <c r="O971" s="961"/>
      <c r="P971" s="961"/>
      <c r="Q971" s="961"/>
      <c r="R971" s="961"/>
      <c r="S971" s="961"/>
      <c r="T971" s="961"/>
      <c r="U971" s="961"/>
      <c r="V971" s="961"/>
      <c r="W971" s="1188"/>
    </row>
    <row r="972" spans="1:23" s="1189" customFormat="1" ht="21" hidden="1">
      <c r="A972" s="956"/>
      <c r="B972" s="956"/>
      <c r="C972" s="1105" t="s">
        <v>664</v>
      </c>
      <c r="D972" s="956" t="s">
        <v>173</v>
      </c>
      <c r="E972" s="956"/>
      <c r="F972" s="956"/>
      <c r="G972" s="956"/>
      <c r="H972" s="961">
        <v>371591.19400000002</v>
      </c>
      <c r="I972" s="961">
        <v>365038.05</v>
      </c>
      <c r="J972" s="961">
        <v>409554.47</v>
      </c>
      <c r="K972" s="961"/>
      <c r="L972" s="961"/>
      <c r="M972" s="961"/>
      <c r="N972" s="961"/>
      <c r="O972" s="961"/>
      <c r="P972" s="961"/>
      <c r="Q972" s="961"/>
      <c r="R972" s="961"/>
      <c r="S972" s="961"/>
      <c r="T972" s="961">
        <f>SUM(H972:S972)</f>
        <v>1146183.7139999999</v>
      </c>
      <c r="U972" s="961"/>
      <c r="V972" s="961"/>
      <c r="W972" s="1188"/>
    </row>
    <row r="973" spans="1:23" s="1189" customFormat="1" ht="21" hidden="1">
      <c r="A973" s="956"/>
      <c r="B973" s="956"/>
      <c r="C973" s="1105" t="s">
        <v>665</v>
      </c>
      <c r="D973" s="956" t="s">
        <v>173</v>
      </c>
      <c r="E973" s="956"/>
      <c r="F973" s="956"/>
      <c r="G973" s="956"/>
      <c r="H973" s="961">
        <v>6691.2550000000001</v>
      </c>
      <c r="I973" s="961">
        <v>0</v>
      </c>
      <c r="J973" s="961">
        <v>0</v>
      </c>
      <c r="K973" s="961"/>
      <c r="L973" s="961"/>
      <c r="M973" s="961"/>
      <c r="N973" s="961"/>
      <c r="O973" s="961"/>
      <c r="P973" s="961"/>
      <c r="Q973" s="961"/>
      <c r="R973" s="961"/>
      <c r="S973" s="961"/>
      <c r="T973" s="961">
        <f>SUM(H973:S973)</f>
        <v>6691.2550000000001</v>
      </c>
      <c r="U973" s="961"/>
      <c r="V973" s="961"/>
      <c r="W973" s="1188"/>
    </row>
    <row r="974" spans="1:23" s="1189" customFormat="1" ht="21" hidden="1">
      <c r="A974" s="956"/>
      <c r="B974" s="956"/>
      <c r="C974" s="1204" t="s">
        <v>625</v>
      </c>
      <c r="D974" s="956" t="s">
        <v>173</v>
      </c>
      <c r="E974" s="956"/>
      <c r="F974" s="956"/>
      <c r="G974" s="956"/>
      <c r="H974" s="961">
        <v>378282.44900000002</v>
      </c>
      <c r="I974" s="961">
        <v>365038.05</v>
      </c>
      <c r="J974" s="961">
        <v>409554.47</v>
      </c>
      <c r="K974" s="961"/>
      <c r="L974" s="961"/>
      <c r="M974" s="961"/>
      <c r="N974" s="961"/>
      <c r="O974" s="961"/>
      <c r="P974" s="961"/>
      <c r="Q974" s="961"/>
      <c r="R974" s="961"/>
      <c r="S974" s="961"/>
      <c r="T974" s="961">
        <f>SUM(H974:S974)</f>
        <v>1152874.969</v>
      </c>
      <c r="U974" s="961"/>
      <c r="V974" s="961"/>
      <c r="W974" s="1188"/>
    </row>
    <row r="975" spans="1:23" s="1189" customFormat="1" ht="21" hidden="1">
      <c r="A975" s="956"/>
      <c r="B975" s="956"/>
      <c r="C975" s="1172" t="s">
        <v>626</v>
      </c>
      <c r="D975" s="956" t="s">
        <v>173</v>
      </c>
      <c r="E975" s="956"/>
      <c r="F975" s="956"/>
      <c r="G975" s="956"/>
      <c r="H975" s="961">
        <v>168808.74299999999</v>
      </c>
      <c r="I975" s="961">
        <v>97986.489999999991</v>
      </c>
      <c r="J975" s="961">
        <v>101693.74999999994</v>
      </c>
      <c r="K975" s="961"/>
      <c r="L975" s="961"/>
      <c r="M975" s="961"/>
      <c r="N975" s="961"/>
      <c r="O975" s="961"/>
      <c r="P975" s="961"/>
      <c r="Q975" s="961"/>
      <c r="R975" s="961"/>
      <c r="S975" s="961"/>
      <c r="T975" s="1223">
        <f>SUM(H975:S975)</f>
        <v>368488.98299999995</v>
      </c>
      <c r="U975" s="961"/>
      <c r="V975" s="961"/>
      <c r="W975" s="1188"/>
    </row>
    <row r="976" spans="1:23" s="1189" customFormat="1" ht="21" hidden="1">
      <c r="A976" s="956"/>
      <c r="B976" s="956"/>
      <c r="C976" s="983" t="s">
        <v>345</v>
      </c>
      <c r="D976" s="964" t="s">
        <v>173</v>
      </c>
      <c r="E976" s="956"/>
      <c r="F976" s="956"/>
      <c r="G976" s="956"/>
      <c r="H976" s="961">
        <v>144648.22188</v>
      </c>
      <c r="I976" s="961">
        <v>124810.99051999999</v>
      </c>
      <c r="J976" s="961">
        <v>140416.63855999999</v>
      </c>
      <c r="K976" s="961"/>
      <c r="L976" s="961"/>
      <c r="M976" s="961"/>
      <c r="N976" s="961"/>
      <c r="O976" s="961"/>
      <c r="P976" s="961"/>
      <c r="Q976" s="961"/>
      <c r="R976" s="961"/>
      <c r="S976" s="961"/>
      <c r="T976" s="1223">
        <f>SUM(H976:S976)</f>
        <v>409875.85095999995</v>
      </c>
      <c r="U976" s="961"/>
      <c r="V976" s="961"/>
      <c r="W976" s="1188"/>
    </row>
    <row r="977" spans="1:23" s="1189" customFormat="1" ht="21" hidden="1">
      <c r="A977" s="956"/>
      <c r="B977" s="1124"/>
      <c r="C977" s="1208" t="s">
        <v>669</v>
      </c>
      <c r="D977" s="1124"/>
      <c r="E977" s="1124"/>
      <c r="F977" s="1124"/>
      <c r="G977" s="1124"/>
      <c r="H977" s="1127"/>
      <c r="I977" s="1127"/>
      <c r="J977" s="1127"/>
      <c r="K977" s="1127"/>
      <c r="L977" s="1127"/>
      <c r="M977" s="1127"/>
      <c r="N977" s="1127"/>
      <c r="O977" s="1127"/>
      <c r="P977" s="1127"/>
      <c r="Q977" s="1127"/>
      <c r="R977" s="1127"/>
      <c r="S977" s="1127"/>
      <c r="T977" s="1127"/>
      <c r="U977" s="1127"/>
      <c r="V977" s="1127"/>
      <c r="W977" s="1188"/>
    </row>
    <row r="978" spans="1:23" s="1189" customFormat="1" ht="21" hidden="1">
      <c r="A978" s="956"/>
      <c r="B978" s="1124"/>
      <c r="C978" s="1210" t="s">
        <v>670</v>
      </c>
      <c r="D978" s="1124" t="s">
        <v>671</v>
      </c>
      <c r="E978" s="1124"/>
      <c r="F978" s="1124"/>
      <c r="G978" s="1124"/>
      <c r="H978" s="1224">
        <v>2.5066758266516467E-2</v>
      </c>
      <c r="I978" s="1224">
        <v>2.6803586900653497E-2</v>
      </c>
      <c r="J978" s="1224">
        <v>2.7715670975164104E-2</v>
      </c>
      <c r="K978" s="1224"/>
      <c r="L978" s="1224"/>
      <c r="M978" s="1224"/>
      <c r="N978" s="1224"/>
      <c r="O978" s="1224"/>
      <c r="P978" s="1224"/>
      <c r="Q978" s="1224"/>
      <c r="R978" s="1224"/>
      <c r="S978" s="1224"/>
      <c r="T978" s="1224">
        <f t="shared" ref="T978" si="363">T974/T955</f>
        <v>2.6510795617080966E-2</v>
      </c>
      <c r="U978" s="1127"/>
      <c r="V978" s="1127"/>
      <c r="W978" s="1188"/>
    </row>
    <row r="979" spans="1:23" s="1189" customFormat="1" ht="23.25" hidden="1">
      <c r="A979" s="956"/>
      <c r="B979" s="1124"/>
      <c r="C979" s="1125" t="s">
        <v>629</v>
      </c>
      <c r="D979" s="1124" t="s">
        <v>671</v>
      </c>
      <c r="E979" s="1124"/>
      <c r="F979" s="1124"/>
      <c r="G979" s="1124"/>
      <c r="H979" s="1224">
        <v>1.1186054138228083E-2</v>
      </c>
      <c r="I979" s="1224">
        <v>7.194837359571187E-3</v>
      </c>
      <c r="J979" s="1224">
        <v>6.8818941598429951E-3</v>
      </c>
      <c r="K979" s="1224"/>
      <c r="L979" s="1224"/>
      <c r="M979" s="1224"/>
      <c r="N979" s="1224"/>
      <c r="O979" s="1224"/>
      <c r="P979" s="1224"/>
      <c r="Q979" s="1224"/>
      <c r="R979" s="1224"/>
      <c r="S979" s="1224"/>
      <c r="T979" s="1225">
        <f>T975/T955</f>
        <v>8.4735434267712174E-3</v>
      </c>
      <c r="U979" s="1127"/>
      <c r="V979" s="1127"/>
      <c r="W979" s="1188"/>
    </row>
    <row r="980" spans="1:23" s="1189" customFormat="1" ht="21" hidden="1">
      <c r="A980" s="956"/>
      <c r="B980" s="1124"/>
      <c r="C980" s="1125" t="s">
        <v>630</v>
      </c>
      <c r="D980" s="1124" t="s">
        <v>672</v>
      </c>
      <c r="E980" s="1124"/>
      <c r="F980" s="1124"/>
      <c r="G980" s="1124"/>
      <c r="H980" s="1224">
        <v>116.70295065226833</v>
      </c>
      <c r="I980" s="1224">
        <v>78.507901901714675</v>
      </c>
      <c r="J980" s="1224">
        <v>72.42286316129568</v>
      </c>
      <c r="K980" s="1224"/>
      <c r="L980" s="1224"/>
      <c r="M980" s="1224"/>
      <c r="N980" s="1224"/>
      <c r="O980" s="1224"/>
      <c r="P980" s="1224"/>
      <c r="Q980" s="1224"/>
      <c r="R980" s="1224"/>
      <c r="S980" s="1224"/>
      <c r="T980" s="1224">
        <f t="shared" ref="T980" si="364">T975/T976*100</f>
        <v>89.902584437930457</v>
      </c>
      <c r="U980" s="961"/>
      <c r="V980" s="961"/>
      <c r="W980" s="1188"/>
    </row>
    <row r="981" spans="1:23" s="1189" customFormat="1" ht="21" hidden="1">
      <c r="A981" s="956"/>
      <c r="B981" s="1172">
        <v>25.7</v>
      </c>
      <c r="C981" s="1214" t="s">
        <v>673</v>
      </c>
      <c r="D981" s="956"/>
      <c r="E981" s="956"/>
      <c r="F981" s="956"/>
      <c r="G981" s="956"/>
      <c r="H981" s="961"/>
      <c r="I981" s="961"/>
      <c r="J981" s="961"/>
      <c r="K981" s="961"/>
      <c r="L981" s="961"/>
      <c r="M981" s="961"/>
      <c r="N981" s="961"/>
      <c r="O981" s="961"/>
      <c r="P981" s="961"/>
      <c r="Q981" s="961"/>
      <c r="R981" s="961"/>
      <c r="S981" s="961"/>
      <c r="T981" s="961"/>
      <c r="U981" s="961"/>
      <c r="V981" s="961"/>
      <c r="W981" s="1188"/>
    </row>
    <row r="982" spans="1:23" s="1189" customFormat="1" ht="21" hidden="1">
      <c r="A982" s="956"/>
      <c r="B982" s="956"/>
      <c r="C982" s="1105" t="s">
        <v>138</v>
      </c>
      <c r="D982" s="956" t="s">
        <v>90</v>
      </c>
      <c r="E982" s="1195">
        <v>3.6</v>
      </c>
      <c r="F982" s="956"/>
      <c r="G982" s="956">
        <v>2.59</v>
      </c>
      <c r="H982" s="1106">
        <v>4540521</v>
      </c>
      <c r="I982" s="961">
        <v>4230499</v>
      </c>
      <c r="J982" s="961">
        <v>4565721</v>
      </c>
      <c r="K982" s="961"/>
      <c r="L982" s="961"/>
      <c r="M982" s="961"/>
      <c r="N982" s="961"/>
      <c r="O982" s="961"/>
      <c r="P982" s="961"/>
      <c r="Q982" s="961"/>
      <c r="R982" s="961"/>
      <c r="S982" s="961"/>
      <c r="T982" s="961">
        <f>SUM(H982:S982)</f>
        <v>13336741</v>
      </c>
      <c r="U982" s="961"/>
      <c r="V982" s="961"/>
      <c r="W982" s="1188"/>
    </row>
    <row r="983" spans="1:23" s="1189" customFormat="1" ht="21" hidden="1">
      <c r="A983" s="956"/>
      <c r="B983" s="956"/>
      <c r="C983" s="1180"/>
      <c r="D983" s="956"/>
      <c r="E983" s="956"/>
      <c r="F983" s="956"/>
      <c r="G983" s="956"/>
      <c r="H983" s="961"/>
      <c r="I983" s="961"/>
      <c r="J983" s="961"/>
      <c r="K983" s="961"/>
      <c r="L983" s="961"/>
      <c r="M983" s="961"/>
      <c r="N983" s="961"/>
      <c r="O983" s="961"/>
      <c r="P983" s="961"/>
      <c r="Q983" s="961"/>
      <c r="R983" s="961"/>
      <c r="S983" s="961"/>
      <c r="T983" s="961"/>
      <c r="U983" s="961"/>
      <c r="V983" s="961"/>
      <c r="W983" s="1188"/>
    </row>
    <row r="984" spans="1:23" ht="21" hidden="1">
      <c r="A984" s="1150"/>
      <c r="B984" s="1196"/>
      <c r="C984" s="1200" t="s">
        <v>674</v>
      </c>
      <c r="D984" s="989" t="s">
        <v>675</v>
      </c>
      <c r="E984" s="1196"/>
      <c r="F984" s="1196"/>
      <c r="G984" s="1150"/>
      <c r="H984" s="993">
        <v>22320000</v>
      </c>
      <c r="I984" s="1197">
        <v>20880000</v>
      </c>
      <c r="J984" s="1197">
        <v>22320000</v>
      </c>
      <c r="K984" s="1197"/>
      <c r="L984" s="1197"/>
      <c r="M984" s="1197"/>
      <c r="N984" s="1197"/>
      <c r="O984" s="1197"/>
      <c r="P984" s="1197"/>
      <c r="Q984" s="1197"/>
      <c r="R984" s="1197"/>
      <c r="S984" s="1197"/>
      <c r="T984" s="996">
        <f>SUM(H984:S984)</f>
        <v>65520000</v>
      </c>
      <c r="U984" s="1198"/>
      <c r="V984" s="1199"/>
      <c r="W984" s="936"/>
    </row>
    <row r="985" spans="1:23" s="1189" customFormat="1" ht="21" hidden="1">
      <c r="A985" s="956"/>
      <c r="B985" s="956"/>
      <c r="C985" s="1180"/>
      <c r="D985" s="956"/>
      <c r="E985" s="956"/>
      <c r="F985" s="956"/>
      <c r="G985" s="956"/>
      <c r="H985" s="961"/>
      <c r="I985" s="961"/>
      <c r="J985" s="961"/>
      <c r="K985" s="961"/>
      <c r="L985" s="961"/>
      <c r="M985" s="961"/>
      <c r="N985" s="961"/>
      <c r="O985" s="961"/>
      <c r="P985" s="961"/>
      <c r="Q985" s="961"/>
      <c r="R985" s="961"/>
      <c r="S985" s="961"/>
      <c r="T985" s="961"/>
      <c r="U985" s="961"/>
      <c r="V985" s="961"/>
      <c r="W985" s="1188"/>
    </row>
    <row r="986" spans="1:23" s="1189" customFormat="1" ht="21" hidden="1">
      <c r="A986" s="956"/>
      <c r="B986" s="956"/>
      <c r="C986" s="1180"/>
      <c r="D986" s="956"/>
      <c r="E986" s="956"/>
      <c r="F986" s="956"/>
      <c r="G986" s="956"/>
      <c r="H986" s="961"/>
      <c r="I986" s="961"/>
      <c r="J986" s="961"/>
      <c r="K986" s="961"/>
      <c r="L986" s="961"/>
      <c r="M986" s="961"/>
      <c r="N986" s="961"/>
      <c r="O986" s="961"/>
      <c r="P986" s="961"/>
      <c r="Q986" s="961"/>
      <c r="R986" s="961"/>
      <c r="S986" s="961"/>
      <c r="T986" s="961"/>
      <c r="U986" s="961"/>
      <c r="V986" s="961"/>
      <c r="W986" s="1188"/>
    </row>
    <row r="987" spans="1:23" s="1189" customFormat="1" ht="21" hidden="1">
      <c r="A987" s="956"/>
      <c r="B987" s="956"/>
      <c r="C987" s="1180" t="s">
        <v>624</v>
      </c>
      <c r="D987" s="956"/>
      <c r="E987" s="956"/>
      <c r="F987" s="956"/>
      <c r="G987" s="956"/>
      <c r="H987" s="961"/>
      <c r="I987" s="961"/>
      <c r="J987" s="961"/>
      <c r="K987" s="961"/>
      <c r="L987" s="961"/>
      <c r="M987" s="961"/>
      <c r="N987" s="961"/>
      <c r="O987" s="961"/>
      <c r="P987" s="961"/>
      <c r="Q987" s="961"/>
      <c r="R987" s="961"/>
      <c r="S987" s="961"/>
      <c r="T987" s="961"/>
      <c r="U987" s="961"/>
      <c r="V987" s="961"/>
      <c r="W987" s="1188"/>
    </row>
    <row r="988" spans="1:23" s="1189" customFormat="1" ht="21" hidden="1">
      <c r="A988" s="956"/>
      <c r="B988" s="956"/>
      <c r="C988" s="1105" t="s">
        <v>138</v>
      </c>
      <c r="D988" s="956" t="s">
        <v>173</v>
      </c>
      <c r="E988" s="956"/>
      <c r="F988" s="956"/>
      <c r="G988" s="956"/>
      <c r="H988" s="961">
        <v>16345.875599999999</v>
      </c>
      <c r="I988" s="961">
        <v>15229.796400000001</v>
      </c>
      <c r="J988" s="961">
        <v>16436.595600000001</v>
      </c>
      <c r="K988" s="961"/>
      <c r="L988" s="961"/>
      <c r="M988" s="961"/>
      <c r="N988" s="961"/>
      <c r="O988" s="961"/>
      <c r="P988" s="961"/>
      <c r="Q988" s="961"/>
      <c r="R988" s="961"/>
      <c r="S988" s="961"/>
      <c r="T988" s="961">
        <f>SUM(H988:S988)</f>
        <v>48012.267599999999</v>
      </c>
      <c r="U988" s="961"/>
      <c r="V988" s="961"/>
      <c r="W988" s="1188"/>
    </row>
    <row r="989" spans="1:23" s="1189" customFormat="1" ht="21" hidden="1">
      <c r="A989" s="956"/>
      <c r="B989" s="956"/>
      <c r="C989" s="1172" t="s">
        <v>625</v>
      </c>
      <c r="D989" s="956" t="s">
        <v>173</v>
      </c>
      <c r="E989" s="956"/>
      <c r="F989" s="956"/>
      <c r="G989" s="956"/>
      <c r="H989" s="961">
        <v>16345.875599999999</v>
      </c>
      <c r="I989" s="961">
        <v>15229.796400000001</v>
      </c>
      <c r="J989" s="961">
        <v>16436.595600000001</v>
      </c>
      <c r="K989" s="961"/>
      <c r="L989" s="961"/>
      <c r="M989" s="961"/>
      <c r="N989" s="961"/>
      <c r="O989" s="961"/>
      <c r="P989" s="961"/>
      <c r="Q989" s="961"/>
      <c r="R989" s="961"/>
      <c r="S989" s="961"/>
      <c r="T989" s="961">
        <f>SUM(H989:S989)</f>
        <v>48012.267599999999</v>
      </c>
      <c r="U989" s="961"/>
      <c r="V989" s="961"/>
      <c r="W989" s="1188"/>
    </row>
    <row r="990" spans="1:23" s="1189" customFormat="1" ht="21" hidden="1">
      <c r="A990" s="956"/>
      <c r="B990" s="956"/>
      <c r="C990" s="983" t="s">
        <v>345</v>
      </c>
      <c r="D990" s="964" t="s">
        <v>173</v>
      </c>
      <c r="E990" s="956"/>
      <c r="F990" s="956"/>
      <c r="G990" s="956"/>
      <c r="H990" s="1207">
        <v>16451.985619999999</v>
      </c>
      <c r="I990" s="961">
        <v>15743.36162</v>
      </c>
      <c r="J990" s="961">
        <v>16451.985619999999</v>
      </c>
      <c r="K990" s="961"/>
      <c r="L990" s="961"/>
      <c r="M990" s="961"/>
      <c r="N990" s="961"/>
      <c r="O990" s="961"/>
      <c r="P990" s="961"/>
      <c r="Q990" s="961"/>
      <c r="R990" s="961"/>
      <c r="S990" s="961"/>
      <c r="T990" s="961">
        <f>SUM(H990:S990)</f>
        <v>48647.332859999995</v>
      </c>
      <c r="U990" s="961"/>
      <c r="V990" s="961"/>
      <c r="W990" s="1188"/>
    </row>
    <row r="991" spans="1:23" s="1189" customFormat="1" ht="21" hidden="1">
      <c r="A991" s="956"/>
      <c r="B991" s="1124"/>
      <c r="C991" s="1208" t="s">
        <v>676</v>
      </c>
      <c r="D991" s="1124"/>
      <c r="E991" s="1124"/>
      <c r="F991" s="1124"/>
      <c r="G991" s="1124"/>
      <c r="H991" s="1127"/>
      <c r="I991" s="1127"/>
      <c r="J991" s="1127"/>
      <c r="K991" s="1127"/>
      <c r="L991" s="1127"/>
      <c r="M991" s="1127"/>
      <c r="N991" s="1127"/>
      <c r="O991" s="1127"/>
      <c r="P991" s="1127"/>
      <c r="Q991" s="1127"/>
      <c r="R991" s="1127"/>
      <c r="S991" s="1127"/>
      <c r="T991" s="1127"/>
      <c r="U991" s="1127"/>
      <c r="V991" s="1127"/>
      <c r="W991" s="1188"/>
    </row>
    <row r="992" spans="1:23" s="1189" customFormat="1" ht="21" hidden="1">
      <c r="A992" s="956"/>
      <c r="B992" s="1124"/>
      <c r="C992" s="1209" t="s">
        <v>138</v>
      </c>
      <c r="D992" s="1124" t="s">
        <v>677</v>
      </c>
      <c r="E992" s="1124"/>
      <c r="F992" s="1124"/>
      <c r="G992" s="1124"/>
      <c r="H992" s="1159">
        <v>0.7323420967741936</v>
      </c>
      <c r="I992" s="1159">
        <v>0.72939637931034484</v>
      </c>
      <c r="J992" s="1159">
        <v>0.73640661290322573</v>
      </c>
      <c r="K992" s="1159"/>
      <c r="L992" s="1159"/>
      <c r="M992" s="1159"/>
      <c r="N992" s="1159"/>
      <c r="O992" s="1159"/>
      <c r="P992" s="1159"/>
      <c r="Q992" s="1159"/>
      <c r="R992" s="1159"/>
      <c r="S992" s="1159"/>
      <c r="T992" s="1159">
        <f t="shared" ref="T992" si="365">T988/T$984*1000</f>
        <v>0.732787967032967</v>
      </c>
      <c r="U992" s="1127"/>
      <c r="V992" s="1127"/>
      <c r="W992" s="1188"/>
    </row>
    <row r="993" spans="1:23" s="1189" customFormat="1" ht="23.25" hidden="1">
      <c r="A993" s="956"/>
      <c r="B993" s="1124"/>
      <c r="C993" s="1125" t="s">
        <v>628</v>
      </c>
      <c r="D993" s="1124" t="s">
        <v>677</v>
      </c>
      <c r="E993" s="1124"/>
      <c r="F993" s="1124"/>
      <c r="G993" s="1124"/>
      <c r="H993" s="1159">
        <v>0.7323420967741936</v>
      </c>
      <c r="I993" s="1159">
        <v>0.72939637931034484</v>
      </c>
      <c r="J993" s="1159">
        <v>0.73640661290322573</v>
      </c>
      <c r="K993" s="1159"/>
      <c r="L993" s="1159"/>
      <c r="M993" s="1159"/>
      <c r="N993" s="1159"/>
      <c r="O993" s="1159"/>
      <c r="P993" s="1159"/>
      <c r="Q993" s="1159"/>
      <c r="R993" s="1159"/>
      <c r="S993" s="1159"/>
      <c r="T993" s="1212">
        <f>T989/T$984*1000</f>
        <v>0.732787967032967</v>
      </c>
      <c r="U993" s="1127"/>
      <c r="V993" s="1127"/>
      <c r="W993" s="1188"/>
    </row>
    <row r="994" spans="1:23" s="1189" customFormat="1" ht="21" hidden="1">
      <c r="A994" s="956"/>
      <c r="B994" s="1124"/>
      <c r="C994" s="1125" t="s">
        <v>642</v>
      </c>
      <c r="D994" s="1124" t="s">
        <v>678</v>
      </c>
      <c r="E994" s="1124"/>
      <c r="F994" s="1124"/>
      <c r="G994" s="1124"/>
      <c r="H994" s="1159">
        <v>99.355032137452113</v>
      </c>
      <c r="I994" s="1159">
        <v>96.737893517305878</v>
      </c>
      <c r="J994" s="1159">
        <v>99.906454938902385</v>
      </c>
      <c r="K994" s="1159"/>
      <c r="L994" s="1159"/>
      <c r="M994" s="1159"/>
      <c r="N994" s="1159"/>
      <c r="O994" s="1159"/>
      <c r="P994" s="1159"/>
      <c r="Q994" s="1159"/>
      <c r="R994" s="1159"/>
      <c r="S994" s="1159"/>
      <c r="T994" s="1159">
        <f t="shared" ref="T994" si="366">T989/T990*100</f>
        <v>98.694552768540007</v>
      </c>
      <c r="U994" s="961"/>
      <c r="V994" s="961"/>
      <c r="W994" s="1188"/>
    </row>
    <row r="995" spans="1:23" s="1189" customFormat="1" ht="21" hidden="1">
      <c r="A995" s="956"/>
      <c r="B995" s="1172">
        <v>25.8</v>
      </c>
      <c r="C995" s="1214" t="s">
        <v>612</v>
      </c>
      <c r="D995" s="956"/>
      <c r="E995" s="956"/>
      <c r="F995" s="956"/>
      <c r="G995" s="956"/>
      <c r="H995" s="961"/>
      <c r="I995" s="961"/>
      <c r="J995" s="961"/>
      <c r="K995" s="961"/>
      <c r="L995" s="961"/>
      <c r="M995" s="961"/>
      <c r="N995" s="961"/>
      <c r="O995" s="961"/>
      <c r="P995" s="961"/>
      <c r="Q995" s="961"/>
      <c r="R995" s="961"/>
      <c r="S995" s="961"/>
      <c r="T995" s="961"/>
      <c r="U995" s="961"/>
      <c r="V995" s="961"/>
      <c r="W995" s="1188"/>
    </row>
    <row r="996" spans="1:23" s="1189" customFormat="1" ht="21" hidden="1">
      <c r="A996" s="956"/>
      <c r="B996" s="956"/>
      <c r="C996" s="1105" t="s">
        <v>138</v>
      </c>
      <c r="D996" s="956" t="s">
        <v>90</v>
      </c>
      <c r="E996" s="1195">
        <v>3.6</v>
      </c>
      <c r="F996" s="956"/>
      <c r="G996" s="956">
        <v>2.59</v>
      </c>
      <c r="H996" s="1106">
        <v>50790</v>
      </c>
      <c r="I996" s="961">
        <v>54090</v>
      </c>
      <c r="J996" s="961">
        <v>66510</v>
      </c>
      <c r="K996" s="961"/>
      <c r="L996" s="961"/>
      <c r="M996" s="961"/>
      <c r="N996" s="961"/>
      <c r="O996" s="961"/>
      <c r="P996" s="961"/>
      <c r="Q996" s="961"/>
      <c r="R996" s="961"/>
      <c r="S996" s="961"/>
      <c r="T996" s="961">
        <f>SUM(H996:S996)</f>
        <v>171390</v>
      </c>
      <c r="U996" s="961"/>
      <c r="V996" s="961"/>
      <c r="W996" s="1188"/>
    </row>
    <row r="997" spans="1:23" s="1189" customFormat="1" ht="21" hidden="1">
      <c r="A997" s="956"/>
      <c r="B997" s="956"/>
      <c r="C997" s="1180"/>
      <c r="D997" s="956"/>
      <c r="E997" s="956"/>
      <c r="F997" s="956"/>
      <c r="G997" s="956"/>
      <c r="H997" s="961"/>
      <c r="I997" s="961"/>
      <c r="J997" s="961"/>
      <c r="K997" s="961"/>
      <c r="L997" s="961"/>
      <c r="M997" s="961"/>
      <c r="N997" s="961"/>
      <c r="O997" s="961"/>
      <c r="P997" s="961"/>
      <c r="Q997" s="961"/>
      <c r="R997" s="961"/>
      <c r="S997" s="961"/>
      <c r="T997" s="961"/>
      <c r="U997" s="961"/>
      <c r="V997" s="961"/>
      <c r="W997" s="1188"/>
    </row>
    <row r="998" spans="1:23" ht="21" hidden="1">
      <c r="A998" s="1150"/>
      <c r="B998" s="1196"/>
      <c r="C998" s="1200" t="s">
        <v>679</v>
      </c>
      <c r="D998" s="989" t="s">
        <v>675</v>
      </c>
      <c r="E998" s="1196"/>
      <c r="F998" s="1196"/>
      <c r="G998" s="1150"/>
      <c r="H998" s="993">
        <v>121825.62999999999</v>
      </c>
      <c r="I998" s="1197">
        <v>112483.14679999999</v>
      </c>
      <c r="J998" s="1197">
        <v>134055.47079999998</v>
      </c>
      <c r="K998" s="1197"/>
      <c r="L998" s="1197"/>
      <c r="M998" s="1197"/>
      <c r="N998" s="1197"/>
      <c r="O998" s="1197"/>
      <c r="P998" s="1197"/>
      <c r="Q998" s="1197"/>
      <c r="R998" s="1197"/>
      <c r="S998" s="1197"/>
      <c r="T998" s="996">
        <f>SUM(H998:S998)</f>
        <v>368364.2476</v>
      </c>
      <c r="U998" s="1198"/>
      <c r="V998" s="1199"/>
      <c r="W998" s="936"/>
    </row>
    <row r="999" spans="1:23" s="1189" customFormat="1" ht="21" hidden="1">
      <c r="A999" s="956"/>
      <c r="B999" s="956"/>
      <c r="C999" s="1180"/>
      <c r="D999" s="956"/>
      <c r="E999" s="956"/>
      <c r="F999" s="956"/>
      <c r="G999" s="956"/>
      <c r="H999" s="961"/>
      <c r="I999" s="961"/>
      <c r="J999" s="961"/>
      <c r="K999" s="961"/>
      <c r="L999" s="961"/>
      <c r="M999" s="961"/>
      <c r="N999" s="961"/>
      <c r="O999" s="961"/>
      <c r="P999" s="961"/>
      <c r="Q999" s="961"/>
      <c r="R999" s="961"/>
      <c r="S999" s="961"/>
      <c r="T999" s="961"/>
      <c r="U999" s="961"/>
      <c r="V999" s="961"/>
      <c r="W999" s="1188"/>
    </row>
    <row r="1000" spans="1:23" s="1189" customFormat="1" ht="21" hidden="1">
      <c r="A1000" s="956"/>
      <c r="B1000" s="956"/>
      <c r="C1000" s="1180"/>
      <c r="D1000" s="956"/>
      <c r="E1000" s="956"/>
      <c r="F1000" s="956"/>
      <c r="G1000" s="956"/>
      <c r="H1000" s="961"/>
      <c r="I1000" s="961"/>
      <c r="J1000" s="961"/>
      <c r="K1000" s="961"/>
      <c r="L1000" s="961"/>
      <c r="M1000" s="961"/>
      <c r="N1000" s="961"/>
      <c r="O1000" s="961"/>
      <c r="P1000" s="961"/>
      <c r="Q1000" s="961"/>
      <c r="R1000" s="961"/>
      <c r="S1000" s="961"/>
      <c r="T1000" s="961"/>
      <c r="U1000" s="961"/>
      <c r="V1000" s="961"/>
      <c r="W1000" s="1188"/>
    </row>
    <row r="1001" spans="1:23" s="1189" customFormat="1" ht="21" hidden="1">
      <c r="A1001" s="956"/>
      <c r="B1001" s="956"/>
      <c r="C1001" s="1180" t="s">
        <v>624</v>
      </c>
      <c r="D1001" s="956"/>
      <c r="E1001" s="956"/>
      <c r="F1001" s="956"/>
      <c r="G1001" s="956"/>
      <c r="H1001" s="961"/>
      <c r="I1001" s="961"/>
      <c r="J1001" s="961"/>
      <c r="K1001" s="961"/>
      <c r="L1001" s="961"/>
      <c r="M1001" s="961"/>
      <c r="N1001" s="961"/>
      <c r="O1001" s="961"/>
      <c r="P1001" s="961"/>
      <c r="Q1001" s="961"/>
      <c r="R1001" s="961"/>
      <c r="S1001" s="961"/>
      <c r="T1001" s="961"/>
      <c r="U1001" s="961"/>
      <c r="V1001" s="961"/>
      <c r="W1001" s="1188"/>
    </row>
    <row r="1002" spans="1:23" s="1189" customFormat="1" ht="21" hidden="1">
      <c r="A1002" s="956"/>
      <c r="B1002" s="956"/>
      <c r="C1002" s="1105" t="s">
        <v>138</v>
      </c>
      <c r="D1002" s="956" t="s">
        <v>173</v>
      </c>
      <c r="E1002" s="956"/>
      <c r="F1002" s="956"/>
      <c r="G1002" s="956"/>
      <c r="H1002" s="961">
        <v>182.84399999999999</v>
      </c>
      <c r="I1002" s="961">
        <v>194.72399999999999</v>
      </c>
      <c r="J1002" s="961">
        <v>239.43600000000001</v>
      </c>
      <c r="K1002" s="961"/>
      <c r="L1002" s="961"/>
      <c r="M1002" s="961"/>
      <c r="N1002" s="961"/>
      <c r="O1002" s="961"/>
      <c r="P1002" s="961"/>
      <c r="Q1002" s="961"/>
      <c r="R1002" s="961"/>
      <c r="S1002" s="961"/>
      <c r="T1002" s="961">
        <f>SUM(H1002:S1002)</f>
        <v>617.00400000000002</v>
      </c>
      <c r="U1002" s="961"/>
      <c r="V1002" s="961"/>
      <c r="W1002" s="1188"/>
    </row>
    <row r="1003" spans="1:23" s="1189" customFormat="1" ht="21" hidden="1">
      <c r="A1003" s="956"/>
      <c r="B1003" s="956"/>
      <c r="C1003" s="1172" t="s">
        <v>625</v>
      </c>
      <c r="D1003" s="956" t="s">
        <v>173</v>
      </c>
      <c r="E1003" s="956"/>
      <c r="F1003" s="956"/>
      <c r="G1003" s="956"/>
      <c r="H1003" s="961">
        <v>182.84399999999999</v>
      </c>
      <c r="I1003" s="961">
        <v>194.72399999999999</v>
      </c>
      <c r="J1003" s="961">
        <v>239.43600000000001</v>
      </c>
      <c r="K1003" s="961"/>
      <c r="L1003" s="961"/>
      <c r="M1003" s="961"/>
      <c r="N1003" s="961"/>
      <c r="O1003" s="961"/>
      <c r="P1003" s="961"/>
      <c r="Q1003" s="961"/>
      <c r="R1003" s="961"/>
      <c r="S1003" s="961"/>
      <c r="T1003" s="961">
        <f>SUM(H1003:S1003)</f>
        <v>617.00400000000002</v>
      </c>
      <c r="U1003" s="961"/>
      <c r="V1003" s="961"/>
      <c r="W1003" s="1188"/>
    </row>
    <row r="1004" spans="1:23" s="1189" customFormat="1" ht="21" hidden="1">
      <c r="A1004" s="956"/>
      <c r="B1004" s="956"/>
      <c r="C1004" s="983" t="s">
        <v>345</v>
      </c>
      <c r="D1004" s="964" t="s">
        <v>173</v>
      </c>
      <c r="E1004" s="956"/>
      <c r="F1004" s="956"/>
      <c r="G1004" s="956"/>
      <c r="H1004" s="957">
        <v>146.23480413720003</v>
      </c>
      <c r="I1004" s="957">
        <v>143.22241385419201</v>
      </c>
      <c r="J1004" s="957">
        <v>150.17819400475202</v>
      </c>
      <c r="K1004" s="957"/>
      <c r="L1004" s="957"/>
      <c r="M1004" s="957"/>
      <c r="N1004" s="957"/>
      <c r="O1004" s="957"/>
      <c r="P1004" s="957"/>
      <c r="Q1004" s="957"/>
      <c r="R1004" s="957"/>
      <c r="S1004" s="957"/>
      <c r="T1004" s="961">
        <f>SUM(H1004:S1004)</f>
        <v>439.63541199614406</v>
      </c>
      <c r="U1004" s="961"/>
      <c r="V1004" s="961"/>
      <c r="W1004" s="1188"/>
    </row>
    <row r="1005" spans="1:23" s="1189" customFormat="1" ht="21" hidden="1">
      <c r="A1005" s="956"/>
      <c r="B1005" s="1124"/>
      <c r="C1005" s="1208" t="s">
        <v>680</v>
      </c>
      <c r="D1005" s="1124"/>
      <c r="E1005" s="1124"/>
      <c r="F1005" s="1124"/>
      <c r="G1005" s="1124"/>
      <c r="H1005" s="1127"/>
      <c r="I1005" s="1127"/>
      <c r="J1005" s="1127"/>
      <c r="K1005" s="1127"/>
      <c r="L1005" s="1127"/>
      <c r="M1005" s="1127"/>
      <c r="N1005" s="1127"/>
      <c r="O1005" s="1127"/>
      <c r="P1005" s="1127"/>
      <c r="Q1005" s="1127"/>
      <c r="R1005" s="1127"/>
      <c r="S1005" s="1127"/>
      <c r="T1005" s="1127"/>
      <c r="U1005" s="1127"/>
      <c r="V1005" s="1127"/>
      <c r="W1005" s="1188"/>
    </row>
    <row r="1006" spans="1:23" s="1189" customFormat="1" ht="21" hidden="1">
      <c r="A1006" s="956"/>
      <c r="B1006" s="1124"/>
      <c r="C1006" s="1209" t="s">
        <v>138</v>
      </c>
      <c r="D1006" s="1124" t="s">
        <v>677</v>
      </c>
      <c r="E1006" s="1124"/>
      <c r="F1006" s="1124"/>
      <c r="G1006" s="1124"/>
      <c r="H1006" s="1159">
        <v>1.5008664432927621</v>
      </c>
      <c r="I1006" s="1159">
        <v>1.7311393354439832</v>
      </c>
      <c r="J1006" s="1159">
        <v>1.7860964462779692</v>
      </c>
      <c r="K1006" s="1159"/>
      <c r="L1006" s="1159"/>
      <c r="M1006" s="1159"/>
      <c r="N1006" s="1159"/>
      <c r="O1006" s="1159"/>
      <c r="P1006" s="1159"/>
      <c r="Q1006" s="1159"/>
      <c r="R1006" s="1159"/>
      <c r="S1006" s="1159"/>
      <c r="T1006" s="1159">
        <f t="shared" ref="T1006" si="367">T1002/T$998*1000</f>
        <v>1.6749834003162907</v>
      </c>
      <c r="U1006" s="1127"/>
      <c r="V1006" s="1127"/>
      <c r="W1006" s="1188"/>
    </row>
    <row r="1007" spans="1:23" s="1189" customFormat="1" ht="23.25" hidden="1">
      <c r="A1007" s="956"/>
      <c r="B1007" s="1124"/>
      <c r="C1007" s="1125" t="s">
        <v>628</v>
      </c>
      <c r="D1007" s="1124" t="s">
        <v>677</v>
      </c>
      <c r="E1007" s="1124"/>
      <c r="F1007" s="1124"/>
      <c r="G1007" s="1124"/>
      <c r="H1007" s="1159">
        <v>1.5008664432927621</v>
      </c>
      <c r="I1007" s="1159">
        <v>1.7311393354439832</v>
      </c>
      <c r="J1007" s="1159">
        <v>1.7860964462779692</v>
      </c>
      <c r="K1007" s="1159"/>
      <c r="L1007" s="1159"/>
      <c r="M1007" s="1159"/>
      <c r="N1007" s="1159"/>
      <c r="O1007" s="1159"/>
      <c r="P1007" s="1159"/>
      <c r="Q1007" s="1159"/>
      <c r="R1007" s="1159"/>
      <c r="S1007" s="1159"/>
      <c r="T1007" s="1212">
        <f>T1003/T$998*1000</f>
        <v>1.6749834003162907</v>
      </c>
      <c r="U1007" s="1127"/>
      <c r="V1007" s="1127"/>
      <c r="W1007" s="1188"/>
    </row>
    <row r="1008" spans="1:23" s="1189" customFormat="1" ht="21" hidden="1">
      <c r="A1008" s="956"/>
      <c r="B1008" s="1124"/>
      <c r="C1008" s="1125" t="s">
        <v>642</v>
      </c>
      <c r="D1008" s="1124" t="s">
        <v>678</v>
      </c>
      <c r="E1008" s="1124"/>
      <c r="F1008" s="1124"/>
      <c r="G1008" s="1124"/>
      <c r="H1008" s="1159">
        <v>125.03452996624019</v>
      </c>
      <c r="I1008" s="1159">
        <v>135.95916641807148</v>
      </c>
      <c r="J1008" s="1159">
        <v>159.43459806982608</v>
      </c>
      <c r="K1008" s="1159"/>
      <c r="L1008" s="1159"/>
      <c r="M1008" s="1159"/>
      <c r="N1008" s="1159"/>
      <c r="O1008" s="1159"/>
      <c r="P1008" s="1159"/>
      <c r="Q1008" s="1159"/>
      <c r="R1008" s="1159"/>
      <c r="S1008" s="1159"/>
      <c r="T1008" s="1159">
        <f t="shared" ref="T1008" si="368">T1003/T1004*100</f>
        <v>140.34447252520496</v>
      </c>
      <c r="U1008" s="961"/>
      <c r="V1008" s="961"/>
      <c r="W1008" s="1188"/>
    </row>
    <row r="1009" spans="1:23" s="1189" customFormat="1" ht="21" hidden="1">
      <c r="A1009" s="956"/>
      <c r="B1009" s="1172">
        <v>25.9</v>
      </c>
      <c r="C1009" s="1214" t="s">
        <v>613</v>
      </c>
      <c r="D1009" s="956"/>
      <c r="E1009" s="956"/>
      <c r="F1009" s="956"/>
      <c r="G1009" s="956"/>
      <c r="H1009" s="961"/>
      <c r="I1009" s="961"/>
      <c r="J1009" s="961"/>
      <c r="K1009" s="961"/>
      <c r="L1009" s="961"/>
      <c r="M1009" s="961"/>
      <c r="N1009" s="961"/>
      <c r="O1009" s="961"/>
      <c r="P1009" s="961"/>
      <c r="Q1009" s="961"/>
      <c r="R1009" s="961"/>
      <c r="S1009" s="961"/>
      <c r="T1009" s="961"/>
      <c r="U1009" s="961"/>
      <c r="V1009" s="961"/>
      <c r="W1009" s="1188"/>
    </row>
    <row r="1010" spans="1:23" s="1189" customFormat="1" ht="21" hidden="1">
      <c r="A1010" s="956"/>
      <c r="B1010" s="956"/>
      <c r="C1010" s="1105" t="s">
        <v>138</v>
      </c>
      <c r="D1010" s="956" t="s">
        <v>90</v>
      </c>
      <c r="E1010" s="1195">
        <v>3.6</v>
      </c>
      <c r="F1010" s="956"/>
      <c r="G1010" s="956">
        <v>2.59</v>
      </c>
      <c r="H1010" s="1106">
        <v>709373</v>
      </c>
      <c r="I1010" s="961">
        <v>681500</v>
      </c>
      <c r="J1010" s="961">
        <v>673752</v>
      </c>
      <c r="K1010" s="961"/>
      <c r="L1010" s="961"/>
      <c r="M1010" s="961"/>
      <c r="N1010" s="961"/>
      <c r="O1010" s="961"/>
      <c r="P1010" s="961"/>
      <c r="Q1010" s="961"/>
      <c r="R1010" s="961"/>
      <c r="S1010" s="961"/>
      <c r="T1010" s="961">
        <f>SUM(H1010:S1010)</f>
        <v>2064625</v>
      </c>
      <c r="U1010" s="961"/>
      <c r="V1010" s="961"/>
      <c r="W1010" s="1188"/>
    </row>
    <row r="1011" spans="1:23" s="1189" customFormat="1" ht="21" hidden="1">
      <c r="A1011" s="956"/>
      <c r="B1011" s="956"/>
      <c r="C1011" s="1180"/>
      <c r="D1011" s="956"/>
      <c r="E1011" s="956"/>
      <c r="F1011" s="956"/>
      <c r="G1011" s="956"/>
      <c r="H1011" s="961"/>
      <c r="I1011" s="961"/>
      <c r="J1011" s="961"/>
      <c r="K1011" s="961"/>
      <c r="L1011" s="961"/>
      <c r="M1011" s="961"/>
      <c r="N1011" s="961"/>
      <c r="O1011" s="961"/>
      <c r="P1011" s="961"/>
      <c r="Q1011" s="961"/>
      <c r="R1011" s="961"/>
      <c r="S1011" s="961"/>
      <c r="T1011" s="961"/>
      <c r="U1011" s="961"/>
      <c r="V1011" s="961"/>
      <c r="W1011" s="1188"/>
    </row>
    <row r="1012" spans="1:23" ht="21" hidden="1">
      <c r="A1012" s="1150"/>
      <c r="B1012" s="1196"/>
      <c r="C1012" s="1200" t="s">
        <v>681</v>
      </c>
      <c r="D1012" s="989" t="s">
        <v>163</v>
      </c>
      <c r="E1012" s="1196"/>
      <c r="F1012" s="1196"/>
      <c r="G1012" s="1150"/>
      <c r="H1012" s="993">
        <v>4525560</v>
      </c>
      <c r="I1012" s="1197">
        <v>4075224</v>
      </c>
      <c r="J1012" s="1197">
        <v>4613352</v>
      </c>
      <c r="K1012" s="1197"/>
      <c r="L1012" s="1197"/>
      <c r="M1012" s="1197"/>
      <c r="N1012" s="1197"/>
      <c r="O1012" s="1197"/>
      <c r="P1012" s="1197"/>
      <c r="Q1012" s="1197"/>
      <c r="R1012" s="1197"/>
      <c r="S1012" s="1197"/>
      <c r="T1012" s="996">
        <f>SUM(H1012:S1012)</f>
        <v>13214136</v>
      </c>
      <c r="U1012" s="1198"/>
      <c r="V1012" s="1199"/>
      <c r="W1012" s="936"/>
    </row>
    <row r="1013" spans="1:23" s="1189" customFormat="1" ht="21" hidden="1">
      <c r="A1013" s="956"/>
      <c r="B1013" s="956"/>
      <c r="C1013" s="1180"/>
      <c r="D1013" s="956"/>
      <c r="E1013" s="956"/>
      <c r="F1013" s="956"/>
      <c r="G1013" s="956"/>
      <c r="H1013" s="961"/>
      <c r="I1013" s="961"/>
      <c r="J1013" s="961"/>
      <c r="K1013" s="961"/>
      <c r="L1013" s="961"/>
      <c r="M1013" s="961"/>
      <c r="N1013" s="961"/>
      <c r="O1013" s="961"/>
      <c r="P1013" s="961"/>
      <c r="Q1013" s="961"/>
      <c r="R1013" s="961"/>
      <c r="S1013" s="961"/>
      <c r="T1013" s="961"/>
      <c r="U1013" s="961"/>
      <c r="V1013" s="961"/>
      <c r="W1013" s="1188"/>
    </row>
    <row r="1014" spans="1:23" s="1189" customFormat="1" ht="21" hidden="1">
      <c r="A1014" s="956"/>
      <c r="B1014" s="956"/>
      <c r="C1014" s="1180"/>
      <c r="D1014" s="956"/>
      <c r="E1014" s="956"/>
      <c r="F1014" s="956"/>
      <c r="G1014" s="956"/>
      <c r="H1014" s="961"/>
      <c r="I1014" s="961"/>
      <c r="J1014" s="961"/>
      <c r="K1014" s="961"/>
      <c r="L1014" s="961"/>
      <c r="M1014" s="961"/>
      <c r="N1014" s="961"/>
      <c r="O1014" s="961"/>
      <c r="P1014" s="961"/>
      <c r="Q1014" s="961"/>
      <c r="R1014" s="961"/>
      <c r="S1014" s="961"/>
      <c r="T1014" s="961"/>
      <c r="U1014" s="961"/>
      <c r="V1014" s="961"/>
      <c r="W1014" s="1188"/>
    </row>
    <row r="1015" spans="1:23" s="1189" customFormat="1" ht="21" hidden="1">
      <c r="A1015" s="956"/>
      <c r="B1015" s="956"/>
      <c r="C1015" s="1180" t="s">
        <v>624</v>
      </c>
      <c r="D1015" s="956"/>
      <c r="E1015" s="956"/>
      <c r="F1015" s="956"/>
      <c r="G1015" s="956"/>
      <c r="H1015" s="961"/>
      <c r="I1015" s="961"/>
      <c r="J1015" s="961"/>
      <c r="K1015" s="961"/>
      <c r="L1015" s="961"/>
      <c r="M1015" s="961"/>
      <c r="N1015" s="961"/>
      <c r="O1015" s="961"/>
      <c r="P1015" s="961"/>
      <c r="Q1015" s="961"/>
      <c r="R1015" s="961"/>
      <c r="S1015" s="961"/>
      <c r="T1015" s="961"/>
      <c r="U1015" s="961"/>
      <c r="V1015" s="961"/>
      <c r="W1015" s="1188"/>
    </row>
    <row r="1016" spans="1:23" s="1189" customFormat="1" ht="21" hidden="1">
      <c r="A1016" s="956"/>
      <c r="B1016" s="956"/>
      <c r="C1016" s="1105" t="s">
        <v>138</v>
      </c>
      <c r="D1016" s="956" t="s">
        <v>173</v>
      </c>
      <c r="E1016" s="956"/>
      <c r="F1016" s="956"/>
      <c r="G1016" s="956"/>
      <c r="H1016" s="961">
        <v>2553.7428000000004</v>
      </c>
      <c r="I1016" s="961">
        <v>2453.4</v>
      </c>
      <c r="J1016" s="961">
        <v>2425.5072</v>
      </c>
      <c r="K1016" s="961"/>
      <c r="L1016" s="961"/>
      <c r="M1016" s="961"/>
      <c r="N1016" s="961"/>
      <c r="O1016" s="961"/>
      <c r="P1016" s="961"/>
      <c r="Q1016" s="961"/>
      <c r="R1016" s="961"/>
      <c r="S1016" s="961"/>
      <c r="T1016" s="961">
        <f>SUM(H1016:S1016)</f>
        <v>7432.6500000000005</v>
      </c>
      <c r="U1016" s="961"/>
      <c r="V1016" s="961"/>
      <c r="W1016" s="1188"/>
    </row>
    <row r="1017" spans="1:23" s="1189" customFormat="1" ht="21" hidden="1">
      <c r="A1017" s="956"/>
      <c r="B1017" s="956"/>
      <c r="C1017" s="1172" t="s">
        <v>625</v>
      </c>
      <c r="D1017" s="956" t="s">
        <v>173</v>
      </c>
      <c r="E1017" s="956"/>
      <c r="F1017" s="956"/>
      <c r="G1017" s="956"/>
      <c r="H1017" s="961">
        <v>2553.7428000000004</v>
      </c>
      <c r="I1017" s="961">
        <v>2453.4</v>
      </c>
      <c r="J1017" s="961">
        <v>2425.5072</v>
      </c>
      <c r="K1017" s="961"/>
      <c r="L1017" s="961"/>
      <c r="M1017" s="961"/>
      <c r="N1017" s="961"/>
      <c r="O1017" s="961"/>
      <c r="P1017" s="961"/>
      <c r="Q1017" s="961"/>
      <c r="R1017" s="961"/>
      <c r="S1017" s="961"/>
      <c r="T1017" s="961">
        <f>SUM(H1017:S1017)</f>
        <v>7432.6500000000005</v>
      </c>
      <c r="U1017" s="961"/>
      <c r="V1017" s="961"/>
      <c r="W1017" s="1188"/>
    </row>
    <row r="1018" spans="1:23" s="1189" customFormat="1" ht="21" hidden="1">
      <c r="A1018" s="956"/>
      <c r="B1018" s="956"/>
      <c r="C1018" s="983" t="s">
        <v>345</v>
      </c>
      <c r="D1018" s="964" t="s">
        <v>173</v>
      </c>
      <c r="E1018" s="956"/>
      <c r="F1018" s="956"/>
      <c r="G1018" s="956"/>
      <c r="H1018" s="1207">
        <v>2258.1539063999999</v>
      </c>
      <c r="I1018" s="961">
        <v>1915.5878145599995</v>
      </c>
      <c r="J1018" s="961">
        <v>2324.9364028799996</v>
      </c>
      <c r="K1018" s="961"/>
      <c r="L1018" s="961"/>
      <c r="M1018" s="961"/>
      <c r="N1018" s="961"/>
      <c r="O1018" s="961"/>
      <c r="P1018" s="961"/>
      <c r="Q1018" s="961"/>
      <c r="R1018" s="961"/>
      <c r="S1018" s="961"/>
      <c r="T1018" s="961">
        <f>SUM(H1018:S1018)</f>
        <v>6498.6781238399981</v>
      </c>
      <c r="U1018" s="961"/>
      <c r="V1018" s="961"/>
      <c r="W1018" s="1188"/>
    </row>
    <row r="1019" spans="1:23" s="1189" customFormat="1" ht="21" hidden="1">
      <c r="A1019" s="956"/>
      <c r="B1019" s="1124"/>
      <c r="C1019" s="1208" t="s">
        <v>682</v>
      </c>
      <c r="D1019" s="1124"/>
      <c r="E1019" s="1124"/>
      <c r="F1019" s="1124"/>
      <c r="G1019" s="1124"/>
      <c r="H1019" s="1127"/>
      <c r="I1019" s="1127"/>
      <c r="J1019" s="1127"/>
      <c r="K1019" s="1127"/>
      <c r="L1019" s="1127"/>
      <c r="M1019" s="1127"/>
      <c r="N1019" s="1127"/>
      <c r="O1019" s="1127"/>
      <c r="P1019" s="1127"/>
      <c r="Q1019" s="1127"/>
      <c r="R1019" s="1127"/>
      <c r="S1019" s="1127"/>
      <c r="T1019" s="1127"/>
      <c r="U1019" s="1127"/>
      <c r="V1019" s="1127"/>
      <c r="W1019" s="1188"/>
    </row>
    <row r="1020" spans="1:23" s="1189" customFormat="1" ht="21" hidden="1">
      <c r="A1020" s="956"/>
      <c r="B1020" s="1124"/>
      <c r="C1020" s="1209" t="s">
        <v>138</v>
      </c>
      <c r="D1020" s="1124" t="s">
        <v>374</v>
      </c>
      <c r="E1020" s="1124"/>
      <c r="F1020" s="1124"/>
      <c r="G1020" s="1124"/>
      <c r="H1020" s="1159">
        <v>0.56429321454140491</v>
      </c>
      <c r="I1020" s="1159">
        <v>0.60202825660626258</v>
      </c>
      <c r="J1020" s="1159">
        <v>0.52575810386894395</v>
      </c>
      <c r="K1020" s="1159"/>
      <c r="L1020" s="1159"/>
      <c r="M1020" s="1159"/>
      <c r="N1020" s="1159"/>
      <c r="O1020" s="1159"/>
      <c r="P1020" s="1159"/>
      <c r="Q1020" s="1159"/>
      <c r="R1020" s="1159"/>
      <c r="S1020" s="1159"/>
      <c r="T1020" s="1159">
        <f t="shared" ref="T1020" si="369">T1016/T$1012*1000</f>
        <v>0.56247718352527931</v>
      </c>
      <c r="U1020" s="1127"/>
      <c r="V1020" s="1127"/>
      <c r="W1020" s="1188"/>
    </row>
    <row r="1021" spans="1:23" s="1189" customFormat="1" ht="23.25" hidden="1">
      <c r="A1021" s="956"/>
      <c r="B1021" s="1124"/>
      <c r="C1021" s="1125" t="s">
        <v>628</v>
      </c>
      <c r="D1021" s="1124" t="s">
        <v>374</v>
      </c>
      <c r="E1021" s="1124"/>
      <c r="F1021" s="1124"/>
      <c r="G1021" s="1124"/>
      <c r="H1021" s="1159">
        <v>0.56429321454140491</v>
      </c>
      <c r="I1021" s="1159">
        <v>0.60202825660626258</v>
      </c>
      <c r="J1021" s="1159">
        <v>0.52575810386894395</v>
      </c>
      <c r="K1021" s="1159"/>
      <c r="L1021" s="1159"/>
      <c r="M1021" s="1159"/>
      <c r="N1021" s="1159"/>
      <c r="O1021" s="1159"/>
      <c r="P1021" s="1159"/>
      <c r="Q1021" s="1159"/>
      <c r="R1021" s="1159"/>
      <c r="S1021" s="1159"/>
      <c r="T1021" s="1212">
        <f>T1017/T$1012*1000</f>
        <v>0.56247718352527931</v>
      </c>
      <c r="U1021" s="1127"/>
      <c r="V1021" s="1127"/>
      <c r="W1021" s="1188"/>
    </row>
    <row r="1022" spans="1:23" s="1189" customFormat="1" ht="21" hidden="1">
      <c r="A1022" s="956"/>
      <c r="B1022" s="1124"/>
      <c r="C1022" s="1125" t="s">
        <v>642</v>
      </c>
      <c r="D1022" s="1124" t="s">
        <v>683</v>
      </c>
      <c r="E1022" s="1124"/>
      <c r="F1022" s="1124"/>
      <c r="G1022" s="1124"/>
      <c r="H1022" s="1159">
        <v>113.08984709865216</v>
      </c>
      <c r="I1022" s="1159">
        <v>128.07556935538</v>
      </c>
      <c r="J1022" s="1159">
        <v>104.32574400725194</v>
      </c>
      <c r="K1022" s="1159"/>
      <c r="L1022" s="1159"/>
      <c r="M1022" s="1159"/>
      <c r="N1022" s="1159"/>
      <c r="O1022" s="1159"/>
      <c r="P1022" s="1159"/>
      <c r="Q1022" s="1159"/>
      <c r="R1022" s="1159"/>
      <c r="S1022" s="1159"/>
      <c r="T1022" s="1159">
        <f t="shared" ref="T1022" si="370">T1017/T1018*100</f>
        <v>114.37172080786375</v>
      </c>
      <c r="U1022" s="1127"/>
      <c r="V1022" s="961"/>
      <c r="W1022" s="1188"/>
    </row>
    <row r="1023" spans="1:23" s="1189" customFormat="1" ht="21" hidden="1">
      <c r="A1023" s="956"/>
      <c r="B1023" s="1226">
        <v>25.1</v>
      </c>
      <c r="C1023" s="1214" t="s">
        <v>615</v>
      </c>
      <c r="D1023" s="956"/>
      <c r="E1023" s="956"/>
      <c r="F1023" s="956"/>
      <c r="G1023" s="956"/>
      <c r="H1023" s="961"/>
      <c r="I1023" s="961"/>
      <c r="J1023" s="961"/>
      <c r="K1023" s="961"/>
      <c r="L1023" s="961"/>
      <c r="M1023" s="961"/>
      <c r="N1023" s="961"/>
      <c r="O1023" s="961"/>
      <c r="P1023" s="961"/>
      <c r="Q1023" s="961"/>
      <c r="R1023" s="961"/>
      <c r="S1023" s="961"/>
      <c r="T1023" s="961"/>
      <c r="U1023" s="961"/>
      <c r="V1023" s="961"/>
      <c r="W1023" s="1188"/>
    </row>
    <row r="1024" spans="1:23" s="1189" customFormat="1" ht="21" hidden="1">
      <c r="A1024" s="956"/>
      <c r="B1024" s="956"/>
      <c r="C1024" s="1105" t="s">
        <v>138</v>
      </c>
      <c r="D1024" s="956" t="s">
        <v>90</v>
      </c>
      <c r="E1024" s="1195">
        <v>3.6</v>
      </c>
      <c r="F1024" s="956"/>
      <c r="G1024" s="956">
        <v>2.59</v>
      </c>
      <c r="H1024" s="1106">
        <v>21316</v>
      </c>
      <c r="I1024" s="961">
        <v>22774</v>
      </c>
      <c r="J1024" s="961">
        <v>15557</v>
      </c>
      <c r="K1024" s="961"/>
      <c r="L1024" s="961"/>
      <c r="M1024" s="961"/>
      <c r="N1024" s="961"/>
      <c r="O1024" s="961"/>
      <c r="P1024" s="961"/>
      <c r="Q1024" s="961"/>
      <c r="R1024" s="961"/>
      <c r="S1024" s="961"/>
      <c r="T1024" s="961">
        <f>SUM(H1024:S1024)</f>
        <v>59647</v>
      </c>
      <c r="U1024" s="961"/>
      <c r="V1024" s="961"/>
      <c r="W1024" s="1188"/>
    </row>
    <row r="1025" spans="1:23" s="1189" customFormat="1" ht="21" hidden="1">
      <c r="A1025" s="956"/>
      <c r="B1025" s="956"/>
      <c r="C1025" s="1180"/>
      <c r="D1025" s="956"/>
      <c r="E1025" s="956"/>
      <c r="F1025" s="956"/>
      <c r="G1025" s="956"/>
      <c r="H1025" s="961"/>
      <c r="I1025" s="961"/>
      <c r="J1025" s="961"/>
      <c r="K1025" s="961"/>
      <c r="L1025" s="961"/>
      <c r="M1025" s="961"/>
      <c r="N1025" s="961"/>
      <c r="O1025" s="961"/>
      <c r="P1025" s="961"/>
      <c r="Q1025" s="961"/>
      <c r="R1025" s="961"/>
      <c r="S1025" s="961"/>
      <c r="T1025" s="961"/>
      <c r="U1025" s="961"/>
      <c r="V1025" s="961"/>
      <c r="W1025" s="1188"/>
    </row>
    <row r="1026" spans="1:23" ht="21" hidden="1">
      <c r="A1026" s="1150"/>
      <c r="B1026" s="1196"/>
      <c r="C1026" s="1200" t="s">
        <v>684</v>
      </c>
      <c r="D1026" s="989" t="s">
        <v>163</v>
      </c>
      <c r="E1026" s="1196"/>
      <c r="F1026" s="1196"/>
      <c r="G1026" s="1150"/>
      <c r="H1026" s="993">
        <v>2072136</v>
      </c>
      <c r="I1026" s="1197">
        <v>1935720</v>
      </c>
      <c r="J1026" s="1197">
        <v>2021323</v>
      </c>
      <c r="K1026" s="1197"/>
      <c r="L1026" s="1197"/>
      <c r="M1026" s="1197"/>
      <c r="N1026" s="1197"/>
      <c r="O1026" s="1197"/>
      <c r="P1026" s="1197"/>
      <c r="Q1026" s="1197"/>
      <c r="R1026" s="1197"/>
      <c r="S1026" s="1197"/>
      <c r="T1026" s="996">
        <f>SUM(H1026:S1026)</f>
        <v>6029179</v>
      </c>
      <c r="U1026" s="1198"/>
      <c r="V1026" s="1199"/>
      <c r="W1026" s="936"/>
    </row>
    <row r="1027" spans="1:23" s="1189" customFormat="1" ht="21" hidden="1">
      <c r="A1027" s="956"/>
      <c r="B1027" s="956"/>
      <c r="C1027" s="1180"/>
      <c r="D1027" s="956"/>
      <c r="E1027" s="956"/>
      <c r="F1027" s="956"/>
      <c r="G1027" s="956"/>
      <c r="H1027" s="961"/>
      <c r="I1027" s="961"/>
      <c r="J1027" s="961"/>
      <c r="K1027" s="961"/>
      <c r="L1027" s="961"/>
      <c r="M1027" s="961"/>
      <c r="N1027" s="961"/>
      <c r="O1027" s="961"/>
      <c r="P1027" s="961"/>
      <c r="Q1027" s="961"/>
      <c r="R1027" s="961"/>
      <c r="S1027" s="961"/>
      <c r="T1027" s="961"/>
      <c r="U1027" s="961"/>
      <c r="V1027" s="961"/>
      <c r="W1027" s="1188"/>
    </row>
    <row r="1028" spans="1:23" s="1189" customFormat="1" ht="21" hidden="1">
      <c r="A1028" s="956"/>
      <c r="B1028" s="956"/>
      <c r="C1028" s="1180"/>
      <c r="D1028" s="956"/>
      <c r="E1028" s="956"/>
      <c r="F1028" s="956"/>
      <c r="G1028" s="956"/>
      <c r="H1028" s="961"/>
      <c r="I1028" s="961"/>
      <c r="J1028" s="961"/>
      <c r="K1028" s="961"/>
      <c r="L1028" s="961"/>
      <c r="M1028" s="961"/>
      <c r="N1028" s="961"/>
      <c r="O1028" s="961"/>
      <c r="P1028" s="961"/>
      <c r="Q1028" s="961"/>
      <c r="R1028" s="961"/>
      <c r="S1028" s="961"/>
      <c r="T1028" s="961"/>
      <c r="U1028" s="961"/>
      <c r="V1028" s="961"/>
      <c r="W1028" s="1188"/>
    </row>
    <row r="1029" spans="1:23" s="1189" customFormat="1" ht="21" hidden="1">
      <c r="A1029" s="956"/>
      <c r="B1029" s="956"/>
      <c r="C1029" s="1180" t="s">
        <v>624</v>
      </c>
      <c r="D1029" s="956"/>
      <c r="E1029" s="956"/>
      <c r="F1029" s="956"/>
      <c r="G1029" s="956"/>
      <c r="H1029" s="961"/>
      <c r="I1029" s="961"/>
      <c r="J1029" s="961"/>
      <c r="K1029" s="961"/>
      <c r="L1029" s="961"/>
      <c r="M1029" s="961"/>
      <c r="N1029" s="961"/>
      <c r="O1029" s="961"/>
      <c r="P1029" s="961"/>
      <c r="Q1029" s="961"/>
      <c r="R1029" s="961"/>
      <c r="S1029" s="961"/>
      <c r="T1029" s="961"/>
      <c r="U1029" s="961"/>
      <c r="V1029" s="961"/>
      <c r="W1029" s="1188"/>
    </row>
    <row r="1030" spans="1:23" s="1189" customFormat="1" ht="21" hidden="1">
      <c r="A1030" s="956"/>
      <c r="B1030" s="956"/>
      <c r="C1030" s="1105" t="s">
        <v>138</v>
      </c>
      <c r="D1030" s="956" t="s">
        <v>173</v>
      </c>
      <c r="E1030" s="956"/>
      <c r="F1030" s="956"/>
      <c r="G1030" s="956"/>
      <c r="H1030" s="961">
        <v>76.7376</v>
      </c>
      <c r="I1030" s="961">
        <v>81.986400000000003</v>
      </c>
      <c r="J1030" s="961">
        <v>56.005200000000002</v>
      </c>
      <c r="K1030" s="961"/>
      <c r="L1030" s="961"/>
      <c r="M1030" s="961"/>
      <c r="N1030" s="961"/>
      <c r="O1030" s="961"/>
      <c r="P1030" s="961"/>
      <c r="Q1030" s="961"/>
      <c r="R1030" s="961"/>
      <c r="S1030" s="961"/>
      <c r="T1030" s="961">
        <f>SUM(H1030:S1030)</f>
        <v>214.72919999999999</v>
      </c>
      <c r="U1030" s="961"/>
      <c r="V1030" s="961"/>
      <c r="W1030" s="1188"/>
    </row>
    <row r="1031" spans="1:23" s="1189" customFormat="1" ht="21" hidden="1">
      <c r="A1031" s="956"/>
      <c r="B1031" s="956"/>
      <c r="C1031" s="1172" t="s">
        <v>625</v>
      </c>
      <c r="D1031" s="956" t="s">
        <v>173</v>
      </c>
      <c r="E1031" s="956"/>
      <c r="F1031" s="956"/>
      <c r="G1031" s="956"/>
      <c r="H1031" s="961">
        <v>76.7376</v>
      </c>
      <c r="I1031" s="961">
        <v>81.986400000000003</v>
      </c>
      <c r="J1031" s="961">
        <v>56.005200000000002</v>
      </c>
      <c r="K1031" s="961"/>
      <c r="L1031" s="961"/>
      <c r="M1031" s="961"/>
      <c r="N1031" s="961"/>
      <c r="O1031" s="961"/>
      <c r="P1031" s="961"/>
      <c r="Q1031" s="961"/>
      <c r="R1031" s="961"/>
      <c r="S1031" s="961"/>
      <c r="T1031" s="961">
        <f>SUM(H1031:S1031)</f>
        <v>214.72919999999999</v>
      </c>
      <c r="U1031" s="961"/>
      <c r="V1031" s="961"/>
      <c r="W1031" s="1188"/>
    </row>
    <row r="1032" spans="1:23" s="1189" customFormat="1" ht="21" hidden="1">
      <c r="A1032" s="956"/>
      <c r="B1032" s="956"/>
      <c r="C1032" s="983" t="s">
        <v>345</v>
      </c>
      <c r="D1032" s="964" t="s">
        <v>173</v>
      </c>
      <c r="E1032" s="956"/>
      <c r="F1032" s="956"/>
      <c r="G1032" s="956"/>
      <c r="H1032" s="1207">
        <v>58.486323424000005</v>
      </c>
      <c r="I1032" s="1207">
        <v>69.592768479999989</v>
      </c>
      <c r="J1032" s="1207">
        <v>62.623314631999982</v>
      </c>
      <c r="K1032" s="1207"/>
      <c r="L1032" s="1207"/>
      <c r="M1032" s="1207"/>
      <c r="N1032" s="1207"/>
      <c r="O1032" s="1207"/>
      <c r="P1032" s="1207"/>
      <c r="Q1032" s="1207"/>
      <c r="R1032" s="1207"/>
      <c r="S1032" s="1207"/>
      <c r="T1032" s="961">
        <f>SUM(H1032:S1032)</f>
        <v>190.70240653599998</v>
      </c>
      <c r="U1032" s="961"/>
      <c r="V1032" s="961"/>
      <c r="W1032" s="1188"/>
    </row>
    <row r="1033" spans="1:23" s="1189" customFormat="1" ht="21" hidden="1">
      <c r="A1033" s="956"/>
      <c r="B1033" s="1124"/>
      <c r="C1033" s="1208" t="s">
        <v>685</v>
      </c>
      <c r="D1033" s="1124"/>
      <c r="E1033" s="1124"/>
      <c r="F1033" s="1124"/>
      <c r="G1033" s="1124"/>
      <c r="H1033" s="1127"/>
      <c r="I1033" s="1127"/>
      <c r="J1033" s="1127"/>
      <c r="K1033" s="1127"/>
      <c r="L1033" s="1127"/>
      <c r="M1033" s="1127"/>
      <c r="N1033" s="1127"/>
      <c r="O1033" s="1127"/>
      <c r="P1033" s="1127"/>
      <c r="Q1033" s="1127"/>
      <c r="R1033" s="1127"/>
      <c r="S1033" s="1127"/>
      <c r="T1033" s="1127"/>
      <c r="U1033" s="1127"/>
      <c r="V1033" s="1127"/>
      <c r="W1033" s="1188"/>
    </row>
    <row r="1034" spans="1:23" s="1189" customFormat="1" ht="21" hidden="1">
      <c r="A1034" s="956"/>
      <c r="B1034" s="1124"/>
      <c r="C1034" s="1209" t="s">
        <v>138</v>
      </c>
      <c r="D1034" s="1124" t="s">
        <v>374</v>
      </c>
      <c r="E1034" s="1124"/>
      <c r="F1034" s="1124"/>
      <c r="G1034" s="1124"/>
      <c r="H1034" s="1159">
        <v>3.7033090492129855E-2</v>
      </c>
      <c r="I1034" s="1159">
        <v>4.2354472754323975E-2</v>
      </c>
      <c r="J1034" s="1159">
        <v>2.7707199690499739E-2</v>
      </c>
      <c r="K1034" s="1159"/>
      <c r="L1034" s="1159"/>
      <c r="M1034" s="1159"/>
      <c r="N1034" s="1159"/>
      <c r="O1034" s="1159"/>
      <c r="P1034" s="1159"/>
      <c r="Q1034" s="1159"/>
      <c r="R1034" s="1159"/>
      <c r="S1034" s="1159"/>
      <c r="T1034" s="1159">
        <f t="shared" ref="T1034" si="371">T1030/T$1026*1000</f>
        <v>3.5614998327301278E-2</v>
      </c>
      <c r="U1034" s="1127"/>
      <c r="V1034" s="1127"/>
      <c r="W1034" s="1188"/>
    </row>
    <row r="1035" spans="1:23" s="1189" customFormat="1" ht="23.25" hidden="1">
      <c r="A1035" s="956"/>
      <c r="B1035" s="1124"/>
      <c r="C1035" s="1125" t="s">
        <v>628</v>
      </c>
      <c r="D1035" s="1124" t="s">
        <v>374</v>
      </c>
      <c r="E1035" s="1124"/>
      <c r="F1035" s="1124"/>
      <c r="G1035" s="1124"/>
      <c r="H1035" s="1159">
        <v>3.7033090492129855E-2</v>
      </c>
      <c r="I1035" s="1159">
        <v>4.2354472754323975E-2</v>
      </c>
      <c r="J1035" s="1159">
        <v>2.7707199690499739E-2</v>
      </c>
      <c r="K1035" s="1159"/>
      <c r="L1035" s="1159"/>
      <c r="M1035" s="1159"/>
      <c r="N1035" s="1159"/>
      <c r="O1035" s="1159"/>
      <c r="P1035" s="1159"/>
      <c r="Q1035" s="1159"/>
      <c r="R1035" s="1159"/>
      <c r="S1035" s="1159"/>
      <c r="T1035" s="1212">
        <f>T1031/T$1026*1000</f>
        <v>3.5614998327301278E-2</v>
      </c>
      <c r="U1035" s="1127"/>
      <c r="V1035" s="1127"/>
      <c r="W1035" s="1188"/>
    </row>
    <row r="1036" spans="1:23" s="1189" customFormat="1" ht="21" hidden="1">
      <c r="A1036" s="956"/>
      <c r="B1036" s="1124"/>
      <c r="C1036" s="1125" t="s">
        <v>642</v>
      </c>
      <c r="D1036" s="1124" t="s">
        <v>683</v>
      </c>
      <c r="E1036" s="1124"/>
      <c r="F1036" s="1124"/>
      <c r="G1036" s="1124"/>
      <c r="H1036" s="1159">
        <v>131.20605896815621</v>
      </c>
      <c r="I1036" s="1159">
        <v>117.80879219305922</v>
      </c>
      <c r="J1036" s="1159">
        <v>89.431867873984785</v>
      </c>
      <c r="K1036" s="1159"/>
      <c r="L1036" s="1159"/>
      <c r="M1036" s="1159"/>
      <c r="N1036" s="1159"/>
      <c r="O1036" s="1159"/>
      <c r="P1036" s="1159"/>
      <c r="Q1036" s="1159"/>
      <c r="R1036" s="1159"/>
      <c r="S1036" s="1159"/>
      <c r="T1036" s="1159">
        <f>T1031/T1032*100</f>
        <v>112.59910344102781</v>
      </c>
      <c r="U1036" s="961"/>
      <c r="V1036" s="961"/>
      <c r="W1036" s="1188"/>
    </row>
    <row r="1037" spans="1:23" s="1189" customFormat="1" ht="21" hidden="1">
      <c r="A1037" s="956"/>
      <c r="B1037" s="1172">
        <v>25.11</v>
      </c>
      <c r="C1037" s="1215" t="s">
        <v>617</v>
      </c>
      <c r="D1037" s="956"/>
      <c r="E1037" s="956"/>
      <c r="F1037" s="956"/>
      <c r="G1037" s="956"/>
      <c r="H1037" s="961"/>
      <c r="I1037" s="961"/>
      <c r="J1037" s="961"/>
      <c r="K1037" s="961"/>
      <c r="L1037" s="961"/>
      <c r="M1037" s="961"/>
      <c r="N1037" s="961"/>
      <c r="O1037" s="961"/>
      <c r="P1037" s="961"/>
      <c r="Q1037" s="961"/>
      <c r="R1037" s="961"/>
      <c r="S1037" s="961"/>
      <c r="T1037" s="961"/>
      <c r="U1037" s="961"/>
      <c r="V1037" s="961"/>
      <c r="W1037" s="1188"/>
    </row>
    <row r="1038" spans="1:23" s="1189" customFormat="1" ht="21" hidden="1">
      <c r="A1038" s="956"/>
      <c r="B1038" s="956"/>
      <c r="C1038" s="1105" t="s">
        <v>138</v>
      </c>
      <c r="D1038" s="956" t="s">
        <v>90</v>
      </c>
      <c r="E1038" s="1195">
        <v>3.6</v>
      </c>
      <c r="F1038" s="956"/>
      <c r="G1038" s="956">
        <v>2.59</v>
      </c>
      <c r="H1038" s="1106">
        <v>2000</v>
      </c>
      <c r="I1038" s="961">
        <v>2137</v>
      </c>
      <c r="J1038" s="961">
        <v>1460</v>
      </c>
      <c r="K1038" s="961"/>
      <c r="L1038" s="961"/>
      <c r="M1038" s="961"/>
      <c r="N1038" s="961"/>
      <c r="O1038" s="961"/>
      <c r="P1038" s="961"/>
      <c r="Q1038" s="961"/>
      <c r="R1038" s="961"/>
      <c r="S1038" s="961"/>
      <c r="T1038" s="961">
        <f>SUM(H1038:S1038)</f>
        <v>5597</v>
      </c>
      <c r="U1038" s="961"/>
      <c r="V1038" s="961"/>
      <c r="W1038" s="1188"/>
    </row>
    <row r="1039" spans="1:23" s="1189" customFormat="1" ht="21" hidden="1">
      <c r="A1039" s="956"/>
      <c r="B1039" s="956"/>
      <c r="C1039" s="1180"/>
      <c r="D1039" s="956"/>
      <c r="E1039" s="956"/>
      <c r="F1039" s="956"/>
      <c r="G1039" s="956"/>
      <c r="H1039" s="961"/>
      <c r="I1039" s="961"/>
      <c r="J1039" s="961"/>
      <c r="K1039" s="961"/>
      <c r="L1039" s="961"/>
      <c r="M1039" s="961"/>
      <c r="N1039" s="961"/>
      <c r="O1039" s="961"/>
      <c r="P1039" s="961"/>
      <c r="Q1039" s="961"/>
      <c r="R1039" s="961"/>
      <c r="S1039" s="961"/>
      <c r="T1039" s="961"/>
      <c r="U1039" s="961"/>
      <c r="V1039" s="961"/>
      <c r="W1039" s="1188"/>
    </row>
    <row r="1040" spans="1:23" ht="21" hidden="1">
      <c r="A1040" s="1150"/>
      <c r="B1040" s="1196"/>
      <c r="C1040" s="1200" t="s">
        <v>686</v>
      </c>
      <c r="D1040" s="989" t="s">
        <v>163</v>
      </c>
      <c r="E1040" s="1196"/>
      <c r="F1040" s="1196"/>
      <c r="G1040" s="1150"/>
      <c r="H1040" s="993">
        <v>370006</v>
      </c>
      <c r="I1040" s="1197">
        <v>348718</v>
      </c>
      <c r="J1040" s="1197">
        <v>372249</v>
      </c>
      <c r="K1040" s="1197"/>
      <c r="L1040" s="1197"/>
      <c r="M1040" s="1197"/>
      <c r="N1040" s="1197"/>
      <c r="O1040" s="1197"/>
      <c r="P1040" s="1197"/>
      <c r="Q1040" s="1197"/>
      <c r="R1040" s="1197"/>
      <c r="S1040" s="1197"/>
      <c r="T1040" s="996">
        <f>SUM(H1040:S1040)</f>
        <v>1090973</v>
      </c>
      <c r="U1040" s="1198"/>
      <c r="V1040" s="1199"/>
      <c r="W1040" s="936"/>
    </row>
    <row r="1041" spans="1:23" s="1189" customFormat="1" ht="21" hidden="1">
      <c r="A1041" s="956"/>
      <c r="B1041" s="956"/>
      <c r="C1041" s="1180"/>
      <c r="D1041" s="956"/>
      <c r="E1041" s="956"/>
      <c r="F1041" s="956"/>
      <c r="G1041" s="956"/>
      <c r="H1041" s="961"/>
      <c r="I1041" s="961"/>
      <c r="J1041" s="961"/>
      <c r="K1041" s="961"/>
      <c r="L1041" s="961"/>
      <c r="M1041" s="961"/>
      <c r="N1041" s="961"/>
      <c r="O1041" s="961"/>
      <c r="P1041" s="961"/>
      <c r="Q1041" s="961"/>
      <c r="R1041" s="961"/>
      <c r="S1041" s="961"/>
      <c r="T1041" s="961"/>
      <c r="U1041" s="961"/>
      <c r="V1041" s="961"/>
      <c r="W1041" s="1188"/>
    </row>
    <row r="1042" spans="1:23" s="1189" customFormat="1" ht="21" hidden="1">
      <c r="A1042" s="956"/>
      <c r="B1042" s="956"/>
      <c r="C1042" s="1180"/>
      <c r="D1042" s="956"/>
      <c r="E1042" s="956"/>
      <c r="F1042" s="956"/>
      <c r="G1042" s="956"/>
      <c r="H1042" s="961"/>
      <c r="I1042" s="961"/>
      <c r="J1042" s="961"/>
      <c r="K1042" s="961"/>
      <c r="L1042" s="961"/>
      <c r="M1042" s="961"/>
      <c r="N1042" s="961"/>
      <c r="O1042" s="961"/>
      <c r="P1042" s="961"/>
      <c r="Q1042" s="961"/>
      <c r="R1042" s="961"/>
      <c r="S1042" s="961"/>
      <c r="T1042" s="961"/>
      <c r="U1042" s="961"/>
      <c r="V1042" s="961"/>
      <c r="W1042" s="1188"/>
    </row>
    <row r="1043" spans="1:23" s="1189" customFormat="1" ht="21" hidden="1">
      <c r="A1043" s="956"/>
      <c r="B1043" s="956"/>
      <c r="C1043" s="1180" t="s">
        <v>624</v>
      </c>
      <c r="D1043" s="956"/>
      <c r="E1043" s="956"/>
      <c r="F1043" s="956"/>
      <c r="G1043" s="956"/>
      <c r="H1043" s="961"/>
      <c r="I1043" s="961"/>
      <c r="J1043" s="961"/>
      <c r="K1043" s="961"/>
      <c r="L1043" s="961"/>
      <c r="M1043" s="961"/>
      <c r="N1043" s="961"/>
      <c r="O1043" s="961"/>
      <c r="P1043" s="961"/>
      <c r="Q1043" s="961"/>
      <c r="R1043" s="961"/>
      <c r="S1043" s="961"/>
      <c r="T1043" s="961"/>
      <c r="U1043" s="961"/>
      <c r="V1043" s="961"/>
      <c r="W1043" s="1188"/>
    </row>
    <row r="1044" spans="1:23" s="1189" customFormat="1" ht="21" hidden="1">
      <c r="A1044" s="956"/>
      <c r="B1044" s="956"/>
      <c r="C1044" s="1105" t="s">
        <v>138</v>
      </c>
      <c r="D1044" s="956" t="s">
        <v>173</v>
      </c>
      <c r="E1044" s="956"/>
      <c r="F1044" s="956"/>
      <c r="G1044" s="956"/>
      <c r="H1044" s="961">
        <v>7.2</v>
      </c>
      <c r="I1044" s="961">
        <v>7.6932</v>
      </c>
      <c r="J1044" s="961">
        <v>5.2560000000000002</v>
      </c>
      <c r="K1044" s="961"/>
      <c r="L1044" s="961"/>
      <c r="M1044" s="961"/>
      <c r="N1044" s="961"/>
      <c r="O1044" s="961"/>
      <c r="P1044" s="961"/>
      <c r="Q1044" s="961"/>
      <c r="R1044" s="961"/>
      <c r="S1044" s="961"/>
      <c r="T1044" s="961">
        <f>SUM(H1044:S1044)</f>
        <v>20.1492</v>
      </c>
      <c r="U1044" s="961"/>
      <c r="V1044" s="961"/>
      <c r="W1044" s="1188"/>
    </row>
    <row r="1045" spans="1:23" s="1189" customFormat="1" ht="21" hidden="1">
      <c r="A1045" s="956"/>
      <c r="B1045" s="956"/>
      <c r="C1045" s="1172" t="s">
        <v>625</v>
      </c>
      <c r="D1045" s="956" t="s">
        <v>173</v>
      </c>
      <c r="E1045" s="956"/>
      <c r="F1045" s="956"/>
      <c r="G1045" s="956"/>
      <c r="H1045" s="961">
        <v>7.2</v>
      </c>
      <c r="I1045" s="961">
        <v>7.6932</v>
      </c>
      <c r="J1045" s="961">
        <v>5.2560000000000002</v>
      </c>
      <c r="K1045" s="961"/>
      <c r="L1045" s="961"/>
      <c r="M1045" s="961"/>
      <c r="N1045" s="961"/>
      <c r="O1045" s="961"/>
      <c r="P1045" s="961"/>
      <c r="Q1045" s="961"/>
      <c r="R1045" s="961"/>
      <c r="S1045" s="961"/>
      <c r="T1045" s="961">
        <f>SUM(H1045:S1045)</f>
        <v>20.1492</v>
      </c>
      <c r="U1045" s="961"/>
      <c r="V1045" s="961"/>
      <c r="W1045" s="1188"/>
    </row>
    <row r="1046" spans="1:23" s="1189" customFormat="1" ht="21" hidden="1">
      <c r="A1046" s="956"/>
      <c r="B1046" s="956"/>
      <c r="C1046" s="983" t="s">
        <v>345</v>
      </c>
      <c r="D1046" s="964" t="s">
        <v>173</v>
      </c>
      <c r="E1046" s="956"/>
      <c r="F1046" s="956"/>
      <c r="G1046" s="956"/>
      <c r="H1046" s="961">
        <v>6.7396249307799998</v>
      </c>
      <c r="I1046" s="961">
        <v>6.73344864334</v>
      </c>
      <c r="J1046" s="961">
        <v>6.74027569237</v>
      </c>
      <c r="K1046" s="961"/>
      <c r="L1046" s="961"/>
      <c r="M1046" s="961"/>
      <c r="N1046" s="961"/>
      <c r="O1046" s="961"/>
      <c r="P1046" s="961"/>
      <c r="Q1046" s="961"/>
      <c r="R1046" s="961"/>
      <c r="S1046" s="961"/>
      <c r="T1046" s="961">
        <f>SUM(H1046:S1046)</f>
        <v>20.213349266489999</v>
      </c>
      <c r="U1046" s="961"/>
      <c r="V1046" s="961"/>
      <c r="W1046" s="1188"/>
    </row>
    <row r="1047" spans="1:23" s="1189" customFormat="1" ht="21" hidden="1">
      <c r="A1047" s="956"/>
      <c r="B1047" s="1124"/>
      <c r="C1047" s="1208" t="s">
        <v>687</v>
      </c>
      <c r="D1047" s="1124"/>
      <c r="E1047" s="1124"/>
      <c r="F1047" s="1124"/>
      <c r="G1047" s="1124"/>
      <c r="H1047" s="1127"/>
      <c r="I1047" s="1127"/>
      <c r="J1047" s="1127"/>
      <c r="K1047" s="1127"/>
      <c r="L1047" s="1127"/>
      <c r="M1047" s="1127"/>
      <c r="N1047" s="1127"/>
      <c r="O1047" s="1127"/>
      <c r="P1047" s="1127"/>
      <c r="Q1047" s="1127"/>
      <c r="R1047" s="1127"/>
      <c r="S1047" s="1127"/>
      <c r="T1047" s="1127"/>
      <c r="U1047" s="1127"/>
      <c r="V1047" s="1127"/>
      <c r="W1047" s="1188"/>
    </row>
    <row r="1048" spans="1:23" s="1189" customFormat="1" ht="21" hidden="1">
      <c r="A1048" s="956"/>
      <c r="B1048" s="1124"/>
      <c r="C1048" s="1209" t="s">
        <v>138</v>
      </c>
      <c r="D1048" s="1124" t="s">
        <v>374</v>
      </c>
      <c r="E1048" s="1124"/>
      <c r="F1048" s="1124"/>
      <c r="G1048" s="1124"/>
      <c r="H1048" s="1159">
        <v>1.9459143905774502E-2</v>
      </c>
      <c r="I1048" s="1159">
        <v>2.2061379108620719E-2</v>
      </c>
      <c r="J1048" s="1159">
        <v>1.4119581248035589E-2</v>
      </c>
      <c r="K1048" s="1159"/>
      <c r="L1048" s="1159"/>
      <c r="M1048" s="1159"/>
      <c r="N1048" s="1159"/>
      <c r="O1048" s="1159"/>
      <c r="P1048" s="1159"/>
      <c r="Q1048" s="1159"/>
      <c r="R1048" s="1159"/>
      <c r="S1048" s="1159"/>
      <c r="T1048" s="1159">
        <f t="shared" ref="T1048" si="372">T1044/T$1040*1000</f>
        <v>1.8469018023360796E-2</v>
      </c>
      <c r="U1048" s="1127"/>
      <c r="V1048" s="1127"/>
      <c r="W1048" s="1188"/>
    </row>
    <row r="1049" spans="1:23" s="1189" customFormat="1" ht="23.25" hidden="1">
      <c r="A1049" s="956"/>
      <c r="B1049" s="1124"/>
      <c r="C1049" s="1125" t="s">
        <v>628</v>
      </c>
      <c r="D1049" s="1124" t="s">
        <v>374</v>
      </c>
      <c r="E1049" s="1124"/>
      <c r="F1049" s="1124"/>
      <c r="G1049" s="1124"/>
      <c r="H1049" s="1159">
        <v>1.9459143905774502E-2</v>
      </c>
      <c r="I1049" s="1159">
        <v>2.2061379108620719E-2</v>
      </c>
      <c r="J1049" s="1159">
        <v>1.4119581248035589E-2</v>
      </c>
      <c r="K1049" s="1159"/>
      <c r="L1049" s="1159"/>
      <c r="M1049" s="1159"/>
      <c r="N1049" s="1159"/>
      <c r="O1049" s="1159"/>
      <c r="P1049" s="1159"/>
      <c r="Q1049" s="1159"/>
      <c r="R1049" s="1159"/>
      <c r="S1049" s="1159"/>
      <c r="T1049" s="1212">
        <f>T1045/T$1040*1000</f>
        <v>1.8469018023360796E-2</v>
      </c>
      <c r="U1049" s="1127"/>
      <c r="V1049" s="1127"/>
      <c r="W1049" s="1188"/>
    </row>
    <row r="1050" spans="1:23" s="1189" customFormat="1" ht="21" hidden="1">
      <c r="A1050" s="956"/>
      <c r="B1050" s="1124"/>
      <c r="C1050" s="1125" t="s">
        <v>642</v>
      </c>
      <c r="D1050" s="1124" t="s">
        <v>683</v>
      </c>
      <c r="E1050" s="1124"/>
      <c r="F1050" s="1124"/>
      <c r="G1050" s="1124"/>
      <c r="H1050" s="1159">
        <v>106.83087076726568</v>
      </c>
      <c r="I1050" s="1159">
        <v>114.25348892516291</v>
      </c>
      <c r="J1050" s="1159">
        <v>77.979006199253803</v>
      </c>
      <c r="K1050" s="1159"/>
      <c r="L1050" s="1159"/>
      <c r="M1050" s="1159"/>
      <c r="N1050" s="1159"/>
      <c r="O1050" s="1159"/>
      <c r="P1050" s="1159"/>
      <c r="Q1050" s="1159"/>
      <c r="R1050" s="1159"/>
      <c r="S1050" s="1159"/>
      <c r="T1050" s="1159">
        <f t="shared" ref="T1050" si="373">T1045/T1046*100</f>
        <v>99.682639103276443</v>
      </c>
      <c r="U1050" s="961"/>
      <c r="V1050" s="961"/>
      <c r="W1050" s="1188"/>
    </row>
    <row r="1051" spans="1:23" s="1189" customFormat="1" ht="21" hidden="1">
      <c r="A1051" s="956"/>
      <c r="B1051" s="1172"/>
      <c r="C1051" s="1180"/>
      <c r="D1051" s="956"/>
      <c r="E1051" s="956"/>
      <c r="F1051" s="956"/>
      <c r="G1051" s="956"/>
      <c r="H1051" s="961"/>
      <c r="I1051" s="961"/>
      <c r="J1051" s="961"/>
      <c r="K1051" s="961"/>
      <c r="L1051" s="961"/>
      <c r="M1051" s="961"/>
      <c r="N1051" s="961"/>
      <c r="O1051" s="961"/>
      <c r="P1051" s="961"/>
      <c r="Q1051" s="961"/>
      <c r="R1051" s="961"/>
      <c r="S1051" s="961"/>
      <c r="T1051" s="961"/>
      <c r="U1051" s="961"/>
      <c r="V1051" s="961"/>
      <c r="W1051" s="1188"/>
    </row>
    <row r="1052" spans="1:23" s="1189" customFormat="1" ht="21" hidden="1">
      <c r="A1052" s="956"/>
      <c r="B1052" s="956"/>
      <c r="C1052" s="1105"/>
      <c r="D1052" s="956"/>
      <c r="E1052" s="1195"/>
      <c r="F1052" s="956"/>
      <c r="G1052" s="956"/>
      <c r="H1052" s="961"/>
      <c r="I1052" s="961"/>
      <c r="J1052" s="961"/>
      <c r="K1052" s="961"/>
      <c r="L1052" s="961"/>
      <c r="M1052" s="961"/>
      <c r="N1052" s="961"/>
      <c r="O1052" s="961"/>
      <c r="P1052" s="961"/>
      <c r="Q1052" s="961"/>
      <c r="R1052" s="961"/>
      <c r="S1052" s="961"/>
      <c r="T1052" s="961"/>
      <c r="U1052" s="961"/>
      <c r="V1052" s="961"/>
      <c r="W1052" s="1188"/>
    </row>
    <row r="1053" spans="1:23" s="1189" customFormat="1" ht="21" hidden="1">
      <c r="A1053" s="956"/>
      <c r="B1053" s="956"/>
      <c r="C1053" s="1105"/>
      <c r="D1053" s="956"/>
      <c r="E1053" s="1195"/>
      <c r="F1053" s="956"/>
      <c r="G1053" s="956"/>
      <c r="H1053" s="961"/>
      <c r="I1053" s="961"/>
      <c r="J1053" s="961"/>
      <c r="K1053" s="961"/>
      <c r="L1053" s="961"/>
      <c r="M1053" s="961"/>
      <c r="N1053" s="961"/>
      <c r="O1053" s="961"/>
      <c r="P1053" s="961"/>
      <c r="Q1053" s="961"/>
      <c r="R1053" s="961"/>
      <c r="S1053" s="961"/>
      <c r="T1053" s="961"/>
      <c r="U1053" s="961"/>
      <c r="V1053" s="961"/>
      <c r="W1053" s="1188"/>
    </row>
    <row r="1054" spans="1:23" s="1189" customFormat="1" ht="21" hidden="1">
      <c r="A1054" s="956"/>
      <c r="B1054" s="956"/>
      <c r="C1054" s="1180"/>
      <c r="D1054" s="956"/>
      <c r="E1054" s="956"/>
      <c r="F1054" s="956"/>
      <c r="G1054" s="956"/>
      <c r="H1054" s="961"/>
      <c r="I1054" s="961"/>
      <c r="J1054" s="961"/>
      <c r="K1054" s="961"/>
      <c r="L1054" s="961"/>
      <c r="M1054" s="961"/>
      <c r="N1054" s="961"/>
      <c r="O1054" s="961"/>
      <c r="P1054" s="961"/>
      <c r="Q1054" s="961"/>
      <c r="R1054" s="961"/>
      <c r="S1054" s="961"/>
      <c r="T1054" s="961"/>
      <c r="U1054" s="961"/>
      <c r="V1054" s="961"/>
      <c r="W1054" s="1188"/>
    </row>
    <row r="1055" spans="1:23" ht="21" hidden="1">
      <c r="A1055" s="1150"/>
      <c r="B1055" s="1196"/>
      <c r="C1055" s="1200"/>
      <c r="D1055" s="989"/>
      <c r="E1055" s="1196"/>
      <c r="F1055" s="1196"/>
      <c r="G1055" s="1150"/>
      <c r="H1055" s="1197"/>
      <c r="I1055" s="1197"/>
      <c r="J1055" s="1197"/>
      <c r="K1055" s="1197"/>
      <c r="L1055" s="1197"/>
      <c r="M1055" s="1197"/>
      <c r="N1055" s="1197"/>
      <c r="O1055" s="1197"/>
      <c r="P1055" s="1197"/>
      <c r="Q1055" s="1197"/>
      <c r="R1055" s="1197"/>
      <c r="S1055" s="1197"/>
      <c r="T1055" s="996"/>
      <c r="U1055" s="1198"/>
      <c r="V1055" s="1199"/>
      <c r="W1055" s="936"/>
    </row>
    <row r="1056" spans="1:23" s="1189" customFormat="1" ht="21" hidden="1">
      <c r="A1056" s="956"/>
      <c r="B1056" s="956"/>
      <c r="C1056" s="1180"/>
      <c r="D1056" s="956"/>
      <c r="E1056" s="956"/>
      <c r="F1056" s="956"/>
      <c r="G1056" s="956"/>
      <c r="H1056" s="961"/>
      <c r="I1056" s="961"/>
      <c r="J1056" s="961"/>
      <c r="K1056" s="961"/>
      <c r="L1056" s="961"/>
      <c r="M1056" s="961"/>
      <c r="N1056" s="961"/>
      <c r="O1056" s="961"/>
      <c r="P1056" s="961"/>
      <c r="Q1056" s="961"/>
      <c r="R1056" s="961"/>
      <c r="S1056" s="961"/>
      <c r="T1056" s="961"/>
      <c r="U1056" s="961"/>
      <c r="V1056" s="961"/>
      <c r="W1056" s="1188"/>
    </row>
    <row r="1057" spans="1:23" s="1189" customFormat="1" ht="21" hidden="1">
      <c r="A1057" s="956"/>
      <c r="B1057" s="956"/>
      <c r="C1057" s="1180"/>
      <c r="D1057" s="956"/>
      <c r="E1057" s="956"/>
      <c r="F1057" s="956"/>
      <c r="G1057" s="956"/>
      <c r="H1057" s="961"/>
      <c r="I1057" s="961"/>
      <c r="J1057" s="961"/>
      <c r="K1057" s="961"/>
      <c r="L1057" s="961"/>
      <c r="M1057" s="961"/>
      <c r="N1057" s="961"/>
      <c r="O1057" s="961"/>
      <c r="P1057" s="961"/>
      <c r="Q1057" s="961"/>
      <c r="R1057" s="961"/>
      <c r="S1057" s="961"/>
      <c r="T1057" s="961"/>
      <c r="U1057" s="961"/>
      <c r="V1057" s="961"/>
      <c r="W1057" s="1188"/>
    </row>
    <row r="1058" spans="1:23" s="1189" customFormat="1" ht="21" hidden="1">
      <c r="A1058" s="956"/>
      <c r="B1058" s="956"/>
      <c r="C1058" s="1105"/>
      <c r="D1058" s="956"/>
      <c r="E1058" s="956"/>
      <c r="F1058" s="956"/>
      <c r="G1058" s="956"/>
      <c r="H1058" s="961"/>
      <c r="I1058" s="961"/>
      <c r="J1058" s="961"/>
      <c r="K1058" s="961"/>
      <c r="L1058" s="961"/>
      <c r="M1058" s="961"/>
      <c r="N1058" s="961"/>
      <c r="O1058" s="961"/>
      <c r="P1058" s="961"/>
      <c r="Q1058" s="961"/>
      <c r="R1058" s="961"/>
      <c r="S1058" s="961"/>
      <c r="T1058" s="961"/>
      <c r="U1058" s="961"/>
      <c r="V1058" s="961"/>
      <c r="W1058" s="1188"/>
    </row>
    <row r="1059" spans="1:23" s="1189" customFormat="1" ht="21" hidden="1">
      <c r="A1059" s="956"/>
      <c r="B1059" s="956"/>
      <c r="C1059" s="1105"/>
      <c r="D1059" s="956"/>
      <c r="E1059" s="956"/>
      <c r="F1059" s="956"/>
      <c r="G1059" s="956"/>
      <c r="H1059" s="961"/>
      <c r="I1059" s="961"/>
      <c r="J1059" s="961"/>
      <c r="K1059" s="961"/>
      <c r="L1059" s="961"/>
      <c r="M1059" s="961"/>
      <c r="N1059" s="961"/>
      <c r="O1059" s="961"/>
      <c r="P1059" s="961"/>
      <c r="Q1059" s="961"/>
      <c r="R1059" s="961"/>
      <c r="S1059" s="961"/>
      <c r="T1059" s="961"/>
      <c r="U1059" s="961"/>
      <c r="V1059" s="961"/>
      <c r="W1059" s="1188"/>
    </row>
    <row r="1060" spans="1:23" s="1189" customFormat="1" ht="21" hidden="1">
      <c r="A1060" s="956"/>
      <c r="B1060" s="956"/>
      <c r="C1060" s="1172"/>
      <c r="D1060" s="956"/>
      <c r="E1060" s="956"/>
      <c r="F1060" s="956"/>
      <c r="G1060" s="956"/>
      <c r="H1060" s="961"/>
      <c r="I1060" s="961"/>
      <c r="J1060" s="961"/>
      <c r="K1060" s="961"/>
      <c r="L1060" s="961"/>
      <c r="M1060" s="961"/>
      <c r="N1060" s="961"/>
      <c r="O1060" s="961"/>
      <c r="P1060" s="961"/>
      <c r="Q1060" s="961"/>
      <c r="R1060" s="961"/>
      <c r="S1060" s="961"/>
      <c r="T1060" s="961"/>
      <c r="U1060" s="961"/>
      <c r="V1060" s="961"/>
      <c r="W1060" s="1188"/>
    </row>
    <row r="1061" spans="1:23" s="1189" customFormat="1" ht="21" hidden="1">
      <c r="A1061" s="956"/>
      <c r="B1061" s="956"/>
      <c r="C1061" s="983"/>
      <c r="D1061" s="964"/>
      <c r="E1061" s="956"/>
      <c r="F1061" s="956"/>
      <c r="G1061" s="956"/>
      <c r="H1061" s="961"/>
      <c r="I1061" s="961"/>
      <c r="J1061" s="961"/>
      <c r="K1061" s="961"/>
      <c r="L1061" s="961"/>
      <c r="M1061" s="961"/>
      <c r="N1061" s="961"/>
      <c r="O1061" s="961"/>
      <c r="P1061" s="961"/>
      <c r="Q1061" s="961"/>
      <c r="R1061" s="961"/>
      <c r="S1061" s="961"/>
      <c r="T1061" s="961"/>
      <c r="U1061" s="961"/>
      <c r="V1061" s="961"/>
      <c r="W1061" s="1188"/>
    </row>
    <row r="1062" spans="1:23" s="1189" customFormat="1" ht="21" hidden="1">
      <c r="A1062" s="956"/>
      <c r="B1062" s="1124"/>
      <c r="C1062" s="1208"/>
      <c r="D1062" s="1124"/>
      <c r="E1062" s="1124"/>
      <c r="F1062" s="1124"/>
      <c r="G1062" s="1124"/>
      <c r="H1062" s="1127"/>
      <c r="I1062" s="1127"/>
      <c r="J1062" s="1127"/>
      <c r="K1062" s="1127"/>
      <c r="L1062" s="1127"/>
      <c r="M1062" s="1127"/>
      <c r="N1062" s="1127"/>
      <c r="O1062" s="1127"/>
      <c r="P1062" s="1127"/>
      <c r="Q1062" s="1127"/>
      <c r="R1062" s="1127"/>
      <c r="S1062" s="1127"/>
      <c r="T1062" s="1127"/>
      <c r="U1062" s="1127"/>
      <c r="V1062" s="1127"/>
      <c r="W1062" s="1188"/>
    </row>
    <row r="1063" spans="1:23" s="1189" customFormat="1" ht="21" hidden="1">
      <c r="A1063" s="956"/>
      <c r="B1063" s="1124"/>
      <c r="C1063" s="1209"/>
      <c r="D1063" s="1124"/>
      <c r="E1063" s="1124"/>
      <c r="F1063" s="1124"/>
      <c r="G1063" s="1124"/>
      <c r="H1063" s="1159"/>
      <c r="I1063" s="1159"/>
      <c r="J1063" s="1159"/>
      <c r="K1063" s="1159"/>
      <c r="L1063" s="1159"/>
      <c r="M1063" s="1159"/>
      <c r="N1063" s="1159"/>
      <c r="O1063" s="1159"/>
      <c r="P1063" s="1159"/>
      <c r="Q1063" s="1159"/>
      <c r="R1063" s="1159"/>
      <c r="S1063" s="1159"/>
      <c r="T1063" s="1159"/>
      <c r="U1063" s="1127"/>
      <c r="V1063" s="1127"/>
      <c r="W1063" s="1188"/>
    </row>
    <row r="1064" spans="1:23" s="1189" customFormat="1" ht="21" hidden="1">
      <c r="A1064" s="956"/>
      <c r="B1064" s="1124"/>
      <c r="C1064" s="1209"/>
      <c r="D1064" s="1124"/>
      <c r="E1064" s="1124"/>
      <c r="F1064" s="1124"/>
      <c r="G1064" s="1124"/>
      <c r="H1064" s="1159"/>
      <c r="I1064" s="1159"/>
      <c r="J1064" s="1159"/>
      <c r="K1064" s="1159"/>
      <c r="L1064" s="1159"/>
      <c r="M1064" s="1159"/>
      <c r="N1064" s="1159"/>
      <c r="O1064" s="1159"/>
      <c r="P1064" s="1159"/>
      <c r="Q1064" s="1159"/>
      <c r="R1064" s="1159"/>
      <c r="S1064" s="1159"/>
      <c r="T1064" s="1159"/>
      <c r="U1064" s="1127"/>
      <c r="V1064" s="1127"/>
      <c r="W1064" s="1188"/>
    </row>
    <row r="1065" spans="1:23" s="1189" customFormat="1" ht="23.25" hidden="1">
      <c r="A1065" s="956"/>
      <c r="B1065" s="1124"/>
      <c r="C1065" s="1125"/>
      <c r="D1065" s="1124"/>
      <c r="E1065" s="1124"/>
      <c r="F1065" s="1124"/>
      <c r="G1065" s="1124"/>
      <c r="H1065" s="1159"/>
      <c r="I1065" s="1159"/>
      <c r="J1065" s="1159"/>
      <c r="K1065" s="1159"/>
      <c r="L1065" s="1159"/>
      <c r="M1065" s="1159"/>
      <c r="N1065" s="1159"/>
      <c r="O1065" s="1159"/>
      <c r="P1065" s="1159"/>
      <c r="Q1065" s="1159"/>
      <c r="R1065" s="1159"/>
      <c r="S1065" s="1159"/>
      <c r="T1065" s="1212"/>
      <c r="U1065" s="1127"/>
      <c r="V1065" s="1127"/>
      <c r="W1065" s="1188"/>
    </row>
    <row r="1066" spans="1:23" s="1189" customFormat="1" ht="21" hidden="1">
      <c r="A1066" s="956"/>
      <c r="B1066" s="1124"/>
      <c r="C1066" s="1125"/>
      <c r="D1066" s="1124"/>
      <c r="E1066" s="1124"/>
      <c r="F1066" s="1124"/>
      <c r="G1066" s="1124"/>
      <c r="H1066" s="1159"/>
      <c r="I1066" s="1159"/>
      <c r="J1066" s="1159"/>
      <c r="K1066" s="1159"/>
      <c r="L1066" s="1159"/>
      <c r="M1066" s="1159"/>
      <c r="N1066" s="1159"/>
      <c r="O1066" s="1159"/>
      <c r="P1066" s="1159"/>
      <c r="Q1066" s="1159"/>
      <c r="R1066" s="1159"/>
      <c r="S1066" s="1159"/>
      <c r="T1066" s="1159"/>
      <c r="U1066" s="961"/>
      <c r="V1066" s="961"/>
      <c r="W1066" s="1188"/>
    </row>
    <row r="1067" spans="1:23" s="1189" customFormat="1" ht="21" hidden="1">
      <c r="A1067" s="956"/>
      <c r="B1067" s="1172"/>
      <c r="C1067" s="1180"/>
      <c r="D1067" s="956"/>
      <c r="E1067" s="956"/>
      <c r="F1067" s="956"/>
      <c r="G1067" s="956"/>
      <c r="H1067" s="961"/>
      <c r="I1067" s="961"/>
      <c r="J1067" s="961"/>
      <c r="K1067" s="961"/>
      <c r="L1067" s="961"/>
      <c r="M1067" s="961"/>
      <c r="N1067" s="961"/>
      <c r="O1067" s="961"/>
      <c r="P1067" s="961"/>
      <c r="Q1067" s="961"/>
      <c r="R1067" s="961"/>
      <c r="S1067" s="961"/>
      <c r="T1067" s="961"/>
      <c r="U1067" s="961"/>
      <c r="V1067" s="961"/>
      <c r="W1067" s="1188"/>
    </row>
    <row r="1068" spans="1:23" s="1189" customFormat="1" ht="21" hidden="1">
      <c r="A1068" s="956"/>
      <c r="B1068" s="956"/>
      <c r="C1068" s="1105"/>
      <c r="D1068" s="956"/>
      <c r="E1068" s="1195"/>
      <c r="F1068" s="956"/>
      <c r="G1068" s="956"/>
      <c r="H1068" s="961"/>
      <c r="I1068" s="961"/>
      <c r="J1068" s="961"/>
      <c r="K1068" s="961"/>
      <c r="L1068" s="961"/>
      <c r="M1068" s="961"/>
      <c r="N1068" s="961"/>
      <c r="O1068" s="961"/>
      <c r="P1068" s="961"/>
      <c r="Q1068" s="961"/>
      <c r="R1068" s="961"/>
      <c r="S1068" s="961"/>
      <c r="T1068" s="961"/>
      <c r="U1068" s="961"/>
      <c r="V1068" s="961"/>
      <c r="W1068" s="1188"/>
    </row>
    <row r="1069" spans="1:23" s="1189" customFormat="1" ht="21" hidden="1">
      <c r="A1069" s="956"/>
      <c r="B1069" s="956"/>
      <c r="C1069" s="1105"/>
      <c r="D1069" s="956"/>
      <c r="E1069" s="1195"/>
      <c r="F1069" s="956"/>
      <c r="G1069" s="956"/>
      <c r="H1069" s="961"/>
      <c r="I1069" s="961"/>
      <c r="J1069" s="961"/>
      <c r="K1069" s="961"/>
      <c r="L1069" s="961"/>
      <c r="M1069" s="961"/>
      <c r="N1069" s="961"/>
      <c r="O1069" s="961"/>
      <c r="P1069" s="961"/>
      <c r="Q1069" s="961"/>
      <c r="R1069" s="961"/>
      <c r="S1069" s="961"/>
      <c r="T1069" s="961"/>
      <c r="U1069" s="961"/>
      <c r="V1069" s="961"/>
      <c r="W1069" s="1188"/>
    </row>
    <row r="1070" spans="1:23" s="1189" customFormat="1" ht="21" hidden="1">
      <c r="A1070" s="956"/>
      <c r="B1070" s="956"/>
      <c r="C1070" s="1180"/>
      <c r="D1070" s="956"/>
      <c r="E1070" s="956"/>
      <c r="F1070" s="956"/>
      <c r="G1070" s="956"/>
      <c r="H1070" s="961"/>
      <c r="I1070" s="961"/>
      <c r="J1070" s="961"/>
      <c r="K1070" s="961"/>
      <c r="L1070" s="961"/>
      <c r="M1070" s="961"/>
      <c r="N1070" s="961"/>
      <c r="O1070" s="961"/>
      <c r="P1070" s="961"/>
      <c r="Q1070" s="961"/>
      <c r="R1070" s="961"/>
      <c r="S1070" s="961"/>
      <c r="T1070" s="961"/>
      <c r="U1070" s="961"/>
      <c r="V1070" s="961"/>
      <c r="W1070" s="1188"/>
    </row>
    <row r="1071" spans="1:23" ht="21" hidden="1">
      <c r="A1071" s="1150"/>
      <c r="B1071" s="1196"/>
      <c r="C1071" s="1200"/>
      <c r="D1071" s="989"/>
      <c r="E1071" s="1196"/>
      <c r="F1071" s="1196"/>
      <c r="G1071" s="1150"/>
      <c r="H1071" s="1197"/>
      <c r="I1071" s="1197"/>
      <c r="J1071" s="1197"/>
      <c r="K1071" s="1197"/>
      <c r="L1071" s="1197"/>
      <c r="M1071" s="1197"/>
      <c r="N1071" s="1197"/>
      <c r="O1071" s="1197"/>
      <c r="P1071" s="1197"/>
      <c r="Q1071" s="1197"/>
      <c r="R1071" s="1197"/>
      <c r="S1071" s="1197"/>
      <c r="T1071" s="996"/>
      <c r="U1071" s="1198"/>
      <c r="V1071" s="1199"/>
      <c r="W1071" s="936"/>
    </row>
    <row r="1072" spans="1:23" s="1189" customFormat="1" ht="21" hidden="1">
      <c r="A1072" s="956"/>
      <c r="B1072" s="956"/>
      <c r="C1072" s="1180"/>
      <c r="D1072" s="956"/>
      <c r="E1072" s="956"/>
      <c r="F1072" s="956"/>
      <c r="G1072" s="956"/>
      <c r="H1072" s="961"/>
      <c r="I1072" s="961"/>
      <c r="J1072" s="961"/>
      <c r="K1072" s="961"/>
      <c r="L1072" s="961"/>
      <c r="M1072" s="961"/>
      <c r="N1072" s="961"/>
      <c r="O1072" s="961"/>
      <c r="P1072" s="961"/>
      <c r="Q1072" s="961"/>
      <c r="R1072" s="961"/>
      <c r="S1072" s="961"/>
      <c r="T1072" s="961"/>
      <c r="U1072" s="961"/>
      <c r="V1072" s="961"/>
      <c r="W1072" s="1188"/>
    </row>
    <row r="1073" spans="1:23" s="1189" customFormat="1" ht="21" hidden="1">
      <c r="A1073" s="956"/>
      <c r="B1073" s="956"/>
      <c r="C1073" s="1180"/>
      <c r="D1073" s="956"/>
      <c r="E1073" s="956"/>
      <c r="F1073" s="956"/>
      <c r="G1073" s="956"/>
      <c r="H1073" s="961"/>
      <c r="I1073" s="961"/>
      <c r="J1073" s="961"/>
      <c r="K1073" s="961"/>
      <c r="L1073" s="961"/>
      <c r="M1073" s="961"/>
      <c r="N1073" s="961"/>
      <c r="O1073" s="961"/>
      <c r="P1073" s="961"/>
      <c r="Q1073" s="961"/>
      <c r="R1073" s="961"/>
      <c r="S1073" s="961"/>
      <c r="T1073" s="961"/>
      <c r="U1073" s="961"/>
      <c r="V1073" s="961"/>
      <c r="W1073" s="1188"/>
    </row>
    <row r="1074" spans="1:23" s="1189" customFormat="1" ht="21" hidden="1">
      <c r="A1074" s="956"/>
      <c r="B1074" s="956"/>
      <c r="C1074" s="1105"/>
      <c r="D1074" s="956"/>
      <c r="E1074" s="956"/>
      <c r="F1074" s="956"/>
      <c r="G1074" s="956"/>
      <c r="H1074" s="961"/>
      <c r="I1074" s="961"/>
      <c r="J1074" s="961"/>
      <c r="K1074" s="961"/>
      <c r="L1074" s="961"/>
      <c r="M1074" s="961"/>
      <c r="N1074" s="961"/>
      <c r="O1074" s="961"/>
      <c r="P1074" s="961"/>
      <c r="Q1074" s="961"/>
      <c r="R1074" s="961"/>
      <c r="S1074" s="961"/>
      <c r="T1074" s="961"/>
      <c r="U1074" s="961"/>
      <c r="V1074" s="961"/>
      <c r="W1074" s="1188"/>
    </row>
    <row r="1075" spans="1:23" s="1189" customFormat="1" ht="21" hidden="1">
      <c r="A1075" s="956"/>
      <c r="B1075" s="956"/>
      <c r="C1075" s="1105"/>
      <c r="D1075" s="956"/>
      <c r="E1075" s="956"/>
      <c r="F1075" s="956"/>
      <c r="G1075" s="956"/>
      <c r="H1075" s="961"/>
      <c r="I1075" s="961"/>
      <c r="J1075" s="961"/>
      <c r="K1075" s="961"/>
      <c r="L1075" s="961"/>
      <c r="M1075" s="961"/>
      <c r="N1075" s="961"/>
      <c r="O1075" s="961"/>
      <c r="P1075" s="961"/>
      <c r="Q1075" s="961"/>
      <c r="R1075" s="961"/>
      <c r="S1075" s="961"/>
      <c r="T1075" s="961"/>
      <c r="U1075" s="961"/>
      <c r="V1075" s="961"/>
      <c r="W1075" s="1188"/>
    </row>
    <row r="1076" spans="1:23" s="1189" customFormat="1" ht="21" hidden="1">
      <c r="A1076" s="956"/>
      <c r="B1076" s="956"/>
      <c r="C1076" s="1172"/>
      <c r="D1076" s="956"/>
      <c r="E1076" s="956"/>
      <c r="F1076" s="956"/>
      <c r="G1076" s="956"/>
      <c r="H1076" s="961"/>
      <c r="I1076" s="961"/>
      <c r="J1076" s="961"/>
      <c r="K1076" s="961"/>
      <c r="L1076" s="961"/>
      <c r="M1076" s="961"/>
      <c r="N1076" s="961"/>
      <c r="O1076" s="961"/>
      <c r="P1076" s="961"/>
      <c r="Q1076" s="961"/>
      <c r="R1076" s="961"/>
      <c r="S1076" s="961"/>
      <c r="T1076" s="961"/>
      <c r="U1076" s="961"/>
      <c r="V1076" s="961"/>
      <c r="W1076" s="1188"/>
    </row>
    <row r="1077" spans="1:23" s="1189" customFormat="1" ht="21" hidden="1">
      <c r="A1077" s="956"/>
      <c r="B1077" s="956"/>
      <c r="C1077" s="983"/>
      <c r="D1077" s="964"/>
      <c r="E1077" s="956"/>
      <c r="F1077" s="956"/>
      <c r="G1077" s="956"/>
      <c r="H1077" s="961"/>
      <c r="I1077" s="961"/>
      <c r="J1077" s="961"/>
      <c r="K1077" s="961"/>
      <c r="L1077" s="961"/>
      <c r="M1077" s="961"/>
      <c r="N1077" s="961"/>
      <c r="O1077" s="961"/>
      <c r="P1077" s="961"/>
      <c r="Q1077" s="961"/>
      <c r="R1077" s="961"/>
      <c r="S1077" s="961"/>
      <c r="T1077" s="961"/>
      <c r="U1077" s="961"/>
      <c r="V1077" s="961"/>
      <c r="W1077" s="1188"/>
    </row>
    <row r="1078" spans="1:23" s="1189" customFormat="1" ht="21" hidden="1">
      <c r="A1078" s="956"/>
      <c r="B1078" s="1124"/>
      <c r="C1078" s="1208"/>
      <c r="D1078" s="1124"/>
      <c r="E1078" s="1124"/>
      <c r="F1078" s="1124"/>
      <c r="G1078" s="1124"/>
      <c r="H1078" s="1127"/>
      <c r="I1078" s="1127"/>
      <c r="J1078" s="1127"/>
      <c r="K1078" s="1127"/>
      <c r="L1078" s="1127"/>
      <c r="M1078" s="1127"/>
      <c r="N1078" s="1127"/>
      <c r="O1078" s="1127"/>
      <c r="P1078" s="1127"/>
      <c r="Q1078" s="1127"/>
      <c r="R1078" s="1127"/>
      <c r="S1078" s="1127"/>
      <c r="T1078" s="1127"/>
      <c r="U1078" s="1127"/>
      <c r="V1078" s="1127"/>
      <c r="W1078" s="1188"/>
    </row>
    <row r="1079" spans="1:23" s="1189" customFormat="1" ht="21" hidden="1">
      <c r="A1079" s="956"/>
      <c r="B1079" s="1124"/>
      <c r="C1079" s="1209"/>
      <c r="D1079" s="1124"/>
      <c r="E1079" s="1124"/>
      <c r="F1079" s="1124"/>
      <c r="G1079" s="1124"/>
      <c r="H1079" s="1159"/>
      <c r="I1079" s="1159"/>
      <c r="J1079" s="1159"/>
      <c r="K1079" s="1159"/>
      <c r="L1079" s="1159"/>
      <c r="M1079" s="1159"/>
      <c r="N1079" s="1159"/>
      <c r="O1079" s="1159"/>
      <c r="P1079" s="1159"/>
      <c r="Q1079" s="1159"/>
      <c r="R1079" s="1159"/>
      <c r="S1079" s="1159"/>
      <c r="T1079" s="1159"/>
      <c r="U1079" s="1127"/>
      <c r="V1079" s="1127"/>
      <c r="W1079" s="1188"/>
    </row>
    <row r="1080" spans="1:23" s="1189" customFormat="1" ht="21" hidden="1">
      <c r="A1080" s="956"/>
      <c r="B1080" s="1124"/>
      <c r="C1080" s="1209"/>
      <c r="D1080" s="1124"/>
      <c r="E1080" s="1124"/>
      <c r="F1080" s="1124"/>
      <c r="G1080" s="1124"/>
      <c r="H1080" s="1159"/>
      <c r="I1080" s="1159"/>
      <c r="J1080" s="1159"/>
      <c r="K1080" s="1159"/>
      <c r="L1080" s="1159"/>
      <c r="M1080" s="1159"/>
      <c r="N1080" s="1159"/>
      <c r="O1080" s="1159"/>
      <c r="P1080" s="1159"/>
      <c r="Q1080" s="1159"/>
      <c r="R1080" s="1159"/>
      <c r="S1080" s="1159"/>
      <c r="T1080" s="1159"/>
      <c r="U1080" s="1127"/>
      <c r="V1080" s="1127"/>
      <c r="W1080" s="1188"/>
    </row>
    <row r="1081" spans="1:23" s="1189" customFormat="1" ht="23.25" hidden="1">
      <c r="A1081" s="956"/>
      <c r="B1081" s="1124"/>
      <c r="C1081" s="1210"/>
      <c r="D1081" s="1124"/>
      <c r="E1081" s="1124"/>
      <c r="F1081" s="1124"/>
      <c r="G1081" s="1124"/>
      <c r="H1081" s="1159"/>
      <c r="I1081" s="1159"/>
      <c r="J1081" s="1159"/>
      <c r="K1081" s="1159"/>
      <c r="L1081" s="1159"/>
      <c r="M1081" s="1159"/>
      <c r="N1081" s="1159"/>
      <c r="O1081" s="1159"/>
      <c r="P1081" s="1159"/>
      <c r="Q1081" s="1159"/>
      <c r="R1081" s="1159"/>
      <c r="S1081" s="1159"/>
      <c r="T1081" s="1212"/>
      <c r="U1081" s="1127"/>
      <c r="V1081" s="1127"/>
      <c r="W1081" s="1188"/>
    </row>
    <row r="1082" spans="1:23" s="1189" customFormat="1" ht="21" hidden="1">
      <c r="A1082" s="956"/>
      <c r="B1082" s="1124"/>
      <c r="C1082" s="1125"/>
      <c r="D1082" s="1124"/>
      <c r="E1082" s="1124"/>
      <c r="F1082" s="1124"/>
      <c r="G1082" s="1124"/>
      <c r="H1082" s="1159"/>
      <c r="I1082" s="1159"/>
      <c r="J1082" s="1159"/>
      <c r="K1082" s="1159"/>
      <c r="L1082" s="1159"/>
      <c r="M1082" s="1159"/>
      <c r="N1082" s="1159"/>
      <c r="O1082" s="1159"/>
      <c r="P1082" s="1159"/>
      <c r="Q1082" s="1159"/>
      <c r="R1082" s="1159"/>
      <c r="S1082" s="1159"/>
      <c r="T1082" s="1159"/>
      <c r="U1082" s="961"/>
      <c r="V1082" s="961"/>
      <c r="W1082" s="1188"/>
    </row>
    <row r="1083" spans="1:23" s="1189" customFormat="1" ht="21" hidden="1">
      <c r="A1083" s="956"/>
      <c r="B1083" s="1172"/>
      <c r="C1083" s="1180"/>
      <c r="D1083" s="956"/>
      <c r="E1083" s="956"/>
      <c r="F1083" s="956"/>
      <c r="G1083" s="956"/>
      <c r="H1083" s="961"/>
      <c r="I1083" s="961"/>
      <c r="J1083" s="961"/>
      <c r="K1083" s="961"/>
      <c r="L1083" s="961"/>
      <c r="M1083" s="961"/>
      <c r="N1083" s="961"/>
      <c r="O1083" s="961"/>
      <c r="P1083" s="961"/>
      <c r="Q1083" s="961"/>
      <c r="R1083" s="961"/>
      <c r="S1083" s="961"/>
      <c r="T1083" s="961"/>
      <c r="U1083" s="961"/>
      <c r="V1083" s="961"/>
      <c r="W1083" s="1188"/>
    </row>
    <row r="1084" spans="1:23" s="1189" customFormat="1" ht="21" hidden="1">
      <c r="A1084" s="956"/>
      <c r="B1084" s="956"/>
      <c r="C1084" s="1105"/>
      <c r="D1084" s="956"/>
      <c r="E1084" s="1195"/>
      <c r="F1084" s="956"/>
      <c r="G1084" s="956"/>
      <c r="H1084" s="961"/>
      <c r="I1084" s="961"/>
      <c r="J1084" s="961"/>
      <c r="K1084" s="961"/>
      <c r="L1084" s="961"/>
      <c r="M1084" s="961"/>
      <c r="N1084" s="961"/>
      <c r="O1084" s="961"/>
      <c r="P1084" s="961"/>
      <c r="Q1084" s="961"/>
      <c r="R1084" s="961"/>
      <c r="S1084" s="961"/>
      <c r="T1084" s="961"/>
      <c r="U1084" s="961"/>
      <c r="V1084" s="961"/>
      <c r="W1084" s="1188"/>
    </row>
    <row r="1085" spans="1:23" s="1189" customFormat="1" ht="21" hidden="1">
      <c r="A1085" s="956"/>
      <c r="B1085" s="956"/>
      <c r="C1085" s="1105"/>
      <c r="D1085" s="956"/>
      <c r="E1085" s="1195"/>
      <c r="F1085" s="956"/>
      <c r="G1085" s="956"/>
      <c r="H1085" s="961"/>
      <c r="I1085" s="961"/>
      <c r="J1085" s="961"/>
      <c r="K1085" s="961"/>
      <c r="L1085" s="961"/>
      <c r="M1085" s="961"/>
      <c r="N1085" s="961"/>
      <c r="O1085" s="961"/>
      <c r="P1085" s="961"/>
      <c r="Q1085" s="961"/>
      <c r="R1085" s="961"/>
      <c r="S1085" s="961"/>
      <c r="T1085" s="961"/>
      <c r="U1085" s="961"/>
      <c r="V1085" s="961"/>
      <c r="W1085" s="1188"/>
    </row>
    <row r="1086" spans="1:23" s="1189" customFormat="1" ht="21" hidden="1">
      <c r="A1086" s="956"/>
      <c r="B1086" s="956"/>
      <c r="C1086" s="1180"/>
      <c r="D1086" s="956"/>
      <c r="E1086" s="956"/>
      <c r="F1086" s="956"/>
      <c r="G1086" s="956"/>
      <c r="H1086" s="961"/>
      <c r="I1086" s="961"/>
      <c r="J1086" s="961"/>
      <c r="K1086" s="961"/>
      <c r="L1086" s="961"/>
      <c r="M1086" s="961"/>
      <c r="N1086" s="961"/>
      <c r="O1086" s="961"/>
      <c r="P1086" s="961"/>
      <c r="Q1086" s="961"/>
      <c r="R1086" s="961"/>
      <c r="S1086" s="961"/>
      <c r="T1086" s="961"/>
      <c r="U1086" s="961"/>
      <c r="V1086" s="961"/>
      <c r="W1086" s="1188"/>
    </row>
    <row r="1087" spans="1:23" ht="21" hidden="1">
      <c r="A1087" s="1150"/>
      <c r="B1087" s="1196"/>
      <c r="C1087" s="1200"/>
      <c r="D1087" s="989"/>
      <c r="E1087" s="1196"/>
      <c r="F1087" s="1196"/>
      <c r="G1087" s="1150"/>
      <c r="H1087" s="1197"/>
      <c r="I1087" s="1197"/>
      <c r="J1087" s="1197"/>
      <c r="K1087" s="1197"/>
      <c r="L1087" s="1197"/>
      <c r="M1087" s="1197"/>
      <c r="N1087" s="1197"/>
      <c r="O1087" s="1197"/>
      <c r="P1087" s="1197"/>
      <c r="Q1087" s="1197"/>
      <c r="R1087" s="1197"/>
      <c r="S1087" s="1197"/>
      <c r="T1087" s="996"/>
      <c r="U1087" s="1198"/>
      <c r="V1087" s="1199"/>
      <c r="W1087" s="936"/>
    </row>
    <row r="1088" spans="1:23" s="1189" customFormat="1" ht="21" hidden="1">
      <c r="A1088" s="956"/>
      <c r="B1088" s="956"/>
      <c r="C1088" s="1180"/>
      <c r="D1088" s="956"/>
      <c r="E1088" s="956"/>
      <c r="F1088" s="956"/>
      <c r="G1088" s="956"/>
      <c r="H1088" s="961"/>
      <c r="I1088" s="961"/>
      <c r="J1088" s="961"/>
      <c r="K1088" s="961"/>
      <c r="L1088" s="961"/>
      <c r="M1088" s="961"/>
      <c r="N1088" s="961"/>
      <c r="O1088" s="961"/>
      <c r="P1088" s="961"/>
      <c r="Q1088" s="961"/>
      <c r="R1088" s="961"/>
      <c r="S1088" s="961"/>
      <c r="T1088" s="961"/>
      <c r="U1088" s="961"/>
      <c r="V1088" s="961"/>
      <c r="W1088" s="1188"/>
    </row>
    <row r="1089" spans="1:23" s="1189" customFormat="1" ht="21" hidden="1">
      <c r="A1089" s="956"/>
      <c r="B1089" s="956"/>
      <c r="C1089" s="1180"/>
      <c r="D1089" s="956"/>
      <c r="E1089" s="956"/>
      <c r="F1089" s="956"/>
      <c r="G1089" s="956"/>
      <c r="H1089" s="961"/>
      <c r="I1089" s="961"/>
      <c r="J1089" s="961"/>
      <c r="K1089" s="961"/>
      <c r="L1089" s="961"/>
      <c r="M1089" s="961"/>
      <c r="N1089" s="961"/>
      <c r="O1089" s="961"/>
      <c r="P1089" s="961"/>
      <c r="Q1089" s="961"/>
      <c r="R1089" s="961"/>
      <c r="S1089" s="961"/>
      <c r="T1089" s="961"/>
      <c r="U1089" s="961"/>
      <c r="V1089" s="961"/>
      <c r="W1089" s="1188"/>
    </row>
    <row r="1090" spans="1:23" s="1189" customFormat="1" ht="21" hidden="1">
      <c r="A1090" s="956"/>
      <c r="B1090" s="956"/>
      <c r="C1090" s="1105"/>
      <c r="D1090" s="956"/>
      <c r="E1090" s="956"/>
      <c r="F1090" s="956"/>
      <c r="G1090" s="956"/>
      <c r="H1090" s="961"/>
      <c r="I1090" s="961"/>
      <c r="J1090" s="961"/>
      <c r="K1090" s="961"/>
      <c r="L1090" s="961"/>
      <c r="M1090" s="961"/>
      <c r="N1090" s="961"/>
      <c r="O1090" s="961"/>
      <c r="P1090" s="961"/>
      <c r="Q1090" s="961"/>
      <c r="R1090" s="961"/>
      <c r="S1090" s="961"/>
      <c r="T1090" s="961"/>
      <c r="U1090" s="961"/>
      <c r="V1090" s="961"/>
      <c r="W1090" s="1188"/>
    </row>
    <row r="1091" spans="1:23" s="1189" customFormat="1" ht="21" hidden="1">
      <c r="A1091" s="956"/>
      <c r="B1091" s="956"/>
      <c r="C1091" s="1105"/>
      <c r="D1091" s="956"/>
      <c r="E1091" s="956"/>
      <c r="F1091" s="956"/>
      <c r="G1091" s="956"/>
      <c r="H1091" s="961"/>
      <c r="I1091" s="961"/>
      <c r="J1091" s="961"/>
      <c r="K1091" s="961"/>
      <c r="L1091" s="961"/>
      <c r="M1091" s="961"/>
      <c r="N1091" s="961"/>
      <c r="O1091" s="961"/>
      <c r="P1091" s="961"/>
      <c r="Q1091" s="961"/>
      <c r="R1091" s="961"/>
      <c r="S1091" s="961"/>
      <c r="T1091" s="961"/>
      <c r="U1091" s="961"/>
      <c r="V1091" s="961"/>
      <c r="W1091" s="1188"/>
    </row>
    <row r="1092" spans="1:23" s="1189" customFormat="1" ht="21" hidden="1">
      <c r="A1092" s="956"/>
      <c r="B1092" s="956"/>
      <c r="C1092" s="1204"/>
      <c r="D1092" s="956"/>
      <c r="E1092" s="956"/>
      <c r="F1092" s="956"/>
      <c r="G1092" s="956"/>
      <c r="H1092" s="961"/>
      <c r="I1092" s="961"/>
      <c r="J1092" s="961"/>
      <c r="K1092" s="961"/>
      <c r="L1092" s="961"/>
      <c r="M1092" s="961"/>
      <c r="N1092" s="961"/>
      <c r="O1092" s="961"/>
      <c r="P1092" s="961"/>
      <c r="Q1092" s="961"/>
      <c r="R1092" s="961"/>
      <c r="S1092" s="961"/>
      <c r="T1092" s="961"/>
      <c r="U1092" s="961"/>
      <c r="V1092" s="961"/>
      <c r="W1092" s="1188"/>
    </row>
    <row r="1093" spans="1:23" s="1189" customFormat="1" ht="21" hidden="1">
      <c r="A1093" s="956"/>
      <c r="B1093" s="956"/>
      <c r="C1093" s="983"/>
      <c r="D1093" s="964"/>
      <c r="E1093" s="956"/>
      <c r="F1093" s="956"/>
      <c r="G1093" s="956"/>
      <c r="H1093" s="961"/>
      <c r="I1093" s="961"/>
      <c r="J1093" s="961"/>
      <c r="K1093" s="961"/>
      <c r="L1093" s="961"/>
      <c r="M1093" s="961"/>
      <c r="N1093" s="961"/>
      <c r="O1093" s="961"/>
      <c r="P1093" s="961"/>
      <c r="Q1093" s="961"/>
      <c r="R1093" s="961"/>
      <c r="S1093" s="961"/>
      <c r="T1093" s="961"/>
      <c r="U1093" s="961"/>
      <c r="V1093" s="961"/>
      <c r="W1093" s="1188"/>
    </row>
    <row r="1094" spans="1:23" s="1189" customFormat="1" ht="21" hidden="1">
      <c r="A1094" s="956"/>
      <c r="B1094" s="1124"/>
      <c r="C1094" s="1208"/>
      <c r="D1094" s="1124"/>
      <c r="E1094" s="1124"/>
      <c r="F1094" s="1124"/>
      <c r="G1094" s="1124"/>
      <c r="H1094" s="1127"/>
      <c r="I1094" s="1127"/>
      <c r="J1094" s="1127"/>
      <c r="K1094" s="1127"/>
      <c r="L1094" s="1127"/>
      <c r="M1094" s="1127"/>
      <c r="N1094" s="1127"/>
      <c r="O1094" s="1127"/>
      <c r="P1094" s="1127"/>
      <c r="Q1094" s="1127"/>
      <c r="R1094" s="1127"/>
      <c r="S1094" s="1127"/>
      <c r="T1094" s="1127"/>
      <c r="U1094" s="1127"/>
      <c r="V1094" s="1127"/>
      <c r="W1094" s="1188"/>
    </row>
    <row r="1095" spans="1:23" s="1189" customFormat="1" ht="21" hidden="1">
      <c r="A1095" s="956"/>
      <c r="B1095" s="1124"/>
      <c r="C1095" s="1209"/>
      <c r="D1095" s="1124"/>
      <c r="E1095" s="1124"/>
      <c r="F1095" s="1124"/>
      <c r="G1095" s="1124"/>
      <c r="H1095" s="1159"/>
      <c r="I1095" s="1159"/>
      <c r="J1095" s="1159"/>
      <c r="K1095" s="1159"/>
      <c r="L1095" s="1159"/>
      <c r="M1095" s="1159"/>
      <c r="N1095" s="1159"/>
      <c r="O1095" s="1159"/>
      <c r="P1095" s="1159"/>
      <c r="Q1095" s="1159"/>
      <c r="R1095" s="1159"/>
      <c r="S1095" s="1159"/>
      <c r="T1095" s="1159"/>
      <c r="U1095" s="1127"/>
      <c r="V1095" s="1127"/>
      <c r="W1095" s="1188"/>
    </row>
    <row r="1096" spans="1:23" s="1189" customFormat="1" ht="21" hidden="1">
      <c r="A1096" s="956"/>
      <c r="B1096" s="1124"/>
      <c r="C1096" s="1209"/>
      <c r="D1096" s="1124"/>
      <c r="E1096" s="1124"/>
      <c r="F1096" s="1124"/>
      <c r="G1096" s="1124"/>
      <c r="H1096" s="1159"/>
      <c r="I1096" s="1159"/>
      <c r="J1096" s="1159"/>
      <c r="K1096" s="1159"/>
      <c r="L1096" s="1159"/>
      <c r="M1096" s="1159"/>
      <c r="N1096" s="1159"/>
      <c r="O1096" s="1159"/>
      <c r="P1096" s="1159"/>
      <c r="Q1096" s="1159"/>
      <c r="R1096" s="1159"/>
      <c r="S1096" s="1159"/>
      <c r="T1096" s="1159"/>
      <c r="U1096" s="1127"/>
      <c r="V1096" s="1127"/>
      <c r="W1096" s="1188"/>
    </row>
    <row r="1097" spans="1:23" s="1189" customFormat="1" ht="23.25" hidden="1">
      <c r="A1097" s="956"/>
      <c r="B1097" s="1124"/>
      <c r="C1097" s="1210"/>
      <c r="D1097" s="1124"/>
      <c r="E1097" s="1124"/>
      <c r="F1097" s="1124"/>
      <c r="G1097" s="1124"/>
      <c r="H1097" s="1159"/>
      <c r="I1097" s="1159"/>
      <c r="J1097" s="1159"/>
      <c r="K1097" s="1159"/>
      <c r="L1097" s="1159"/>
      <c r="M1097" s="1159"/>
      <c r="N1097" s="1159"/>
      <c r="O1097" s="1159"/>
      <c r="P1097" s="1159"/>
      <c r="Q1097" s="1159"/>
      <c r="R1097" s="1159"/>
      <c r="S1097" s="1159"/>
      <c r="T1097" s="1212"/>
      <c r="U1097" s="1127"/>
      <c r="V1097" s="1127"/>
      <c r="W1097" s="1188"/>
    </row>
    <row r="1098" spans="1:23" s="1189" customFormat="1" ht="21" hidden="1">
      <c r="A1098" s="956"/>
      <c r="B1098" s="1124"/>
      <c r="C1098" s="1125"/>
      <c r="D1098" s="1124"/>
      <c r="E1098" s="1124"/>
      <c r="F1098" s="1124"/>
      <c r="G1098" s="1124"/>
      <c r="H1098" s="1126"/>
      <c r="I1098" s="1126"/>
      <c r="J1098" s="1126"/>
      <c r="K1098" s="1126"/>
      <c r="L1098" s="1126"/>
      <c r="M1098" s="1126"/>
      <c r="N1098" s="1126"/>
      <c r="O1098" s="1126"/>
      <c r="P1098" s="1126"/>
      <c r="Q1098" s="1126"/>
      <c r="R1098" s="1126"/>
      <c r="S1098" s="1126"/>
      <c r="T1098" s="1126"/>
      <c r="U1098" s="961"/>
      <c r="V1098" s="961"/>
      <c r="W1098" s="1188"/>
    </row>
    <row r="1099" spans="1:23" ht="21" hidden="1">
      <c r="A1099" s="1011"/>
      <c r="B1099" s="1011"/>
      <c r="C1099" s="1062"/>
      <c r="D1099" s="1011"/>
      <c r="E1099" s="1058"/>
      <c r="F1099" s="1058"/>
      <c r="G1099" s="1058"/>
      <c r="H1099" s="1056"/>
      <c r="I1099" s="1056"/>
      <c r="J1099" s="1056"/>
      <c r="K1099" s="1056"/>
      <c r="L1099" s="1056"/>
      <c r="M1099" s="1056"/>
      <c r="N1099" s="1056"/>
      <c r="O1099" s="1056"/>
      <c r="P1099" s="1056"/>
      <c r="Q1099" s="1056"/>
      <c r="R1099" s="1056"/>
      <c r="S1099" s="1056"/>
      <c r="T1099" s="987"/>
      <c r="U1099" s="981"/>
      <c r="V1099" s="981"/>
      <c r="W1099" s="936"/>
    </row>
    <row r="1100" spans="1:23" ht="21" hidden="1">
      <c r="A1100" s="1011"/>
      <c r="B1100" s="1011"/>
      <c r="C1100" s="1062"/>
      <c r="D1100" s="1011"/>
      <c r="E1100" s="1058"/>
      <c r="F1100" s="1058"/>
      <c r="G1100" s="1058"/>
      <c r="H1100" s="1064"/>
      <c r="I1100" s="1064"/>
      <c r="J1100" s="1064"/>
      <c r="K1100" s="1064"/>
      <c r="L1100" s="1064"/>
      <c r="M1100" s="1064"/>
      <c r="N1100" s="1064"/>
      <c r="O1100" s="1064"/>
      <c r="P1100" s="1064"/>
      <c r="Q1100" s="1064"/>
      <c r="R1100" s="1064"/>
      <c r="S1100" s="1064"/>
      <c r="T1100" s="1064"/>
      <c r="U1100" s="981"/>
      <c r="V1100" s="981"/>
      <c r="W1100" s="936"/>
    </row>
    <row r="1101" spans="1:23" ht="21" hidden="1">
      <c r="A1101" s="1011"/>
      <c r="B1101" s="1011"/>
      <c r="C1101" s="1062"/>
      <c r="D1101" s="1011"/>
      <c r="E1101" s="1058"/>
      <c r="F1101" s="1058"/>
      <c r="G1101" s="1058"/>
      <c r="H1101" s="1056"/>
      <c r="I1101" s="1056"/>
      <c r="J1101" s="1056"/>
      <c r="K1101" s="1056"/>
      <c r="L1101" s="1056"/>
      <c r="M1101" s="1056"/>
      <c r="N1101" s="1056"/>
      <c r="O1101" s="1056"/>
      <c r="P1101" s="1056"/>
      <c r="Q1101" s="1056"/>
      <c r="R1101" s="1056"/>
      <c r="S1101" s="1056"/>
      <c r="T1101" s="1056"/>
      <c r="U1101" s="981"/>
      <c r="V1101" s="981"/>
      <c r="W1101" s="936"/>
    </row>
    <row r="1102" spans="1:23" ht="21" hidden="1">
      <c r="A1102" s="1011"/>
      <c r="B1102" s="1011"/>
      <c r="C1102" s="1062"/>
      <c r="D1102" s="1011"/>
      <c r="E1102" s="1058"/>
      <c r="F1102" s="1058"/>
      <c r="G1102" s="1058"/>
      <c r="H1102" s="1064"/>
      <c r="I1102" s="1064"/>
      <c r="J1102" s="1064"/>
      <c r="K1102" s="1064"/>
      <c r="L1102" s="1064"/>
      <c r="M1102" s="1064"/>
      <c r="N1102" s="1064"/>
      <c r="O1102" s="1064"/>
      <c r="P1102" s="1064"/>
      <c r="Q1102" s="1064"/>
      <c r="R1102" s="1064"/>
      <c r="S1102" s="1064"/>
      <c r="T1102" s="1064"/>
      <c r="U1102" s="981"/>
      <c r="V1102" s="981"/>
      <c r="W1102" s="936"/>
    </row>
    <row r="1103" spans="1:23" ht="21" hidden="1">
      <c r="A1103" s="1011"/>
      <c r="B1103" s="1011"/>
      <c r="C1103" s="1062"/>
      <c r="D1103" s="1011"/>
      <c r="E1103" s="1058"/>
      <c r="F1103" s="1058"/>
      <c r="G1103" s="1058"/>
      <c r="H1103" s="1056"/>
      <c r="I1103" s="1056"/>
      <c r="J1103" s="1056"/>
      <c r="K1103" s="1056"/>
      <c r="L1103" s="1056"/>
      <c r="M1103" s="1056"/>
      <c r="N1103" s="1056"/>
      <c r="O1103" s="1056"/>
      <c r="P1103" s="1056"/>
      <c r="Q1103" s="1056"/>
      <c r="R1103" s="1056"/>
      <c r="S1103" s="1056"/>
      <c r="T1103" s="981"/>
      <c r="U1103" s="981"/>
      <c r="V1103" s="981"/>
      <c r="W1103" s="936"/>
    </row>
    <row r="1104" spans="1:23" ht="21" hidden="1">
      <c r="A1104" s="1011"/>
      <c r="B1104" s="1011"/>
      <c r="C1104" s="983"/>
      <c r="D1104" s="1011"/>
      <c r="E1104" s="1058"/>
      <c r="F1104" s="1058"/>
      <c r="G1104" s="1058"/>
      <c r="H1104" s="1064"/>
      <c r="I1104" s="1227"/>
      <c r="J1104" s="1064"/>
      <c r="K1104" s="1064"/>
      <c r="L1104" s="1064"/>
      <c r="M1104" s="1064"/>
      <c r="N1104" s="1064"/>
      <c r="O1104" s="1064"/>
      <c r="P1104" s="1064"/>
      <c r="Q1104" s="1064"/>
      <c r="R1104" s="1064"/>
      <c r="S1104" s="1064"/>
      <c r="T1104" s="1064"/>
      <c r="U1104" s="981"/>
      <c r="V1104" s="981"/>
      <c r="W1104" s="936"/>
    </row>
    <row r="1105" spans="1:24" ht="21" hidden="1">
      <c r="A1105" s="1011"/>
      <c r="B1105" s="1011"/>
      <c r="C1105" s="983"/>
      <c r="D1105" s="1011"/>
      <c r="E1105" s="1058"/>
      <c r="F1105" s="1058"/>
      <c r="G1105" s="1058"/>
      <c r="H1105" s="1056"/>
      <c r="I1105" s="1056"/>
      <c r="J1105" s="1056"/>
      <c r="K1105" s="1056"/>
      <c r="L1105" s="1056"/>
      <c r="M1105" s="1056"/>
      <c r="N1105" s="1056"/>
      <c r="O1105" s="1056"/>
      <c r="P1105" s="1056"/>
      <c r="Q1105" s="1056"/>
      <c r="R1105" s="1056"/>
      <c r="S1105" s="1056"/>
      <c r="T1105" s="987"/>
      <c r="U1105" s="981"/>
      <c r="V1105" s="981"/>
      <c r="W1105" s="936"/>
      <c r="X1105" s="937"/>
    </row>
    <row r="1106" spans="1:24" ht="21" hidden="1">
      <c r="A1106" s="1065"/>
      <c r="B1106" s="1065"/>
      <c r="C1106" s="1144"/>
      <c r="D1106" s="1065"/>
      <c r="E1106" s="1065"/>
      <c r="F1106" s="1065"/>
      <c r="G1106" s="1065"/>
      <c r="H1106" s="1072"/>
      <c r="I1106" s="1072"/>
      <c r="J1106" s="1072"/>
      <c r="K1106" s="1072"/>
      <c r="L1106" s="1072"/>
      <c r="M1106" s="1072"/>
      <c r="N1106" s="1072"/>
      <c r="O1106" s="1072"/>
      <c r="P1106" s="1072"/>
      <c r="Q1106" s="1072"/>
      <c r="R1106" s="1072"/>
      <c r="S1106" s="1072"/>
      <c r="T1106" s="1072"/>
      <c r="U1106" s="1072"/>
      <c r="V1106" s="1072"/>
      <c r="W1106" s="936"/>
      <c r="X1106" s="937"/>
    </row>
    <row r="1107" spans="1:24" ht="21" hidden="1">
      <c r="A1107" s="1228"/>
      <c r="B1107" s="1229"/>
      <c r="C1107" s="1075" t="s">
        <v>699</v>
      </c>
      <c r="D1107" s="1229"/>
      <c r="E1107" s="1229"/>
      <c r="F1107" s="1229"/>
      <c r="G1107" s="1229"/>
      <c r="H1107" s="1230"/>
      <c r="I1107" s="1230"/>
      <c r="J1107" s="1230"/>
      <c r="K1107" s="1230"/>
      <c r="L1107" s="1230"/>
      <c r="M1107" s="1230"/>
      <c r="N1107" s="1230"/>
      <c r="O1107" s="1230"/>
      <c r="P1107" s="1230"/>
      <c r="Q1107" s="1230"/>
      <c r="R1107" s="1230"/>
      <c r="S1107" s="1230"/>
      <c r="T1107" s="1078"/>
      <c r="U1107" s="1078">
        <f>T814+T851+T879+T936+T974+T988+T1002+T1016+T1030+T1044+T1059+T1075+T1092+T1074+T1058</f>
        <v>8548386.036073789</v>
      </c>
      <c r="V1107" s="1078">
        <f>V783+V835+V866+V911+V954+V982+V996+V1010+V1024+V1038+V1054+V1070+V1086</f>
        <v>0</v>
      </c>
      <c r="W1107" s="936"/>
      <c r="X1107" s="937"/>
    </row>
    <row r="1108" spans="1:24" s="1189" customFormat="1" ht="21" hidden="1">
      <c r="A1108" s="1231"/>
      <c r="B1108" s="1232"/>
      <c r="C1108" s="1233"/>
      <c r="D1108" s="1232"/>
      <c r="E1108" s="1232"/>
      <c r="F1108" s="1232"/>
      <c r="G1108" s="1232"/>
      <c r="H1108" s="1234"/>
      <c r="I1108" s="1234"/>
      <c r="J1108" s="1234"/>
      <c r="K1108" s="1234"/>
      <c r="L1108" s="1234"/>
      <c r="M1108" s="1234"/>
      <c r="N1108" s="1235"/>
      <c r="O1108" s="1235"/>
      <c r="P1108" s="1235"/>
      <c r="Q1108" s="1235"/>
      <c r="R1108" s="1235"/>
      <c r="S1108" s="1235"/>
      <c r="T1108" s="941"/>
      <c r="U1108" s="1192">
        <f>V1107/U1107</f>
        <v>0</v>
      </c>
      <c r="V1108" s="1001" t="s">
        <v>158</v>
      </c>
      <c r="W1108" s="1188"/>
    </row>
    <row r="1109" spans="1:24" s="1189" customFormat="1" ht="21" hidden="1">
      <c r="A1109" s="1231"/>
      <c r="B1109" s="1232"/>
      <c r="C1109" s="1233"/>
      <c r="D1109" s="1232"/>
      <c r="E1109" s="1232"/>
      <c r="F1109" s="1232"/>
      <c r="G1109" s="1232"/>
      <c r="H1109" s="1234"/>
      <c r="I1109" s="1234"/>
      <c r="J1109" s="1234"/>
      <c r="K1109" s="1234"/>
      <c r="L1109" s="1234"/>
      <c r="M1109" s="1234"/>
      <c r="N1109" s="1235"/>
      <c r="O1109" s="1235"/>
      <c r="P1109" s="1235"/>
      <c r="Q1109" s="1235"/>
      <c r="R1109" s="1235"/>
      <c r="S1109" s="1235"/>
      <c r="T1109" s="941" t="s">
        <v>453</v>
      </c>
      <c r="U1109" s="941" t="e">
        <f>U1107+U771+U769+#REF!+U183</f>
        <v>#REF!</v>
      </c>
      <c r="V1109" s="941" t="e">
        <f>V1107+V771+V769+#REF!+V183</f>
        <v>#REF!</v>
      </c>
      <c r="W1109" s="1188"/>
      <c r="X1109" s="1236">
        <f>300*42751189</f>
        <v>12825356700</v>
      </c>
    </row>
    <row r="1110" spans="1:24" s="1189" customFormat="1" ht="21" hidden="1">
      <c r="A1110" s="1231"/>
      <c r="B1110" s="1232"/>
      <c r="C1110" s="1233"/>
      <c r="D1110" s="1232"/>
      <c r="E1110" s="1232"/>
      <c r="F1110" s="1232"/>
      <c r="G1110" s="1232"/>
      <c r="H1110" s="1234"/>
      <c r="I1110" s="1234"/>
      <c r="J1110" s="1234"/>
      <c r="K1110" s="1234"/>
      <c r="L1110" s="1234"/>
      <c r="M1110" s="1234"/>
      <c r="N1110" s="1235"/>
      <c r="O1110" s="1235"/>
      <c r="P1110" s="1235"/>
      <c r="Q1110" s="1235"/>
      <c r="R1110" s="1235"/>
      <c r="S1110" s="1235"/>
      <c r="T1110" s="941"/>
      <c r="U1110" s="1237" t="e">
        <f>V1109/U1109</f>
        <v>#REF!</v>
      </c>
      <c r="V1110" s="1001" t="s">
        <v>158</v>
      </c>
      <c r="W1110" s="1188"/>
      <c r="X1110" s="1236">
        <f>362*39481781</f>
        <v>14292404722</v>
      </c>
    </row>
    <row r="1111" spans="1:24" s="1242" customFormat="1" ht="23.25" hidden="1">
      <c r="A1111" s="1238">
        <v>26</v>
      </c>
      <c r="B1111" s="1238" t="s">
        <v>99</v>
      </c>
      <c r="C1111" s="1239" t="s">
        <v>700</v>
      </c>
      <c r="D1111" s="1238"/>
      <c r="E1111" s="1238"/>
      <c r="F1111" s="1238"/>
      <c r="G1111" s="1238"/>
      <c r="H1111" s="1240"/>
      <c r="I1111" s="1240"/>
      <c r="J1111" s="1240"/>
      <c r="K1111" s="1240"/>
      <c r="L1111" s="1240"/>
      <c r="M1111" s="1240"/>
      <c r="N1111" s="1240"/>
      <c r="O1111" s="1240"/>
      <c r="P1111" s="1240"/>
      <c r="Q1111" s="1240"/>
      <c r="R1111" s="1240"/>
      <c r="S1111" s="1240"/>
      <c r="T1111" s="1240" t="s">
        <v>173</v>
      </c>
      <c r="U1111" s="1240"/>
      <c r="V1111" s="1240"/>
      <c r="W1111" s="1241"/>
    </row>
    <row r="1112" spans="1:24" s="1242" customFormat="1" ht="21" hidden="1">
      <c r="A1112" s="1243"/>
      <c r="B1112" s="1243"/>
      <c r="C1112" s="1244" t="s">
        <v>701</v>
      </c>
      <c r="D1112" s="1243"/>
      <c r="E1112" s="1243"/>
      <c r="F1112" s="1243"/>
      <c r="G1112" s="1243"/>
      <c r="H1112" s="1245">
        <v>439031.18491560599</v>
      </c>
      <c r="I1112" s="1245">
        <v>437172.81138284999</v>
      </c>
      <c r="J1112" s="1245">
        <v>445627.60341659997</v>
      </c>
      <c r="K1112" s="1245"/>
      <c r="L1112" s="1245"/>
      <c r="M1112" s="1246"/>
      <c r="N1112" s="1245"/>
      <c r="O1112" s="1245"/>
      <c r="P1112" s="1245"/>
      <c r="Q1112" s="1245"/>
      <c r="R1112" s="1216"/>
      <c r="S1112" s="1245"/>
      <c r="T1112" s="1245">
        <f>SUM(H1112:S1112)</f>
        <v>1321831.5997150559</v>
      </c>
      <c r="U1112" s="1245"/>
      <c r="V1112" s="1245"/>
      <c r="W1112" s="1241"/>
    </row>
    <row r="1113" spans="1:24" s="1242" customFormat="1" ht="21" hidden="1">
      <c r="A1113" s="1243"/>
      <c r="B1113" s="1243"/>
      <c r="C1113" s="1244" t="s">
        <v>702</v>
      </c>
      <c r="D1113" s="1243"/>
      <c r="E1113" s="1243"/>
      <c r="F1113" s="1243"/>
      <c r="G1113" s="1243"/>
      <c r="H1113" s="1245">
        <v>264975.56807897281</v>
      </c>
      <c r="I1113" s="1245">
        <v>263498.73594649654</v>
      </c>
      <c r="J1113" s="1245">
        <v>251023.08096468673</v>
      </c>
      <c r="K1113" s="1245"/>
      <c r="L1113" s="1245"/>
      <c r="M1113" s="1246"/>
      <c r="N1113" s="1245"/>
      <c r="O1113" s="1245"/>
      <c r="P1113" s="1245"/>
      <c r="Q1113" s="1245"/>
      <c r="R1113" s="1245"/>
      <c r="S1113" s="1245"/>
      <c r="T1113" s="1245">
        <f t="shared" ref="T1113:T1119" si="374">SUM(H1113:S1113)</f>
        <v>779497.38499015605</v>
      </c>
      <c r="U1113" s="1245"/>
      <c r="V1113" s="1245"/>
      <c r="W1113" s="1241"/>
    </row>
    <row r="1114" spans="1:24" s="1242" customFormat="1" ht="21" hidden="1">
      <c r="A1114" s="1243"/>
      <c r="B1114" s="1243"/>
      <c r="C1114" s="1244" t="s">
        <v>704</v>
      </c>
      <c r="D1114" s="1243"/>
      <c r="E1114" s="1243"/>
      <c r="F1114" s="1243"/>
      <c r="G1114" s="1243"/>
      <c r="H1114" s="1245">
        <v>265833.15164392849</v>
      </c>
      <c r="I1114" s="1245">
        <v>261937.78437037999</v>
      </c>
      <c r="J1114" s="1245">
        <v>253686.92346388989</v>
      </c>
      <c r="K1114" s="1245"/>
      <c r="L1114" s="1245"/>
      <c r="M1114" s="1246"/>
      <c r="N1114" s="1245"/>
      <c r="O1114" s="1245"/>
      <c r="P1114" s="1245"/>
      <c r="Q1114" s="1245"/>
      <c r="R1114" s="1245"/>
      <c r="S1114" s="1245"/>
      <c r="T1114" s="1245">
        <f t="shared" si="374"/>
        <v>781457.85947819834</v>
      </c>
      <c r="U1114" s="1245"/>
      <c r="V1114" s="1245"/>
      <c r="W1114" s="1241"/>
    </row>
    <row r="1115" spans="1:24" s="1242" customFormat="1" ht="21" hidden="1">
      <c r="A1115" s="1243"/>
      <c r="B1115" s="1243"/>
      <c r="C1115" s="1244" t="s">
        <v>705</v>
      </c>
      <c r="D1115" s="1243"/>
      <c r="E1115" s="1243"/>
      <c r="F1115" s="1243"/>
      <c r="G1115" s="1243"/>
      <c r="H1115" s="1245">
        <v>251057.23865757152</v>
      </c>
      <c r="I1115" s="1245">
        <v>260174.76373066235</v>
      </c>
      <c r="J1115" s="1245">
        <v>253393.153410192</v>
      </c>
      <c r="K1115" s="1245"/>
      <c r="L1115" s="1245"/>
      <c r="M1115" s="1246"/>
      <c r="N1115" s="1245"/>
      <c r="O1115" s="1245"/>
      <c r="P1115" s="1245"/>
      <c r="Q1115" s="1245"/>
      <c r="R1115" s="1245"/>
      <c r="S1115" s="1245"/>
      <c r="T1115" s="1245">
        <f t="shared" si="374"/>
        <v>764625.1557984259</v>
      </c>
      <c r="U1115" s="1245"/>
      <c r="V1115" s="1245"/>
      <c r="W1115" s="1241"/>
    </row>
    <row r="1116" spans="1:24" s="1242" customFormat="1" ht="21" hidden="1">
      <c r="A1116" s="1243"/>
      <c r="B1116" s="1243"/>
      <c r="C1116" s="1244" t="s">
        <v>706</v>
      </c>
      <c r="D1116" s="1243"/>
      <c r="E1116" s="1243"/>
      <c r="F1116" s="1243"/>
      <c r="G1116" s="1243"/>
      <c r="H1116" s="1245">
        <v>262091.2107592946</v>
      </c>
      <c r="I1116" s="1245">
        <v>268518.26945309585</v>
      </c>
      <c r="J1116" s="1245">
        <v>234155.59194111612</v>
      </c>
      <c r="K1116" s="1245"/>
      <c r="L1116" s="1245"/>
      <c r="M1116" s="1246"/>
      <c r="N1116" s="1245"/>
      <c r="O1116" s="1245"/>
      <c r="P1116" s="1245"/>
      <c r="Q1116" s="1245"/>
      <c r="R1116" s="1245"/>
      <c r="S1116" s="1245"/>
      <c r="T1116" s="1245">
        <f t="shared" si="374"/>
        <v>764765.07215350657</v>
      </c>
      <c r="U1116" s="1245"/>
      <c r="V1116" s="1245"/>
      <c r="W1116" s="1241"/>
    </row>
    <row r="1117" spans="1:24" s="1242" customFormat="1" ht="21" hidden="1">
      <c r="A1117" s="1243"/>
      <c r="B1117" s="1243"/>
      <c r="C1117" s="1244" t="s">
        <v>707</v>
      </c>
      <c r="D1117" s="1243"/>
      <c r="E1117" s="1243"/>
      <c r="F1117" s="1243"/>
      <c r="G1117" s="1243"/>
      <c r="H1117" s="1245">
        <v>253871.34633385114</v>
      </c>
      <c r="I1117" s="1245">
        <v>196055.36025409406</v>
      </c>
      <c r="J1117" s="1245">
        <v>253147.36188300024</v>
      </c>
      <c r="K1117" s="1245"/>
      <c r="L1117" s="1245"/>
      <c r="M1117" s="1246"/>
      <c r="N1117" s="1245"/>
      <c r="O1117" s="1245"/>
      <c r="P1117" s="1245"/>
      <c r="Q1117" s="1245"/>
      <c r="R1117" s="1245"/>
      <c r="S1117" s="1245"/>
      <c r="T1117" s="1245">
        <f t="shared" si="374"/>
        <v>703074.06847094547</v>
      </c>
      <c r="U1117" s="1245"/>
      <c r="V1117" s="1245"/>
      <c r="W1117" s="1241"/>
    </row>
    <row r="1118" spans="1:24" s="1242" customFormat="1" ht="21" hidden="1">
      <c r="A1118" s="1243"/>
      <c r="B1118" s="1243"/>
      <c r="C1118" s="1244" t="s">
        <v>708</v>
      </c>
      <c r="D1118" s="1243"/>
      <c r="E1118" s="1243"/>
      <c r="F1118" s="1243"/>
      <c r="G1118" s="1243"/>
      <c r="H1118" s="1245">
        <v>274618.53831836767</v>
      </c>
      <c r="I1118" s="1245">
        <v>123657.03039335304</v>
      </c>
      <c r="J1118" s="1245">
        <v>246500.75054949019</v>
      </c>
      <c r="K1118" s="1245"/>
      <c r="L1118" s="1245"/>
      <c r="M1118" s="1246"/>
      <c r="N1118" s="1245"/>
      <c r="O1118" s="1245"/>
      <c r="P1118" s="1245"/>
      <c r="Q1118" s="1245"/>
      <c r="R1118" s="1245"/>
      <c r="S1118" s="1245"/>
      <c r="T1118" s="1245">
        <f t="shared" si="374"/>
        <v>644776.31926121085</v>
      </c>
      <c r="U1118" s="1245"/>
      <c r="V1118" s="1245"/>
      <c r="W1118" s="1241"/>
    </row>
    <row r="1119" spans="1:24" s="1242" customFormat="1" ht="21" hidden="1">
      <c r="A1119" s="1243"/>
      <c r="B1119" s="1243"/>
      <c r="C1119" s="1247" t="s">
        <v>709</v>
      </c>
      <c r="D1119" s="1243" t="s">
        <v>173</v>
      </c>
      <c r="E1119" s="1243"/>
      <c r="F1119" s="1243"/>
      <c r="G1119" s="1243"/>
      <c r="H1119" s="1245">
        <f t="shared" ref="H1119:S1119" si="375">SUM(H1112:H1118)</f>
        <v>2011478.2387075922</v>
      </c>
      <c r="I1119" s="1245">
        <f t="shared" si="375"/>
        <v>1811014.7555309318</v>
      </c>
      <c r="J1119" s="1245">
        <f t="shared" si="375"/>
        <v>1937534.4656289751</v>
      </c>
      <c r="K1119" s="1245">
        <f t="shared" si="375"/>
        <v>0</v>
      </c>
      <c r="L1119" s="1245">
        <f t="shared" si="375"/>
        <v>0</v>
      </c>
      <c r="M1119" s="1245">
        <f t="shared" si="375"/>
        <v>0</v>
      </c>
      <c r="N1119" s="1245">
        <f>SUM(N1112:N1118)</f>
        <v>0</v>
      </c>
      <c r="O1119" s="1245">
        <f t="shared" si="375"/>
        <v>0</v>
      </c>
      <c r="P1119" s="1245">
        <f t="shared" si="375"/>
        <v>0</v>
      </c>
      <c r="Q1119" s="1245">
        <f t="shared" si="375"/>
        <v>0</v>
      </c>
      <c r="R1119" s="1245">
        <f t="shared" si="375"/>
        <v>0</v>
      </c>
      <c r="S1119" s="1245">
        <f t="shared" si="375"/>
        <v>0</v>
      </c>
      <c r="T1119" s="1245">
        <f t="shared" si="374"/>
        <v>5760027.4598674988</v>
      </c>
      <c r="U1119" s="1245"/>
      <c r="V1119" s="1245"/>
      <c r="W1119" s="1241"/>
    </row>
    <row r="1120" spans="1:24" s="1242" customFormat="1" ht="21" hidden="1">
      <c r="A1120" s="1243"/>
      <c r="B1120" s="1243"/>
      <c r="C1120" s="1247" t="s">
        <v>710</v>
      </c>
      <c r="D1120" s="1243" t="s">
        <v>173</v>
      </c>
      <c r="E1120" s="1243"/>
      <c r="F1120" s="1243"/>
      <c r="G1120" s="1243"/>
      <c r="H1120" s="1245">
        <f>H1119</f>
        <v>2011478.2387075922</v>
      </c>
      <c r="I1120" s="1245">
        <f>H1120+I1119</f>
        <v>3822492.9942385238</v>
      </c>
      <c r="J1120" s="1245">
        <f>I1120+J1119</f>
        <v>5760027.4598674988</v>
      </c>
      <c r="K1120" s="1245">
        <f>J1120+K1119</f>
        <v>5760027.4598674988</v>
      </c>
      <c r="L1120" s="1245">
        <f t="shared" ref="L1120:S1120" si="376">K1120+L1119</f>
        <v>5760027.4598674988</v>
      </c>
      <c r="M1120" s="1245">
        <f t="shared" si="376"/>
        <v>5760027.4598674988</v>
      </c>
      <c r="N1120" s="1245">
        <f t="shared" si="376"/>
        <v>5760027.4598674988</v>
      </c>
      <c r="O1120" s="1245">
        <f t="shared" si="376"/>
        <v>5760027.4598674988</v>
      </c>
      <c r="P1120" s="1245">
        <f t="shared" si="376"/>
        <v>5760027.4598674988</v>
      </c>
      <c r="Q1120" s="1245">
        <f t="shared" si="376"/>
        <v>5760027.4598674988</v>
      </c>
      <c r="R1120" s="1245">
        <f t="shared" si="376"/>
        <v>5760027.4598674988</v>
      </c>
      <c r="S1120" s="1245">
        <f t="shared" si="376"/>
        <v>5760027.4598674988</v>
      </c>
      <c r="T1120" s="1245">
        <f>T1119</f>
        <v>5760027.4598674988</v>
      </c>
      <c r="U1120" s="1245"/>
      <c r="V1120" s="1245"/>
      <c r="W1120" s="1241"/>
    </row>
    <row r="1121" spans="1:34" s="1250" customFormat="1" ht="23.25" hidden="1">
      <c r="A1121" s="1196"/>
      <c r="B1121" s="1196"/>
      <c r="C1121" s="1248" t="s">
        <v>711</v>
      </c>
      <c r="D1121" s="1196"/>
      <c r="E1121" s="1200"/>
      <c r="F1121" s="1196"/>
      <c r="G1121" s="1196"/>
      <c r="H1121" s="1198"/>
      <c r="I1121" s="1198"/>
      <c r="J1121" s="1198"/>
      <c r="K1121" s="1198"/>
      <c r="L1121" s="1198"/>
      <c r="M1121" s="1198"/>
      <c r="N1121" s="1198"/>
      <c r="O1121" s="1198"/>
      <c r="P1121" s="1198"/>
      <c r="Q1121" s="1198"/>
      <c r="R1121" s="1198"/>
      <c r="S1121" s="1198"/>
      <c r="T1121" s="1198"/>
      <c r="U1121" s="1198"/>
      <c r="V1121" s="1198"/>
      <c r="W1121" s="1249"/>
    </row>
    <row r="1122" spans="1:34" s="1250" customFormat="1" ht="21" hidden="1">
      <c r="A1122" s="1196"/>
      <c r="B1122" s="1196"/>
      <c r="C1122" s="1251" t="s">
        <v>701</v>
      </c>
      <c r="D1122" s="1196"/>
      <c r="E1122" s="1196"/>
      <c r="F1122" s="1196"/>
      <c r="G1122" s="1196"/>
      <c r="H1122" s="1198"/>
      <c r="I1122" s="1198"/>
      <c r="J1122" s="1198"/>
      <c r="K1122" s="1198"/>
      <c r="L1122" s="1198"/>
      <c r="M1122" s="1252"/>
      <c r="N1122" s="1198"/>
      <c r="O1122" s="1198"/>
      <c r="P1122" s="1198"/>
      <c r="Q1122" s="1198"/>
      <c r="R1122" s="1198"/>
      <c r="S1122" s="1198"/>
      <c r="T1122" s="1198">
        <f>SUM(H1122:S1122)</f>
        <v>0</v>
      </c>
      <c r="U1122" s="1198"/>
      <c r="V1122" s="1198"/>
      <c r="W1122" s="1249"/>
    </row>
    <row r="1123" spans="1:34" s="1250" customFormat="1" ht="21" hidden="1">
      <c r="A1123" s="1196"/>
      <c r="B1123" s="1196"/>
      <c r="C1123" s="1251" t="s">
        <v>702</v>
      </c>
      <c r="D1123" s="1196"/>
      <c r="E1123" s="1196"/>
      <c r="F1123" s="1196"/>
      <c r="G1123" s="1196"/>
      <c r="H1123" s="1198"/>
      <c r="I1123" s="1198"/>
      <c r="J1123" s="1198"/>
      <c r="K1123" s="1198"/>
      <c r="L1123" s="1198"/>
      <c r="M1123" s="1252"/>
      <c r="N1123" s="1198"/>
      <c r="O1123" s="1198"/>
      <c r="P1123" s="1198"/>
      <c r="Q1123" s="1198"/>
      <c r="R1123" s="1198"/>
      <c r="S1123" s="1198"/>
      <c r="T1123" s="1198">
        <f t="shared" ref="T1123:T1130" si="377">SUM(H1123:S1123)</f>
        <v>0</v>
      </c>
      <c r="U1123" s="1198"/>
      <c r="V1123" s="1198"/>
      <c r="W1123" s="1249"/>
    </row>
    <row r="1124" spans="1:34" s="1250" customFormat="1" ht="21" hidden="1">
      <c r="A1124" s="1196"/>
      <c r="B1124" s="1196"/>
      <c r="C1124" s="1251" t="s">
        <v>704</v>
      </c>
      <c r="D1124" s="1196"/>
      <c r="E1124" s="1196"/>
      <c r="F1124" s="1196"/>
      <c r="G1124" s="1196"/>
      <c r="H1124" s="1198"/>
      <c r="I1124" s="1198"/>
      <c r="J1124" s="1198"/>
      <c r="K1124" s="1198"/>
      <c r="L1124" s="1198"/>
      <c r="M1124" s="1252"/>
      <c r="N1124" s="1198"/>
      <c r="O1124" s="1198"/>
      <c r="P1124" s="1198"/>
      <c r="Q1124" s="1198"/>
      <c r="R1124" s="1198"/>
      <c r="S1124" s="1198"/>
      <c r="T1124" s="1198">
        <f t="shared" si="377"/>
        <v>0</v>
      </c>
      <c r="U1124" s="1198"/>
      <c r="V1124" s="1198"/>
      <c r="W1124" s="1249"/>
    </row>
    <row r="1125" spans="1:34" s="1250" customFormat="1" ht="21" hidden="1">
      <c r="A1125" s="1196"/>
      <c r="B1125" s="1196"/>
      <c r="C1125" s="1251" t="s">
        <v>705</v>
      </c>
      <c r="D1125" s="1196"/>
      <c r="E1125" s="1196"/>
      <c r="F1125" s="1196"/>
      <c r="G1125" s="1196"/>
      <c r="H1125" s="1198"/>
      <c r="I1125" s="1198"/>
      <c r="J1125" s="1198"/>
      <c r="K1125" s="1198"/>
      <c r="L1125" s="1198"/>
      <c r="M1125" s="1252"/>
      <c r="N1125" s="1198"/>
      <c r="O1125" s="1198"/>
      <c r="P1125" s="1198"/>
      <c r="Q1125" s="1198"/>
      <c r="R1125" s="1198"/>
      <c r="S1125" s="1198"/>
      <c r="T1125" s="1198">
        <f t="shared" si="377"/>
        <v>0</v>
      </c>
      <c r="U1125" s="1198"/>
      <c r="V1125" s="1198"/>
      <c r="W1125" s="1249"/>
    </row>
    <row r="1126" spans="1:34" s="1250" customFormat="1" ht="21" hidden="1">
      <c r="A1126" s="1196"/>
      <c r="B1126" s="1196"/>
      <c r="C1126" s="1251" t="s">
        <v>706</v>
      </c>
      <c r="D1126" s="1196"/>
      <c r="E1126" s="1196"/>
      <c r="F1126" s="1196"/>
      <c r="G1126" s="1196"/>
      <c r="H1126" s="1198"/>
      <c r="I1126" s="1198"/>
      <c r="J1126" s="1198"/>
      <c r="K1126" s="1198"/>
      <c r="L1126" s="1198"/>
      <c r="M1126" s="1252"/>
      <c r="N1126" s="1198"/>
      <c r="O1126" s="1198"/>
      <c r="P1126" s="1198"/>
      <c r="Q1126" s="1198"/>
      <c r="R1126" s="1198"/>
      <c r="S1126" s="1198"/>
      <c r="T1126" s="1198">
        <f>SUM(H1126:S1126)</f>
        <v>0</v>
      </c>
      <c r="U1126" s="1198"/>
      <c r="V1126" s="1198"/>
      <c r="W1126" s="1249"/>
    </row>
    <row r="1127" spans="1:34" s="1250" customFormat="1" ht="21" hidden="1">
      <c r="A1127" s="1196"/>
      <c r="B1127" s="1196"/>
      <c r="C1127" s="1251" t="s">
        <v>707</v>
      </c>
      <c r="D1127" s="1196"/>
      <c r="E1127" s="1196"/>
      <c r="F1127" s="1196"/>
      <c r="G1127" s="1196"/>
      <c r="H1127" s="1198"/>
      <c r="I1127" s="1198"/>
      <c r="J1127" s="1198"/>
      <c r="K1127" s="1198"/>
      <c r="L1127" s="1198"/>
      <c r="M1127" s="1252"/>
      <c r="N1127" s="1198"/>
      <c r="O1127" s="1198"/>
      <c r="P1127" s="1198"/>
      <c r="Q1127" s="1198"/>
      <c r="R1127" s="1198"/>
      <c r="S1127" s="1198"/>
      <c r="T1127" s="1198">
        <f t="shared" si="377"/>
        <v>0</v>
      </c>
      <c r="U1127" s="1198"/>
      <c r="V1127" s="1198"/>
      <c r="W1127" s="1249"/>
    </row>
    <row r="1128" spans="1:34" s="1250" customFormat="1" ht="21" hidden="1">
      <c r="A1128" s="1196"/>
      <c r="B1128" s="1196"/>
      <c r="C1128" s="1251" t="s">
        <v>708</v>
      </c>
      <c r="D1128" s="1196"/>
      <c r="E1128" s="1196"/>
      <c r="F1128" s="1196"/>
      <c r="G1128" s="1196"/>
      <c r="H1128" s="1198"/>
      <c r="I1128" s="1198"/>
      <c r="J1128" s="1198"/>
      <c r="K1128" s="1198"/>
      <c r="L1128" s="1198"/>
      <c r="M1128" s="1252"/>
      <c r="N1128" s="1198"/>
      <c r="O1128" s="1198"/>
      <c r="P1128" s="1198"/>
      <c r="Q1128" s="1198"/>
      <c r="R1128" s="1198"/>
      <c r="S1128" s="1198"/>
      <c r="T1128" s="1198">
        <f t="shared" si="377"/>
        <v>0</v>
      </c>
      <c r="U1128" s="1198"/>
      <c r="V1128" s="1198"/>
      <c r="W1128" s="1249"/>
    </row>
    <row r="1129" spans="1:34" s="1250" customFormat="1" ht="21" hidden="1">
      <c r="A1129" s="1196"/>
      <c r="B1129" s="1196"/>
      <c r="C1129" s="1253" t="s">
        <v>875</v>
      </c>
      <c r="D1129" s="1196" t="s">
        <v>173</v>
      </c>
      <c r="E1129" s="1196"/>
      <c r="F1129" s="1196"/>
      <c r="G1129" s="1196"/>
      <c r="H1129" s="1198">
        <f t="shared" ref="H1129:S1129" si="378">SUM(H1122:H1128)</f>
        <v>0</v>
      </c>
      <c r="I1129" s="1198">
        <f t="shared" si="378"/>
        <v>0</v>
      </c>
      <c r="J1129" s="1198">
        <f t="shared" si="378"/>
        <v>0</v>
      </c>
      <c r="K1129" s="1198">
        <f t="shared" si="378"/>
        <v>0</v>
      </c>
      <c r="L1129" s="1198">
        <f t="shared" si="378"/>
        <v>0</v>
      </c>
      <c r="M1129" s="1198">
        <f t="shared" si="378"/>
        <v>0</v>
      </c>
      <c r="N1129" s="1198">
        <f t="shared" si="378"/>
        <v>0</v>
      </c>
      <c r="O1129" s="1198">
        <f t="shared" si="378"/>
        <v>0</v>
      </c>
      <c r="P1129" s="1198">
        <f t="shared" si="378"/>
        <v>0</v>
      </c>
      <c r="Q1129" s="1198">
        <f t="shared" si="378"/>
        <v>0</v>
      </c>
      <c r="R1129" s="1198">
        <f t="shared" si="378"/>
        <v>0</v>
      </c>
      <c r="S1129" s="1198">
        <f t="shared" si="378"/>
        <v>0</v>
      </c>
      <c r="T1129" s="1198">
        <f t="shared" si="377"/>
        <v>0</v>
      </c>
      <c r="U1129" s="1198"/>
      <c r="V1129" s="1198"/>
      <c r="W1129" s="1249"/>
    </row>
    <row r="1130" spans="1:34" s="1250" customFormat="1" ht="21" hidden="1">
      <c r="A1130" s="1196"/>
      <c r="B1130" s="1196"/>
      <c r="C1130" s="1253" t="s">
        <v>712</v>
      </c>
      <c r="D1130" s="1196"/>
      <c r="E1130" s="1196"/>
      <c r="F1130" s="1196"/>
      <c r="G1130" s="1196"/>
      <c r="H1130" s="1198">
        <f>H1129</f>
        <v>0</v>
      </c>
      <c r="I1130" s="1198">
        <f>H1130+I1129</f>
        <v>0</v>
      </c>
      <c r="J1130" s="1198">
        <f>I1130+J1129</f>
        <v>0</v>
      </c>
      <c r="K1130" s="1198">
        <f t="shared" ref="K1130:S1130" si="379">J1130+K1129</f>
        <v>0</v>
      </c>
      <c r="L1130" s="1198">
        <f t="shared" si="379"/>
        <v>0</v>
      </c>
      <c r="M1130" s="1198">
        <f t="shared" si="379"/>
        <v>0</v>
      </c>
      <c r="N1130" s="1198">
        <f t="shared" si="379"/>
        <v>0</v>
      </c>
      <c r="O1130" s="1198">
        <f t="shared" si="379"/>
        <v>0</v>
      </c>
      <c r="P1130" s="1198">
        <f t="shared" si="379"/>
        <v>0</v>
      </c>
      <c r="Q1130" s="1198">
        <f t="shared" si="379"/>
        <v>0</v>
      </c>
      <c r="R1130" s="1198">
        <f t="shared" si="379"/>
        <v>0</v>
      </c>
      <c r="S1130" s="1198">
        <f t="shared" si="379"/>
        <v>0</v>
      </c>
      <c r="T1130" s="1216">
        <f t="shared" si="377"/>
        <v>0</v>
      </c>
      <c r="U1130" s="1198"/>
      <c r="V1130" s="1198"/>
      <c r="W1130" s="1249"/>
    </row>
    <row r="1131" spans="1:34" ht="23.25" hidden="1">
      <c r="A1131" s="956"/>
      <c r="B1131" s="956"/>
      <c r="C1131" s="1254" t="s">
        <v>399</v>
      </c>
      <c r="D1131" s="956"/>
      <c r="E1131" s="1172"/>
      <c r="F1131" s="1172"/>
      <c r="G1131" s="956"/>
      <c r="H1131" s="961"/>
      <c r="I1131" s="961"/>
      <c r="J1131" s="961"/>
      <c r="K1131" s="961"/>
      <c r="L1131" s="961"/>
      <c r="M1131" s="961"/>
      <c r="N1131" s="961"/>
      <c r="O1131" s="961"/>
      <c r="P1131" s="961"/>
      <c r="Q1131" s="961"/>
      <c r="R1131" s="961"/>
      <c r="S1131" s="961"/>
      <c r="T1131" s="1029" t="s">
        <v>713</v>
      </c>
      <c r="U1131" s="1029" t="s">
        <v>703</v>
      </c>
      <c r="V1131" s="961"/>
      <c r="W1131" s="936"/>
      <c r="X1131" s="937"/>
      <c r="Y1131" s="937"/>
      <c r="Z1131" s="937"/>
      <c r="AA1131" s="937"/>
      <c r="AB1131" s="937"/>
      <c r="AC1131" s="937"/>
      <c r="AD1131" s="937"/>
      <c r="AE1131" s="937"/>
      <c r="AF1131" s="937"/>
      <c r="AG1131" s="937"/>
      <c r="AH1131" s="937"/>
    </row>
    <row r="1132" spans="1:34" ht="21" hidden="1">
      <c r="A1132" s="956"/>
      <c r="B1132" s="956"/>
      <c r="C1132" s="1204" t="s">
        <v>701</v>
      </c>
      <c r="D1132" s="956"/>
      <c r="E1132" s="956"/>
      <c r="F1132" s="1038"/>
      <c r="G1132" s="956"/>
      <c r="H1132" s="961">
        <v>427441.53555073199</v>
      </c>
      <c r="I1132" s="961">
        <v>404288.60755555</v>
      </c>
      <c r="J1132" s="961">
        <v>434902.61315132427</v>
      </c>
      <c r="K1132" s="961">
        <f t="shared" ref="K1132:T1138" si="380">K1122*$E1132</f>
        <v>0</v>
      </c>
      <c r="L1132" s="961">
        <f t="shared" si="380"/>
        <v>0</v>
      </c>
      <c r="M1132" s="961">
        <f t="shared" si="380"/>
        <v>0</v>
      </c>
      <c r="N1132" s="961">
        <f t="shared" si="380"/>
        <v>0</v>
      </c>
      <c r="O1132" s="961">
        <f t="shared" si="380"/>
        <v>0</v>
      </c>
      <c r="P1132" s="961">
        <f t="shared" si="380"/>
        <v>0</v>
      </c>
      <c r="Q1132" s="961">
        <f t="shared" si="380"/>
        <v>0</v>
      </c>
      <c r="R1132" s="961">
        <f t="shared" si="380"/>
        <v>0</v>
      </c>
      <c r="S1132" s="961">
        <f t="shared" si="380"/>
        <v>0</v>
      </c>
      <c r="T1132" s="961">
        <f t="shared" si="380"/>
        <v>0</v>
      </c>
      <c r="U1132" s="961" t="e">
        <f>T1132*F1132/E1132</f>
        <v>#DIV/0!</v>
      </c>
      <c r="V1132" s="961"/>
      <c r="W1132" s="936" t="e">
        <f t="shared" ref="W1132:AH1138" si="381">H1132*$F1132/$E1132</f>
        <v>#DIV/0!</v>
      </c>
      <c r="X1132" s="936" t="e">
        <f t="shared" ref="X1132:AH1132" si="382">I1132*$F$1132/$E$1132</f>
        <v>#DIV/0!</v>
      </c>
      <c r="Y1132" s="936" t="e">
        <f t="shared" si="382"/>
        <v>#DIV/0!</v>
      </c>
      <c r="Z1132" s="936" t="e">
        <f t="shared" si="382"/>
        <v>#DIV/0!</v>
      </c>
      <c r="AA1132" s="936" t="e">
        <f t="shared" si="382"/>
        <v>#DIV/0!</v>
      </c>
      <c r="AB1132" s="936" t="e">
        <f t="shared" si="382"/>
        <v>#DIV/0!</v>
      </c>
      <c r="AC1132" s="936" t="e">
        <f t="shared" si="382"/>
        <v>#DIV/0!</v>
      </c>
      <c r="AD1132" s="936" t="e">
        <f t="shared" si="382"/>
        <v>#DIV/0!</v>
      </c>
      <c r="AE1132" s="936" t="e">
        <f t="shared" si="382"/>
        <v>#DIV/0!</v>
      </c>
      <c r="AF1132" s="936" t="e">
        <f t="shared" si="382"/>
        <v>#DIV/0!</v>
      </c>
      <c r="AG1132" s="936" t="e">
        <f t="shared" si="382"/>
        <v>#DIV/0!</v>
      </c>
      <c r="AH1132" s="936" t="e">
        <f t="shared" si="382"/>
        <v>#DIV/0!</v>
      </c>
    </row>
    <row r="1133" spans="1:34" ht="21" hidden="1">
      <c r="A1133" s="956"/>
      <c r="B1133" s="956"/>
      <c r="C1133" s="1204" t="s">
        <v>702</v>
      </c>
      <c r="D1133" s="956"/>
      <c r="E1133" s="956"/>
      <c r="F1133" s="1038"/>
      <c r="G1133" s="956"/>
      <c r="H1133" s="961">
        <v>287682.37318278971</v>
      </c>
      <c r="I1133" s="961">
        <v>286840.02876092604</v>
      </c>
      <c r="J1133" s="961">
        <v>256103.70648062532</v>
      </c>
      <c r="K1133" s="961">
        <f t="shared" si="380"/>
        <v>0</v>
      </c>
      <c r="L1133" s="961">
        <f t="shared" si="380"/>
        <v>0</v>
      </c>
      <c r="M1133" s="961">
        <f t="shared" si="380"/>
        <v>0</v>
      </c>
      <c r="N1133" s="961">
        <f t="shared" si="380"/>
        <v>0</v>
      </c>
      <c r="O1133" s="961">
        <f t="shared" si="380"/>
        <v>0</v>
      </c>
      <c r="P1133" s="961">
        <f t="shared" si="380"/>
        <v>0</v>
      </c>
      <c r="Q1133" s="961">
        <f t="shared" si="380"/>
        <v>0</v>
      </c>
      <c r="R1133" s="961">
        <f t="shared" si="380"/>
        <v>0</v>
      </c>
      <c r="S1133" s="961">
        <f t="shared" si="380"/>
        <v>0</v>
      </c>
      <c r="T1133" s="961">
        <f t="shared" si="380"/>
        <v>0</v>
      </c>
      <c r="U1133" s="961" t="e">
        <f t="shared" ref="U1133:U1138" si="383">T1133*F1133/E1133</f>
        <v>#DIV/0!</v>
      </c>
      <c r="V1133" s="961"/>
      <c r="W1133" s="936" t="e">
        <f t="shared" si="381"/>
        <v>#DIV/0!</v>
      </c>
      <c r="X1133" s="936" t="e">
        <f t="shared" si="381"/>
        <v>#DIV/0!</v>
      </c>
      <c r="Y1133" s="936" t="e">
        <f t="shared" si="381"/>
        <v>#DIV/0!</v>
      </c>
      <c r="Z1133" s="936" t="e">
        <f t="shared" si="381"/>
        <v>#DIV/0!</v>
      </c>
      <c r="AA1133" s="936" t="e">
        <f t="shared" si="381"/>
        <v>#DIV/0!</v>
      </c>
      <c r="AB1133" s="936" t="e">
        <f t="shared" si="381"/>
        <v>#DIV/0!</v>
      </c>
      <c r="AC1133" s="936" t="e">
        <f t="shared" si="381"/>
        <v>#DIV/0!</v>
      </c>
      <c r="AD1133" s="936" t="e">
        <f t="shared" si="381"/>
        <v>#DIV/0!</v>
      </c>
      <c r="AE1133" s="936" t="e">
        <f t="shared" si="381"/>
        <v>#DIV/0!</v>
      </c>
      <c r="AF1133" s="936" t="e">
        <f t="shared" si="381"/>
        <v>#DIV/0!</v>
      </c>
      <c r="AG1133" s="936" t="e">
        <f t="shared" si="381"/>
        <v>#DIV/0!</v>
      </c>
      <c r="AH1133" s="936" t="e">
        <f t="shared" si="381"/>
        <v>#DIV/0!</v>
      </c>
    </row>
    <row r="1134" spans="1:34" ht="21" hidden="1">
      <c r="A1134" s="956"/>
      <c r="B1134" s="956"/>
      <c r="C1134" s="1204" t="s">
        <v>704</v>
      </c>
      <c r="D1134" s="956"/>
      <c r="E1134" s="956"/>
      <c r="F1134" s="1038"/>
      <c r="G1134" s="956"/>
      <c r="H1134" s="961">
        <v>292153.74304148933</v>
      </c>
      <c r="I1134" s="961">
        <v>284805.30092245445</v>
      </c>
      <c r="J1134" s="961">
        <v>257749.51085976357</v>
      </c>
      <c r="K1134" s="961">
        <f t="shared" si="380"/>
        <v>0</v>
      </c>
      <c r="L1134" s="961">
        <f t="shared" si="380"/>
        <v>0</v>
      </c>
      <c r="M1134" s="961">
        <f t="shared" si="380"/>
        <v>0</v>
      </c>
      <c r="N1134" s="961">
        <f t="shared" si="380"/>
        <v>0</v>
      </c>
      <c r="O1134" s="961">
        <f t="shared" si="380"/>
        <v>0</v>
      </c>
      <c r="P1134" s="961">
        <f t="shared" si="380"/>
        <v>0</v>
      </c>
      <c r="Q1134" s="961">
        <f t="shared" si="380"/>
        <v>0</v>
      </c>
      <c r="R1134" s="961">
        <f t="shared" si="380"/>
        <v>0</v>
      </c>
      <c r="S1134" s="961">
        <f t="shared" si="380"/>
        <v>0</v>
      </c>
      <c r="T1134" s="961">
        <f t="shared" si="380"/>
        <v>0</v>
      </c>
      <c r="U1134" s="961" t="e">
        <f t="shared" si="383"/>
        <v>#DIV/0!</v>
      </c>
      <c r="V1134" s="961"/>
      <c r="W1134" s="936" t="e">
        <f t="shared" si="381"/>
        <v>#DIV/0!</v>
      </c>
      <c r="X1134" s="936" t="e">
        <f t="shared" si="381"/>
        <v>#DIV/0!</v>
      </c>
      <c r="Y1134" s="936" t="e">
        <f t="shared" si="381"/>
        <v>#DIV/0!</v>
      </c>
      <c r="Z1134" s="936" t="e">
        <f t="shared" si="381"/>
        <v>#DIV/0!</v>
      </c>
      <c r="AA1134" s="936" t="e">
        <f t="shared" si="381"/>
        <v>#DIV/0!</v>
      </c>
      <c r="AB1134" s="936" t="e">
        <f t="shared" si="381"/>
        <v>#DIV/0!</v>
      </c>
      <c r="AC1134" s="936" t="e">
        <f t="shared" si="381"/>
        <v>#DIV/0!</v>
      </c>
      <c r="AD1134" s="936" t="e">
        <f t="shared" si="381"/>
        <v>#DIV/0!</v>
      </c>
      <c r="AE1134" s="936" t="e">
        <f t="shared" si="381"/>
        <v>#DIV/0!</v>
      </c>
      <c r="AF1134" s="936" t="e">
        <f t="shared" si="381"/>
        <v>#DIV/0!</v>
      </c>
      <c r="AG1134" s="936" t="e">
        <f t="shared" si="381"/>
        <v>#DIV/0!</v>
      </c>
      <c r="AH1134" s="936" t="e">
        <f t="shared" si="381"/>
        <v>#DIV/0!</v>
      </c>
    </row>
    <row r="1135" spans="1:34" ht="21" hidden="1">
      <c r="A1135" s="956"/>
      <c r="B1135" s="956"/>
      <c r="C1135" s="1204" t="s">
        <v>705</v>
      </c>
      <c r="D1135" s="956"/>
      <c r="E1135" s="956"/>
      <c r="F1135" s="1038"/>
      <c r="G1135" s="956"/>
      <c r="H1135" s="961">
        <v>271257.04730442935</v>
      </c>
      <c r="I1135" s="961">
        <v>283702.99495318509</v>
      </c>
      <c r="J1135" s="961">
        <v>257935.81703627045</v>
      </c>
      <c r="K1135" s="961">
        <f t="shared" si="380"/>
        <v>0</v>
      </c>
      <c r="L1135" s="961">
        <f t="shared" si="380"/>
        <v>0</v>
      </c>
      <c r="M1135" s="961">
        <f t="shared" si="380"/>
        <v>0</v>
      </c>
      <c r="N1135" s="961">
        <f t="shared" si="380"/>
        <v>0</v>
      </c>
      <c r="O1135" s="961">
        <f t="shared" si="380"/>
        <v>0</v>
      </c>
      <c r="P1135" s="961">
        <f t="shared" si="380"/>
        <v>0</v>
      </c>
      <c r="Q1135" s="961">
        <f t="shared" si="380"/>
        <v>0</v>
      </c>
      <c r="R1135" s="961">
        <f t="shared" si="380"/>
        <v>0</v>
      </c>
      <c r="S1135" s="961">
        <f t="shared" si="380"/>
        <v>0</v>
      </c>
      <c r="T1135" s="961">
        <f t="shared" si="380"/>
        <v>0</v>
      </c>
      <c r="U1135" s="961" t="e">
        <f t="shared" si="383"/>
        <v>#DIV/0!</v>
      </c>
      <c r="V1135" s="961"/>
      <c r="W1135" s="936" t="e">
        <f t="shared" si="381"/>
        <v>#DIV/0!</v>
      </c>
      <c r="X1135" s="936" t="e">
        <f t="shared" si="381"/>
        <v>#DIV/0!</v>
      </c>
      <c r="Y1135" s="936" t="e">
        <f t="shared" si="381"/>
        <v>#DIV/0!</v>
      </c>
      <c r="Z1135" s="936" t="e">
        <f t="shared" si="381"/>
        <v>#DIV/0!</v>
      </c>
      <c r="AA1135" s="936" t="e">
        <f t="shared" si="381"/>
        <v>#DIV/0!</v>
      </c>
      <c r="AB1135" s="936" t="e">
        <f t="shared" si="381"/>
        <v>#DIV/0!</v>
      </c>
      <c r="AC1135" s="936" t="e">
        <f t="shared" si="381"/>
        <v>#DIV/0!</v>
      </c>
      <c r="AD1135" s="936" t="e">
        <f t="shared" si="381"/>
        <v>#DIV/0!</v>
      </c>
      <c r="AE1135" s="936" t="e">
        <f t="shared" si="381"/>
        <v>#DIV/0!</v>
      </c>
      <c r="AF1135" s="936" t="e">
        <f t="shared" si="381"/>
        <v>#DIV/0!</v>
      </c>
      <c r="AG1135" s="936" t="e">
        <f t="shared" si="381"/>
        <v>#DIV/0!</v>
      </c>
      <c r="AH1135" s="936" t="e">
        <f t="shared" si="381"/>
        <v>#DIV/0!</v>
      </c>
    </row>
    <row r="1136" spans="1:34" ht="21" hidden="1">
      <c r="A1136" s="956"/>
      <c r="B1136" s="956"/>
      <c r="C1136" s="1204" t="s">
        <v>706</v>
      </c>
      <c r="D1136" s="956"/>
      <c r="E1136" s="956"/>
      <c r="F1136" s="1038"/>
      <c r="G1136" s="956"/>
      <c r="H1136" s="961">
        <v>277402.65849559999</v>
      </c>
      <c r="I1136" s="961">
        <v>284071.90901240148</v>
      </c>
      <c r="J1136" s="961">
        <v>241993.71808641712</v>
      </c>
      <c r="K1136" s="961">
        <f t="shared" si="380"/>
        <v>0</v>
      </c>
      <c r="L1136" s="961">
        <f t="shared" si="380"/>
        <v>0</v>
      </c>
      <c r="M1136" s="961">
        <f t="shared" si="380"/>
        <v>0</v>
      </c>
      <c r="N1136" s="961">
        <f t="shared" si="380"/>
        <v>0</v>
      </c>
      <c r="O1136" s="961">
        <f t="shared" si="380"/>
        <v>0</v>
      </c>
      <c r="P1136" s="961">
        <f t="shared" si="380"/>
        <v>0</v>
      </c>
      <c r="Q1136" s="961">
        <f t="shared" si="380"/>
        <v>0</v>
      </c>
      <c r="R1136" s="961">
        <f t="shared" si="380"/>
        <v>0</v>
      </c>
      <c r="S1136" s="961">
        <f t="shared" si="380"/>
        <v>0</v>
      </c>
      <c r="T1136" s="961">
        <f t="shared" si="380"/>
        <v>0</v>
      </c>
      <c r="U1136" s="961" t="e">
        <f t="shared" si="383"/>
        <v>#DIV/0!</v>
      </c>
      <c r="V1136" s="961"/>
      <c r="W1136" s="936" t="e">
        <f t="shared" si="381"/>
        <v>#DIV/0!</v>
      </c>
      <c r="X1136" s="936" t="e">
        <f t="shared" si="381"/>
        <v>#DIV/0!</v>
      </c>
      <c r="Y1136" s="936" t="e">
        <f t="shared" si="381"/>
        <v>#DIV/0!</v>
      </c>
      <c r="Z1136" s="936" t="e">
        <f t="shared" si="381"/>
        <v>#DIV/0!</v>
      </c>
      <c r="AA1136" s="936" t="e">
        <f t="shared" si="381"/>
        <v>#DIV/0!</v>
      </c>
      <c r="AB1136" s="936" t="e">
        <f t="shared" si="381"/>
        <v>#DIV/0!</v>
      </c>
      <c r="AC1136" s="936" t="e">
        <f t="shared" si="381"/>
        <v>#DIV/0!</v>
      </c>
      <c r="AD1136" s="936" t="e">
        <f t="shared" si="381"/>
        <v>#DIV/0!</v>
      </c>
      <c r="AE1136" s="936" t="e">
        <f t="shared" si="381"/>
        <v>#DIV/0!</v>
      </c>
      <c r="AF1136" s="936" t="e">
        <f t="shared" si="381"/>
        <v>#DIV/0!</v>
      </c>
      <c r="AG1136" s="936" t="e">
        <f t="shared" si="381"/>
        <v>#DIV/0!</v>
      </c>
      <c r="AH1136" s="936" t="e">
        <f t="shared" si="381"/>
        <v>#DIV/0!</v>
      </c>
    </row>
    <row r="1137" spans="1:34" ht="21" hidden="1">
      <c r="A1137" s="956"/>
      <c r="B1137" s="956"/>
      <c r="C1137" s="1204" t="s">
        <v>707</v>
      </c>
      <c r="D1137" s="956"/>
      <c r="E1137" s="956"/>
      <c r="F1137" s="1038"/>
      <c r="G1137" s="956"/>
      <c r="H1137" s="961">
        <v>277321.98671419552</v>
      </c>
      <c r="I1137" s="961">
        <v>214428.90139872217</v>
      </c>
      <c r="J1137" s="961">
        <v>256979.11409563455</v>
      </c>
      <c r="K1137" s="961">
        <f t="shared" si="380"/>
        <v>0</v>
      </c>
      <c r="L1137" s="961">
        <f t="shared" si="380"/>
        <v>0</v>
      </c>
      <c r="M1137" s="961">
        <f t="shared" si="380"/>
        <v>0</v>
      </c>
      <c r="N1137" s="961">
        <f t="shared" si="380"/>
        <v>0</v>
      </c>
      <c r="O1137" s="961">
        <f t="shared" si="380"/>
        <v>0</v>
      </c>
      <c r="P1137" s="961">
        <f t="shared" si="380"/>
        <v>0</v>
      </c>
      <c r="Q1137" s="961">
        <f t="shared" si="380"/>
        <v>0</v>
      </c>
      <c r="R1137" s="961">
        <f>R1127*$E1137</f>
        <v>0</v>
      </c>
      <c r="S1137" s="961">
        <f t="shared" si="380"/>
        <v>0</v>
      </c>
      <c r="T1137" s="961">
        <f t="shared" si="380"/>
        <v>0</v>
      </c>
      <c r="U1137" s="961" t="e">
        <f t="shared" si="383"/>
        <v>#DIV/0!</v>
      </c>
      <c r="V1137" s="961"/>
      <c r="W1137" s="936" t="e">
        <f t="shared" si="381"/>
        <v>#DIV/0!</v>
      </c>
      <c r="X1137" s="936" t="e">
        <f t="shared" si="381"/>
        <v>#DIV/0!</v>
      </c>
      <c r="Y1137" s="936" t="e">
        <f t="shared" si="381"/>
        <v>#DIV/0!</v>
      </c>
      <c r="Z1137" s="936" t="e">
        <f t="shared" si="381"/>
        <v>#DIV/0!</v>
      </c>
      <c r="AA1137" s="936" t="e">
        <f t="shared" si="381"/>
        <v>#DIV/0!</v>
      </c>
      <c r="AB1137" s="936" t="e">
        <f t="shared" si="381"/>
        <v>#DIV/0!</v>
      </c>
      <c r="AC1137" s="936" t="e">
        <f t="shared" si="381"/>
        <v>#DIV/0!</v>
      </c>
      <c r="AD1137" s="936" t="e">
        <f t="shared" si="381"/>
        <v>#DIV/0!</v>
      </c>
      <c r="AE1137" s="936" t="e">
        <f t="shared" si="381"/>
        <v>#DIV/0!</v>
      </c>
      <c r="AF1137" s="936" t="e">
        <f t="shared" si="381"/>
        <v>#DIV/0!</v>
      </c>
      <c r="AG1137" s="936" t="e">
        <f t="shared" si="381"/>
        <v>#DIV/0!</v>
      </c>
      <c r="AH1137" s="936" t="e">
        <f t="shared" si="381"/>
        <v>#DIV/0!</v>
      </c>
    </row>
    <row r="1138" spans="1:34" ht="21" hidden="1">
      <c r="A1138" s="956"/>
      <c r="B1138" s="956"/>
      <c r="C1138" s="1204" t="s">
        <v>708</v>
      </c>
      <c r="D1138" s="956"/>
      <c r="E1138" s="956"/>
      <c r="F1138" s="1038"/>
      <c r="G1138" s="956"/>
      <c r="H1138" s="961">
        <v>298247.31612894079</v>
      </c>
      <c r="I1138" s="961">
        <v>134515.22883956513</v>
      </c>
      <c r="J1138" s="961">
        <v>253967.51445427473</v>
      </c>
      <c r="K1138" s="961">
        <f t="shared" si="380"/>
        <v>0</v>
      </c>
      <c r="L1138" s="961">
        <f t="shared" si="380"/>
        <v>0</v>
      </c>
      <c r="M1138" s="961">
        <f t="shared" si="380"/>
        <v>0</v>
      </c>
      <c r="N1138" s="961">
        <f t="shared" si="380"/>
        <v>0</v>
      </c>
      <c r="O1138" s="961">
        <f t="shared" si="380"/>
        <v>0</v>
      </c>
      <c r="P1138" s="961">
        <f t="shared" si="380"/>
        <v>0</v>
      </c>
      <c r="Q1138" s="961">
        <f>Q1128*$E1138</f>
        <v>0</v>
      </c>
      <c r="R1138" s="961">
        <f>R1128*$E1138</f>
        <v>0</v>
      </c>
      <c r="S1138" s="961">
        <f t="shared" si="380"/>
        <v>0</v>
      </c>
      <c r="T1138" s="961">
        <f t="shared" si="380"/>
        <v>0</v>
      </c>
      <c r="U1138" s="961" t="e">
        <f t="shared" si="383"/>
        <v>#DIV/0!</v>
      </c>
      <c r="V1138" s="961"/>
      <c r="W1138" s="936" t="e">
        <f t="shared" si="381"/>
        <v>#DIV/0!</v>
      </c>
      <c r="X1138" s="936" t="e">
        <f t="shared" si="381"/>
        <v>#DIV/0!</v>
      </c>
      <c r="Y1138" s="936" t="e">
        <f t="shared" si="381"/>
        <v>#DIV/0!</v>
      </c>
      <c r="Z1138" s="936" t="e">
        <f t="shared" si="381"/>
        <v>#DIV/0!</v>
      </c>
      <c r="AA1138" s="936" t="e">
        <f t="shared" si="381"/>
        <v>#DIV/0!</v>
      </c>
      <c r="AB1138" s="936" t="e">
        <f t="shared" si="381"/>
        <v>#DIV/0!</v>
      </c>
      <c r="AC1138" s="936" t="e">
        <f t="shared" si="381"/>
        <v>#DIV/0!</v>
      </c>
      <c r="AD1138" s="936" t="e">
        <f t="shared" si="381"/>
        <v>#DIV/0!</v>
      </c>
      <c r="AE1138" s="936" t="e">
        <f t="shared" si="381"/>
        <v>#DIV/0!</v>
      </c>
      <c r="AF1138" s="936" t="e">
        <f t="shared" si="381"/>
        <v>#DIV/0!</v>
      </c>
      <c r="AG1138" s="936" t="e">
        <f t="shared" si="381"/>
        <v>#DIV/0!</v>
      </c>
      <c r="AH1138" s="936" t="e">
        <f t="shared" si="381"/>
        <v>#DIV/0!</v>
      </c>
    </row>
    <row r="1139" spans="1:34" ht="21" hidden="1">
      <c r="A1139" s="956"/>
      <c r="B1139" s="956"/>
      <c r="C1139" s="1204" t="s">
        <v>714</v>
      </c>
      <c r="D1139" s="956" t="s">
        <v>173</v>
      </c>
      <c r="E1139" s="956"/>
      <c r="F1139" s="956"/>
      <c r="G1139" s="956"/>
      <c r="H1139" s="961">
        <f>SUM(H1132:H1138)</f>
        <v>2131506.6604181766</v>
      </c>
      <c r="I1139" s="961">
        <f>SUM(I1132:I1138)</f>
        <v>1892652.9714428042</v>
      </c>
      <c r="J1139" s="961">
        <f t="shared" ref="J1139:S1139" si="384">SUM(J1132:J1138)</f>
        <v>1959631.9941643099</v>
      </c>
      <c r="K1139" s="961">
        <f t="shared" si="384"/>
        <v>0</v>
      </c>
      <c r="L1139" s="961">
        <f t="shared" si="384"/>
        <v>0</v>
      </c>
      <c r="M1139" s="961">
        <f t="shared" si="384"/>
        <v>0</v>
      </c>
      <c r="N1139" s="961">
        <f t="shared" si="384"/>
        <v>0</v>
      </c>
      <c r="O1139" s="961">
        <f t="shared" si="384"/>
        <v>0</v>
      </c>
      <c r="P1139" s="961">
        <f t="shared" si="384"/>
        <v>0</v>
      </c>
      <c r="Q1139" s="961">
        <f t="shared" si="384"/>
        <v>0</v>
      </c>
      <c r="R1139" s="961">
        <f t="shared" si="384"/>
        <v>0</v>
      </c>
      <c r="S1139" s="961">
        <f t="shared" si="384"/>
        <v>0</v>
      </c>
      <c r="T1139" s="961">
        <f>SUM(T1132:T1138)</f>
        <v>0</v>
      </c>
      <c r="U1139" s="961" t="e">
        <f>SUM(U1132:U1138)</f>
        <v>#DIV/0!</v>
      </c>
      <c r="V1139" s="961"/>
      <c r="W1139" s="936"/>
      <c r="X1139" s="937"/>
      <c r="Y1139" s="937"/>
      <c r="Z1139" s="937"/>
      <c r="AA1139" s="937"/>
      <c r="AB1139" s="937"/>
      <c r="AC1139" s="937"/>
      <c r="AD1139" s="937"/>
      <c r="AE1139" s="937"/>
      <c r="AF1139" s="937"/>
      <c r="AG1139" s="937"/>
      <c r="AH1139" s="937"/>
    </row>
    <row r="1140" spans="1:34" ht="21" hidden="1">
      <c r="A1140" s="956"/>
      <c r="B1140" s="956"/>
      <c r="C1140" s="1204" t="s">
        <v>715</v>
      </c>
      <c r="D1140" s="956"/>
      <c r="E1140" s="956"/>
      <c r="F1140" s="956"/>
      <c r="G1140" s="956"/>
      <c r="H1140" s="961">
        <f>H1139</f>
        <v>2131506.6604181766</v>
      </c>
      <c r="I1140" s="961">
        <f>H1140+I1139</f>
        <v>4024159.6318609808</v>
      </c>
      <c r="J1140" s="961">
        <f>I1140+J1139</f>
        <v>5983791.6260252912</v>
      </c>
      <c r="K1140" s="961">
        <f t="shared" ref="K1140:S1140" si="385">J1140+K1139</f>
        <v>5983791.6260252912</v>
      </c>
      <c r="L1140" s="961">
        <f t="shared" si="385"/>
        <v>5983791.6260252912</v>
      </c>
      <c r="M1140" s="961">
        <f t="shared" si="385"/>
        <v>5983791.6260252912</v>
      </c>
      <c r="N1140" s="961">
        <f t="shared" si="385"/>
        <v>5983791.6260252912</v>
      </c>
      <c r="O1140" s="961">
        <f t="shared" si="385"/>
        <v>5983791.6260252912</v>
      </c>
      <c r="P1140" s="961">
        <f t="shared" si="385"/>
        <v>5983791.6260252912</v>
      </c>
      <c r="Q1140" s="961">
        <f t="shared" si="385"/>
        <v>5983791.6260252912</v>
      </c>
      <c r="R1140" s="961">
        <f t="shared" si="385"/>
        <v>5983791.6260252912</v>
      </c>
      <c r="S1140" s="961">
        <f t="shared" si="385"/>
        <v>5983791.6260252912</v>
      </c>
      <c r="T1140" s="961">
        <f>T1139</f>
        <v>0</v>
      </c>
      <c r="U1140" s="961"/>
      <c r="V1140" s="961"/>
      <c r="W1140" s="936"/>
      <c r="X1140" s="937"/>
      <c r="Y1140" s="937"/>
      <c r="Z1140" s="937"/>
      <c r="AA1140" s="937"/>
      <c r="AB1140" s="937"/>
      <c r="AC1140" s="937"/>
      <c r="AD1140" s="937"/>
      <c r="AE1140" s="937"/>
      <c r="AF1140" s="937"/>
      <c r="AG1140" s="937"/>
      <c r="AH1140" s="937"/>
    </row>
    <row r="1141" spans="1:34" s="1242" customFormat="1" ht="21" hidden="1">
      <c r="A1141" s="1243"/>
      <c r="B1141" s="1243"/>
      <c r="C1141" s="1255" t="s">
        <v>174</v>
      </c>
      <c r="D1141" s="1243"/>
      <c r="E1141" s="1243"/>
      <c r="F1141" s="1243"/>
      <c r="G1141" s="1243"/>
      <c r="H1141" s="1245"/>
      <c r="I1141" s="1245"/>
      <c r="J1141" s="1245"/>
      <c r="K1141" s="1245"/>
      <c r="L1141" s="1245"/>
      <c r="M1141" s="1245"/>
      <c r="N1141" s="1245"/>
      <c r="O1141" s="1245"/>
      <c r="P1141" s="1245"/>
      <c r="Q1141" s="1245"/>
      <c r="R1141" s="1245"/>
      <c r="S1141" s="1245"/>
      <c r="T1141" s="1245"/>
      <c r="U1141" s="1245"/>
      <c r="V1141" s="1245"/>
      <c r="W1141" s="1241"/>
    </row>
    <row r="1142" spans="1:34" s="1242" customFormat="1" ht="21" hidden="1">
      <c r="A1142" s="1243"/>
      <c r="B1142" s="1243"/>
      <c r="C1142" s="1256" t="s">
        <v>701</v>
      </c>
      <c r="D1142" s="1243"/>
      <c r="E1142" s="1243"/>
      <c r="F1142" s="1243"/>
      <c r="G1142" s="1243"/>
      <c r="H1142" s="1257" t="e">
        <f>H1112/H1122</f>
        <v>#DIV/0!</v>
      </c>
      <c r="I1142" s="1257" t="e">
        <f t="shared" ref="I1142:S1142" si="386">I1112/I1122</f>
        <v>#DIV/0!</v>
      </c>
      <c r="J1142" s="1257" t="e">
        <f>J1112/J1122</f>
        <v>#DIV/0!</v>
      </c>
      <c r="K1142" s="1257" t="e">
        <f t="shared" si="386"/>
        <v>#DIV/0!</v>
      </c>
      <c r="L1142" s="1257" t="e">
        <f t="shared" si="386"/>
        <v>#DIV/0!</v>
      </c>
      <c r="M1142" s="1257" t="e">
        <f t="shared" si="386"/>
        <v>#DIV/0!</v>
      </c>
      <c r="N1142" s="1257" t="e">
        <f t="shared" si="386"/>
        <v>#DIV/0!</v>
      </c>
      <c r="O1142" s="1257" t="e">
        <f t="shared" si="386"/>
        <v>#DIV/0!</v>
      </c>
      <c r="P1142" s="1257" t="e">
        <f t="shared" si="386"/>
        <v>#DIV/0!</v>
      </c>
      <c r="Q1142" s="1257" t="e">
        <f t="shared" si="386"/>
        <v>#DIV/0!</v>
      </c>
      <c r="R1142" s="1257" t="e">
        <f t="shared" si="386"/>
        <v>#DIV/0!</v>
      </c>
      <c r="S1142" s="1257" t="e">
        <f t="shared" si="386"/>
        <v>#DIV/0!</v>
      </c>
      <c r="T1142" s="1257" t="e">
        <f>T1112/T1122</f>
        <v>#DIV/0!</v>
      </c>
      <c r="U1142" s="1245"/>
      <c r="V1142" s="1245"/>
      <c r="W1142" s="1241"/>
    </row>
    <row r="1143" spans="1:34" s="1242" customFormat="1" ht="21" hidden="1">
      <c r="A1143" s="1243"/>
      <c r="B1143" s="1243"/>
      <c r="C1143" s="1256" t="s">
        <v>702</v>
      </c>
      <c r="D1143" s="1243"/>
      <c r="E1143" s="1243"/>
      <c r="F1143" s="1243"/>
      <c r="G1143" s="1243"/>
      <c r="H1143" s="1257" t="e">
        <f t="shared" ref="H1143:T1148" si="387">H1113/H1123</f>
        <v>#DIV/0!</v>
      </c>
      <c r="I1143" s="1257" t="e">
        <f t="shared" si="387"/>
        <v>#DIV/0!</v>
      </c>
      <c r="J1143" s="1257" t="e">
        <f t="shared" si="387"/>
        <v>#DIV/0!</v>
      </c>
      <c r="K1143" s="1257" t="e">
        <f t="shared" si="387"/>
        <v>#DIV/0!</v>
      </c>
      <c r="L1143" s="1257" t="e">
        <f t="shared" si="387"/>
        <v>#DIV/0!</v>
      </c>
      <c r="M1143" s="1257" t="e">
        <f t="shared" si="387"/>
        <v>#DIV/0!</v>
      </c>
      <c r="N1143" s="1257" t="e">
        <f t="shared" si="387"/>
        <v>#DIV/0!</v>
      </c>
      <c r="O1143" s="1257" t="e">
        <f t="shared" si="387"/>
        <v>#DIV/0!</v>
      </c>
      <c r="P1143" s="1257" t="e">
        <f t="shared" si="387"/>
        <v>#DIV/0!</v>
      </c>
      <c r="Q1143" s="1257" t="e">
        <f t="shared" si="387"/>
        <v>#DIV/0!</v>
      </c>
      <c r="R1143" s="1257" t="e">
        <f t="shared" si="387"/>
        <v>#DIV/0!</v>
      </c>
      <c r="S1143" s="1257" t="e">
        <f t="shared" si="387"/>
        <v>#DIV/0!</v>
      </c>
      <c r="T1143" s="1257" t="e">
        <f t="shared" si="387"/>
        <v>#DIV/0!</v>
      </c>
      <c r="U1143" s="1245"/>
      <c r="V1143" s="1245"/>
      <c r="W1143" s="1241"/>
    </row>
    <row r="1144" spans="1:34" s="1242" customFormat="1" ht="21" hidden="1">
      <c r="A1144" s="1243"/>
      <c r="B1144" s="1243"/>
      <c r="C1144" s="1256" t="s">
        <v>704</v>
      </c>
      <c r="D1144" s="1243"/>
      <c r="E1144" s="1243"/>
      <c r="F1144" s="1243"/>
      <c r="G1144" s="1243"/>
      <c r="H1144" s="1257" t="e">
        <f t="shared" si="387"/>
        <v>#DIV/0!</v>
      </c>
      <c r="I1144" s="1257" t="e">
        <f t="shared" si="387"/>
        <v>#DIV/0!</v>
      </c>
      <c r="J1144" s="1257" t="e">
        <f t="shared" si="387"/>
        <v>#DIV/0!</v>
      </c>
      <c r="K1144" s="1257" t="e">
        <f t="shared" si="387"/>
        <v>#DIV/0!</v>
      </c>
      <c r="L1144" s="1257" t="e">
        <f t="shared" si="387"/>
        <v>#DIV/0!</v>
      </c>
      <c r="M1144" s="1257" t="e">
        <f t="shared" si="387"/>
        <v>#DIV/0!</v>
      </c>
      <c r="N1144" s="1257" t="e">
        <f t="shared" si="387"/>
        <v>#DIV/0!</v>
      </c>
      <c r="O1144" s="1257" t="e">
        <f t="shared" si="387"/>
        <v>#DIV/0!</v>
      </c>
      <c r="P1144" s="1257" t="e">
        <f t="shared" si="387"/>
        <v>#DIV/0!</v>
      </c>
      <c r="Q1144" s="1257" t="e">
        <f t="shared" si="387"/>
        <v>#DIV/0!</v>
      </c>
      <c r="R1144" s="1257" t="e">
        <f t="shared" si="387"/>
        <v>#DIV/0!</v>
      </c>
      <c r="S1144" s="1257" t="e">
        <f t="shared" si="387"/>
        <v>#DIV/0!</v>
      </c>
      <c r="T1144" s="1257" t="e">
        <f t="shared" si="387"/>
        <v>#DIV/0!</v>
      </c>
      <c r="U1144" s="1245"/>
      <c r="V1144" s="1245"/>
      <c r="W1144" s="1241"/>
    </row>
    <row r="1145" spans="1:34" s="1242" customFormat="1" ht="21" hidden="1">
      <c r="A1145" s="1243"/>
      <c r="B1145" s="1243"/>
      <c r="C1145" s="1256" t="s">
        <v>705</v>
      </c>
      <c r="D1145" s="1243"/>
      <c r="E1145" s="1243"/>
      <c r="F1145" s="1243"/>
      <c r="G1145" s="1243"/>
      <c r="H1145" s="1257" t="e">
        <f>H1115/H1125</f>
        <v>#DIV/0!</v>
      </c>
      <c r="I1145" s="1257" t="e">
        <f t="shared" si="387"/>
        <v>#DIV/0!</v>
      </c>
      <c r="J1145" s="1257" t="e">
        <f t="shared" si="387"/>
        <v>#DIV/0!</v>
      </c>
      <c r="K1145" s="1257" t="e">
        <f t="shared" si="387"/>
        <v>#DIV/0!</v>
      </c>
      <c r="L1145" s="1257" t="e">
        <f t="shared" si="387"/>
        <v>#DIV/0!</v>
      </c>
      <c r="M1145" s="1257" t="e">
        <f t="shared" si="387"/>
        <v>#DIV/0!</v>
      </c>
      <c r="N1145" s="1257" t="e">
        <f t="shared" si="387"/>
        <v>#DIV/0!</v>
      </c>
      <c r="O1145" s="1257" t="e">
        <f t="shared" si="387"/>
        <v>#DIV/0!</v>
      </c>
      <c r="P1145" s="1257" t="e">
        <f t="shared" si="387"/>
        <v>#DIV/0!</v>
      </c>
      <c r="Q1145" s="1257" t="e">
        <f t="shared" si="387"/>
        <v>#DIV/0!</v>
      </c>
      <c r="R1145" s="1257" t="e">
        <f t="shared" si="387"/>
        <v>#DIV/0!</v>
      </c>
      <c r="S1145" s="1257" t="e">
        <f t="shared" si="387"/>
        <v>#DIV/0!</v>
      </c>
      <c r="T1145" s="1257" t="e">
        <f t="shared" si="387"/>
        <v>#DIV/0!</v>
      </c>
      <c r="U1145" s="1245"/>
      <c r="V1145" s="1245"/>
      <c r="W1145" s="1241"/>
    </row>
    <row r="1146" spans="1:34" s="1242" customFormat="1" ht="21" hidden="1">
      <c r="A1146" s="1243"/>
      <c r="B1146" s="1243"/>
      <c r="C1146" s="1256" t="s">
        <v>706</v>
      </c>
      <c r="D1146" s="1243"/>
      <c r="E1146" s="1243"/>
      <c r="F1146" s="1243"/>
      <c r="G1146" s="1243"/>
      <c r="H1146" s="1257" t="e">
        <f>H1116/H1126</f>
        <v>#DIV/0!</v>
      </c>
      <c r="I1146" s="1257" t="e">
        <f t="shared" si="387"/>
        <v>#DIV/0!</v>
      </c>
      <c r="J1146" s="1257" t="e">
        <f t="shared" si="387"/>
        <v>#DIV/0!</v>
      </c>
      <c r="K1146" s="1257" t="e">
        <f t="shared" si="387"/>
        <v>#DIV/0!</v>
      </c>
      <c r="L1146" s="1257" t="e">
        <f t="shared" si="387"/>
        <v>#DIV/0!</v>
      </c>
      <c r="M1146" s="1257" t="e">
        <f t="shared" si="387"/>
        <v>#DIV/0!</v>
      </c>
      <c r="N1146" s="1257" t="e">
        <f t="shared" si="387"/>
        <v>#DIV/0!</v>
      </c>
      <c r="O1146" s="1257" t="e">
        <f t="shared" si="387"/>
        <v>#DIV/0!</v>
      </c>
      <c r="P1146" s="1257" t="e">
        <f t="shared" si="387"/>
        <v>#DIV/0!</v>
      </c>
      <c r="Q1146" s="1257" t="e">
        <f t="shared" si="387"/>
        <v>#DIV/0!</v>
      </c>
      <c r="R1146" s="1257" t="e">
        <f t="shared" si="387"/>
        <v>#DIV/0!</v>
      </c>
      <c r="S1146" s="1257" t="e">
        <f t="shared" si="387"/>
        <v>#DIV/0!</v>
      </c>
      <c r="T1146" s="1257" t="e">
        <f t="shared" si="387"/>
        <v>#DIV/0!</v>
      </c>
      <c r="U1146" s="1245"/>
      <c r="V1146" s="1245"/>
      <c r="W1146" s="1241"/>
    </row>
    <row r="1147" spans="1:34" s="1242" customFormat="1" ht="21" hidden="1">
      <c r="A1147" s="1243"/>
      <c r="B1147" s="1243"/>
      <c r="C1147" s="1256" t="s">
        <v>707</v>
      </c>
      <c r="D1147" s="1243"/>
      <c r="E1147" s="1243"/>
      <c r="F1147" s="1243"/>
      <c r="G1147" s="1243"/>
      <c r="H1147" s="1257" t="e">
        <f>H1117/H1127</f>
        <v>#DIV/0!</v>
      </c>
      <c r="I1147" s="1257" t="e">
        <f t="shared" si="387"/>
        <v>#DIV/0!</v>
      </c>
      <c r="J1147" s="1257" t="e">
        <f t="shared" si="387"/>
        <v>#DIV/0!</v>
      </c>
      <c r="K1147" s="1257" t="e">
        <f t="shared" si="387"/>
        <v>#DIV/0!</v>
      </c>
      <c r="L1147" s="1257" t="e">
        <f t="shared" si="387"/>
        <v>#DIV/0!</v>
      </c>
      <c r="M1147" s="1257" t="e">
        <f t="shared" si="387"/>
        <v>#DIV/0!</v>
      </c>
      <c r="N1147" s="1257" t="e">
        <f t="shared" si="387"/>
        <v>#DIV/0!</v>
      </c>
      <c r="O1147" s="1257" t="e">
        <f t="shared" si="387"/>
        <v>#DIV/0!</v>
      </c>
      <c r="P1147" s="1257" t="e">
        <f t="shared" si="387"/>
        <v>#DIV/0!</v>
      </c>
      <c r="Q1147" s="1257" t="e">
        <f t="shared" si="387"/>
        <v>#DIV/0!</v>
      </c>
      <c r="R1147" s="1257" t="e">
        <f t="shared" si="387"/>
        <v>#DIV/0!</v>
      </c>
      <c r="S1147" s="1257" t="e">
        <f t="shared" si="387"/>
        <v>#DIV/0!</v>
      </c>
      <c r="T1147" s="1257" t="e">
        <f t="shared" si="387"/>
        <v>#DIV/0!</v>
      </c>
      <c r="U1147" s="1245"/>
      <c r="V1147" s="1245"/>
      <c r="W1147" s="1241"/>
    </row>
    <row r="1148" spans="1:34" s="1242" customFormat="1" ht="21" hidden="1">
      <c r="A1148" s="1243"/>
      <c r="B1148" s="1243"/>
      <c r="C1148" s="1256" t="s">
        <v>708</v>
      </c>
      <c r="D1148" s="1243"/>
      <c r="E1148" s="1243"/>
      <c r="F1148" s="1243"/>
      <c r="G1148" s="1243"/>
      <c r="H1148" s="1257" t="e">
        <f>H1118/H1128</f>
        <v>#DIV/0!</v>
      </c>
      <c r="I1148" s="1257" t="e">
        <f t="shared" si="387"/>
        <v>#DIV/0!</v>
      </c>
      <c r="J1148" s="1257" t="e">
        <f t="shared" si="387"/>
        <v>#DIV/0!</v>
      </c>
      <c r="K1148" s="1257" t="e">
        <f t="shared" si="387"/>
        <v>#DIV/0!</v>
      </c>
      <c r="L1148" s="1257" t="e">
        <f t="shared" si="387"/>
        <v>#DIV/0!</v>
      </c>
      <c r="M1148" s="1257" t="e">
        <f t="shared" si="387"/>
        <v>#DIV/0!</v>
      </c>
      <c r="N1148" s="1257" t="e">
        <f t="shared" si="387"/>
        <v>#DIV/0!</v>
      </c>
      <c r="O1148" s="1257" t="e">
        <f t="shared" si="387"/>
        <v>#DIV/0!</v>
      </c>
      <c r="P1148" s="1257" t="e">
        <f t="shared" si="387"/>
        <v>#DIV/0!</v>
      </c>
      <c r="Q1148" s="1257" t="e">
        <f t="shared" si="387"/>
        <v>#DIV/0!</v>
      </c>
      <c r="R1148" s="1257" t="e">
        <f t="shared" si="387"/>
        <v>#DIV/0!</v>
      </c>
      <c r="S1148" s="1257" t="e">
        <f t="shared" si="387"/>
        <v>#DIV/0!</v>
      </c>
      <c r="T1148" s="1257" t="e">
        <f t="shared" si="387"/>
        <v>#DIV/0!</v>
      </c>
      <c r="U1148" s="1245"/>
      <c r="V1148" s="1245"/>
      <c r="W1148" s="1241"/>
    </row>
    <row r="1149" spans="1:34" s="1250" customFormat="1" ht="21" hidden="1">
      <c r="A1149" s="1196"/>
      <c r="B1149" s="1196"/>
      <c r="C1149" s="1251" t="s">
        <v>497</v>
      </c>
      <c r="D1149" s="1196"/>
      <c r="E1149" s="1196"/>
      <c r="F1149" s="1196"/>
      <c r="G1149" s="1196"/>
      <c r="H1149" s="1197"/>
      <c r="I1149" s="1197"/>
      <c r="J1149" s="1197"/>
      <c r="K1149" s="1197"/>
      <c r="L1149" s="1197"/>
      <c r="M1149" s="1197"/>
      <c r="N1149" s="1197"/>
      <c r="O1149" s="1197"/>
      <c r="P1149" s="1197"/>
      <c r="Q1149" s="1197"/>
      <c r="R1149" s="1197"/>
      <c r="S1149" s="1197"/>
      <c r="T1149" s="1197"/>
      <c r="U1149" s="1198"/>
      <c r="V1149" s="1198"/>
      <c r="W1149" s="1249"/>
    </row>
    <row r="1150" spans="1:34" s="1250" customFormat="1" ht="21" hidden="1">
      <c r="A1150" s="1196"/>
      <c r="B1150" s="1196"/>
      <c r="C1150" s="1258" t="s">
        <v>701</v>
      </c>
      <c r="D1150" s="1196"/>
      <c r="E1150" s="1196"/>
      <c r="F1150" s="1196"/>
      <c r="G1150" s="1196"/>
      <c r="H1150" s="1197">
        <f t="shared" ref="H1150:T1151" si="388">H1112/H1132*100</f>
        <v>102.71139989939009</v>
      </c>
      <c r="I1150" s="1197">
        <f t="shared" si="388"/>
        <v>108.13384379691719</v>
      </c>
      <c r="J1150" s="1197">
        <f t="shared" si="388"/>
        <v>102.4660671012211</v>
      </c>
      <c r="K1150" s="1197" t="e">
        <f t="shared" si="388"/>
        <v>#DIV/0!</v>
      </c>
      <c r="L1150" s="1197" t="e">
        <f t="shared" si="388"/>
        <v>#DIV/0!</v>
      </c>
      <c r="M1150" s="1197" t="e">
        <f t="shared" si="388"/>
        <v>#DIV/0!</v>
      </c>
      <c r="N1150" s="1197" t="e">
        <f t="shared" si="388"/>
        <v>#DIV/0!</v>
      </c>
      <c r="O1150" s="1197" t="e">
        <f t="shared" si="388"/>
        <v>#DIV/0!</v>
      </c>
      <c r="P1150" s="1197" t="e">
        <f t="shared" si="388"/>
        <v>#DIV/0!</v>
      </c>
      <c r="Q1150" s="1197" t="e">
        <f t="shared" si="388"/>
        <v>#DIV/0!</v>
      </c>
      <c r="R1150" s="1197" t="e">
        <f t="shared" si="388"/>
        <v>#DIV/0!</v>
      </c>
      <c r="S1150" s="1197" t="e">
        <f t="shared" si="388"/>
        <v>#DIV/0!</v>
      </c>
      <c r="T1150" s="1197" t="e">
        <f t="shared" si="388"/>
        <v>#DIV/0!</v>
      </c>
      <c r="U1150" s="1198"/>
      <c r="V1150" s="1198"/>
      <c r="W1150" s="1249"/>
    </row>
    <row r="1151" spans="1:34" s="1250" customFormat="1" ht="21" hidden="1">
      <c r="A1151" s="1196"/>
      <c r="B1151" s="1196"/>
      <c r="C1151" s="1258" t="s">
        <v>702</v>
      </c>
      <c r="D1151" s="1196"/>
      <c r="E1151" s="1196"/>
      <c r="F1151" s="1196"/>
      <c r="G1151" s="1196"/>
      <c r="H1151" s="1197">
        <f>H1113/H1133*100</f>
        <v>92.106987698759951</v>
      </c>
      <c r="I1151" s="1197">
        <f t="shared" si="388"/>
        <v>91.862609652056662</v>
      </c>
      <c r="J1151" s="1197">
        <f t="shared" si="388"/>
        <v>98.016184308397371</v>
      </c>
      <c r="K1151" s="1197" t="e">
        <f t="shared" si="388"/>
        <v>#DIV/0!</v>
      </c>
      <c r="L1151" s="1197" t="e">
        <f t="shared" si="388"/>
        <v>#DIV/0!</v>
      </c>
      <c r="M1151" s="1197" t="e">
        <f t="shared" si="388"/>
        <v>#DIV/0!</v>
      </c>
      <c r="N1151" s="1197" t="e">
        <f t="shared" si="388"/>
        <v>#DIV/0!</v>
      </c>
      <c r="O1151" s="1197" t="e">
        <f t="shared" si="388"/>
        <v>#DIV/0!</v>
      </c>
      <c r="P1151" s="1197" t="e">
        <f t="shared" si="388"/>
        <v>#DIV/0!</v>
      </c>
      <c r="Q1151" s="1197" t="e">
        <f t="shared" si="388"/>
        <v>#DIV/0!</v>
      </c>
      <c r="R1151" s="1197" t="e">
        <f t="shared" si="388"/>
        <v>#DIV/0!</v>
      </c>
      <c r="S1151" s="1197" t="e">
        <f t="shared" si="388"/>
        <v>#DIV/0!</v>
      </c>
      <c r="T1151" s="1197" t="e">
        <f t="shared" si="388"/>
        <v>#DIV/0!</v>
      </c>
      <c r="U1151" s="1198"/>
      <c r="V1151" s="1198"/>
      <c r="W1151" s="1249"/>
    </row>
    <row r="1152" spans="1:34" s="1250" customFormat="1" ht="21" hidden="1">
      <c r="A1152" s="1196"/>
      <c r="B1152" s="1196"/>
      <c r="C1152" s="1258" t="s">
        <v>704</v>
      </c>
      <c r="D1152" s="1196"/>
      <c r="E1152" s="1196"/>
      <c r="F1152" s="1196"/>
      <c r="G1152" s="1196"/>
      <c r="H1152" s="1197">
        <f t="shared" ref="H1152:T1158" si="389">H1114/H1134*100</f>
        <v>90.990842313520176</v>
      </c>
      <c r="I1152" s="1197">
        <f t="shared" si="389"/>
        <v>91.970824813299117</v>
      </c>
      <c r="J1152" s="1197">
        <f t="shared" si="389"/>
        <v>98.423823431391867</v>
      </c>
      <c r="K1152" s="1197" t="e">
        <f t="shared" si="389"/>
        <v>#DIV/0!</v>
      </c>
      <c r="L1152" s="1197" t="e">
        <f t="shared" si="389"/>
        <v>#DIV/0!</v>
      </c>
      <c r="M1152" s="1197" t="e">
        <f t="shared" si="389"/>
        <v>#DIV/0!</v>
      </c>
      <c r="N1152" s="1197" t="e">
        <f t="shared" si="389"/>
        <v>#DIV/0!</v>
      </c>
      <c r="O1152" s="1197" t="e">
        <f t="shared" si="389"/>
        <v>#DIV/0!</v>
      </c>
      <c r="P1152" s="1197" t="e">
        <f t="shared" si="389"/>
        <v>#DIV/0!</v>
      </c>
      <c r="Q1152" s="1197" t="e">
        <f t="shared" si="389"/>
        <v>#DIV/0!</v>
      </c>
      <c r="R1152" s="1197" t="e">
        <f t="shared" si="389"/>
        <v>#DIV/0!</v>
      </c>
      <c r="S1152" s="1197" t="e">
        <f t="shared" si="389"/>
        <v>#DIV/0!</v>
      </c>
      <c r="T1152" s="1197" t="e">
        <f t="shared" si="389"/>
        <v>#DIV/0!</v>
      </c>
      <c r="U1152" s="1198"/>
      <c r="V1152" s="1198"/>
      <c r="W1152" s="1249"/>
    </row>
    <row r="1153" spans="1:29" s="1250" customFormat="1" ht="21" hidden="1">
      <c r="A1153" s="1196"/>
      <c r="B1153" s="1196"/>
      <c r="C1153" s="1258" t="s">
        <v>705</v>
      </c>
      <c r="D1153" s="1196"/>
      <c r="E1153" s="1196"/>
      <c r="F1153" s="1196"/>
      <c r="G1153" s="1196"/>
      <c r="H1153" s="1197">
        <f>H1115/H1135*100</f>
        <v>92.553259409261443</v>
      </c>
      <c r="I1153" s="1197">
        <f t="shared" si="389"/>
        <v>91.70673851137694</v>
      </c>
      <c r="J1153" s="1197">
        <f t="shared" si="389"/>
        <v>98.23883953834931</v>
      </c>
      <c r="K1153" s="1197" t="e">
        <f t="shared" si="389"/>
        <v>#DIV/0!</v>
      </c>
      <c r="L1153" s="1197" t="e">
        <f t="shared" si="389"/>
        <v>#DIV/0!</v>
      </c>
      <c r="M1153" s="1197" t="e">
        <f t="shared" si="389"/>
        <v>#DIV/0!</v>
      </c>
      <c r="N1153" s="1197" t="e">
        <f t="shared" si="389"/>
        <v>#DIV/0!</v>
      </c>
      <c r="O1153" s="1197" t="e">
        <f t="shared" si="389"/>
        <v>#DIV/0!</v>
      </c>
      <c r="P1153" s="1197" t="e">
        <f t="shared" si="389"/>
        <v>#DIV/0!</v>
      </c>
      <c r="Q1153" s="1197" t="e">
        <f t="shared" si="389"/>
        <v>#DIV/0!</v>
      </c>
      <c r="R1153" s="1197" t="e">
        <f t="shared" si="389"/>
        <v>#DIV/0!</v>
      </c>
      <c r="S1153" s="1197" t="e">
        <f t="shared" si="389"/>
        <v>#DIV/0!</v>
      </c>
      <c r="T1153" s="1197" t="e">
        <f t="shared" si="389"/>
        <v>#DIV/0!</v>
      </c>
      <c r="U1153" s="1198"/>
      <c r="V1153" s="1198"/>
      <c r="W1153" s="1249"/>
    </row>
    <row r="1154" spans="1:29" s="1250" customFormat="1" ht="21" hidden="1">
      <c r="A1154" s="1196"/>
      <c r="B1154" s="1196"/>
      <c r="C1154" s="1258" t="s">
        <v>706</v>
      </c>
      <c r="D1154" s="1196"/>
      <c r="E1154" s="1196"/>
      <c r="F1154" s="1196"/>
      <c r="G1154" s="1196"/>
      <c r="H1154" s="1197">
        <f>H1116/H1136*100</f>
        <v>94.480425018512122</v>
      </c>
      <c r="I1154" s="1197">
        <f t="shared" si="389"/>
        <v>94.524752689071207</v>
      </c>
      <c r="J1154" s="1197">
        <f t="shared" si="389"/>
        <v>96.761020820176014</v>
      </c>
      <c r="K1154" s="1197" t="e">
        <f t="shared" si="389"/>
        <v>#DIV/0!</v>
      </c>
      <c r="L1154" s="1197" t="e">
        <f t="shared" si="389"/>
        <v>#DIV/0!</v>
      </c>
      <c r="M1154" s="1197" t="e">
        <f t="shared" si="389"/>
        <v>#DIV/0!</v>
      </c>
      <c r="N1154" s="1197" t="e">
        <f t="shared" si="389"/>
        <v>#DIV/0!</v>
      </c>
      <c r="O1154" s="1197" t="e">
        <f t="shared" si="389"/>
        <v>#DIV/0!</v>
      </c>
      <c r="P1154" s="1197" t="e">
        <f t="shared" si="389"/>
        <v>#DIV/0!</v>
      </c>
      <c r="Q1154" s="1197" t="e">
        <f t="shared" si="389"/>
        <v>#DIV/0!</v>
      </c>
      <c r="R1154" s="1197" t="e">
        <f t="shared" si="389"/>
        <v>#DIV/0!</v>
      </c>
      <c r="S1154" s="1197" t="e">
        <f t="shared" si="389"/>
        <v>#DIV/0!</v>
      </c>
      <c r="T1154" s="1197" t="e">
        <f t="shared" si="389"/>
        <v>#DIV/0!</v>
      </c>
      <c r="U1154" s="1198"/>
      <c r="V1154" s="1198"/>
      <c r="W1154" s="1249"/>
    </row>
    <row r="1155" spans="1:29" s="1250" customFormat="1" ht="21" hidden="1">
      <c r="A1155" s="1196"/>
      <c r="B1155" s="1196"/>
      <c r="C1155" s="1258" t="s">
        <v>707</v>
      </c>
      <c r="D1155" s="1196"/>
      <c r="E1155" s="1196"/>
      <c r="F1155" s="1196"/>
      <c r="G1155" s="1196"/>
      <c r="H1155" s="1197">
        <f>H1117/H1137*100</f>
        <v>91.543894280365052</v>
      </c>
      <c r="I1155" s="1197">
        <f t="shared" si="389"/>
        <v>91.431406389354564</v>
      </c>
      <c r="J1155" s="1197">
        <f t="shared" si="389"/>
        <v>98.508924654784067</v>
      </c>
      <c r="K1155" s="1197" t="e">
        <f t="shared" si="389"/>
        <v>#DIV/0!</v>
      </c>
      <c r="L1155" s="1197" t="e">
        <f t="shared" si="389"/>
        <v>#DIV/0!</v>
      </c>
      <c r="M1155" s="1197" t="e">
        <f t="shared" si="389"/>
        <v>#DIV/0!</v>
      </c>
      <c r="N1155" s="1197" t="e">
        <f t="shared" si="389"/>
        <v>#DIV/0!</v>
      </c>
      <c r="O1155" s="1197" t="e">
        <f t="shared" si="389"/>
        <v>#DIV/0!</v>
      </c>
      <c r="P1155" s="1197" t="e">
        <f t="shared" si="389"/>
        <v>#DIV/0!</v>
      </c>
      <c r="Q1155" s="1197" t="e">
        <f t="shared" si="389"/>
        <v>#DIV/0!</v>
      </c>
      <c r="R1155" s="1197" t="e">
        <f t="shared" si="389"/>
        <v>#DIV/0!</v>
      </c>
      <c r="S1155" s="1197" t="e">
        <f t="shared" si="389"/>
        <v>#DIV/0!</v>
      </c>
      <c r="T1155" s="1197" t="e">
        <f t="shared" si="389"/>
        <v>#DIV/0!</v>
      </c>
      <c r="U1155" s="1198"/>
      <c r="V1155" s="1198"/>
      <c r="W1155" s="1249"/>
    </row>
    <row r="1156" spans="1:29" s="1250" customFormat="1" ht="21" hidden="1">
      <c r="A1156" s="1196"/>
      <c r="B1156" s="1196"/>
      <c r="C1156" s="1258" t="s">
        <v>708</v>
      </c>
      <c r="D1156" s="1196"/>
      <c r="E1156" s="1196"/>
      <c r="F1156" s="1196"/>
      <c r="G1156" s="1196"/>
      <c r="H1156" s="1197">
        <f t="shared" ref="H1156:M1158" si="390">H1118/H1138*100</f>
        <v>92.077455007052706</v>
      </c>
      <c r="I1156" s="1197">
        <f t="shared" si="389"/>
        <v>91.927903970514336</v>
      </c>
      <c r="J1156" s="1197">
        <f t="shared" si="389"/>
        <v>97.059953151555973</v>
      </c>
      <c r="K1156" s="1197" t="e">
        <f t="shared" si="389"/>
        <v>#DIV/0!</v>
      </c>
      <c r="L1156" s="1197" t="e">
        <f t="shared" si="389"/>
        <v>#DIV/0!</v>
      </c>
      <c r="M1156" s="1197" t="e">
        <f t="shared" si="389"/>
        <v>#DIV/0!</v>
      </c>
      <c r="N1156" s="1197" t="e">
        <f t="shared" si="389"/>
        <v>#DIV/0!</v>
      </c>
      <c r="O1156" s="1197" t="e">
        <f t="shared" si="389"/>
        <v>#DIV/0!</v>
      </c>
      <c r="P1156" s="1197" t="e">
        <f t="shared" si="389"/>
        <v>#DIV/0!</v>
      </c>
      <c r="Q1156" s="1197" t="e">
        <f t="shared" si="389"/>
        <v>#DIV/0!</v>
      </c>
      <c r="R1156" s="1197" t="e">
        <f t="shared" si="389"/>
        <v>#DIV/0!</v>
      </c>
      <c r="S1156" s="1197" t="e">
        <f t="shared" si="389"/>
        <v>#DIV/0!</v>
      </c>
      <c r="T1156" s="1197" t="e">
        <f t="shared" si="389"/>
        <v>#DIV/0!</v>
      </c>
      <c r="U1156" s="1198"/>
      <c r="V1156" s="1198"/>
      <c r="W1156" s="1249"/>
    </row>
    <row r="1157" spans="1:29" s="1250" customFormat="1" ht="21" hidden="1">
      <c r="A1157" s="1196"/>
      <c r="B1157" s="1196"/>
      <c r="C1157" s="1251" t="s">
        <v>719</v>
      </c>
      <c r="D1157" s="1196"/>
      <c r="E1157" s="1196"/>
      <c r="F1157" s="1196"/>
      <c r="G1157" s="1196"/>
      <c r="H1157" s="1197">
        <f>H1119/H1139*100</f>
        <v>94.368846040244776</v>
      </c>
      <c r="I1157" s="1197">
        <f t="shared" si="390"/>
        <v>95.686572385763981</v>
      </c>
      <c r="J1157" s="1197">
        <f t="shared" si="390"/>
        <v>98.872363351836455</v>
      </c>
      <c r="K1157" s="1197" t="e">
        <f t="shared" si="390"/>
        <v>#DIV/0!</v>
      </c>
      <c r="L1157" s="1197" t="e">
        <f t="shared" si="390"/>
        <v>#DIV/0!</v>
      </c>
      <c r="M1157" s="1197" t="e">
        <f t="shared" si="390"/>
        <v>#DIV/0!</v>
      </c>
      <c r="N1157" s="1197" t="e">
        <f>N1119/N1139*100</f>
        <v>#DIV/0!</v>
      </c>
      <c r="O1157" s="1197" t="e">
        <f t="shared" si="389"/>
        <v>#DIV/0!</v>
      </c>
      <c r="P1157" s="1197" t="e">
        <f t="shared" si="389"/>
        <v>#DIV/0!</v>
      </c>
      <c r="Q1157" s="1197" t="e">
        <f t="shared" si="389"/>
        <v>#DIV/0!</v>
      </c>
      <c r="R1157" s="1197" t="e">
        <f>R1119/R1139*100</f>
        <v>#DIV/0!</v>
      </c>
      <c r="S1157" s="1197" t="e">
        <f t="shared" si="389"/>
        <v>#DIV/0!</v>
      </c>
      <c r="T1157" s="1197" t="e">
        <f t="shared" si="389"/>
        <v>#DIV/0!</v>
      </c>
      <c r="U1157" s="1198"/>
      <c r="V1157" s="1198"/>
      <c r="W1157" s="1249"/>
    </row>
    <row r="1158" spans="1:29" s="1250" customFormat="1" ht="21" hidden="1">
      <c r="A1158" s="1196"/>
      <c r="B1158" s="1196"/>
      <c r="C1158" s="1251" t="s">
        <v>720</v>
      </c>
      <c r="D1158" s="1196"/>
      <c r="E1158" s="1196"/>
      <c r="F1158" s="1196"/>
      <c r="G1158" s="1196"/>
      <c r="H1158" s="1197">
        <f t="shared" si="390"/>
        <v>94.368846040244776</v>
      </c>
      <c r="I1158" s="1197">
        <f t="shared" si="390"/>
        <v>94.988602439481369</v>
      </c>
      <c r="J1158" s="1197">
        <f t="shared" si="390"/>
        <v>96.260495349059696</v>
      </c>
      <c r="K1158" s="1197">
        <f t="shared" si="390"/>
        <v>96.260495349059696</v>
      </c>
      <c r="L1158" s="1197">
        <f t="shared" si="390"/>
        <v>96.260495349059696</v>
      </c>
      <c r="M1158" s="1197">
        <f t="shared" si="390"/>
        <v>96.260495349059696</v>
      </c>
      <c r="N1158" s="1197">
        <f>N1120/N1140*100</f>
        <v>96.260495349059696</v>
      </c>
      <c r="O1158" s="1197">
        <f t="shared" si="389"/>
        <v>96.260495349059696</v>
      </c>
      <c r="P1158" s="1197">
        <f t="shared" si="389"/>
        <v>96.260495349059696</v>
      </c>
      <c r="Q1158" s="1197">
        <f t="shared" si="389"/>
        <v>96.260495349059696</v>
      </c>
      <c r="R1158" s="1197">
        <f t="shared" si="389"/>
        <v>96.260495349059696</v>
      </c>
      <c r="S1158" s="1197">
        <f t="shared" si="389"/>
        <v>96.260495349059696</v>
      </c>
      <c r="T1158" s="1197" t="e">
        <f t="shared" si="389"/>
        <v>#DIV/0!</v>
      </c>
      <c r="U1158" s="1198"/>
      <c r="V1158" s="1198"/>
      <c r="W1158" s="1249"/>
    </row>
    <row r="1159" spans="1:29" ht="21" hidden="1">
      <c r="A1159" s="956"/>
      <c r="B1159" s="956"/>
      <c r="C1159" s="1194"/>
      <c r="D1159" s="964"/>
      <c r="E1159" s="964"/>
      <c r="F1159" s="964"/>
      <c r="G1159" s="964"/>
      <c r="H1159" s="1259"/>
      <c r="I1159" s="1259"/>
      <c r="J1159" s="1259"/>
      <c r="K1159" s="1259"/>
      <c r="L1159" s="1259"/>
      <c r="M1159" s="1259"/>
      <c r="N1159" s="1259"/>
      <c r="O1159" s="1260"/>
      <c r="P1159" s="966"/>
      <c r="Q1159" s="966"/>
      <c r="R1159" s="966"/>
      <c r="S1159" s="966"/>
      <c r="T1159" s="1261"/>
      <c r="U1159" s="1261"/>
      <c r="V1159" s="1261"/>
      <c r="W1159" s="936"/>
      <c r="X1159" s="937"/>
      <c r="Y1159" s="937"/>
      <c r="Z1159" s="937"/>
      <c r="AA1159" s="937"/>
      <c r="AB1159" s="937"/>
      <c r="AC1159" s="937"/>
    </row>
    <row r="1160" spans="1:29" ht="21" hidden="1">
      <c r="A1160" s="956">
        <v>27</v>
      </c>
      <c r="B1160" s="956" t="s">
        <v>99</v>
      </c>
      <c r="C1160" s="958" t="s">
        <v>721</v>
      </c>
      <c r="D1160" s="964" t="s">
        <v>160</v>
      </c>
      <c r="E1160" s="984">
        <f>[6]HeatingValue!$G$16/1000</f>
        <v>39.770000000000003</v>
      </c>
      <c r="F1160" s="984">
        <f>[6]HeatingValue!$H$16</f>
        <v>0.98550000000000004</v>
      </c>
      <c r="G1160" s="1262">
        <f>'[11]Price&amp;Heating-Value'!$I$16*'[11]Price&amp;Heating-Value'!$T$16/1000</f>
        <v>22.335056640000001</v>
      </c>
      <c r="H1160" s="966">
        <f>386.06*1000/F1160</f>
        <v>391740.233384069</v>
      </c>
      <c r="I1160" s="966">
        <f>67.75*1000/F1160</f>
        <v>68746.829020801626</v>
      </c>
      <c r="J1160" s="966">
        <v>0</v>
      </c>
      <c r="K1160" s="966"/>
      <c r="L1160" s="966"/>
      <c r="M1160" s="966"/>
      <c r="N1160" s="966"/>
      <c r="O1160" s="966"/>
      <c r="P1160" s="966"/>
      <c r="Q1160" s="966"/>
      <c r="R1160" s="966"/>
      <c r="S1160" s="966"/>
      <c r="T1160" s="966">
        <f>SUM(E1160:S1160)</f>
        <v>460550.15296151064</v>
      </c>
      <c r="U1160" s="966">
        <f>T1160*E1160</f>
        <v>18316079.583279278</v>
      </c>
      <c r="V1160" s="966">
        <f>F1160*G1160*T1160</f>
        <v>10137260.752552643</v>
      </c>
      <c r="W1160" s="1263">
        <f>'[11]Price&amp;Heating-Value'!D$16*'[11]Price&amp;Heating-Value'!$T$16/1000</f>
        <v>16.779635460000002</v>
      </c>
      <c r="X1160" s="1264">
        <f>'[11]Price&amp;Heating-Value'!E$16*'[11]Price&amp;Heating-Value'!$T$16/1000</f>
        <v>16.47036585</v>
      </c>
      <c r="Y1160" s="1264">
        <f>'[11]Price&amp;Heating-Value'!F$16*'[11]Price&amp;Heating-Value'!$T$16/1000</f>
        <v>16.780118354999999</v>
      </c>
      <c r="Z1160" s="1264">
        <f>'[11]Price&amp;Heating-Value'!G$16*'[11]Price&amp;Heating-Value'!$T$16/1000</f>
        <v>18.287135100000004</v>
      </c>
      <c r="AA1160" s="1264">
        <f>'[11]Price&amp;Heating-Value'!H$16*'[11]Price&amp;Heating-Value'!$T$16/1000</f>
        <v>20.715278985000001</v>
      </c>
      <c r="AB1160" s="1264">
        <f>'[11]Price&amp;Heating-Value'!I$16*'[11]Price&amp;Heating-Value'!$T$16/1000</f>
        <v>22.335056640000001</v>
      </c>
      <c r="AC1160" s="1264">
        <f>'[11]Price&amp;Heating-Value'!J$16*'[11]Price&amp;Heating-Value'!$T$16/1000</f>
        <v>25.718475240000004</v>
      </c>
    </row>
    <row r="1161" spans="1:29" ht="21" hidden="1">
      <c r="A1161" s="964"/>
      <c r="B1161" s="964"/>
      <c r="C1161" s="958" t="s">
        <v>161</v>
      </c>
      <c r="D1161" s="964" t="s">
        <v>160</v>
      </c>
      <c r="E1161" s="964">
        <f>'[7]Price&amp;Heating-Value'!$F$18/'[7]Price&amp;Heating-Value'!$H$18/1000</f>
        <v>36.42</v>
      </c>
      <c r="F1161" s="984">
        <f>'[7]Price&amp;Heating-Value'!$H$18</f>
        <v>0.83069999999999999</v>
      </c>
      <c r="G1161" s="1262">
        <f>'[11]Price&amp;Heating-Value'!$I$18*'[11]Price&amp;Heating-Value'!$T$18/1000</f>
        <v>34.244001792000006</v>
      </c>
      <c r="H1161" s="966"/>
      <c r="I1161" s="966"/>
      <c r="J1161" s="966"/>
      <c r="K1161" s="966"/>
      <c r="L1161" s="966"/>
      <c r="M1161" s="966"/>
      <c r="N1161" s="966"/>
      <c r="O1161" s="966"/>
      <c r="P1161" s="966"/>
      <c r="Q1161" s="966"/>
      <c r="R1161" s="966"/>
      <c r="S1161" s="966"/>
      <c r="T1161" s="966">
        <f>SUM(E1161:S1161)</f>
        <v>71.494701792000001</v>
      </c>
      <c r="U1161" s="966">
        <f>T1161*E1161</f>
        <v>2603.8370392646402</v>
      </c>
      <c r="V1161" s="966">
        <f>F1161*G1161*T1161</f>
        <v>2033.7734832029146</v>
      </c>
      <c r="W1161" s="1263">
        <f>'[11]Price&amp;Heating-Value'!D$18*'[11]Price&amp;Heating-Value'!$T$18/1000</f>
        <v>22.986641664000004</v>
      </c>
      <c r="X1161" s="1264">
        <f>'[11]Price&amp;Heating-Value'!E$18*'[11]Price&amp;Heating-Value'!$T$18/1000</f>
        <v>22.963013856000003</v>
      </c>
      <c r="Y1161" s="1264">
        <f>'[11]Price&amp;Heating-Value'!F$18*'[11]Price&amp;Heating-Value'!$T$18/1000</f>
        <v>24.774545952</v>
      </c>
      <c r="Z1161" s="1264">
        <f>'[11]Price&amp;Heating-Value'!G$18*'[11]Price&amp;Heating-Value'!$T$18/1000</f>
        <v>27.366797952000002</v>
      </c>
      <c r="AA1161" s="1264">
        <f>'[11]Price&amp;Heating-Value'!H$18*'[11]Price&amp;Heating-Value'!$T$18/1000</f>
        <v>31.132931903999999</v>
      </c>
      <c r="AB1161" s="1264">
        <f>'[11]Price&amp;Heating-Value'!I$18*'[11]Price&amp;Heating-Value'!$T$18/1000</f>
        <v>34.244001792000006</v>
      </c>
      <c r="AC1161" s="1264">
        <f>'[11]Price&amp;Heating-Value'!J$18*'[11]Price&amp;Heating-Value'!$T$18/1000</f>
        <v>35.755738848000007</v>
      </c>
    </row>
    <row r="1162" spans="1:29" ht="21" hidden="1">
      <c r="A1162" s="1011"/>
      <c r="B1162" s="1011"/>
      <c r="C1162" s="958" t="s">
        <v>722</v>
      </c>
      <c r="D1162" s="964" t="s">
        <v>147</v>
      </c>
      <c r="E1162" s="1265">
        <v>42461.269560000001</v>
      </c>
      <c r="F1162" s="1011"/>
      <c r="G1162" s="1266">
        <f>'[11]Price&amp;Heating-Value'!$I$24</f>
        <v>26707.550000000003</v>
      </c>
      <c r="H1162" s="981"/>
      <c r="I1162" s="1267"/>
      <c r="J1162" s="1267"/>
      <c r="K1162" s="981"/>
      <c r="L1162" s="981"/>
      <c r="M1162" s="981"/>
      <c r="N1162" s="981"/>
      <c r="O1162" s="981"/>
      <c r="P1162" s="981"/>
      <c r="Q1162" s="981"/>
      <c r="R1162" s="981"/>
      <c r="S1162" s="981"/>
      <c r="T1162" s="966">
        <f>SUM(E1162:S1162)</f>
        <v>69168.819560000004</v>
      </c>
      <c r="U1162" s="966">
        <f>T1162*E1162</f>
        <v>2936995892.4841609</v>
      </c>
      <c r="V1162" s="966">
        <f>G1162*T1162</f>
        <v>1847329706.8396783</v>
      </c>
      <c r="W1162" s="1268">
        <f>'[11]Price&amp;Heating-Value'!D$24</f>
        <v>28388.639999999999</v>
      </c>
      <c r="X1162" s="1269">
        <f>'[11]Price&amp;Heating-Value'!E$24</f>
        <v>26707.550000000003</v>
      </c>
      <c r="Y1162" s="1269">
        <f>'[11]Price&amp;Heating-Value'!F$24</f>
        <v>26219.7</v>
      </c>
      <c r="Z1162" s="1269">
        <f>'[11]Price&amp;Heating-Value'!G$24</f>
        <v>28008.76</v>
      </c>
      <c r="AA1162" s="1269">
        <f>'[11]Price&amp;Heating-Value'!H$24</f>
        <v>11556.21</v>
      </c>
      <c r="AB1162" s="1269">
        <f>'[11]Price&amp;Heating-Value'!I$24</f>
        <v>26707.550000000003</v>
      </c>
      <c r="AC1162" s="1269">
        <f>'[11]Price&amp;Heating-Value'!J$24</f>
        <v>12073.17</v>
      </c>
    </row>
    <row r="1163" spans="1:29" ht="21" hidden="1">
      <c r="A1163" s="1011"/>
      <c r="B1163" s="1011"/>
      <c r="C1163" s="958" t="s">
        <v>723</v>
      </c>
      <c r="D1163" s="1011"/>
      <c r="E1163" s="1265"/>
      <c r="F1163" s="1011"/>
      <c r="G1163" s="1266"/>
      <c r="H1163" s="981"/>
      <c r="I1163" s="1267"/>
      <c r="J1163" s="1267"/>
      <c r="K1163" s="981"/>
      <c r="L1163" s="981"/>
      <c r="M1163" s="981"/>
      <c r="N1163" s="981"/>
      <c r="O1163" s="981"/>
      <c r="P1163" s="981"/>
      <c r="Q1163" s="981"/>
      <c r="R1163" s="981"/>
      <c r="S1163" s="981"/>
      <c r="T1163" s="981"/>
      <c r="U1163" s="981"/>
      <c r="V1163" s="981"/>
      <c r="W1163" s="1268"/>
      <c r="X1163" s="1269"/>
      <c r="Y1163" s="1269"/>
      <c r="Z1163" s="1269"/>
      <c r="AA1163" s="1269"/>
      <c r="AB1163" s="1269"/>
      <c r="AC1163" s="1269"/>
    </row>
    <row r="1164" spans="1:29" ht="21" hidden="1">
      <c r="A1164" s="1011"/>
      <c r="B1164" s="1011"/>
      <c r="C1164" s="958" t="s">
        <v>724</v>
      </c>
      <c r="D1164" s="1011"/>
      <c r="E1164" s="1265"/>
      <c r="F1164" s="1011"/>
      <c r="G1164" s="1266"/>
      <c r="H1164" s="981">
        <v>921600</v>
      </c>
      <c r="I1164" s="1267">
        <v>2140800</v>
      </c>
      <c r="J1164" s="1267">
        <v>218400</v>
      </c>
      <c r="K1164" s="981"/>
      <c r="L1164" s="981"/>
      <c r="M1164" s="981"/>
      <c r="N1164" s="981"/>
      <c r="O1164" s="981"/>
      <c r="P1164" s="981"/>
      <c r="Q1164" s="981"/>
      <c r="R1164" s="981"/>
      <c r="S1164" s="981"/>
      <c r="T1164" s="981"/>
      <c r="U1164" s="981"/>
      <c r="V1164" s="981"/>
      <c r="W1164" s="1268"/>
      <c r="X1164" s="1269"/>
      <c r="Y1164" s="1269"/>
      <c r="Z1164" s="1269"/>
      <c r="AA1164" s="1269"/>
      <c r="AB1164" s="1269"/>
      <c r="AC1164" s="1269"/>
    </row>
    <row r="1165" spans="1:29" ht="21" hidden="1">
      <c r="A1165" s="1011"/>
      <c r="B1165" s="1011"/>
      <c r="C1165" s="958" t="s">
        <v>725</v>
      </c>
      <c r="D1165" s="1011"/>
      <c r="E1165" s="1265"/>
      <c r="F1165" s="1011"/>
      <c r="G1165" s="1266"/>
      <c r="H1165" s="981">
        <v>4055970</v>
      </c>
      <c r="I1165" s="1267">
        <v>1086720</v>
      </c>
      <c r="J1165" s="1267">
        <v>2862690</v>
      </c>
      <c r="K1165" s="981"/>
      <c r="L1165" s="981"/>
      <c r="M1165" s="981"/>
      <c r="N1165" s="981"/>
      <c r="O1165" s="981"/>
      <c r="P1165" s="981"/>
      <c r="Q1165" s="981"/>
      <c r="R1165" s="981"/>
      <c r="S1165" s="981"/>
      <c r="T1165" s="981"/>
      <c r="U1165" s="981"/>
      <c r="V1165" s="981"/>
      <c r="W1165" s="1268"/>
      <c r="X1165" s="1269"/>
      <c r="Y1165" s="1269"/>
      <c r="Z1165" s="1269"/>
      <c r="AA1165" s="1269"/>
      <c r="AB1165" s="1269"/>
      <c r="AC1165" s="1269"/>
    </row>
    <row r="1166" spans="1:29" ht="21" hidden="1">
      <c r="A1166" s="1065"/>
      <c r="B1166" s="1065"/>
      <c r="C1166" s="1144" t="s">
        <v>726</v>
      </c>
      <c r="D1166" s="1065" t="s">
        <v>147</v>
      </c>
      <c r="E1166" s="1270">
        <v>25499.28672</v>
      </c>
      <c r="F1166" s="1065"/>
      <c r="G1166" s="1271">
        <f>'[11]Price&amp;Heating-Value'!$I$15</f>
        <v>3545.56</v>
      </c>
      <c r="H1166" s="1072">
        <v>15002.99</v>
      </c>
      <c r="I1166" s="1072">
        <v>15438.62</v>
      </c>
      <c r="J1166" s="1072">
        <v>17665.78</v>
      </c>
      <c r="K1166" s="1072"/>
      <c r="L1166" s="1072"/>
      <c r="M1166" s="1072"/>
      <c r="N1166" s="1072"/>
      <c r="O1166" s="1072"/>
      <c r="P1166" s="1072"/>
      <c r="Q1166" s="1072"/>
      <c r="R1166" s="1072"/>
      <c r="S1166" s="1072"/>
      <c r="T1166" s="1072">
        <f>SUM(E1166:S1166)</f>
        <v>77152.236720000001</v>
      </c>
      <c r="U1166" s="1072">
        <f>T1166*E1166</f>
        <v>1967327005.2125924</v>
      </c>
      <c r="V1166" s="1072">
        <f>G1166*T1166</f>
        <v>273547884.42496318</v>
      </c>
      <c r="W1166" s="1272">
        <f>'[11]Price&amp;Heating-Value'!D$15</f>
        <v>3545.56</v>
      </c>
      <c r="X1166" s="1273">
        <f>'[11]Price&amp;Heating-Value'!E$15</f>
        <v>3545.56</v>
      </c>
      <c r="Y1166" s="1273">
        <f>'[11]Price&amp;Heating-Value'!F$15</f>
        <v>3545.56</v>
      </c>
      <c r="Z1166" s="1273">
        <f>'[11]Price&amp;Heating-Value'!G$15</f>
        <v>3545.56</v>
      </c>
      <c r="AA1166" s="1273">
        <f>'[11]Price&amp;Heating-Value'!H$15</f>
        <v>3545.56</v>
      </c>
      <c r="AB1166" s="1273">
        <f>'[11]Price&amp;Heating-Value'!I$15</f>
        <v>3545.56</v>
      </c>
      <c r="AC1166" s="1273">
        <f>'[11]Price&amp;Heating-Value'!J$15</f>
        <v>3546.56</v>
      </c>
    </row>
    <row r="1167" spans="1:29" ht="23.25" hidden="1">
      <c r="A1167" s="1068"/>
      <c r="B1167" s="1069"/>
      <c r="C1167" s="983"/>
      <c r="D1167" s="1069"/>
      <c r="E1167" s="1274"/>
      <c r="F1167" s="1069"/>
      <c r="G1167" s="1069"/>
      <c r="H1167" s="1275"/>
      <c r="I1167" s="1275"/>
      <c r="J1167" s="1275"/>
      <c r="K1167" s="1275"/>
      <c r="L1167" s="1275"/>
      <c r="M1167" s="1275"/>
      <c r="N1167" s="1275"/>
      <c r="O1167" s="1275"/>
      <c r="P1167" s="1275"/>
      <c r="Q1167" s="1275"/>
      <c r="R1167" s="1275"/>
      <c r="S1167" s="1275"/>
      <c r="T1167" s="1276"/>
      <c r="U1167" s="1277"/>
      <c r="V1167" s="1277">
        <f>SUM(V1160:V1166)</f>
        <v>2131016885.7906773</v>
      </c>
      <c r="W1167" s="936"/>
      <c r="X1167" s="937"/>
      <c r="Y1167" s="937"/>
      <c r="Z1167" s="937"/>
      <c r="AA1167" s="937"/>
      <c r="AB1167" s="937"/>
      <c r="AC1167" s="937"/>
    </row>
    <row r="1168" spans="1:29" ht="21" hidden="1">
      <c r="A1168" s="1150"/>
      <c r="B1168" s="1196"/>
      <c r="C1168" s="1278" t="s">
        <v>97</v>
      </c>
      <c r="D1168" s="989"/>
      <c r="E1168" s="1196"/>
      <c r="F1168" s="1196"/>
      <c r="G1168" s="1150"/>
      <c r="H1168" s="1197"/>
      <c r="I1168" s="1197"/>
      <c r="J1168" s="1197"/>
      <c r="K1168" s="1197"/>
      <c r="L1168" s="1197"/>
      <c r="M1168" s="1197"/>
      <c r="N1168" s="1197"/>
      <c r="O1168" s="1197"/>
      <c r="P1168" s="1197"/>
      <c r="Q1168" s="1197"/>
      <c r="R1168" s="1197"/>
      <c r="S1168" s="1197"/>
      <c r="T1168" s="996"/>
      <c r="U1168" s="1198"/>
      <c r="V1168" s="1279" t="e">
        <f>V1167/T1171</f>
        <v>#DIV/0!</v>
      </c>
      <c r="W1168" s="936"/>
      <c r="X1168" s="937"/>
      <c r="Y1168" s="937"/>
      <c r="Z1168" s="937"/>
      <c r="AA1168" s="937"/>
      <c r="AB1168" s="937"/>
      <c r="AC1168" s="937"/>
    </row>
    <row r="1169" spans="1:23" ht="21" hidden="1">
      <c r="A1169" s="1150"/>
      <c r="B1169" s="1196"/>
      <c r="C1169" s="1200" t="s">
        <v>117</v>
      </c>
      <c r="D1169" s="989" t="s">
        <v>90</v>
      </c>
      <c r="E1169" s="1196"/>
      <c r="F1169" s="1196"/>
      <c r="G1169" s="1150"/>
      <c r="H1169" s="1198"/>
      <c r="I1169" s="1198"/>
      <c r="J1169" s="1198"/>
      <c r="K1169" s="1198"/>
      <c r="L1169" s="1198"/>
      <c r="M1169" s="1198"/>
      <c r="N1169" s="1198"/>
      <c r="O1169" s="1198"/>
      <c r="P1169" s="1198"/>
      <c r="Q1169" s="1198"/>
      <c r="R1169" s="1198"/>
      <c r="S1169" s="1198"/>
      <c r="T1169" s="996">
        <f>SUM(H1169:S1169)</f>
        <v>0</v>
      </c>
      <c r="U1169" s="1198">
        <v>403394638</v>
      </c>
      <c r="V1169" s="1199" t="s">
        <v>716</v>
      </c>
      <c r="W1169" s="936"/>
    </row>
    <row r="1170" spans="1:23" ht="21" hidden="1">
      <c r="A1170" s="1150"/>
      <c r="B1170" s="1196"/>
      <c r="C1170" s="1200" t="s">
        <v>120</v>
      </c>
      <c r="D1170" s="989" t="s">
        <v>121</v>
      </c>
      <c r="E1170" s="1196"/>
      <c r="F1170" s="1196"/>
      <c r="G1170" s="1150"/>
      <c r="H1170" s="1198"/>
      <c r="I1170" s="1198"/>
      <c r="J1170" s="1198"/>
      <c r="K1170" s="1198"/>
      <c r="L1170" s="1198"/>
      <c r="M1170" s="1198"/>
      <c r="N1170" s="1198"/>
      <c r="O1170" s="1198"/>
      <c r="P1170" s="1198"/>
      <c r="Q1170" s="1198"/>
      <c r="R1170" s="1198"/>
      <c r="S1170" s="1198"/>
      <c r="T1170" s="996">
        <f>SUM(H1170:S1170)</f>
        <v>0</v>
      </c>
      <c r="U1170" s="1198">
        <v>1683663.6</v>
      </c>
      <c r="V1170" s="1199"/>
      <c r="W1170" s="936"/>
    </row>
    <row r="1171" spans="1:23" ht="21" hidden="1">
      <c r="A1171" s="1150"/>
      <c r="B1171" s="1196"/>
      <c r="C1171" s="1200" t="s">
        <v>727</v>
      </c>
      <c r="D1171" s="989" t="s">
        <v>173</v>
      </c>
      <c r="E1171" s="1196"/>
      <c r="F1171" s="1196"/>
      <c r="G1171" s="1150"/>
      <c r="H1171" s="1197">
        <f>H1180</f>
        <v>0</v>
      </c>
      <c r="I1171" s="1197">
        <f t="shared" ref="I1171:S1171" si="391">I1180</f>
        <v>0</v>
      </c>
      <c r="J1171" s="1197">
        <f t="shared" si="391"/>
        <v>0</v>
      </c>
      <c r="K1171" s="1197">
        <f t="shared" si="391"/>
        <v>0</v>
      </c>
      <c r="L1171" s="1197">
        <f t="shared" si="391"/>
        <v>0</v>
      </c>
      <c r="M1171" s="1197">
        <f t="shared" si="391"/>
        <v>0</v>
      </c>
      <c r="N1171" s="1197">
        <f t="shared" si="391"/>
        <v>0</v>
      </c>
      <c r="O1171" s="1197">
        <f t="shared" si="391"/>
        <v>0</v>
      </c>
      <c r="P1171" s="1197">
        <f t="shared" si="391"/>
        <v>0</v>
      </c>
      <c r="Q1171" s="1197">
        <f t="shared" si="391"/>
        <v>0</v>
      </c>
      <c r="R1171" s="1197">
        <f t="shared" si="391"/>
        <v>0</v>
      </c>
      <c r="S1171" s="1197">
        <f t="shared" si="391"/>
        <v>0</v>
      </c>
      <c r="T1171" s="996">
        <f>SUM(H1171:S1171)</f>
        <v>0</v>
      </c>
      <c r="U1171" s="1198"/>
      <c r="V1171" s="1199"/>
      <c r="W1171" s="936"/>
    </row>
    <row r="1172" spans="1:23" s="1282" customFormat="1" ht="21" hidden="1">
      <c r="A1172" s="1280"/>
      <c r="B1172" s="1280"/>
      <c r="C1172" s="1194"/>
      <c r="D1172" s="1280"/>
      <c r="E1172" s="1280"/>
      <c r="F1172" s="1280"/>
      <c r="G1172" s="1280"/>
      <c r="H1172" s="1261"/>
      <c r="I1172" s="1261"/>
      <c r="J1172" s="1261"/>
      <c r="K1172" s="1261"/>
      <c r="L1172" s="1261"/>
      <c r="M1172" s="1261"/>
      <c r="N1172" s="1261"/>
      <c r="O1172" s="1261"/>
      <c r="P1172" s="1261"/>
      <c r="Q1172" s="1261"/>
      <c r="R1172" s="1261"/>
      <c r="S1172" s="1261"/>
      <c r="T1172" s="1261"/>
      <c r="U1172" s="1261"/>
      <c r="V1172" s="1261"/>
      <c r="W1172" s="1281"/>
    </row>
    <row r="1173" spans="1:23" ht="21" hidden="1">
      <c r="A1173" s="1011"/>
      <c r="B1173" s="1042"/>
      <c r="C1173" s="1043" t="s">
        <v>534</v>
      </c>
      <c r="D1173" s="1042"/>
      <c r="E1173" s="1042"/>
      <c r="F1173" s="1042"/>
      <c r="G1173" s="1042"/>
      <c r="H1173" s="1044"/>
      <c r="I1173" s="1044"/>
      <c r="J1173" s="1044"/>
      <c r="K1173" s="1044"/>
      <c r="L1173" s="1044"/>
      <c r="M1173" s="1044"/>
      <c r="N1173" s="1044"/>
      <c r="O1173" s="1044"/>
      <c r="P1173" s="1044"/>
      <c r="Q1173" s="1044"/>
      <c r="R1173" s="1044"/>
      <c r="S1173" s="1044"/>
      <c r="T1173" s="1045"/>
      <c r="U1173" s="1045"/>
      <c r="V1173" s="1046"/>
      <c r="W1173" s="936"/>
    </row>
    <row r="1174" spans="1:23" ht="21" hidden="1">
      <c r="A1174" s="1011"/>
      <c r="B1174" s="1042"/>
      <c r="C1174" s="1047" t="s">
        <v>138</v>
      </c>
      <c r="D1174" s="1048" t="s">
        <v>90</v>
      </c>
      <c r="E1174" s="1222">
        <v>3.6</v>
      </c>
      <c r="F1174" s="1048"/>
      <c r="G1174" s="1014">
        <f>'[11]Price&amp;Heating-Value'!$P$6</f>
        <v>2.7124999999999999</v>
      </c>
      <c r="H1174" s="1202">
        <f>H1169</f>
        <v>0</v>
      </c>
      <c r="I1174" s="1202">
        <f t="shared" ref="I1174:S1175" si="392">I1169</f>
        <v>0</v>
      </c>
      <c r="J1174" s="1202">
        <f t="shared" si="392"/>
        <v>0</v>
      </c>
      <c r="K1174" s="1202">
        <f t="shared" si="392"/>
        <v>0</v>
      </c>
      <c r="L1174" s="1202">
        <f t="shared" si="392"/>
        <v>0</v>
      </c>
      <c r="M1174" s="1202">
        <f t="shared" si="392"/>
        <v>0</v>
      </c>
      <c r="N1174" s="1202">
        <f t="shared" si="392"/>
        <v>0</v>
      </c>
      <c r="O1174" s="1202">
        <f t="shared" si="392"/>
        <v>0</v>
      </c>
      <c r="P1174" s="1202">
        <f t="shared" si="392"/>
        <v>0</v>
      </c>
      <c r="Q1174" s="1202">
        <f t="shared" si="392"/>
        <v>0</v>
      </c>
      <c r="R1174" s="1202">
        <f t="shared" si="392"/>
        <v>0</v>
      </c>
      <c r="S1174" s="1202">
        <f t="shared" si="392"/>
        <v>0</v>
      </c>
      <c r="T1174" s="1203">
        <f>SUM(H1174:S1174)</f>
        <v>0</v>
      </c>
      <c r="U1174" s="1283">
        <f>T1174*E1174</f>
        <v>0</v>
      </c>
      <c r="V1174" s="1283">
        <f>T1174*G1174</f>
        <v>0</v>
      </c>
      <c r="W1174" s="936"/>
    </row>
    <row r="1175" spans="1:23" ht="21" hidden="1">
      <c r="A1175" s="1011"/>
      <c r="B1175" s="1042"/>
      <c r="C1175" s="1047" t="s">
        <v>415</v>
      </c>
      <c r="D1175" s="1042" t="s">
        <v>121</v>
      </c>
      <c r="E1175" s="1201">
        <f>[6]HeatingValue!$C$39</f>
        <v>3387.2929024789019</v>
      </c>
      <c r="F1175" s="1042"/>
      <c r="G1175" s="1166">
        <f>[6]TransferPrice2007!$AB$10</f>
        <v>994.16666666666663</v>
      </c>
      <c r="H1175" s="1203">
        <f>H1170</f>
        <v>0</v>
      </c>
      <c r="I1175" s="1203">
        <f t="shared" si="392"/>
        <v>0</v>
      </c>
      <c r="J1175" s="1203">
        <f t="shared" si="392"/>
        <v>0</v>
      </c>
      <c r="K1175" s="1203">
        <f t="shared" si="392"/>
        <v>0</v>
      </c>
      <c r="L1175" s="1203">
        <f t="shared" si="392"/>
        <v>0</v>
      </c>
      <c r="M1175" s="1203">
        <f t="shared" si="392"/>
        <v>0</v>
      </c>
      <c r="N1175" s="1203">
        <f t="shared" si="392"/>
        <v>0</v>
      </c>
      <c r="O1175" s="1203">
        <f t="shared" si="392"/>
        <v>0</v>
      </c>
      <c r="P1175" s="1203">
        <f t="shared" si="392"/>
        <v>0</v>
      </c>
      <c r="Q1175" s="1203">
        <f t="shared" si="392"/>
        <v>0</v>
      </c>
      <c r="R1175" s="1203">
        <f t="shared" si="392"/>
        <v>0</v>
      </c>
      <c r="S1175" s="1203">
        <f t="shared" si="392"/>
        <v>0</v>
      </c>
      <c r="T1175" s="1203">
        <f>SUM(H1175:S1175)</f>
        <v>0</v>
      </c>
      <c r="U1175" s="1283">
        <f>T1175*E1175</f>
        <v>0</v>
      </c>
      <c r="V1175" s="1283">
        <f>T1175*G1175</f>
        <v>0</v>
      </c>
      <c r="W1175" s="936"/>
    </row>
    <row r="1176" spans="1:23" ht="21" hidden="1">
      <c r="A1176" s="1011"/>
      <c r="B1176" s="1042"/>
      <c r="C1176" s="1047"/>
      <c r="D1176" s="1042"/>
      <c r="E1176" s="1042"/>
      <c r="F1176" s="1042"/>
      <c r="G1176" s="1042"/>
      <c r="H1176" s="1042"/>
      <c r="I1176" s="1042"/>
      <c r="J1176" s="1042"/>
      <c r="K1176" s="1042"/>
      <c r="L1176" s="1042"/>
      <c r="M1176" s="1042"/>
      <c r="N1176" s="1042"/>
      <c r="O1176" s="1042"/>
      <c r="P1176" s="1042"/>
      <c r="Q1176" s="1042"/>
      <c r="R1176" s="1042"/>
      <c r="S1176" s="1042"/>
      <c r="T1176" s="1045"/>
      <c r="U1176" s="1167"/>
      <c r="V1176" s="1042"/>
      <c r="W1176" s="936"/>
    </row>
    <row r="1177" spans="1:23" ht="21" hidden="1">
      <c r="A1177" s="1011"/>
      <c r="B1177" s="1042"/>
      <c r="C1177" s="1043" t="s">
        <v>536</v>
      </c>
      <c r="D1177" s="1042"/>
      <c r="E1177" s="1042"/>
      <c r="F1177" s="1042"/>
      <c r="G1177" s="1042"/>
      <c r="H1177" s="1044"/>
      <c r="I1177" s="1044"/>
      <c r="J1177" s="1044"/>
      <c r="K1177" s="1044"/>
      <c r="L1177" s="1044"/>
      <c r="M1177" s="1044"/>
      <c r="N1177" s="1044"/>
      <c r="O1177" s="1044"/>
      <c r="P1177" s="1044"/>
      <c r="Q1177" s="1044"/>
      <c r="R1177" s="1044"/>
      <c r="S1177" s="1044"/>
      <c r="T1177" s="1045"/>
      <c r="U1177" s="1045"/>
      <c r="V1177" s="1046"/>
      <c r="W1177" s="936"/>
    </row>
    <row r="1178" spans="1:23" ht="21" hidden="1">
      <c r="A1178" s="1011"/>
      <c r="B1178" s="1042"/>
      <c r="C1178" s="1047" t="s">
        <v>138</v>
      </c>
      <c r="D1178" s="1042" t="s">
        <v>173</v>
      </c>
      <c r="E1178" s="1042"/>
      <c r="F1178" s="1042"/>
      <c r="G1178" s="1042"/>
      <c r="H1178" s="1044">
        <f>H1174*$E1174/1000</f>
        <v>0</v>
      </c>
      <c r="I1178" s="1044">
        <f t="shared" ref="I1178:S1179" si="393">I1174*$E1174/1000</f>
        <v>0</v>
      </c>
      <c r="J1178" s="1044">
        <f t="shared" si="393"/>
        <v>0</v>
      </c>
      <c r="K1178" s="1044">
        <f t="shared" si="393"/>
        <v>0</v>
      </c>
      <c r="L1178" s="1044">
        <f t="shared" si="393"/>
        <v>0</v>
      </c>
      <c r="M1178" s="1044">
        <f t="shared" si="393"/>
        <v>0</v>
      </c>
      <c r="N1178" s="1044">
        <f t="shared" si="393"/>
        <v>0</v>
      </c>
      <c r="O1178" s="1044">
        <f t="shared" si="393"/>
        <v>0</v>
      </c>
      <c r="P1178" s="1044">
        <f t="shared" si="393"/>
        <v>0</v>
      </c>
      <c r="Q1178" s="1044">
        <f t="shared" si="393"/>
        <v>0</v>
      </c>
      <c r="R1178" s="1044">
        <f t="shared" si="393"/>
        <v>0</v>
      </c>
      <c r="S1178" s="1044">
        <f t="shared" si="393"/>
        <v>0</v>
      </c>
      <c r="T1178" s="1045">
        <f>SUM(H1178:S1178)</f>
        <v>0</v>
      </c>
      <c r="U1178" s="1045"/>
      <c r="V1178" s="1046"/>
      <c r="W1178" s="936"/>
    </row>
    <row r="1179" spans="1:23" ht="21" hidden="1">
      <c r="A1179" s="1011"/>
      <c r="B1179" s="1042"/>
      <c r="C1179" s="1047" t="s">
        <v>415</v>
      </c>
      <c r="D1179" s="1042" t="s">
        <v>173</v>
      </c>
      <c r="E1179" s="1042"/>
      <c r="F1179" s="1042"/>
      <c r="G1179" s="1042"/>
      <c r="H1179" s="1044">
        <f>H1175*$E1175/1000</f>
        <v>0</v>
      </c>
      <c r="I1179" s="1044">
        <f>I1175*$E1175/1000</f>
        <v>0</v>
      </c>
      <c r="J1179" s="1044">
        <f>J1175*$E1175/1000</f>
        <v>0</v>
      </c>
      <c r="K1179" s="1044">
        <f t="shared" si="393"/>
        <v>0</v>
      </c>
      <c r="L1179" s="1044">
        <f t="shared" si="393"/>
        <v>0</v>
      </c>
      <c r="M1179" s="1044">
        <f t="shared" si="393"/>
        <v>0</v>
      </c>
      <c r="N1179" s="1044">
        <f t="shared" si="393"/>
        <v>0</v>
      </c>
      <c r="O1179" s="1044">
        <f t="shared" si="393"/>
        <v>0</v>
      </c>
      <c r="P1179" s="1044">
        <f t="shared" si="393"/>
        <v>0</v>
      </c>
      <c r="Q1179" s="1044">
        <f t="shared" si="393"/>
        <v>0</v>
      </c>
      <c r="R1179" s="1044">
        <f t="shared" si="393"/>
        <v>0</v>
      </c>
      <c r="S1179" s="1044">
        <f t="shared" si="393"/>
        <v>0</v>
      </c>
      <c r="T1179" s="1045">
        <f>SUM(H1179:S1179)</f>
        <v>0</v>
      </c>
      <c r="U1179" s="1045"/>
      <c r="V1179" s="1046"/>
      <c r="W1179" s="936"/>
    </row>
    <row r="1180" spans="1:23" ht="21" hidden="1">
      <c r="A1180" s="1011"/>
      <c r="B1180" s="1042"/>
      <c r="C1180" s="1042" t="s">
        <v>537</v>
      </c>
      <c r="D1180" s="1042" t="s">
        <v>173</v>
      </c>
      <c r="E1180" s="1042"/>
      <c r="F1180" s="1042"/>
      <c r="G1180" s="1042"/>
      <c r="H1180" s="1044">
        <f t="shared" ref="H1180:S1180" si="394">SUM(H1178:H1179)</f>
        <v>0</v>
      </c>
      <c r="I1180" s="1044">
        <f t="shared" si="394"/>
        <v>0</v>
      </c>
      <c r="J1180" s="1044">
        <f t="shared" si="394"/>
        <v>0</v>
      </c>
      <c r="K1180" s="1044">
        <f t="shared" si="394"/>
        <v>0</v>
      </c>
      <c r="L1180" s="1044">
        <f t="shared" si="394"/>
        <v>0</v>
      </c>
      <c r="M1180" s="1044">
        <f t="shared" si="394"/>
        <v>0</v>
      </c>
      <c r="N1180" s="1044">
        <f t="shared" si="394"/>
        <v>0</v>
      </c>
      <c r="O1180" s="1044">
        <f t="shared" si="394"/>
        <v>0</v>
      </c>
      <c r="P1180" s="1044">
        <f t="shared" si="394"/>
        <v>0</v>
      </c>
      <c r="Q1180" s="1044">
        <f t="shared" si="394"/>
        <v>0</v>
      </c>
      <c r="R1180" s="1044">
        <f t="shared" si="394"/>
        <v>0</v>
      </c>
      <c r="S1180" s="1044">
        <f t="shared" si="394"/>
        <v>0</v>
      </c>
      <c r="T1180" s="1045">
        <f>SUM(H1180:S1180)</f>
        <v>0</v>
      </c>
      <c r="U1180" s="1045"/>
      <c r="V1180" s="1046"/>
      <c r="W1180" s="936"/>
    </row>
    <row r="1181" spans="1:23" s="1282" customFormat="1" ht="21" hidden="1">
      <c r="A1181" s="1280"/>
      <c r="B1181" s="1280"/>
      <c r="C1181" s="1194"/>
      <c r="D1181" s="1280"/>
      <c r="E1181" s="1280"/>
      <c r="F1181" s="1280"/>
      <c r="G1181" s="1280"/>
      <c r="H1181" s="1261"/>
      <c r="I1181" s="1261"/>
      <c r="J1181" s="1261"/>
      <c r="K1181" s="1261"/>
      <c r="L1181" s="1261"/>
      <c r="M1181" s="1261"/>
      <c r="N1181" s="1261"/>
      <c r="O1181" s="1261"/>
      <c r="P1181" s="1261"/>
      <c r="Q1181" s="1261"/>
      <c r="R1181" s="1261"/>
      <c r="S1181" s="1261"/>
      <c r="T1181" s="1261"/>
      <c r="U1181" s="1261"/>
      <c r="V1181" s="1261"/>
      <c r="W1181" s="1281"/>
    </row>
    <row r="1182" spans="1:23" s="1285" customFormat="1" ht="21" hidden="1">
      <c r="A1182" s="1052"/>
      <c r="B1182" s="1052"/>
      <c r="C1182" s="1031" t="s">
        <v>721</v>
      </c>
      <c r="D1182" s="1052" t="s">
        <v>173</v>
      </c>
      <c r="E1182" s="1052"/>
      <c r="F1182" s="1052"/>
      <c r="G1182" s="1052"/>
      <c r="H1182" s="1089">
        <f>H1160*$E1160/1000</f>
        <v>15579.509081684426</v>
      </c>
      <c r="I1182" s="1089">
        <f t="shared" ref="I1182:S1184" si="395">I1160*$E1160/1000</f>
        <v>2734.061390157281</v>
      </c>
      <c r="J1182" s="1089">
        <f t="shared" si="395"/>
        <v>0</v>
      </c>
      <c r="K1182" s="1089">
        <f t="shared" si="395"/>
        <v>0</v>
      </c>
      <c r="L1182" s="1089">
        <f t="shared" si="395"/>
        <v>0</v>
      </c>
      <c r="M1182" s="1089">
        <f t="shared" si="395"/>
        <v>0</v>
      </c>
      <c r="N1182" s="1089">
        <f t="shared" si="395"/>
        <v>0</v>
      </c>
      <c r="O1182" s="1089">
        <f t="shared" si="395"/>
        <v>0</v>
      </c>
      <c r="P1182" s="1089">
        <f t="shared" si="395"/>
        <v>0</v>
      </c>
      <c r="Q1182" s="1089">
        <f t="shared" si="395"/>
        <v>0</v>
      </c>
      <c r="R1182" s="1089">
        <f t="shared" si="395"/>
        <v>0</v>
      </c>
      <c r="S1182" s="1089">
        <f t="shared" si="395"/>
        <v>0</v>
      </c>
      <c r="T1182" s="1089">
        <f>SUM(H1182:S1182)</f>
        <v>18313.570471841707</v>
      </c>
      <c r="U1182" s="1089"/>
      <c r="V1182" s="1089"/>
      <c r="W1182" s="1284"/>
    </row>
    <row r="1183" spans="1:23" s="1285" customFormat="1" ht="21" hidden="1">
      <c r="A1183" s="1052"/>
      <c r="B1183" s="1052"/>
      <c r="C1183" s="1031" t="s">
        <v>161</v>
      </c>
      <c r="D1183" s="1052" t="s">
        <v>173</v>
      </c>
      <c r="E1183" s="1052"/>
      <c r="F1183" s="1052"/>
      <c r="G1183" s="1052"/>
      <c r="H1183" s="1089">
        <f>H1161*$E1161/1000</f>
        <v>0</v>
      </c>
      <c r="I1183" s="1089">
        <f t="shared" si="395"/>
        <v>0</v>
      </c>
      <c r="J1183" s="1089">
        <f t="shared" si="395"/>
        <v>0</v>
      </c>
      <c r="K1183" s="1089">
        <f t="shared" si="395"/>
        <v>0</v>
      </c>
      <c r="L1183" s="1089">
        <f t="shared" si="395"/>
        <v>0</v>
      </c>
      <c r="M1183" s="1089">
        <f t="shared" si="395"/>
        <v>0</v>
      </c>
      <c r="N1183" s="1089">
        <f t="shared" si="395"/>
        <v>0</v>
      </c>
      <c r="O1183" s="1089">
        <f t="shared" si="395"/>
        <v>0</v>
      </c>
      <c r="P1183" s="1089">
        <f t="shared" si="395"/>
        <v>0</v>
      </c>
      <c r="Q1183" s="1089">
        <f t="shared" si="395"/>
        <v>0</v>
      </c>
      <c r="R1183" s="1089">
        <f t="shared" si="395"/>
        <v>0</v>
      </c>
      <c r="S1183" s="1089">
        <f t="shared" si="395"/>
        <v>0</v>
      </c>
      <c r="T1183" s="1089">
        <f>SUM(H1183:S1183)</f>
        <v>0</v>
      </c>
      <c r="U1183" s="1089"/>
      <c r="V1183" s="1089"/>
      <c r="W1183" s="1284"/>
    </row>
    <row r="1184" spans="1:23" s="1285" customFormat="1" ht="21" hidden="1">
      <c r="A1184" s="1052"/>
      <c r="B1184" s="1052"/>
      <c r="C1184" s="1031" t="s">
        <v>722</v>
      </c>
      <c r="D1184" s="1052" t="s">
        <v>173</v>
      </c>
      <c r="E1184" s="1052"/>
      <c r="F1184" s="1052"/>
      <c r="G1184" s="1052"/>
      <c r="H1184" s="1089">
        <f>H1162*$E1162/1000</f>
        <v>0</v>
      </c>
      <c r="I1184" s="1089">
        <f t="shared" si="395"/>
        <v>0</v>
      </c>
      <c r="J1184" s="1089">
        <f t="shared" si="395"/>
        <v>0</v>
      </c>
      <c r="K1184" s="1089">
        <f t="shared" si="395"/>
        <v>0</v>
      </c>
      <c r="L1184" s="1089">
        <f t="shared" si="395"/>
        <v>0</v>
      </c>
      <c r="M1184" s="1089">
        <f t="shared" si="395"/>
        <v>0</v>
      </c>
      <c r="N1184" s="1089">
        <f t="shared" si="395"/>
        <v>0</v>
      </c>
      <c r="O1184" s="1089">
        <f t="shared" si="395"/>
        <v>0</v>
      </c>
      <c r="P1184" s="1089">
        <f t="shared" si="395"/>
        <v>0</v>
      </c>
      <c r="Q1184" s="1089">
        <f t="shared" si="395"/>
        <v>0</v>
      </c>
      <c r="R1184" s="1089">
        <f t="shared" si="395"/>
        <v>0</v>
      </c>
      <c r="S1184" s="1089">
        <f t="shared" si="395"/>
        <v>0</v>
      </c>
      <c r="T1184" s="1089">
        <f>SUM(H1184:S1184)</f>
        <v>0</v>
      </c>
      <c r="U1184" s="1089"/>
      <c r="V1184" s="1089"/>
      <c r="W1184" s="1284"/>
    </row>
    <row r="1185" spans="1:29" s="1285" customFormat="1" ht="21" hidden="1">
      <c r="A1185" s="1052"/>
      <c r="B1185" s="1052"/>
      <c r="C1185" s="1286" t="s">
        <v>876</v>
      </c>
      <c r="D1185" s="1052" t="s">
        <v>173</v>
      </c>
      <c r="E1185" s="1052"/>
      <c r="F1185" s="1052"/>
      <c r="G1185" s="1052"/>
      <c r="H1185" s="1089">
        <f t="shared" ref="H1185:S1185" si="396">H1166*$E1166/1000</f>
        <v>382565.54366729275</v>
      </c>
      <c r="I1185" s="1089">
        <f t="shared" si="396"/>
        <v>393673.7979411264</v>
      </c>
      <c r="J1185" s="1089">
        <f t="shared" si="396"/>
        <v>450464.78935244156</v>
      </c>
      <c r="K1185" s="1089">
        <f t="shared" si="396"/>
        <v>0</v>
      </c>
      <c r="L1185" s="1089">
        <f t="shared" si="396"/>
        <v>0</v>
      </c>
      <c r="M1185" s="1089">
        <f t="shared" si="396"/>
        <v>0</v>
      </c>
      <c r="N1185" s="1089">
        <f t="shared" si="396"/>
        <v>0</v>
      </c>
      <c r="O1185" s="1089">
        <f t="shared" si="396"/>
        <v>0</v>
      </c>
      <c r="P1185" s="1089">
        <f t="shared" si="396"/>
        <v>0</v>
      </c>
      <c r="Q1185" s="1089">
        <f t="shared" si="396"/>
        <v>0</v>
      </c>
      <c r="R1185" s="1089">
        <f t="shared" si="396"/>
        <v>0</v>
      </c>
      <c r="S1185" s="1089">
        <f t="shared" si="396"/>
        <v>0</v>
      </c>
      <c r="T1185" s="1089">
        <f>SUM(H1185:S1185)</f>
        <v>1226704.1309608608</v>
      </c>
      <c r="U1185" s="1089"/>
      <c r="V1185" s="1089"/>
      <c r="W1185" s="1284"/>
    </row>
    <row r="1186" spans="1:29" s="1282" customFormat="1" ht="21" hidden="1">
      <c r="A1186" s="1280"/>
      <c r="B1186" s="1280"/>
      <c r="C1186" s="1280" t="s">
        <v>625</v>
      </c>
      <c r="D1186" s="1052" t="s">
        <v>173</v>
      </c>
      <c r="E1186" s="1280"/>
      <c r="F1186" s="1280"/>
      <c r="G1186" s="1280"/>
      <c r="H1186" s="1261">
        <f>SUM(H1182:H1185)</f>
        <v>398145.05274897715</v>
      </c>
      <c r="I1186" s="1261">
        <f t="shared" ref="I1186:S1186" si="397">SUM(I1182:I1185)</f>
        <v>396407.85933128366</v>
      </c>
      <c r="J1186" s="1261">
        <f t="shared" si="397"/>
        <v>450464.78935244156</v>
      </c>
      <c r="K1186" s="1261">
        <f t="shared" si="397"/>
        <v>0</v>
      </c>
      <c r="L1186" s="1261">
        <f t="shared" si="397"/>
        <v>0</v>
      </c>
      <c r="M1186" s="1261">
        <f t="shared" si="397"/>
        <v>0</v>
      </c>
      <c r="N1186" s="1261">
        <f t="shared" si="397"/>
        <v>0</v>
      </c>
      <c r="O1186" s="1261">
        <f t="shared" si="397"/>
        <v>0</v>
      </c>
      <c r="P1186" s="1261">
        <f t="shared" si="397"/>
        <v>0</v>
      </c>
      <c r="Q1186" s="1261">
        <f t="shared" si="397"/>
        <v>0</v>
      </c>
      <c r="R1186" s="1261">
        <f t="shared" si="397"/>
        <v>0</v>
      </c>
      <c r="S1186" s="1261">
        <f t="shared" si="397"/>
        <v>0</v>
      </c>
      <c r="T1186" s="987">
        <f>SUM(H1186:S1186)</f>
        <v>1245017.7014327024</v>
      </c>
      <c r="U1186" s="1261"/>
      <c r="V1186" s="1261">
        <f>V1167/T1186</f>
        <v>1711.6358131602567</v>
      </c>
      <c r="W1186" s="1281"/>
    </row>
    <row r="1187" spans="1:29" s="1282" customFormat="1" ht="21" hidden="1">
      <c r="A1187" s="1280"/>
      <c r="B1187" s="1280"/>
      <c r="C1187" s="1280" t="s">
        <v>728</v>
      </c>
      <c r="D1187" s="1052" t="s">
        <v>173</v>
      </c>
      <c r="E1187" s="1280"/>
      <c r="F1187" s="1280"/>
      <c r="G1187" s="1280"/>
      <c r="H1187" s="1261">
        <f>H1186-H1180</f>
        <v>398145.05274897715</v>
      </c>
      <c r="I1187" s="1261">
        <f t="shared" ref="I1187:T1187" si="398">I1186-I1180</f>
        <v>396407.85933128366</v>
      </c>
      <c r="J1187" s="1261">
        <f t="shared" si="398"/>
        <v>450464.78935244156</v>
      </c>
      <c r="K1187" s="1261">
        <f t="shared" si="398"/>
        <v>0</v>
      </c>
      <c r="L1187" s="1261">
        <f t="shared" si="398"/>
        <v>0</v>
      </c>
      <c r="M1187" s="1261">
        <f t="shared" si="398"/>
        <v>0</v>
      </c>
      <c r="N1187" s="1261">
        <f t="shared" si="398"/>
        <v>0</v>
      </c>
      <c r="O1187" s="1261">
        <f t="shared" si="398"/>
        <v>0</v>
      </c>
      <c r="P1187" s="1261">
        <f t="shared" si="398"/>
        <v>0</v>
      </c>
      <c r="Q1187" s="1261">
        <f t="shared" si="398"/>
        <v>0</v>
      </c>
      <c r="R1187" s="1261">
        <f t="shared" si="398"/>
        <v>0</v>
      </c>
      <c r="S1187" s="1261">
        <f t="shared" si="398"/>
        <v>0</v>
      </c>
      <c r="T1187" s="1261">
        <f t="shared" si="398"/>
        <v>1245017.7014327024</v>
      </c>
      <c r="U1187" s="1261"/>
      <c r="V1187" s="1261" t="s">
        <v>158</v>
      </c>
      <c r="W1187" s="1281"/>
    </row>
    <row r="1188" spans="1:29" s="1282" customFormat="1" ht="21" hidden="1">
      <c r="A1188" s="1280"/>
      <c r="B1188" s="1280"/>
      <c r="C1188" s="1194"/>
      <c r="D1188" s="1280"/>
      <c r="E1188" s="1280"/>
      <c r="F1188" s="1280"/>
      <c r="G1188" s="1280"/>
      <c r="H1188" s="1261"/>
      <c r="I1188" s="1261"/>
      <c r="J1188" s="1261"/>
      <c r="K1188" s="1261"/>
      <c r="L1188" s="1261"/>
      <c r="M1188" s="1261"/>
      <c r="N1188" s="1261"/>
      <c r="O1188" s="1261"/>
      <c r="P1188" s="1261"/>
      <c r="Q1188" s="1261"/>
      <c r="R1188" s="1261"/>
      <c r="S1188" s="1261"/>
      <c r="T1188" s="1261"/>
      <c r="U1188" s="1261"/>
      <c r="V1188" s="1261"/>
      <c r="W1188" s="1281"/>
    </row>
    <row r="1189" spans="1:29" s="1189" customFormat="1" ht="21" hidden="1">
      <c r="A1189" s="956"/>
      <c r="B1189" s="1124"/>
      <c r="C1189" s="1208" t="s">
        <v>729</v>
      </c>
      <c r="D1189" s="1124"/>
      <c r="E1189" s="1124"/>
      <c r="F1189" s="1124"/>
      <c r="G1189" s="1124"/>
      <c r="H1189" s="1127"/>
      <c r="I1189" s="1127"/>
      <c r="J1189" s="1127"/>
      <c r="K1189" s="1127"/>
      <c r="L1189" s="1127"/>
      <c r="M1189" s="1127"/>
      <c r="N1189" s="1127"/>
      <c r="O1189" s="1127"/>
      <c r="P1189" s="1127"/>
      <c r="Q1189" s="1127"/>
      <c r="R1189" s="1127"/>
      <c r="S1189" s="1127"/>
      <c r="T1189" s="1127"/>
      <c r="U1189" s="1127"/>
      <c r="V1189" s="1127"/>
      <c r="W1189" s="1188"/>
    </row>
    <row r="1190" spans="1:29" s="1189" customFormat="1" ht="21" hidden="1">
      <c r="A1190" s="956"/>
      <c r="B1190" s="1124"/>
      <c r="C1190" s="1209" t="s">
        <v>721</v>
      </c>
      <c r="D1190" s="1124" t="s">
        <v>671</v>
      </c>
      <c r="E1190" s="1124"/>
      <c r="F1190" s="1124"/>
      <c r="G1190" s="1124"/>
      <c r="H1190" s="1159" t="e">
        <f>H1182/H$1171</f>
        <v>#DIV/0!</v>
      </c>
      <c r="I1190" s="1159" t="e">
        <f t="shared" ref="I1190:S1190" si="399">I1182/I$1171</f>
        <v>#DIV/0!</v>
      </c>
      <c r="J1190" s="1159" t="e">
        <f t="shared" si="399"/>
        <v>#DIV/0!</v>
      </c>
      <c r="K1190" s="1159" t="e">
        <f t="shared" si="399"/>
        <v>#DIV/0!</v>
      </c>
      <c r="L1190" s="1159" t="e">
        <f t="shared" si="399"/>
        <v>#DIV/0!</v>
      </c>
      <c r="M1190" s="1159" t="e">
        <f t="shared" si="399"/>
        <v>#DIV/0!</v>
      </c>
      <c r="N1190" s="1159" t="e">
        <f t="shared" si="399"/>
        <v>#DIV/0!</v>
      </c>
      <c r="O1190" s="1159" t="e">
        <f t="shared" si="399"/>
        <v>#DIV/0!</v>
      </c>
      <c r="P1190" s="1159" t="e">
        <f t="shared" si="399"/>
        <v>#DIV/0!</v>
      </c>
      <c r="Q1190" s="1159" t="e">
        <f t="shared" si="399"/>
        <v>#DIV/0!</v>
      </c>
      <c r="R1190" s="1159" t="e">
        <f t="shared" si="399"/>
        <v>#DIV/0!</v>
      </c>
      <c r="S1190" s="1159" t="e">
        <f t="shared" si="399"/>
        <v>#DIV/0!</v>
      </c>
      <c r="T1190" s="1159" t="e">
        <f>T1182/T$1111</f>
        <v>#VALUE!</v>
      </c>
      <c r="U1190" s="1127"/>
      <c r="V1190" s="1127"/>
      <c r="W1190" s="1188"/>
    </row>
    <row r="1191" spans="1:29" s="1189" customFormat="1" ht="21" hidden="1">
      <c r="A1191" s="956"/>
      <c r="B1191" s="1124"/>
      <c r="C1191" s="1209" t="s">
        <v>161</v>
      </c>
      <c r="D1191" s="1124" t="s">
        <v>671</v>
      </c>
      <c r="E1191" s="1124"/>
      <c r="F1191" s="1124"/>
      <c r="G1191" s="1124"/>
      <c r="H1191" s="1159" t="e">
        <f t="shared" ref="H1191:S1195" si="400">H1183/H$1171</f>
        <v>#DIV/0!</v>
      </c>
      <c r="I1191" s="1159" t="e">
        <f t="shared" si="400"/>
        <v>#DIV/0!</v>
      </c>
      <c r="J1191" s="1159" t="e">
        <f t="shared" si="400"/>
        <v>#DIV/0!</v>
      </c>
      <c r="K1191" s="1159" t="e">
        <f t="shared" si="400"/>
        <v>#DIV/0!</v>
      </c>
      <c r="L1191" s="1159" t="e">
        <f t="shared" si="400"/>
        <v>#DIV/0!</v>
      </c>
      <c r="M1191" s="1159" t="e">
        <f t="shared" si="400"/>
        <v>#DIV/0!</v>
      </c>
      <c r="N1191" s="1159" t="e">
        <f t="shared" si="400"/>
        <v>#DIV/0!</v>
      </c>
      <c r="O1191" s="1159" t="e">
        <f t="shared" si="400"/>
        <v>#DIV/0!</v>
      </c>
      <c r="P1191" s="1159" t="e">
        <f t="shared" si="400"/>
        <v>#DIV/0!</v>
      </c>
      <c r="Q1191" s="1159" t="e">
        <f t="shared" si="400"/>
        <v>#DIV/0!</v>
      </c>
      <c r="R1191" s="1159" t="e">
        <f t="shared" si="400"/>
        <v>#DIV/0!</v>
      </c>
      <c r="S1191" s="1159" t="e">
        <f t="shared" si="400"/>
        <v>#DIV/0!</v>
      </c>
      <c r="T1191" s="1159" t="e">
        <f>T1183/T$1111</f>
        <v>#VALUE!</v>
      </c>
      <c r="U1191" s="1127"/>
      <c r="V1191" s="1127"/>
      <c r="W1191" s="1188"/>
    </row>
    <row r="1192" spans="1:29" s="1189" customFormat="1" ht="21" hidden="1">
      <c r="A1192" s="956"/>
      <c r="B1192" s="1124"/>
      <c r="C1192" s="1209" t="s">
        <v>722</v>
      </c>
      <c r="D1192" s="1124" t="s">
        <v>671</v>
      </c>
      <c r="E1192" s="1124"/>
      <c r="F1192" s="1124"/>
      <c r="G1192" s="1124"/>
      <c r="H1192" s="1159" t="e">
        <f t="shared" si="400"/>
        <v>#DIV/0!</v>
      </c>
      <c r="I1192" s="1159" t="e">
        <f t="shared" si="400"/>
        <v>#DIV/0!</v>
      </c>
      <c r="J1192" s="1159" t="e">
        <f t="shared" si="400"/>
        <v>#DIV/0!</v>
      </c>
      <c r="K1192" s="1159" t="e">
        <f t="shared" si="400"/>
        <v>#DIV/0!</v>
      </c>
      <c r="L1192" s="1159" t="e">
        <f t="shared" si="400"/>
        <v>#DIV/0!</v>
      </c>
      <c r="M1192" s="1159" t="e">
        <f t="shared" si="400"/>
        <v>#DIV/0!</v>
      </c>
      <c r="N1192" s="1159" t="e">
        <f t="shared" si="400"/>
        <v>#DIV/0!</v>
      </c>
      <c r="O1192" s="1159" t="e">
        <f t="shared" si="400"/>
        <v>#DIV/0!</v>
      </c>
      <c r="P1192" s="1159" t="e">
        <f t="shared" si="400"/>
        <v>#DIV/0!</v>
      </c>
      <c r="Q1192" s="1159" t="e">
        <f t="shared" si="400"/>
        <v>#DIV/0!</v>
      </c>
      <c r="R1192" s="1159" t="e">
        <f t="shared" si="400"/>
        <v>#DIV/0!</v>
      </c>
      <c r="S1192" s="1159" t="e">
        <f t="shared" si="400"/>
        <v>#DIV/0!</v>
      </c>
      <c r="T1192" s="1159" t="e">
        <f>T1184/T$1111</f>
        <v>#VALUE!</v>
      </c>
      <c r="U1192" s="1127"/>
      <c r="V1192" s="1127"/>
      <c r="W1192" s="1188"/>
    </row>
    <row r="1193" spans="1:29" s="1189" customFormat="1" ht="21" hidden="1">
      <c r="A1193" s="956"/>
      <c r="B1193" s="1124"/>
      <c r="C1193" s="1209" t="s">
        <v>876</v>
      </c>
      <c r="D1193" s="1124" t="s">
        <v>671</v>
      </c>
      <c r="E1193" s="1124"/>
      <c r="F1193" s="1124"/>
      <c r="G1193" s="1124"/>
      <c r="H1193" s="1159" t="e">
        <f t="shared" si="400"/>
        <v>#DIV/0!</v>
      </c>
      <c r="I1193" s="1159" t="e">
        <f t="shared" si="400"/>
        <v>#DIV/0!</v>
      </c>
      <c r="J1193" s="1159" t="e">
        <f t="shared" si="400"/>
        <v>#DIV/0!</v>
      </c>
      <c r="K1193" s="1159" t="e">
        <f t="shared" si="400"/>
        <v>#DIV/0!</v>
      </c>
      <c r="L1193" s="1159" t="e">
        <f t="shared" si="400"/>
        <v>#DIV/0!</v>
      </c>
      <c r="M1193" s="1159" t="e">
        <f t="shared" si="400"/>
        <v>#DIV/0!</v>
      </c>
      <c r="N1193" s="1159" t="e">
        <f t="shared" si="400"/>
        <v>#DIV/0!</v>
      </c>
      <c r="O1193" s="1159" t="e">
        <f t="shared" si="400"/>
        <v>#DIV/0!</v>
      </c>
      <c r="P1193" s="1159" t="e">
        <f t="shared" si="400"/>
        <v>#DIV/0!</v>
      </c>
      <c r="Q1193" s="1159" t="e">
        <f t="shared" si="400"/>
        <v>#DIV/0!</v>
      </c>
      <c r="R1193" s="1159" t="e">
        <f t="shared" si="400"/>
        <v>#DIV/0!</v>
      </c>
      <c r="S1193" s="1159" t="e">
        <f t="shared" si="400"/>
        <v>#DIV/0!</v>
      </c>
      <c r="T1193" s="1159" t="e">
        <f>T1185/T$1111</f>
        <v>#VALUE!</v>
      </c>
      <c r="U1193" s="1127"/>
      <c r="V1193" s="1127"/>
      <c r="W1193" s="1188"/>
    </row>
    <row r="1194" spans="1:29" s="1189" customFormat="1" ht="23.25" hidden="1">
      <c r="A1194" s="956"/>
      <c r="B1194" s="1124"/>
      <c r="C1194" s="1210" t="s">
        <v>628</v>
      </c>
      <c r="D1194" s="1124" t="s">
        <v>671</v>
      </c>
      <c r="E1194" s="1124"/>
      <c r="F1194" s="1124"/>
      <c r="G1194" s="1124"/>
      <c r="H1194" s="1159" t="e">
        <f t="shared" si="400"/>
        <v>#DIV/0!</v>
      </c>
      <c r="I1194" s="1159" t="e">
        <f t="shared" si="400"/>
        <v>#DIV/0!</v>
      </c>
      <c r="J1194" s="1159" t="e">
        <f t="shared" si="400"/>
        <v>#DIV/0!</v>
      </c>
      <c r="K1194" s="1159" t="e">
        <f t="shared" si="400"/>
        <v>#DIV/0!</v>
      </c>
      <c r="L1194" s="1159" t="e">
        <f t="shared" si="400"/>
        <v>#DIV/0!</v>
      </c>
      <c r="M1194" s="1159" t="e">
        <f t="shared" si="400"/>
        <v>#DIV/0!</v>
      </c>
      <c r="N1194" s="1159" t="e">
        <f t="shared" si="400"/>
        <v>#DIV/0!</v>
      </c>
      <c r="O1194" s="1159" t="e">
        <f t="shared" si="400"/>
        <v>#DIV/0!</v>
      </c>
      <c r="P1194" s="1159" t="e">
        <f t="shared" si="400"/>
        <v>#DIV/0!</v>
      </c>
      <c r="Q1194" s="1159" t="e">
        <f t="shared" si="400"/>
        <v>#DIV/0!</v>
      </c>
      <c r="R1194" s="1159" t="e">
        <f t="shared" si="400"/>
        <v>#DIV/0!</v>
      </c>
      <c r="S1194" s="1159" t="e">
        <f t="shared" si="400"/>
        <v>#DIV/0!</v>
      </c>
      <c r="T1194" s="1212" t="e">
        <f>T1186/T1171</f>
        <v>#DIV/0!</v>
      </c>
      <c r="U1194" s="1127"/>
      <c r="V1194" s="1127"/>
      <c r="W1194" s="1188"/>
    </row>
    <row r="1195" spans="1:29" s="1282" customFormat="1" ht="23.25" hidden="1">
      <c r="A1195" s="1280"/>
      <c r="B1195" s="1124"/>
      <c r="C1195" s="1210" t="s">
        <v>629</v>
      </c>
      <c r="D1195" s="1124" t="s">
        <v>671</v>
      </c>
      <c r="E1195" s="1124"/>
      <c r="F1195" s="1124"/>
      <c r="G1195" s="1124"/>
      <c r="H1195" s="1159" t="e">
        <f t="shared" si="400"/>
        <v>#DIV/0!</v>
      </c>
      <c r="I1195" s="1159" t="e">
        <f t="shared" si="400"/>
        <v>#DIV/0!</v>
      </c>
      <c r="J1195" s="1159" t="e">
        <f t="shared" si="400"/>
        <v>#DIV/0!</v>
      </c>
      <c r="K1195" s="1159" t="e">
        <f t="shared" si="400"/>
        <v>#DIV/0!</v>
      </c>
      <c r="L1195" s="1159" t="e">
        <f t="shared" si="400"/>
        <v>#DIV/0!</v>
      </c>
      <c r="M1195" s="1159" t="e">
        <f t="shared" si="400"/>
        <v>#DIV/0!</v>
      </c>
      <c r="N1195" s="1159" t="e">
        <f t="shared" si="400"/>
        <v>#DIV/0!</v>
      </c>
      <c r="O1195" s="1159" t="e">
        <f t="shared" si="400"/>
        <v>#DIV/0!</v>
      </c>
      <c r="P1195" s="1159" t="e">
        <f t="shared" si="400"/>
        <v>#DIV/0!</v>
      </c>
      <c r="Q1195" s="1159" t="e">
        <f t="shared" si="400"/>
        <v>#DIV/0!</v>
      </c>
      <c r="R1195" s="1159" t="e">
        <f t="shared" si="400"/>
        <v>#DIV/0!</v>
      </c>
      <c r="S1195" s="1159" t="e">
        <f t="shared" si="400"/>
        <v>#DIV/0!</v>
      </c>
      <c r="T1195" s="1212" t="e">
        <f>T1187/T1171</f>
        <v>#DIV/0!</v>
      </c>
      <c r="U1195" s="1127"/>
      <c r="V1195" s="1127"/>
      <c r="W1195" s="1281"/>
    </row>
    <row r="1196" spans="1:29" s="1282" customFormat="1" ht="21" hidden="1">
      <c r="A1196" s="1280"/>
      <c r="B1196" s="1280"/>
      <c r="C1196" s="1194"/>
      <c r="D1196" s="1280"/>
      <c r="E1196" s="1280"/>
      <c r="F1196" s="1280"/>
      <c r="G1196" s="1280"/>
      <c r="H1196" s="1261"/>
      <c r="I1196" s="1261"/>
      <c r="J1196" s="1261"/>
      <c r="K1196" s="1261"/>
      <c r="L1196" s="1261"/>
      <c r="M1196" s="1261"/>
      <c r="N1196" s="1261"/>
      <c r="O1196" s="1261"/>
      <c r="P1196" s="1261"/>
      <c r="Q1196" s="1261"/>
      <c r="R1196" s="1261"/>
      <c r="S1196" s="1261"/>
      <c r="T1196" s="1261"/>
      <c r="U1196" s="1261"/>
      <c r="V1196" s="1261"/>
      <c r="W1196" s="1281"/>
    </row>
    <row r="1197" spans="1:29" s="1282" customFormat="1" ht="21" hidden="1">
      <c r="A1197" s="1280"/>
      <c r="B1197" s="1280"/>
      <c r="C1197" s="1194"/>
      <c r="D1197" s="1280"/>
      <c r="E1197" s="1280"/>
      <c r="F1197" s="1280"/>
      <c r="G1197" s="1280"/>
      <c r="H1197" s="1261"/>
      <c r="I1197" s="1261"/>
      <c r="J1197" s="1261"/>
      <c r="K1197" s="1261"/>
      <c r="L1197" s="1261"/>
      <c r="M1197" s="1261"/>
      <c r="N1197" s="1261"/>
      <c r="O1197" s="1261"/>
      <c r="P1197" s="1261"/>
      <c r="Q1197" s="1261"/>
      <c r="R1197" s="1261"/>
      <c r="S1197" s="1261"/>
      <c r="T1197" s="1261"/>
      <c r="U1197" s="1261"/>
      <c r="V1197" s="1261"/>
      <c r="W1197" s="1281"/>
    </row>
    <row r="1198" spans="1:29" s="1282" customFormat="1" ht="21" hidden="1">
      <c r="A1198" s="1287"/>
      <c r="C1198" s="1288"/>
      <c r="H1198" s="1281"/>
      <c r="I1198" s="1281"/>
      <c r="J1198" s="1281"/>
      <c r="K1198" s="1281"/>
      <c r="L1198" s="1281"/>
      <c r="M1198" s="1281"/>
      <c r="N1198" s="1281"/>
      <c r="O1198" s="1281"/>
      <c r="P1198" s="1281"/>
      <c r="Q1198" s="1281"/>
      <c r="R1198" s="1281"/>
      <c r="S1198" s="1281"/>
      <c r="T1198" s="1289"/>
      <c r="U1198" s="1289"/>
      <c r="V1198" s="1289"/>
      <c r="W1198" s="1281"/>
    </row>
    <row r="1199" spans="1:29" s="1282" customFormat="1" ht="21" hidden="1">
      <c r="A1199" s="964">
        <v>28</v>
      </c>
      <c r="B1199" s="1282" t="s">
        <v>167</v>
      </c>
      <c r="D1199" s="1290"/>
      <c r="E1199" s="1291"/>
      <c r="H1199" s="1281"/>
      <c r="I1199" s="1281"/>
      <c r="J1199" s="1281"/>
      <c r="K1199" s="1281"/>
      <c r="L1199" s="1281"/>
      <c r="M1199" s="1281"/>
      <c r="N1199" s="1281"/>
      <c r="O1199" s="1281"/>
      <c r="P1199" s="1281"/>
      <c r="Q1199" s="1281"/>
      <c r="R1199" s="1281"/>
      <c r="S1199" s="1281"/>
      <c r="T1199" s="1289"/>
      <c r="U1199" s="1289"/>
      <c r="V1199" s="1289"/>
      <c r="W1199" s="1281"/>
    </row>
    <row r="1200" spans="1:29" ht="21" hidden="1">
      <c r="A1200" s="964"/>
      <c r="B1200" s="1292" t="s">
        <v>156</v>
      </c>
      <c r="C1200" s="1031" t="s">
        <v>730</v>
      </c>
      <c r="D1200" s="964" t="s">
        <v>90</v>
      </c>
      <c r="E1200" s="984">
        <f>'[11]Price&amp;Heating-Value'!$R$6</f>
        <v>3.6</v>
      </c>
      <c r="F1200" s="964"/>
      <c r="G1200" s="1014">
        <f>'[11]Price&amp;Heating-Value'!$P$6</f>
        <v>2.7124999999999999</v>
      </c>
      <c r="H1200" s="966"/>
      <c r="I1200" s="966"/>
      <c r="J1200" s="966"/>
      <c r="K1200" s="966"/>
      <c r="L1200" s="966"/>
      <c r="M1200" s="966"/>
      <c r="N1200" s="966"/>
      <c r="O1200" s="966"/>
      <c r="P1200" s="966"/>
      <c r="Q1200" s="1154"/>
      <c r="R1200" s="966"/>
      <c r="S1200" s="966"/>
      <c r="T1200" s="966">
        <f>SUM(H1200:S1200)</f>
        <v>0</v>
      </c>
      <c r="U1200" s="966">
        <f>T1200*E1200</f>
        <v>0</v>
      </c>
      <c r="V1200" s="966">
        <f>G1200*T1200</f>
        <v>0</v>
      </c>
      <c r="W1200" s="954"/>
      <c r="X1200" s="954"/>
      <c r="Y1200" s="954"/>
      <c r="Z1200" s="954"/>
      <c r="AA1200" s="954"/>
      <c r="AB1200" s="954"/>
      <c r="AC1200" s="954"/>
    </row>
    <row r="1201" spans="1:29" ht="21" hidden="1">
      <c r="A1201" s="1011"/>
      <c r="B1201" s="1293"/>
      <c r="C1201" s="1031" t="s">
        <v>934</v>
      </c>
      <c r="D1201" s="964" t="s">
        <v>90</v>
      </c>
      <c r="E1201" s="1294">
        <v>0.69</v>
      </c>
      <c r="F1201" s="964"/>
      <c r="G1201" s="1014"/>
      <c r="H1201" s="981"/>
      <c r="I1201" s="981"/>
      <c r="J1201" s="981"/>
      <c r="K1201" s="981"/>
      <c r="L1201" s="981"/>
      <c r="M1201" s="981"/>
      <c r="N1201" s="981"/>
      <c r="O1201" s="981"/>
      <c r="P1201" s="981"/>
      <c r="Q1201" s="981"/>
      <c r="R1201" s="981"/>
      <c r="S1201" s="981"/>
      <c r="T1201" s="966">
        <f>SUM(H1201:S1201)</f>
        <v>0</v>
      </c>
      <c r="U1201" s="966"/>
      <c r="V1201" s="966"/>
      <c r="W1201" s="954"/>
      <c r="X1201" s="954"/>
      <c r="Y1201" s="954"/>
      <c r="Z1201" s="954"/>
      <c r="AA1201" s="954"/>
      <c r="AB1201" s="954"/>
      <c r="AC1201" s="954"/>
    </row>
    <row r="1202" spans="1:29" ht="21" hidden="1">
      <c r="A1202" s="1011"/>
      <c r="B1202" s="1011"/>
      <c r="C1202" s="1031" t="s">
        <v>935</v>
      </c>
      <c r="D1202" s="964" t="s">
        <v>90</v>
      </c>
      <c r="E1202" s="1294">
        <v>0.31</v>
      </c>
      <c r="F1202" s="964"/>
      <c r="G1202" s="1014"/>
      <c r="H1202" s="981"/>
      <c r="I1202" s="981"/>
      <c r="J1202" s="981"/>
      <c r="K1202" s="981"/>
      <c r="L1202" s="981"/>
      <c r="M1202" s="981"/>
      <c r="N1202" s="981"/>
      <c r="O1202" s="981"/>
      <c r="P1202" s="981"/>
      <c r="Q1202" s="981"/>
      <c r="R1202" s="981"/>
      <c r="S1202" s="981"/>
      <c r="T1202" s="966">
        <f>SUM(H1202:S1202)</f>
        <v>0</v>
      </c>
      <c r="U1202" s="966">
        <f>T1202*E1202</f>
        <v>0</v>
      </c>
      <c r="V1202" s="966">
        <f>G1202*T1202</f>
        <v>0</v>
      </c>
      <c r="W1202" s="982"/>
      <c r="X1202" s="982"/>
      <c r="Y1202" s="982"/>
      <c r="Z1202" s="982"/>
      <c r="AA1202" s="982"/>
      <c r="AB1202" s="982"/>
      <c r="AC1202" s="982"/>
    </row>
    <row r="1203" spans="1:29" ht="21" hidden="1">
      <c r="A1203" s="1011"/>
      <c r="B1203" s="1011"/>
      <c r="C1203" s="1031" t="s">
        <v>434</v>
      </c>
      <c r="D1203" s="964" t="s">
        <v>176</v>
      </c>
      <c r="E1203" s="964">
        <f>'[11]Price&amp;Heating-Value'!$R$18/'[11]Price&amp;Heating-Value'!$T$18/1000</f>
        <v>36.42</v>
      </c>
      <c r="F1203" s="984">
        <f>'[11]Price&amp;Heating-Value'!$T$18</f>
        <v>0.83520000000000005</v>
      </c>
      <c r="G1203" s="965">
        <f>'[11]Price&amp;Heating-Value'!$P$18*'[11]Price&amp;Heating-Value'!$T$18/1000</f>
        <v>25.160039938320001</v>
      </c>
      <c r="H1203" s="981"/>
      <c r="I1203" s="981"/>
      <c r="J1203" s="981"/>
      <c r="K1203" s="981"/>
      <c r="L1203" s="981"/>
      <c r="M1203" s="981"/>
      <c r="N1203" s="981"/>
      <c r="O1203" s="981"/>
      <c r="P1203" s="981"/>
      <c r="Q1203" s="1185"/>
      <c r="R1203" s="981"/>
      <c r="S1203" s="981"/>
      <c r="T1203" s="966">
        <f>SUM(H1203:S1203)</f>
        <v>0</v>
      </c>
      <c r="U1203" s="981"/>
      <c r="V1203" s="981"/>
      <c r="W1203" s="982"/>
      <c r="X1203" s="982"/>
      <c r="Y1203" s="982"/>
      <c r="Z1203" s="982"/>
      <c r="AA1203" s="982"/>
      <c r="AB1203" s="982"/>
      <c r="AC1203" s="982"/>
    </row>
    <row r="1204" spans="1:29" ht="21" hidden="1">
      <c r="A1204" s="1011"/>
      <c r="B1204" s="1011"/>
      <c r="C1204" s="1295"/>
      <c r="D1204" s="1011"/>
      <c r="E1204" s="1011"/>
      <c r="F1204" s="1011"/>
      <c r="G1204" s="1011"/>
      <c r="H1204" s="1056"/>
      <c r="I1204" s="1056"/>
      <c r="J1204" s="1056"/>
      <c r="K1204" s="1056"/>
      <c r="L1204" s="1056"/>
      <c r="M1204" s="1056"/>
      <c r="N1204" s="1056"/>
      <c r="O1204" s="1056"/>
      <c r="P1204" s="1056"/>
      <c r="Q1204" s="1296"/>
      <c r="R1204" s="1056"/>
      <c r="S1204" s="1056"/>
      <c r="T1204" s="987"/>
      <c r="U1204" s="1056">
        <f>SUM(U1200:U1202)</f>
        <v>0</v>
      </c>
      <c r="V1204" s="981">
        <f>SUM(V1200:V1202)</f>
        <v>0</v>
      </c>
      <c r="W1204" s="936"/>
      <c r="X1204" s="937"/>
      <c r="Y1204" s="937"/>
      <c r="Z1204" s="937"/>
      <c r="AA1204" s="937"/>
      <c r="AB1204" s="937"/>
      <c r="AC1204" s="937"/>
    </row>
    <row r="1205" spans="1:29" ht="21" hidden="1">
      <c r="A1205" s="1011"/>
      <c r="B1205" s="989"/>
      <c r="C1205" s="990" t="s">
        <v>107</v>
      </c>
      <c r="D1205" s="989" t="s">
        <v>147</v>
      </c>
      <c r="E1205" s="989"/>
      <c r="F1205" s="989"/>
      <c r="G1205" s="1011"/>
      <c r="H1205" s="994"/>
      <c r="I1205" s="994"/>
      <c r="J1205" s="994"/>
      <c r="K1205" s="994"/>
      <c r="L1205" s="994"/>
      <c r="M1205" s="994"/>
      <c r="N1205" s="994"/>
      <c r="O1205" s="994"/>
      <c r="P1205" s="994"/>
      <c r="Q1205" s="1297"/>
      <c r="R1205" s="1297"/>
      <c r="S1205" s="994"/>
      <c r="T1205" s="996">
        <f>SUM(H1205:S1205)</f>
        <v>0</v>
      </c>
      <c r="U1205" s="995"/>
      <c r="V1205" s="1026" t="e">
        <f>V1204/T1205</f>
        <v>#DIV/0!</v>
      </c>
      <c r="W1205" s="936"/>
      <c r="X1205" s="937"/>
      <c r="Y1205" s="937"/>
      <c r="Z1205" s="937"/>
      <c r="AA1205" s="937"/>
      <c r="AB1205" s="937"/>
      <c r="AC1205" s="937"/>
    </row>
    <row r="1206" spans="1:29" ht="21" hidden="1">
      <c r="A1206" s="1011"/>
      <c r="B1206" s="1011"/>
      <c r="C1206" s="1030"/>
      <c r="D1206" s="1011"/>
      <c r="E1206" s="1011"/>
      <c r="F1206" s="1011"/>
      <c r="G1206" s="1011"/>
      <c r="H1206" s="981"/>
      <c r="I1206" s="981"/>
      <c r="J1206" s="981"/>
      <c r="K1206" s="981"/>
      <c r="L1206" s="981"/>
      <c r="M1206" s="981"/>
      <c r="N1206" s="981"/>
      <c r="O1206" s="981"/>
      <c r="P1206" s="981"/>
      <c r="Q1206" s="1185"/>
      <c r="R1206" s="981"/>
      <c r="S1206" s="981"/>
      <c r="T1206" s="981"/>
      <c r="U1206" s="981"/>
      <c r="V1206" s="997" t="s">
        <v>137</v>
      </c>
      <c r="W1206" s="936"/>
      <c r="X1206" s="937"/>
      <c r="Y1206" s="937"/>
      <c r="Z1206" s="937"/>
      <c r="AA1206" s="937"/>
      <c r="AB1206" s="937"/>
      <c r="AC1206" s="937"/>
    </row>
    <row r="1207" spans="1:29" ht="21" hidden="1">
      <c r="A1207" s="1011"/>
      <c r="B1207" s="1011"/>
      <c r="C1207" s="1031" t="s">
        <v>790</v>
      </c>
      <c r="D1207" s="1011" t="s">
        <v>173</v>
      </c>
      <c r="E1207" s="964"/>
      <c r="F1207" s="964"/>
      <c r="G1207" s="1011"/>
      <c r="H1207" s="981">
        <f>H1201*$E$1200/1000</f>
        <v>0</v>
      </c>
      <c r="I1207" s="981">
        <f t="shared" ref="I1207:S1208" si="401">I1201*$E$1200/1000</f>
        <v>0</v>
      </c>
      <c r="J1207" s="981">
        <f t="shared" si="401"/>
        <v>0</v>
      </c>
      <c r="K1207" s="981">
        <f t="shared" si="401"/>
        <v>0</v>
      </c>
      <c r="L1207" s="981">
        <f t="shared" si="401"/>
        <v>0</v>
      </c>
      <c r="M1207" s="981">
        <f t="shared" si="401"/>
        <v>0</v>
      </c>
      <c r="N1207" s="981">
        <f t="shared" si="401"/>
        <v>0</v>
      </c>
      <c r="O1207" s="981">
        <f t="shared" si="401"/>
        <v>0</v>
      </c>
      <c r="P1207" s="981">
        <f t="shared" si="401"/>
        <v>0</v>
      </c>
      <c r="Q1207" s="981">
        <f t="shared" si="401"/>
        <v>0</v>
      </c>
      <c r="R1207" s="981">
        <f t="shared" si="401"/>
        <v>0</v>
      </c>
      <c r="S1207" s="981">
        <f t="shared" si="401"/>
        <v>0</v>
      </c>
      <c r="T1207" s="981">
        <f t="shared" ref="T1207:T1213" si="402">SUM(H1207:S1207)</f>
        <v>0</v>
      </c>
      <c r="U1207" s="981"/>
      <c r="V1207" s="981"/>
      <c r="W1207" s="936"/>
      <c r="X1207" s="937"/>
      <c r="Y1207" s="937"/>
      <c r="Z1207" s="937"/>
      <c r="AA1207" s="937"/>
      <c r="AB1207" s="937"/>
      <c r="AC1207" s="937"/>
    </row>
    <row r="1208" spans="1:29" ht="21" hidden="1">
      <c r="A1208" s="1011"/>
      <c r="B1208" s="1011"/>
      <c r="C1208" s="1031" t="s">
        <v>936</v>
      </c>
      <c r="D1208" s="1011" t="s">
        <v>173</v>
      </c>
      <c r="E1208" s="964"/>
      <c r="F1208" s="964"/>
      <c r="G1208" s="1011"/>
      <c r="H1208" s="981">
        <f>H1202*$E$1200/1000</f>
        <v>0</v>
      </c>
      <c r="I1208" s="981">
        <f t="shared" si="401"/>
        <v>0</v>
      </c>
      <c r="J1208" s="981">
        <f t="shared" si="401"/>
        <v>0</v>
      </c>
      <c r="K1208" s="981">
        <f t="shared" si="401"/>
        <v>0</v>
      </c>
      <c r="L1208" s="981">
        <f t="shared" si="401"/>
        <v>0</v>
      </c>
      <c r="M1208" s="981">
        <f t="shared" si="401"/>
        <v>0</v>
      </c>
      <c r="N1208" s="981">
        <f t="shared" si="401"/>
        <v>0</v>
      </c>
      <c r="O1208" s="981">
        <f t="shared" si="401"/>
        <v>0</v>
      </c>
      <c r="P1208" s="981">
        <f t="shared" si="401"/>
        <v>0</v>
      </c>
      <c r="Q1208" s="981">
        <f t="shared" si="401"/>
        <v>0</v>
      </c>
      <c r="R1208" s="981">
        <f t="shared" si="401"/>
        <v>0</v>
      </c>
      <c r="S1208" s="981">
        <f t="shared" si="401"/>
        <v>0</v>
      </c>
      <c r="T1208" s="981">
        <f t="shared" si="402"/>
        <v>0</v>
      </c>
      <c r="U1208" s="981"/>
      <c r="V1208" s="981"/>
      <c r="W1208" s="936"/>
      <c r="X1208" s="937"/>
      <c r="Y1208" s="937"/>
      <c r="Z1208" s="937"/>
      <c r="AA1208" s="937"/>
      <c r="AB1208" s="937"/>
      <c r="AC1208" s="937"/>
    </row>
    <row r="1209" spans="1:29" ht="21" hidden="1">
      <c r="A1209" s="1011"/>
      <c r="B1209" s="1011"/>
      <c r="C1209" s="1031" t="s">
        <v>161</v>
      </c>
      <c r="D1209" s="1011" t="s">
        <v>173</v>
      </c>
      <c r="E1209" s="964"/>
      <c r="F1209" s="964"/>
      <c r="G1209" s="1011"/>
      <c r="H1209" s="981">
        <f>H1203*$E$1203/1000</f>
        <v>0</v>
      </c>
      <c r="I1209" s="981">
        <f t="shared" ref="I1209:S1209" si="403">I1203*$E$1203/1000</f>
        <v>0</v>
      </c>
      <c r="J1209" s="981">
        <f t="shared" si="403"/>
        <v>0</v>
      </c>
      <c r="K1209" s="981">
        <f t="shared" si="403"/>
        <v>0</v>
      </c>
      <c r="L1209" s="981">
        <f t="shared" si="403"/>
        <v>0</v>
      </c>
      <c r="M1209" s="981">
        <f t="shared" si="403"/>
        <v>0</v>
      </c>
      <c r="N1209" s="981">
        <f t="shared" si="403"/>
        <v>0</v>
      </c>
      <c r="O1209" s="981">
        <f t="shared" si="403"/>
        <v>0</v>
      </c>
      <c r="P1209" s="981">
        <f t="shared" si="403"/>
        <v>0</v>
      </c>
      <c r="Q1209" s="981">
        <f t="shared" si="403"/>
        <v>0</v>
      </c>
      <c r="R1209" s="981">
        <f t="shared" si="403"/>
        <v>0</v>
      </c>
      <c r="S1209" s="981">
        <f t="shared" si="403"/>
        <v>0</v>
      </c>
      <c r="T1209" s="981">
        <f t="shared" si="402"/>
        <v>0</v>
      </c>
      <c r="U1209" s="981"/>
      <c r="V1209" s="981"/>
      <c r="W1209" s="936"/>
      <c r="X1209" s="937"/>
      <c r="Y1209" s="937"/>
      <c r="Z1209" s="937"/>
      <c r="AA1209" s="937"/>
      <c r="AB1209" s="937"/>
      <c r="AC1209" s="937"/>
    </row>
    <row r="1210" spans="1:29" ht="21" hidden="1">
      <c r="A1210" s="1011"/>
      <c r="B1210" s="964"/>
      <c r="C1210" s="983" t="s">
        <v>937</v>
      </c>
      <c r="D1210" s="964" t="s">
        <v>173</v>
      </c>
      <c r="E1210" s="1011"/>
      <c r="F1210" s="1011"/>
      <c r="G1210" s="1011"/>
      <c r="H1210" s="981">
        <f>H1207</f>
        <v>0</v>
      </c>
      <c r="I1210" s="981">
        <f t="shared" ref="I1210:S1210" si="404">I1207</f>
        <v>0</v>
      </c>
      <c r="J1210" s="981">
        <f t="shared" si="404"/>
        <v>0</v>
      </c>
      <c r="K1210" s="981">
        <f t="shared" si="404"/>
        <v>0</v>
      </c>
      <c r="L1210" s="981">
        <f t="shared" si="404"/>
        <v>0</v>
      </c>
      <c r="M1210" s="981">
        <f t="shared" si="404"/>
        <v>0</v>
      </c>
      <c r="N1210" s="981">
        <f t="shared" si="404"/>
        <v>0</v>
      </c>
      <c r="O1210" s="981">
        <f t="shared" si="404"/>
        <v>0</v>
      </c>
      <c r="P1210" s="981">
        <f t="shared" si="404"/>
        <v>0</v>
      </c>
      <c r="Q1210" s="981">
        <f t="shared" si="404"/>
        <v>0</v>
      </c>
      <c r="R1210" s="981">
        <f t="shared" si="404"/>
        <v>0</v>
      </c>
      <c r="S1210" s="981">
        <f t="shared" si="404"/>
        <v>0</v>
      </c>
      <c r="T1210" s="1032">
        <f t="shared" si="402"/>
        <v>0</v>
      </c>
      <c r="U1210" s="981"/>
      <c r="V1210" s="1033" t="e">
        <f>V1204/T1210</f>
        <v>#DIV/0!</v>
      </c>
      <c r="W1210" s="936"/>
      <c r="X1210" s="937"/>
      <c r="Y1210" s="937"/>
      <c r="Z1210" s="937"/>
      <c r="AA1210" s="937"/>
      <c r="AB1210" s="937"/>
      <c r="AC1210" s="937"/>
    </row>
    <row r="1211" spans="1:29" ht="21" hidden="1">
      <c r="A1211" s="1011"/>
      <c r="B1211" s="964"/>
      <c r="C1211" s="983" t="s">
        <v>938</v>
      </c>
      <c r="D1211" s="964" t="s">
        <v>173</v>
      </c>
      <c r="E1211" s="1011"/>
      <c r="F1211" s="1011"/>
      <c r="G1211" s="1011"/>
      <c r="H1211" s="981">
        <f>SUM(H1208:H1209)</f>
        <v>0</v>
      </c>
      <c r="I1211" s="981">
        <f t="shared" ref="I1211:S1211" si="405">SUM(I1208:I1209)</f>
        <v>0</v>
      </c>
      <c r="J1211" s="981">
        <f t="shared" si="405"/>
        <v>0</v>
      </c>
      <c r="K1211" s="981">
        <f t="shared" si="405"/>
        <v>0</v>
      </c>
      <c r="L1211" s="981">
        <f t="shared" si="405"/>
        <v>0</v>
      </c>
      <c r="M1211" s="981">
        <f t="shared" si="405"/>
        <v>0</v>
      </c>
      <c r="N1211" s="981">
        <f t="shared" si="405"/>
        <v>0</v>
      </c>
      <c r="O1211" s="981">
        <f t="shared" si="405"/>
        <v>0</v>
      </c>
      <c r="P1211" s="981">
        <f t="shared" si="405"/>
        <v>0</v>
      </c>
      <c r="Q1211" s="981">
        <f t="shared" si="405"/>
        <v>0</v>
      </c>
      <c r="R1211" s="981">
        <f t="shared" si="405"/>
        <v>0</v>
      </c>
      <c r="S1211" s="981">
        <f t="shared" si="405"/>
        <v>0</v>
      </c>
      <c r="T1211" s="1032">
        <f t="shared" si="402"/>
        <v>0</v>
      </c>
      <c r="U1211" s="981"/>
      <c r="V1211" s="1033"/>
      <c r="W1211" s="936"/>
      <c r="X1211" s="937"/>
      <c r="Y1211" s="937"/>
      <c r="Z1211" s="937"/>
      <c r="AA1211" s="937"/>
      <c r="AB1211" s="937"/>
      <c r="AC1211" s="937"/>
    </row>
    <row r="1212" spans="1:29" ht="21" hidden="1">
      <c r="A1212" s="1011"/>
      <c r="B1212" s="964"/>
      <c r="C1212" s="983" t="s">
        <v>791</v>
      </c>
      <c r="D1212" s="964" t="s">
        <v>173</v>
      </c>
      <c r="E1212" s="1298">
        <f>(H1207+I1207+J1207+K1207+L1207+M1207)/6</f>
        <v>0</v>
      </c>
      <c r="F1212" s="1298" t="s">
        <v>792</v>
      </c>
      <c r="G1212" s="1011"/>
      <c r="H1212" s="981">
        <f>$E$1212</f>
        <v>0</v>
      </c>
      <c r="I1212" s="981">
        <f t="shared" ref="I1212:R1212" si="406">$E$1212</f>
        <v>0</v>
      </c>
      <c r="J1212" s="981">
        <f t="shared" si="406"/>
        <v>0</v>
      </c>
      <c r="K1212" s="981">
        <f t="shared" si="406"/>
        <v>0</v>
      </c>
      <c r="L1212" s="981">
        <f t="shared" si="406"/>
        <v>0</v>
      </c>
      <c r="M1212" s="981">
        <f t="shared" si="406"/>
        <v>0</v>
      </c>
      <c r="N1212" s="981">
        <f t="shared" si="406"/>
        <v>0</v>
      </c>
      <c r="O1212" s="981">
        <f t="shared" si="406"/>
        <v>0</v>
      </c>
      <c r="P1212" s="981">
        <f t="shared" si="406"/>
        <v>0</v>
      </c>
      <c r="Q1212" s="981">
        <f t="shared" si="406"/>
        <v>0</v>
      </c>
      <c r="R1212" s="981">
        <f t="shared" si="406"/>
        <v>0</v>
      </c>
      <c r="S1212" s="981">
        <v>0</v>
      </c>
      <c r="T1212" s="966">
        <f t="shared" si="402"/>
        <v>0</v>
      </c>
      <c r="U1212" s="981"/>
      <c r="V1212" s="1033"/>
      <c r="W1212" s="936"/>
      <c r="X1212" s="937"/>
      <c r="Y1212" s="937"/>
      <c r="Z1212" s="937"/>
      <c r="AA1212" s="937"/>
      <c r="AB1212" s="937"/>
      <c r="AC1212" s="937"/>
    </row>
    <row r="1213" spans="1:29" ht="21" hidden="1">
      <c r="A1213" s="1011"/>
      <c r="B1213" s="964"/>
      <c r="C1213" s="983" t="s">
        <v>939</v>
      </c>
      <c r="D1213" s="964" t="s">
        <v>173</v>
      </c>
      <c r="E1213" s="1298" t="e">
        <f>(H1211+I1211+J1211+K1211+L1211+M1211)/(H1205+I1205+J1205+K1205+L1205+M1205)</f>
        <v>#DIV/0!</v>
      </c>
      <c r="F1213" s="1298" t="s">
        <v>347</v>
      </c>
      <c r="G1213" s="1011"/>
      <c r="H1213" s="966" t="e">
        <f>H1205*$E$1213</f>
        <v>#DIV/0!</v>
      </c>
      <c r="I1213" s="966" t="e">
        <f t="shared" ref="I1213:S1213" si="407">I1205*$E$1213</f>
        <v>#DIV/0!</v>
      </c>
      <c r="J1213" s="966" t="e">
        <f t="shared" si="407"/>
        <v>#DIV/0!</v>
      </c>
      <c r="K1213" s="966" t="e">
        <f t="shared" si="407"/>
        <v>#DIV/0!</v>
      </c>
      <c r="L1213" s="966" t="e">
        <f t="shared" si="407"/>
        <v>#DIV/0!</v>
      </c>
      <c r="M1213" s="966" t="e">
        <f t="shared" si="407"/>
        <v>#DIV/0!</v>
      </c>
      <c r="N1213" s="966" t="e">
        <f t="shared" si="407"/>
        <v>#DIV/0!</v>
      </c>
      <c r="O1213" s="966" t="e">
        <f t="shared" si="407"/>
        <v>#DIV/0!</v>
      </c>
      <c r="P1213" s="966" t="e">
        <f t="shared" si="407"/>
        <v>#DIV/0!</v>
      </c>
      <c r="Q1213" s="966" t="e">
        <f t="shared" si="407"/>
        <v>#DIV/0!</v>
      </c>
      <c r="R1213" s="966" t="e">
        <f t="shared" si="407"/>
        <v>#DIV/0!</v>
      </c>
      <c r="S1213" s="966" t="e">
        <f t="shared" si="407"/>
        <v>#DIV/0!</v>
      </c>
      <c r="T1213" s="966" t="e">
        <f t="shared" si="402"/>
        <v>#DIV/0!</v>
      </c>
      <c r="U1213" s="966"/>
      <c r="V1213" s="1001" t="s">
        <v>158</v>
      </c>
      <c r="W1213" s="936"/>
      <c r="X1213" s="937"/>
      <c r="Y1213" s="937"/>
      <c r="Z1213" s="937"/>
      <c r="AA1213" s="937"/>
      <c r="AB1213" s="937"/>
      <c r="AC1213" s="937"/>
    </row>
    <row r="1214" spans="1:29" ht="21" hidden="1">
      <c r="A1214" s="1011"/>
      <c r="B1214" s="1003" t="s">
        <v>174</v>
      </c>
      <c r="C1214" s="1004" t="s">
        <v>790</v>
      </c>
      <c r="D1214" s="1003" t="s">
        <v>792</v>
      </c>
      <c r="E1214" s="1003"/>
      <c r="F1214" s="1003"/>
      <c r="G1214" s="1011"/>
      <c r="H1214" s="1006">
        <f>H1207</f>
        <v>0</v>
      </c>
      <c r="I1214" s="1006">
        <f t="shared" ref="I1214:S1214" si="408">I1207</f>
        <v>0</v>
      </c>
      <c r="J1214" s="1006">
        <f t="shared" si="408"/>
        <v>0</v>
      </c>
      <c r="K1214" s="1006">
        <f t="shared" si="408"/>
        <v>0</v>
      </c>
      <c r="L1214" s="1006">
        <f t="shared" si="408"/>
        <v>0</v>
      </c>
      <c r="M1214" s="1006">
        <f t="shared" si="408"/>
        <v>0</v>
      </c>
      <c r="N1214" s="1006">
        <f t="shared" si="408"/>
        <v>0</v>
      </c>
      <c r="O1214" s="1006">
        <f t="shared" si="408"/>
        <v>0</v>
      </c>
      <c r="P1214" s="1006">
        <f t="shared" si="408"/>
        <v>0</v>
      </c>
      <c r="Q1214" s="1006">
        <f t="shared" si="408"/>
        <v>0</v>
      </c>
      <c r="R1214" s="1006">
        <f t="shared" si="408"/>
        <v>0</v>
      </c>
      <c r="S1214" s="1006">
        <f t="shared" si="408"/>
        <v>0</v>
      </c>
      <c r="T1214" s="1006">
        <f>T1207/11</f>
        <v>0</v>
      </c>
      <c r="U1214" s="1007"/>
      <c r="V1214" s="1007"/>
      <c r="W1214" s="936"/>
      <c r="X1214" s="937"/>
      <c r="Y1214" s="937"/>
      <c r="Z1214" s="937"/>
      <c r="AA1214" s="937"/>
      <c r="AB1214" s="937"/>
      <c r="AC1214" s="937"/>
    </row>
    <row r="1215" spans="1:29" ht="21" hidden="1">
      <c r="A1215" s="1011"/>
      <c r="B1215" s="1003"/>
      <c r="C1215" s="1004" t="s">
        <v>936</v>
      </c>
      <c r="D1215" s="1003" t="s">
        <v>347</v>
      </c>
      <c r="E1215" s="1003"/>
      <c r="F1215" s="1003"/>
      <c r="G1215" s="1011"/>
      <c r="H1215" s="1006" t="e">
        <f>H1208/H1205</f>
        <v>#DIV/0!</v>
      </c>
      <c r="I1215" s="1006" t="e">
        <f t="shared" ref="I1215:S1215" si="409">I1208/I1205</f>
        <v>#DIV/0!</v>
      </c>
      <c r="J1215" s="1006" t="e">
        <f t="shared" si="409"/>
        <v>#DIV/0!</v>
      </c>
      <c r="K1215" s="1006" t="e">
        <f t="shared" si="409"/>
        <v>#DIV/0!</v>
      </c>
      <c r="L1215" s="1006" t="e">
        <f t="shared" si="409"/>
        <v>#DIV/0!</v>
      </c>
      <c r="M1215" s="1006" t="e">
        <f t="shared" si="409"/>
        <v>#DIV/0!</v>
      </c>
      <c r="N1215" s="1006" t="e">
        <f t="shared" si="409"/>
        <v>#DIV/0!</v>
      </c>
      <c r="O1215" s="1006" t="e">
        <f t="shared" si="409"/>
        <v>#DIV/0!</v>
      </c>
      <c r="P1215" s="1006" t="e">
        <f t="shared" si="409"/>
        <v>#DIV/0!</v>
      </c>
      <c r="Q1215" s="1006" t="e">
        <f t="shared" si="409"/>
        <v>#DIV/0!</v>
      </c>
      <c r="R1215" s="1006" t="e">
        <f t="shared" si="409"/>
        <v>#DIV/0!</v>
      </c>
      <c r="S1215" s="1006" t="e">
        <f t="shared" si="409"/>
        <v>#DIV/0!</v>
      </c>
      <c r="T1215" s="1006" t="e">
        <f>T1208/T1205</f>
        <v>#DIV/0!</v>
      </c>
      <c r="U1215" s="1007"/>
      <c r="V1215" s="1007"/>
      <c r="W1215" s="936"/>
      <c r="X1215" s="937"/>
      <c r="Y1215" s="937"/>
      <c r="Z1215" s="937"/>
      <c r="AA1215" s="937"/>
      <c r="AB1215" s="937"/>
      <c r="AC1215" s="937"/>
    </row>
    <row r="1216" spans="1:29" ht="21" hidden="1">
      <c r="A1216" s="1011"/>
      <c r="B1216" s="1003"/>
      <c r="C1216" s="1004" t="s">
        <v>161</v>
      </c>
      <c r="D1216" s="1003" t="s">
        <v>347</v>
      </c>
      <c r="E1216" s="1003"/>
      <c r="F1216" s="1003"/>
      <c r="G1216" s="1011"/>
      <c r="H1216" s="1006" t="e">
        <f>H1209/H1205</f>
        <v>#DIV/0!</v>
      </c>
      <c r="I1216" s="1006" t="e">
        <f t="shared" ref="I1216:S1216" si="410">I1209/I1205</f>
        <v>#DIV/0!</v>
      </c>
      <c r="J1216" s="1006" t="e">
        <f t="shared" si="410"/>
        <v>#DIV/0!</v>
      </c>
      <c r="K1216" s="1006" t="e">
        <f t="shared" si="410"/>
        <v>#DIV/0!</v>
      </c>
      <c r="L1216" s="1006" t="e">
        <f t="shared" si="410"/>
        <v>#DIV/0!</v>
      </c>
      <c r="M1216" s="1006" t="e">
        <f t="shared" si="410"/>
        <v>#DIV/0!</v>
      </c>
      <c r="N1216" s="1006" t="e">
        <f t="shared" si="410"/>
        <v>#DIV/0!</v>
      </c>
      <c r="O1216" s="1006" t="e">
        <f t="shared" si="410"/>
        <v>#DIV/0!</v>
      </c>
      <c r="P1216" s="1006" t="e">
        <f t="shared" si="410"/>
        <v>#DIV/0!</v>
      </c>
      <c r="Q1216" s="1006" t="e">
        <f t="shared" si="410"/>
        <v>#DIV/0!</v>
      </c>
      <c r="R1216" s="1006" t="e">
        <f t="shared" si="410"/>
        <v>#DIV/0!</v>
      </c>
      <c r="S1216" s="1006" t="e">
        <f t="shared" si="410"/>
        <v>#DIV/0!</v>
      </c>
      <c r="T1216" s="1006" t="e">
        <f>T1209/T1205</f>
        <v>#DIV/0!</v>
      </c>
      <c r="U1216" s="1007"/>
      <c r="V1216" s="1007"/>
      <c r="W1216" s="936"/>
      <c r="X1216" s="937"/>
      <c r="Y1216" s="937"/>
      <c r="Z1216" s="937"/>
      <c r="AA1216" s="937"/>
      <c r="AB1216" s="937"/>
      <c r="AC1216" s="937"/>
    </row>
    <row r="1217" spans="1:29" ht="23.25" hidden="1">
      <c r="A1217" s="1011"/>
      <c r="B1217" s="1003"/>
      <c r="C1217" s="1008" t="s">
        <v>940</v>
      </c>
      <c r="D1217" s="1003" t="s">
        <v>792</v>
      </c>
      <c r="E1217" s="1003"/>
      <c r="F1217" s="1003"/>
      <c r="G1217" s="1011"/>
      <c r="H1217" s="1006">
        <f>H1210</f>
        <v>0</v>
      </c>
      <c r="I1217" s="1006">
        <f t="shared" ref="I1217:S1217" si="411">I1210</f>
        <v>0</v>
      </c>
      <c r="J1217" s="1006">
        <f t="shared" si="411"/>
        <v>0</v>
      </c>
      <c r="K1217" s="1006">
        <f t="shared" si="411"/>
        <v>0</v>
      </c>
      <c r="L1217" s="1006">
        <f t="shared" si="411"/>
        <v>0</v>
      </c>
      <c r="M1217" s="1006">
        <f t="shared" si="411"/>
        <v>0</v>
      </c>
      <c r="N1217" s="1006">
        <f t="shared" si="411"/>
        <v>0</v>
      </c>
      <c r="O1217" s="1006">
        <f t="shared" si="411"/>
        <v>0</v>
      </c>
      <c r="P1217" s="1006">
        <f t="shared" si="411"/>
        <v>0</v>
      </c>
      <c r="Q1217" s="1006">
        <f t="shared" si="411"/>
        <v>0</v>
      </c>
      <c r="R1217" s="1006">
        <f t="shared" si="411"/>
        <v>0</v>
      </c>
      <c r="S1217" s="1006">
        <f t="shared" si="411"/>
        <v>0</v>
      </c>
      <c r="T1217" s="1021">
        <f>SUM(H1217:S1217)/11</f>
        <v>0</v>
      </c>
      <c r="U1217" s="1007"/>
      <c r="V1217" s="1007"/>
      <c r="W1217" s="936"/>
      <c r="X1217" s="937"/>
      <c r="Y1217" s="937"/>
      <c r="Z1217" s="937"/>
      <c r="AA1217" s="937"/>
      <c r="AB1217" s="937"/>
      <c r="AC1217" s="937"/>
    </row>
    <row r="1218" spans="1:29" ht="21" hidden="1">
      <c r="A1218" s="1011"/>
      <c r="B1218" s="1003"/>
      <c r="C1218" s="1008" t="s">
        <v>940</v>
      </c>
      <c r="D1218" s="1003" t="s">
        <v>347</v>
      </c>
      <c r="E1218" s="1003"/>
      <c r="F1218" s="1003"/>
      <c r="G1218" s="1011"/>
      <c r="H1218" s="1006" t="e">
        <f>H1211/H1205</f>
        <v>#DIV/0!</v>
      </c>
      <c r="I1218" s="1006" t="e">
        <f t="shared" ref="I1218:T1218" si="412">I1211/I1205</f>
        <v>#DIV/0!</v>
      </c>
      <c r="J1218" s="1006" t="e">
        <f t="shared" si="412"/>
        <v>#DIV/0!</v>
      </c>
      <c r="K1218" s="1006" t="e">
        <f t="shared" si="412"/>
        <v>#DIV/0!</v>
      </c>
      <c r="L1218" s="1006" t="e">
        <f t="shared" si="412"/>
        <v>#DIV/0!</v>
      </c>
      <c r="M1218" s="1006" t="e">
        <f t="shared" si="412"/>
        <v>#DIV/0!</v>
      </c>
      <c r="N1218" s="1006" t="e">
        <f t="shared" si="412"/>
        <v>#DIV/0!</v>
      </c>
      <c r="O1218" s="1006" t="e">
        <f t="shared" si="412"/>
        <v>#DIV/0!</v>
      </c>
      <c r="P1218" s="1006" t="e">
        <f t="shared" si="412"/>
        <v>#DIV/0!</v>
      </c>
      <c r="Q1218" s="1006" t="e">
        <f t="shared" si="412"/>
        <v>#DIV/0!</v>
      </c>
      <c r="R1218" s="1006" t="e">
        <f t="shared" si="412"/>
        <v>#DIV/0!</v>
      </c>
      <c r="S1218" s="1006" t="e">
        <f t="shared" si="412"/>
        <v>#DIV/0!</v>
      </c>
      <c r="T1218" s="1006" t="e">
        <f t="shared" si="412"/>
        <v>#DIV/0!</v>
      </c>
      <c r="U1218" s="1007"/>
      <c r="V1218" s="1007"/>
      <c r="W1218" s="936"/>
      <c r="X1218" s="937"/>
      <c r="Y1218" s="937"/>
      <c r="Z1218" s="937"/>
      <c r="AA1218" s="937"/>
      <c r="AB1218" s="937"/>
      <c r="AC1218" s="937"/>
    </row>
    <row r="1219" spans="1:29" ht="21" hidden="1">
      <c r="A1219" s="1011"/>
      <c r="B1219" s="1003"/>
      <c r="C1219" s="1008" t="s">
        <v>738</v>
      </c>
      <c r="D1219" s="1003" t="s">
        <v>401</v>
      </c>
      <c r="E1219" s="1003"/>
      <c r="F1219" s="1003"/>
      <c r="G1219" s="1011"/>
      <c r="H1219" s="1009" t="e">
        <f>(H1210+H1211)/(H1213+H1212)*100</f>
        <v>#DIV/0!</v>
      </c>
      <c r="I1219" s="1009" t="e">
        <f t="shared" ref="I1219:S1219" si="413">(I1210+I1211)/(I1213+I1212)*100</f>
        <v>#DIV/0!</v>
      </c>
      <c r="J1219" s="1009" t="e">
        <f t="shared" si="413"/>
        <v>#DIV/0!</v>
      </c>
      <c r="K1219" s="1009" t="e">
        <f t="shared" si="413"/>
        <v>#DIV/0!</v>
      </c>
      <c r="L1219" s="1009" t="e">
        <f t="shared" si="413"/>
        <v>#DIV/0!</v>
      </c>
      <c r="M1219" s="1009" t="e">
        <f t="shared" si="413"/>
        <v>#DIV/0!</v>
      </c>
      <c r="N1219" s="1009" t="e">
        <f t="shared" si="413"/>
        <v>#DIV/0!</v>
      </c>
      <c r="O1219" s="1009" t="e">
        <f t="shared" si="413"/>
        <v>#DIV/0!</v>
      </c>
      <c r="P1219" s="1009" t="e">
        <f t="shared" si="413"/>
        <v>#DIV/0!</v>
      </c>
      <c r="Q1219" s="1009" t="e">
        <f t="shared" si="413"/>
        <v>#DIV/0!</v>
      </c>
      <c r="R1219" s="1009" t="e">
        <f t="shared" si="413"/>
        <v>#DIV/0!</v>
      </c>
      <c r="S1219" s="1009" t="e">
        <f t="shared" si="413"/>
        <v>#DIV/0!</v>
      </c>
      <c r="T1219" s="1009" t="e">
        <f>(T1210+T1211)/(T1213+T1212)*100</f>
        <v>#DIV/0!</v>
      </c>
      <c r="U1219" s="1007"/>
      <c r="V1219" s="1007"/>
      <c r="W1219" s="936"/>
      <c r="X1219" s="937"/>
      <c r="Y1219" s="937"/>
      <c r="Z1219" s="937"/>
      <c r="AA1219" s="937"/>
      <c r="AB1219" s="937"/>
      <c r="AC1219" s="937"/>
    </row>
    <row r="1220" spans="1:29" ht="21" hidden="1">
      <c r="A1220" s="964"/>
      <c r="B1220" s="1292" t="s">
        <v>157</v>
      </c>
      <c r="C1220" s="1031" t="s">
        <v>730</v>
      </c>
      <c r="D1220" s="964" t="s">
        <v>90</v>
      </c>
      <c r="E1220" s="984">
        <f>'[11]Price&amp;Heating-Value'!$R$6</f>
        <v>3.6</v>
      </c>
      <c r="F1220" s="964"/>
      <c r="G1220" s="1014">
        <f>'[11]Price&amp;Heating-Value'!$P$6</f>
        <v>2.7124999999999999</v>
      </c>
      <c r="H1220" s="966"/>
      <c r="I1220" s="966"/>
      <c r="J1220" s="966"/>
      <c r="K1220" s="966"/>
      <c r="L1220" s="966"/>
      <c r="M1220" s="966"/>
      <c r="N1220" s="966"/>
      <c r="O1220" s="966"/>
      <c r="P1220" s="966"/>
      <c r="Q1220" s="1154"/>
      <c r="R1220" s="966"/>
      <c r="S1220" s="966"/>
      <c r="T1220" s="966">
        <f>SUM(H1220:S1220)</f>
        <v>0</v>
      </c>
      <c r="U1220" s="966">
        <f>T1220*E1220</f>
        <v>0</v>
      </c>
      <c r="V1220" s="966">
        <f>G1220*T1220</f>
        <v>0</v>
      </c>
      <c r="W1220" s="954"/>
      <c r="X1220" s="954"/>
      <c r="Y1220" s="954"/>
      <c r="Z1220" s="954"/>
      <c r="AA1220" s="954"/>
      <c r="AB1220" s="954"/>
      <c r="AC1220" s="954"/>
    </row>
    <row r="1221" spans="1:29" ht="21" hidden="1">
      <c r="A1221" s="1011"/>
      <c r="B1221" s="1293"/>
      <c r="C1221" s="1031" t="s">
        <v>934</v>
      </c>
      <c r="D1221" s="964" t="s">
        <v>90</v>
      </c>
      <c r="E1221" s="1294">
        <v>0.32</v>
      </c>
      <c r="F1221" s="964"/>
      <c r="G1221" s="1014"/>
      <c r="H1221" s="981"/>
      <c r="I1221" s="981"/>
      <c r="J1221" s="981"/>
      <c r="K1221" s="981"/>
      <c r="L1221" s="981"/>
      <c r="M1221" s="981"/>
      <c r="N1221" s="981"/>
      <c r="O1221" s="981"/>
      <c r="P1221" s="981"/>
      <c r="Q1221" s="981"/>
      <c r="R1221" s="981"/>
      <c r="S1221" s="981"/>
      <c r="T1221" s="966">
        <f>SUM(H1221:S1221)</f>
        <v>0</v>
      </c>
      <c r="U1221" s="966"/>
      <c r="V1221" s="966"/>
      <c r="W1221" s="954"/>
      <c r="X1221" s="954"/>
      <c r="Y1221" s="954"/>
      <c r="Z1221" s="954"/>
      <c r="AA1221" s="954"/>
      <c r="AB1221" s="954"/>
      <c r="AC1221" s="954"/>
    </row>
    <row r="1222" spans="1:29" ht="21" hidden="1">
      <c r="A1222" s="1011"/>
      <c r="B1222" s="1293"/>
      <c r="C1222" s="1031" t="s">
        <v>935</v>
      </c>
      <c r="D1222" s="964" t="s">
        <v>90</v>
      </c>
      <c r="E1222" s="1294">
        <v>0.68</v>
      </c>
      <c r="F1222" s="964"/>
      <c r="G1222" s="1014"/>
      <c r="H1222" s="981"/>
      <c r="I1222" s="981"/>
      <c r="J1222" s="981"/>
      <c r="K1222" s="981"/>
      <c r="L1222" s="981"/>
      <c r="M1222" s="981"/>
      <c r="N1222" s="981"/>
      <c r="O1222" s="981"/>
      <c r="P1222" s="981"/>
      <c r="Q1222" s="981"/>
      <c r="R1222" s="981"/>
      <c r="S1222" s="981"/>
      <c r="T1222" s="966">
        <f>SUM(H1222:S1222)</f>
        <v>0</v>
      </c>
      <c r="U1222" s="966"/>
      <c r="V1222" s="966"/>
      <c r="W1222" s="954"/>
      <c r="X1222" s="954"/>
      <c r="Y1222" s="954"/>
      <c r="Z1222" s="954"/>
      <c r="AA1222" s="954"/>
      <c r="AB1222" s="954"/>
      <c r="AC1222" s="954"/>
    </row>
    <row r="1223" spans="1:29" ht="21" hidden="1">
      <c r="A1223" s="1011"/>
      <c r="B1223" s="1011"/>
      <c r="C1223" s="1031" t="s">
        <v>434</v>
      </c>
      <c r="D1223" s="964" t="s">
        <v>176</v>
      </c>
      <c r="E1223" s="964">
        <f>'[11]Price&amp;Heating-Value'!$R$18/'[11]Price&amp;Heating-Value'!$T$18/1000</f>
        <v>36.42</v>
      </c>
      <c r="F1223" s="984">
        <f>'[11]Price&amp;Heating-Value'!$T$18</f>
        <v>0.83520000000000005</v>
      </c>
      <c r="G1223" s="965">
        <f>'[11]Price&amp;Heating-Value'!$P$18*'[11]Price&amp;Heating-Value'!$T$18/1000</f>
        <v>25.160039938320001</v>
      </c>
      <c r="H1223" s="981"/>
      <c r="I1223" s="981"/>
      <c r="J1223" s="981"/>
      <c r="K1223" s="981"/>
      <c r="L1223" s="981"/>
      <c r="M1223" s="981"/>
      <c r="N1223" s="981"/>
      <c r="O1223" s="981"/>
      <c r="P1223" s="981"/>
      <c r="Q1223" s="1185"/>
      <c r="R1223" s="981"/>
      <c r="S1223" s="981"/>
      <c r="T1223" s="966">
        <f>SUM(H1223:S1223)</f>
        <v>0</v>
      </c>
      <c r="U1223" s="966">
        <f>T1223*E1223</f>
        <v>0</v>
      </c>
      <c r="V1223" s="966">
        <f>G1223*T1223</f>
        <v>0</v>
      </c>
      <c r="W1223" s="982"/>
      <c r="X1223" s="982"/>
      <c r="Y1223" s="982"/>
      <c r="Z1223" s="982"/>
      <c r="AA1223" s="982"/>
      <c r="AB1223" s="982"/>
      <c r="AC1223" s="982"/>
    </row>
    <row r="1224" spans="1:29" ht="21" hidden="1">
      <c r="A1224" s="1011"/>
      <c r="B1224" s="1011"/>
      <c r="C1224" s="983"/>
      <c r="D1224" s="1011"/>
      <c r="E1224" s="1011"/>
      <c r="F1224" s="1011"/>
      <c r="G1224" s="1011"/>
      <c r="H1224" s="1056"/>
      <c r="I1224" s="1056"/>
      <c r="J1224" s="1056"/>
      <c r="K1224" s="1056"/>
      <c r="L1224" s="1056"/>
      <c r="M1224" s="1056"/>
      <c r="N1224" s="1056"/>
      <c r="O1224" s="1056"/>
      <c r="P1224" s="1056"/>
      <c r="Q1224" s="1296"/>
      <c r="R1224" s="1056"/>
      <c r="S1224" s="1056"/>
      <c r="T1224" s="987"/>
      <c r="U1224" s="1056">
        <f>SUM(U1220:U1223)</f>
        <v>0</v>
      </c>
      <c r="V1224" s="981">
        <f>SUM(V1220:V1223)</f>
        <v>0</v>
      </c>
      <c r="W1224" s="936"/>
      <c r="X1224" s="937"/>
      <c r="Y1224" s="937"/>
      <c r="Z1224" s="937"/>
      <c r="AA1224" s="937"/>
      <c r="AB1224" s="937"/>
      <c r="AC1224" s="937"/>
    </row>
    <row r="1225" spans="1:29" ht="21" hidden="1">
      <c r="A1225" s="1011"/>
      <c r="B1225" s="989"/>
      <c r="C1225" s="990" t="s">
        <v>107</v>
      </c>
      <c r="D1225" s="989" t="s">
        <v>147</v>
      </c>
      <c r="E1225" s="989"/>
      <c r="F1225" s="989"/>
      <c r="G1225" s="1011"/>
      <c r="H1225" s="994"/>
      <c r="I1225" s="994"/>
      <c r="J1225" s="994"/>
      <c r="K1225" s="994"/>
      <c r="L1225" s="994"/>
      <c r="M1225" s="994"/>
      <c r="N1225" s="994"/>
      <c r="O1225" s="994"/>
      <c r="P1225" s="994"/>
      <c r="Q1225" s="1297"/>
      <c r="R1225" s="1297"/>
      <c r="S1225" s="994"/>
      <c r="T1225" s="996">
        <f>SUM(H1225:S1225)</f>
        <v>0</v>
      </c>
      <c r="U1225" s="995"/>
      <c r="V1225" s="1026" t="e">
        <f>V1224/T1225</f>
        <v>#DIV/0!</v>
      </c>
      <c r="W1225" s="936"/>
      <c r="X1225" s="937"/>
      <c r="Y1225" s="937"/>
      <c r="Z1225" s="937"/>
      <c r="AA1225" s="937"/>
      <c r="AB1225" s="937"/>
      <c r="AC1225" s="937"/>
    </row>
    <row r="1226" spans="1:29" ht="21" hidden="1">
      <c r="A1226" s="1011"/>
      <c r="B1226" s="1011"/>
      <c r="C1226" s="1030"/>
      <c r="D1226" s="1011"/>
      <c r="E1226" s="1011"/>
      <c r="F1226" s="1011"/>
      <c r="G1226" s="1011"/>
      <c r="H1226" s="981"/>
      <c r="I1226" s="981"/>
      <c r="J1226" s="981"/>
      <c r="K1226" s="981"/>
      <c r="L1226" s="981"/>
      <c r="M1226" s="981"/>
      <c r="N1226" s="981"/>
      <c r="O1226" s="981"/>
      <c r="P1226" s="981"/>
      <c r="Q1226" s="1185"/>
      <c r="R1226" s="981"/>
      <c r="S1226" s="981"/>
      <c r="T1226" s="981"/>
      <c r="U1226" s="981"/>
      <c r="V1226" s="997" t="s">
        <v>137</v>
      </c>
      <c r="W1226" s="936"/>
      <c r="X1226" s="937"/>
      <c r="Y1226" s="937"/>
      <c r="Z1226" s="937"/>
      <c r="AA1226" s="937"/>
      <c r="AB1226" s="937"/>
      <c r="AC1226" s="937"/>
    </row>
    <row r="1227" spans="1:29" ht="21" hidden="1">
      <c r="A1227" s="1011"/>
      <c r="B1227" s="1011"/>
      <c r="C1227" s="1031" t="s">
        <v>790</v>
      </c>
      <c r="D1227" s="1011" t="s">
        <v>173</v>
      </c>
      <c r="E1227" s="964"/>
      <c r="F1227" s="964"/>
      <c r="G1227" s="1011"/>
      <c r="H1227" s="981">
        <f>H1221*$E$1220/1000</f>
        <v>0</v>
      </c>
      <c r="I1227" s="981">
        <f t="shared" ref="I1227:S1228" si="414">I1221*$E$1220/1000</f>
        <v>0</v>
      </c>
      <c r="J1227" s="981">
        <f t="shared" si="414"/>
        <v>0</v>
      </c>
      <c r="K1227" s="981">
        <f t="shared" si="414"/>
        <v>0</v>
      </c>
      <c r="L1227" s="981">
        <f t="shared" si="414"/>
        <v>0</v>
      </c>
      <c r="M1227" s="981">
        <f t="shared" si="414"/>
        <v>0</v>
      </c>
      <c r="N1227" s="981">
        <f t="shared" si="414"/>
        <v>0</v>
      </c>
      <c r="O1227" s="981">
        <f t="shared" si="414"/>
        <v>0</v>
      </c>
      <c r="P1227" s="981">
        <f t="shared" si="414"/>
        <v>0</v>
      </c>
      <c r="Q1227" s="981">
        <f t="shared" si="414"/>
        <v>0</v>
      </c>
      <c r="R1227" s="981">
        <f t="shared" si="414"/>
        <v>0</v>
      </c>
      <c r="S1227" s="981">
        <f t="shared" si="414"/>
        <v>0</v>
      </c>
      <c r="T1227" s="981">
        <f t="shared" ref="T1227:T1233" si="415">SUM(H1227:S1227)</f>
        <v>0</v>
      </c>
      <c r="U1227" s="981"/>
      <c r="V1227" s="981"/>
      <c r="W1227" s="936"/>
      <c r="X1227" s="937"/>
      <c r="Y1227" s="937"/>
      <c r="Z1227" s="937"/>
      <c r="AA1227" s="937"/>
      <c r="AB1227" s="937"/>
      <c r="AC1227" s="937"/>
    </row>
    <row r="1228" spans="1:29" ht="21" hidden="1">
      <c r="A1228" s="1011"/>
      <c r="B1228" s="1011"/>
      <c r="C1228" s="1031" t="s">
        <v>936</v>
      </c>
      <c r="D1228" s="1011" t="s">
        <v>173</v>
      </c>
      <c r="E1228" s="964"/>
      <c r="F1228" s="964"/>
      <c r="G1228" s="1011"/>
      <c r="H1228" s="981">
        <f>H1222*$E$1220/1000</f>
        <v>0</v>
      </c>
      <c r="I1228" s="981">
        <f t="shared" si="414"/>
        <v>0</v>
      </c>
      <c r="J1228" s="981">
        <f t="shared" si="414"/>
        <v>0</v>
      </c>
      <c r="K1228" s="981">
        <f t="shared" si="414"/>
        <v>0</v>
      </c>
      <c r="L1228" s="981">
        <f t="shared" si="414"/>
        <v>0</v>
      </c>
      <c r="M1228" s="981">
        <f t="shared" si="414"/>
        <v>0</v>
      </c>
      <c r="N1228" s="981">
        <f t="shared" si="414"/>
        <v>0</v>
      </c>
      <c r="O1228" s="981">
        <f t="shared" si="414"/>
        <v>0</v>
      </c>
      <c r="P1228" s="981">
        <f t="shared" si="414"/>
        <v>0</v>
      </c>
      <c r="Q1228" s="981">
        <f t="shared" si="414"/>
        <v>0</v>
      </c>
      <c r="R1228" s="981">
        <f t="shared" si="414"/>
        <v>0</v>
      </c>
      <c r="S1228" s="981">
        <f t="shared" si="414"/>
        <v>0</v>
      </c>
      <c r="T1228" s="981">
        <f t="shared" si="415"/>
        <v>0</v>
      </c>
      <c r="U1228" s="981"/>
      <c r="V1228" s="981"/>
      <c r="W1228" s="936"/>
      <c r="X1228" s="937"/>
      <c r="Y1228" s="937"/>
      <c r="Z1228" s="937"/>
      <c r="AA1228" s="937"/>
      <c r="AB1228" s="937"/>
      <c r="AC1228" s="937"/>
    </row>
    <row r="1229" spans="1:29" ht="21" hidden="1">
      <c r="A1229" s="1011"/>
      <c r="B1229" s="1011"/>
      <c r="C1229" s="1031" t="s">
        <v>161</v>
      </c>
      <c r="D1229" s="1011" t="s">
        <v>173</v>
      </c>
      <c r="E1229" s="964"/>
      <c r="F1229" s="964"/>
      <c r="G1229" s="1011"/>
      <c r="H1229" s="981">
        <f>H1223*$E$1223/1000</f>
        <v>0</v>
      </c>
      <c r="I1229" s="981">
        <f t="shared" ref="I1229:S1229" si="416">I1223*$E$1223/1000</f>
        <v>0</v>
      </c>
      <c r="J1229" s="981">
        <f t="shared" si="416"/>
        <v>0</v>
      </c>
      <c r="K1229" s="981">
        <f t="shared" si="416"/>
        <v>0</v>
      </c>
      <c r="L1229" s="981">
        <f t="shared" si="416"/>
        <v>0</v>
      </c>
      <c r="M1229" s="981">
        <f t="shared" si="416"/>
        <v>0</v>
      </c>
      <c r="N1229" s="981">
        <f t="shared" si="416"/>
        <v>0</v>
      </c>
      <c r="O1229" s="981">
        <f t="shared" si="416"/>
        <v>0</v>
      </c>
      <c r="P1229" s="981">
        <f t="shared" si="416"/>
        <v>0</v>
      </c>
      <c r="Q1229" s="981">
        <f t="shared" si="416"/>
        <v>0</v>
      </c>
      <c r="R1229" s="981">
        <f t="shared" si="416"/>
        <v>0</v>
      </c>
      <c r="S1229" s="981">
        <f t="shared" si="416"/>
        <v>0</v>
      </c>
      <c r="T1229" s="981">
        <f t="shared" si="415"/>
        <v>0</v>
      </c>
      <c r="U1229" s="981"/>
      <c r="V1229" s="981"/>
      <c r="W1229" s="936"/>
      <c r="X1229" s="937"/>
      <c r="Y1229" s="937"/>
      <c r="Z1229" s="937"/>
      <c r="AA1229" s="937"/>
      <c r="AB1229" s="937"/>
      <c r="AC1229" s="937"/>
    </row>
    <row r="1230" spans="1:29" ht="21" hidden="1">
      <c r="A1230" s="1011"/>
      <c r="B1230" s="964"/>
      <c r="C1230" s="983" t="s">
        <v>937</v>
      </c>
      <c r="D1230" s="964" t="s">
        <v>173</v>
      </c>
      <c r="E1230" s="1011"/>
      <c r="F1230" s="1011"/>
      <c r="G1230" s="1011"/>
      <c r="H1230" s="981">
        <f>H1227</f>
        <v>0</v>
      </c>
      <c r="I1230" s="981">
        <f t="shared" ref="I1230:S1230" si="417">I1227</f>
        <v>0</v>
      </c>
      <c r="J1230" s="981">
        <f t="shared" si="417"/>
        <v>0</v>
      </c>
      <c r="K1230" s="981">
        <f t="shared" si="417"/>
        <v>0</v>
      </c>
      <c r="L1230" s="981">
        <f t="shared" si="417"/>
        <v>0</v>
      </c>
      <c r="M1230" s="981">
        <f t="shared" si="417"/>
        <v>0</v>
      </c>
      <c r="N1230" s="981">
        <f t="shared" si="417"/>
        <v>0</v>
      </c>
      <c r="O1230" s="981">
        <f t="shared" si="417"/>
        <v>0</v>
      </c>
      <c r="P1230" s="981">
        <f t="shared" si="417"/>
        <v>0</v>
      </c>
      <c r="Q1230" s="981">
        <f t="shared" si="417"/>
        <v>0</v>
      </c>
      <c r="R1230" s="981">
        <f t="shared" si="417"/>
        <v>0</v>
      </c>
      <c r="S1230" s="981">
        <f t="shared" si="417"/>
        <v>0</v>
      </c>
      <c r="T1230" s="1032">
        <f t="shared" si="415"/>
        <v>0</v>
      </c>
      <c r="U1230" s="981"/>
      <c r="V1230" s="1033" t="e">
        <f>V1224/T1230</f>
        <v>#DIV/0!</v>
      </c>
      <c r="W1230" s="936"/>
      <c r="X1230" s="937"/>
      <c r="Y1230" s="937"/>
      <c r="Z1230" s="937"/>
      <c r="AA1230" s="937"/>
      <c r="AB1230" s="937"/>
      <c r="AC1230" s="937"/>
    </row>
    <row r="1231" spans="1:29" ht="21" hidden="1">
      <c r="A1231" s="1011"/>
      <c r="B1231" s="964"/>
      <c r="C1231" s="983" t="s">
        <v>938</v>
      </c>
      <c r="D1231" s="964" t="s">
        <v>173</v>
      </c>
      <c r="E1231" s="1011"/>
      <c r="F1231" s="1011"/>
      <c r="G1231" s="1011"/>
      <c r="H1231" s="981">
        <f>SUM(H1228:H1229)</f>
        <v>0</v>
      </c>
      <c r="I1231" s="981">
        <f t="shared" ref="I1231:S1231" si="418">SUM(I1228:I1229)</f>
        <v>0</v>
      </c>
      <c r="J1231" s="981">
        <f t="shared" si="418"/>
        <v>0</v>
      </c>
      <c r="K1231" s="981">
        <f t="shared" si="418"/>
        <v>0</v>
      </c>
      <c r="L1231" s="981">
        <f t="shared" si="418"/>
        <v>0</v>
      </c>
      <c r="M1231" s="981">
        <f t="shared" si="418"/>
        <v>0</v>
      </c>
      <c r="N1231" s="981">
        <f t="shared" si="418"/>
        <v>0</v>
      </c>
      <c r="O1231" s="981">
        <f t="shared" si="418"/>
        <v>0</v>
      </c>
      <c r="P1231" s="981">
        <f t="shared" si="418"/>
        <v>0</v>
      </c>
      <c r="Q1231" s="981">
        <f t="shared" si="418"/>
        <v>0</v>
      </c>
      <c r="R1231" s="981">
        <f t="shared" si="418"/>
        <v>0</v>
      </c>
      <c r="S1231" s="981">
        <f t="shared" si="418"/>
        <v>0</v>
      </c>
      <c r="T1231" s="1032">
        <f t="shared" si="415"/>
        <v>0</v>
      </c>
      <c r="U1231" s="981"/>
      <c r="V1231" s="1033"/>
      <c r="W1231" s="936"/>
      <c r="X1231" s="937"/>
      <c r="Y1231" s="937"/>
      <c r="Z1231" s="937"/>
      <c r="AA1231" s="937"/>
      <c r="AB1231" s="937"/>
      <c r="AC1231" s="937"/>
    </row>
    <row r="1232" spans="1:29" ht="21" hidden="1">
      <c r="A1232" s="1011"/>
      <c r="B1232" s="964"/>
      <c r="C1232" s="983" t="s">
        <v>791</v>
      </c>
      <c r="D1232" s="964" t="s">
        <v>173</v>
      </c>
      <c r="E1232" s="1101">
        <f>(H1230+I1230+J1230+K1230+L1230+M1230)/6</f>
        <v>0</v>
      </c>
      <c r="F1232" s="1142" t="s">
        <v>792</v>
      </c>
      <c r="G1232" s="1011"/>
      <c r="H1232" s="981">
        <f>$E$1232</f>
        <v>0</v>
      </c>
      <c r="I1232" s="981">
        <f t="shared" ref="I1232:R1232" si="419">$E$1232</f>
        <v>0</v>
      </c>
      <c r="J1232" s="981">
        <f t="shared" si="419"/>
        <v>0</v>
      </c>
      <c r="K1232" s="981">
        <f t="shared" si="419"/>
        <v>0</v>
      </c>
      <c r="L1232" s="981">
        <f t="shared" si="419"/>
        <v>0</v>
      </c>
      <c r="M1232" s="981">
        <f t="shared" si="419"/>
        <v>0</v>
      </c>
      <c r="N1232" s="981">
        <f t="shared" si="419"/>
        <v>0</v>
      </c>
      <c r="O1232" s="981">
        <f t="shared" si="419"/>
        <v>0</v>
      </c>
      <c r="P1232" s="981">
        <f t="shared" si="419"/>
        <v>0</v>
      </c>
      <c r="Q1232" s="981">
        <f t="shared" si="419"/>
        <v>0</v>
      </c>
      <c r="R1232" s="981">
        <f t="shared" si="419"/>
        <v>0</v>
      </c>
      <c r="S1232" s="981">
        <v>0</v>
      </c>
      <c r="T1232" s="981">
        <f t="shared" si="415"/>
        <v>0</v>
      </c>
      <c r="U1232" s="981"/>
      <c r="V1232" s="1033"/>
      <c r="W1232" s="936"/>
      <c r="X1232" s="937"/>
      <c r="Y1232" s="937"/>
      <c r="Z1232" s="937"/>
      <c r="AA1232" s="937"/>
      <c r="AB1232" s="937"/>
      <c r="AC1232" s="937"/>
    </row>
    <row r="1233" spans="1:29" ht="21" hidden="1">
      <c r="A1233" s="1011"/>
      <c r="B1233" s="964"/>
      <c r="C1233" s="983" t="s">
        <v>939</v>
      </c>
      <c r="D1233" s="964" t="s">
        <v>173</v>
      </c>
      <c r="E1233" s="1299" t="e">
        <f>(H1231+I1231+J1231+K1231+L1231+M1231)/(H1225+I1225+J1225+K1225+L1225+M1225)</f>
        <v>#DIV/0!</v>
      </c>
      <c r="F1233" s="1298" t="s">
        <v>347</v>
      </c>
      <c r="G1233" s="1011"/>
      <c r="H1233" s="966" t="e">
        <f t="shared" ref="H1233:S1233" si="420">H1225*$E$1233</f>
        <v>#DIV/0!</v>
      </c>
      <c r="I1233" s="966" t="e">
        <f t="shared" si="420"/>
        <v>#DIV/0!</v>
      </c>
      <c r="J1233" s="966" t="e">
        <f t="shared" si="420"/>
        <v>#DIV/0!</v>
      </c>
      <c r="K1233" s="966" t="e">
        <f t="shared" si="420"/>
        <v>#DIV/0!</v>
      </c>
      <c r="L1233" s="966" t="e">
        <f t="shared" si="420"/>
        <v>#DIV/0!</v>
      </c>
      <c r="M1233" s="966" t="e">
        <f t="shared" si="420"/>
        <v>#DIV/0!</v>
      </c>
      <c r="N1233" s="966" t="e">
        <f t="shared" si="420"/>
        <v>#DIV/0!</v>
      </c>
      <c r="O1233" s="966" t="e">
        <f t="shared" si="420"/>
        <v>#DIV/0!</v>
      </c>
      <c r="P1233" s="966" t="e">
        <f t="shared" si="420"/>
        <v>#DIV/0!</v>
      </c>
      <c r="Q1233" s="966" t="e">
        <f t="shared" si="420"/>
        <v>#DIV/0!</v>
      </c>
      <c r="R1233" s="966" t="e">
        <f t="shared" si="420"/>
        <v>#DIV/0!</v>
      </c>
      <c r="S1233" s="966" t="e">
        <f t="shared" si="420"/>
        <v>#DIV/0!</v>
      </c>
      <c r="T1233" s="981" t="e">
        <f t="shared" si="415"/>
        <v>#DIV/0!</v>
      </c>
      <c r="U1233" s="966"/>
      <c r="V1233" s="1001" t="s">
        <v>158</v>
      </c>
      <c r="W1233" s="936"/>
      <c r="X1233" s="937"/>
      <c r="Y1233" s="937"/>
      <c r="Z1233" s="937"/>
      <c r="AA1233" s="937"/>
      <c r="AB1233" s="937"/>
      <c r="AC1233" s="937"/>
    </row>
    <row r="1234" spans="1:29" ht="21" hidden="1">
      <c r="A1234" s="1011"/>
      <c r="B1234" s="1003" t="s">
        <v>174</v>
      </c>
      <c r="C1234" s="1004" t="s">
        <v>790</v>
      </c>
      <c r="D1234" s="1003" t="s">
        <v>792</v>
      </c>
      <c r="E1234" s="1003"/>
      <c r="F1234" s="1003"/>
      <c r="G1234" s="1011"/>
      <c r="H1234" s="1006">
        <f>H1227</f>
        <v>0</v>
      </c>
      <c r="I1234" s="1006">
        <f t="shared" ref="I1234:S1234" si="421">I1227</f>
        <v>0</v>
      </c>
      <c r="J1234" s="1006">
        <f t="shared" si="421"/>
        <v>0</v>
      </c>
      <c r="K1234" s="1006">
        <f t="shared" si="421"/>
        <v>0</v>
      </c>
      <c r="L1234" s="1006">
        <f t="shared" si="421"/>
        <v>0</v>
      </c>
      <c r="M1234" s="1006">
        <f t="shared" si="421"/>
        <v>0</v>
      </c>
      <c r="N1234" s="1006">
        <f t="shared" si="421"/>
        <v>0</v>
      </c>
      <c r="O1234" s="1006">
        <f t="shared" si="421"/>
        <v>0</v>
      </c>
      <c r="P1234" s="1006">
        <f t="shared" si="421"/>
        <v>0</v>
      </c>
      <c r="Q1234" s="1006">
        <f t="shared" si="421"/>
        <v>0</v>
      </c>
      <c r="R1234" s="1006">
        <f>R1227</f>
        <v>0</v>
      </c>
      <c r="S1234" s="1006">
        <f t="shared" si="421"/>
        <v>0</v>
      </c>
      <c r="T1234" s="1006">
        <f>T1227/11</f>
        <v>0</v>
      </c>
      <c r="U1234" s="1007"/>
      <c r="V1234" s="1007"/>
      <c r="W1234" s="936"/>
      <c r="X1234" s="937"/>
      <c r="Y1234" s="937"/>
      <c r="Z1234" s="937"/>
      <c r="AA1234" s="937"/>
      <c r="AB1234" s="937"/>
      <c r="AC1234" s="937"/>
    </row>
    <row r="1235" spans="1:29" ht="21" hidden="1">
      <c r="A1235" s="1011"/>
      <c r="B1235" s="1003"/>
      <c r="C1235" s="1004" t="s">
        <v>936</v>
      </c>
      <c r="D1235" s="1003" t="s">
        <v>347</v>
      </c>
      <c r="E1235" s="1003"/>
      <c r="F1235" s="1003"/>
      <c r="G1235" s="1011"/>
      <c r="H1235" s="1006" t="e">
        <f>H1228/H1225</f>
        <v>#DIV/0!</v>
      </c>
      <c r="I1235" s="1006" t="e">
        <f t="shared" ref="I1235:S1235" si="422">I1228/I1225</f>
        <v>#DIV/0!</v>
      </c>
      <c r="J1235" s="1006" t="e">
        <f t="shared" si="422"/>
        <v>#DIV/0!</v>
      </c>
      <c r="K1235" s="1006" t="e">
        <f t="shared" si="422"/>
        <v>#DIV/0!</v>
      </c>
      <c r="L1235" s="1006" t="e">
        <f t="shared" si="422"/>
        <v>#DIV/0!</v>
      </c>
      <c r="M1235" s="1006" t="e">
        <f t="shared" si="422"/>
        <v>#DIV/0!</v>
      </c>
      <c r="N1235" s="1006" t="e">
        <f t="shared" si="422"/>
        <v>#DIV/0!</v>
      </c>
      <c r="O1235" s="1006" t="e">
        <f t="shared" si="422"/>
        <v>#DIV/0!</v>
      </c>
      <c r="P1235" s="1006" t="e">
        <f t="shared" si="422"/>
        <v>#DIV/0!</v>
      </c>
      <c r="Q1235" s="1006" t="e">
        <f t="shared" si="422"/>
        <v>#DIV/0!</v>
      </c>
      <c r="R1235" s="1006" t="e">
        <f t="shared" si="422"/>
        <v>#DIV/0!</v>
      </c>
      <c r="S1235" s="1006" t="e">
        <f t="shared" si="422"/>
        <v>#DIV/0!</v>
      </c>
      <c r="T1235" s="1006">
        <f>T1228</f>
        <v>0</v>
      </c>
      <c r="U1235" s="1007"/>
      <c r="V1235" s="1007"/>
      <c r="W1235" s="936"/>
      <c r="X1235" s="937"/>
      <c r="Y1235" s="937"/>
      <c r="Z1235" s="937"/>
      <c r="AA1235" s="937"/>
      <c r="AB1235" s="937"/>
      <c r="AC1235" s="937"/>
    </row>
    <row r="1236" spans="1:29" ht="21" hidden="1">
      <c r="A1236" s="1011"/>
      <c r="B1236" s="1003"/>
      <c r="C1236" s="1004" t="s">
        <v>161</v>
      </c>
      <c r="D1236" s="1003" t="s">
        <v>347</v>
      </c>
      <c r="E1236" s="1003"/>
      <c r="F1236" s="1003"/>
      <c r="G1236" s="1011"/>
      <c r="H1236" s="1006" t="e">
        <f>H1229/H1225</f>
        <v>#DIV/0!</v>
      </c>
      <c r="I1236" s="1006" t="e">
        <f t="shared" ref="I1236:S1236" si="423">I1229/I1225</f>
        <v>#DIV/0!</v>
      </c>
      <c r="J1236" s="1006" t="e">
        <f t="shared" si="423"/>
        <v>#DIV/0!</v>
      </c>
      <c r="K1236" s="1006" t="e">
        <f t="shared" si="423"/>
        <v>#DIV/0!</v>
      </c>
      <c r="L1236" s="1006" t="e">
        <f t="shared" si="423"/>
        <v>#DIV/0!</v>
      </c>
      <c r="M1236" s="1006" t="e">
        <f t="shared" si="423"/>
        <v>#DIV/0!</v>
      </c>
      <c r="N1236" s="1006" t="e">
        <f t="shared" si="423"/>
        <v>#DIV/0!</v>
      </c>
      <c r="O1236" s="1006" t="e">
        <f t="shared" si="423"/>
        <v>#DIV/0!</v>
      </c>
      <c r="P1236" s="1006" t="e">
        <f t="shared" si="423"/>
        <v>#DIV/0!</v>
      </c>
      <c r="Q1236" s="1006" t="e">
        <f t="shared" si="423"/>
        <v>#DIV/0!</v>
      </c>
      <c r="R1236" s="1006" t="e">
        <f t="shared" si="423"/>
        <v>#DIV/0!</v>
      </c>
      <c r="S1236" s="1006" t="e">
        <f t="shared" si="423"/>
        <v>#DIV/0!</v>
      </c>
      <c r="T1236" s="1006">
        <f>T1229</f>
        <v>0</v>
      </c>
      <c r="U1236" s="1007"/>
      <c r="V1236" s="1007"/>
      <c r="W1236" s="936"/>
      <c r="X1236" s="937"/>
      <c r="Y1236" s="937"/>
      <c r="Z1236" s="937"/>
      <c r="AA1236" s="937"/>
      <c r="AB1236" s="937"/>
      <c r="AC1236" s="937"/>
    </row>
    <row r="1237" spans="1:29" ht="23.25" hidden="1">
      <c r="A1237" s="1011"/>
      <c r="B1237" s="1003"/>
      <c r="C1237" s="1008" t="s">
        <v>941</v>
      </c>
      <c r="D1237" s="1003" t="s">
        <v>792</v>
      </c>
      <c r="E1237" s="1003"/>
      <c r="F1237" s="1003"/>
      <c r="G1237" s="1011"/>
      <c r="H1237" s="1006">
        <f>H1234</f>
        <v>0</v>
      </c>
      <c r="I1237" s="1006">
        <f t="shared" ref="I1237:S1237" si="424">I1234</f>
        <v>0</v>
      </c>
      <c r="J1237" s="1006">
        <f t="shared" si="424"/>
        <v>0</v>
      </c>
      <c r="K1237" s="1006">
        <f t="shared" si="424"/>
        <v>0</v>
      </c>
      <c r="L1237" s="1006">
        <f t="shared" si="424"/>
        <v>0</v>
      </c>
      <c r="M1237" s="1006">
        <f t="shared" si="424"/>
        <v>0</v>
      </c>
      <c r="N1237" s="1006">
        <f t="shared" si="424"/>
        <v>0</v>
      </c>
      <c r="O1237" s="1006">
        <f t="shared" si="424"/>
        <v>0</v>
      </c>
      <c r="P1237" s="1006">
        <f t="shared" si="424"/>
        <v>0</v>
      </c>
      <c r="Q1237" s="1006">
        <f t="shared" si="424"/>
        <v>0</v>
      </c>
      <c r="R1237" s="1006">
        <f t="shared" si="424"/>
        <v>0</v>
      </c>
      <c r="S1237" s="1006">
        <f t="shared" si="424"/>
        <v>0</v>
      </c>
      <c r="T1237" s="1021">
        <f>SUM(H1237:S1237)/11</f>
        <v>0</v>
      </c>
      <c r="U1237" s="1007"/>
      <c r="V1237" s="1007"/>
      <c r="W1237" s="936"/>
      <c r="X1237" s="937"/>
      <c r="Y1237" s="937"/>
      <c r="Z1237" s="937"/>
      <c r="AA1237" s="937"/>
      <c r="AB1237" s="937"/>
      <c r="AC1237" s="937"/>
    </row>
    <row r="1238" spans="1:29" ht="23.25" hidden="1">
      <c r="A1238" s="1011"/>
      <c r="B1238" s="1003"/>
      <c r="C1238" s="1008" t="s">
        <v>942</v>
      </c>
      <c r="D1238" s="1003" t="s">
        <v>347</v>
      </c>
      <c r="E1238" s="1003"/>
      <c r="F1238" s="1003"/>
      <c r="G1238" s="1011"/>
      <c r="H1238" s="1006" t="e">
        <f>H1231/H1225</f>
        <v>#DIV/0!</v>
      </c>
      <c r="I1238" s="1006" t="e">
        <f t="shared" ref="I1238:S1238" si="425">I1231/I1225</f>
        <v>#DIV/0!</v>
      </c>
      <c r="J1238" s="1006" t="e">
        <f t="shared" si="425"/>
        <v>#DIV/0!</v>
      </c>
      <c r="K1238" s="1006" t="e">
        <f t="shared" si="425"/>
        <v>#DIV/0!</v>
      </c>
      <c r="L1238" s="1006" t="e">
        <f t="shared" si="425"/>
        <v>#DIV/0!</v>
      </c>
      <c r="M1238" s="1006" t="e">
        <f t="shared" si="425"/>
        <v>#DIV/0!</v>
      </c>
      <c r="N1238" s="1006" t="e">
        <f t="shared" si="425"/>
        <v>#DIV/0!</v>
      </c>
      <c r="O1238" s="1006" t="e">
        <f t="shared" si="425"/>
        <v>#DIV/0!</v>
      </c>
      <c r="P1238" s="1006" t="e">
        <f t="shared" si="425"/>
        <v>#DIV/0!</v>
      </c>
      <c r="Q1238" s="1006" t="e">
        <f t="shared" si="425"/>
        <v>#DIV/0!</v>
      </c>
      <c r="R1238" s="1006" t="e">
        <f>R1231/R1225</f>
        <v>#DIV/0!</v>
      </c>
      <c r="S1238" s="1006" t="e">
        <f t="shared" si="425"/>
        <v>#DIV/0!</v>
      </c>
      <c r="T1238" s="1021" t="e">
        <f>T1231/T1225</f>
        <v>#DIV/0!</v>
      </c>
      <c r="U1238" s="1007"/>
      <c r="V1238" s="1007"/>
      <c r="W1238" s="936"/>
      <c r="X1238" s="937"/>
      <c r="Y1238" s="937"/>
      <c r="Z1238" s="937"/>
      <c r="AA1238" s="937"/>
      <c r="AB1238" s="937"/>
      <c r="AC1238" s="937"/>
    </row>
    <row r="1239" spans="1:29" ht="21" hidden="1">
      <c r="A1239" s="1011"/>
      <c r="B1239" s="1003"/>
      <c r="C1239" s="1008" t="s">
        <v>743</v>
      </c>
      <c r="D1239" s="1003" t="s">
        <v>401</v>
      </c>
      <c r="E1239" s="1003"/>
      <c r="F1239" s="1003"/>
      <c r="G1239" s="1011"/>
      <c r="H1239" s="1009" t="e">
        <f>(H1230+H1231)/(H1233+H1232)*100</f>
        <v>#DIV/0!</v>
      </c>
      <c r="I1239" s="1009" t="e">
        <f t="shared" ref="I1239:T1239" si="426">(I1230+I1231)/(I1233+I1232)*100</f>
        <v>#DIV/0!</v>
      </c>
      <c r="J1239" s="1009" t="e">
        <f t="shared" si="426"/>
        <v>#DIV/0!</v>
      </c>
      <c r="K1239" s="1009" t="e">
        <f t="shared" si="426"/>
        <v>#DIV/0!</v>
      </c>
      <c r="L1239" s="1009" t="e">
        <f t="shared" si="426"/>
        <v>#DIV/0!</v>
      </c>
      <c r="M1239" s="1009" t="e">
        <f t="shared" si="426"/>
        <v>#DIV/0!</v>
      </c>
      <c r="N1239" s="1009" t="e">
        <f t="shared" si="426"/>
        <v>#DIV/0!</v>
      </c>
      <c r="O1239" s="1009" t="e">
        <f t="shared" si="426"/>
        <v>#DIV/0!</v>
      </c>
      <c r="P1239" s="1009" t="e">
        <f t="shared" si="426"/>
        <v>#DIV/0!</v>
      </c>
      <c r="Q1239" s="1009" t="e">
        <f t="shared" si="426"/>
        <v>#DIV/0!</v>
      </c>
      <c r="R1239" s="1009" t="e">
        <f t="shared" si="426"/>
        <v>#DIV/0!</v>
      </c>
      <c r="S1239" s="1009" t="e">
        <f t="shared" si="426"/>
        <v>#DIV/0!</v>
      </c>
      <c r="T1239" s="1009" t="e">
        <f t="shared" si="426"/>
        <v>#DIV/0!</v>
      </c>
      <c r="U1239" s="1007"/>
      <c r="V1239" s="1007"/>
      <c r="W1239" s="936"/>
      <c r="X1239" s="937"/>
      <c r="Y1239" s="937"/>
      <c r="Z1239" s="937"/>
      <c r="AA1239" s="937"/>
      <c r="AB1239" s="937"/>
      <c r="AC1239" s="937"/>
    </row>
    <row r="1240" spans="1:29" s="1282" customFormat="1" ht="21" hidden="1">
      <c r="A1240" s="1300"/>
      <c r="B1240" s="1301"/>
      <c r="C1240" s="1301" t="s">
        <v>745</v>
      </c>
      <c r="D1240" s="1301"/>
      <c r="E1240" s="1301"/>
      <c r="F1240" s="1301"/>
      <c r="G1240" s="1301"/>
      <c r="H1240" s="1302" t="e">
        <f>(H1210+H1211+H1230+H1231)/(H1212+H1213+H1232+H1233)*100</f>
        <v>#DIV/0!</v>
      </c>
      <c r="I1240" s="1303" t="e">
        <f t="shared" ref="I1240:T1240" si="427">(I1210+I1211+I1230+I1231)/(I1212+I1213+I1232+I1233)*100</f>
        <v>#DIV/0!</v>
      </c>
      <c r="J1240" s="1303" t="e">
        <f t="shared" si="427"/>
        <v>#DIV/0!</v>
      </c>
      <c r="K1240" s="1303" t="e">
        <f t="shared" si="427"/>
        <v>#DIV/0!</v>
      </c>
      <c r="L1240" s="1303" t="e">
        <f t="shared" si="427"/>
        <v>#DIV/0!</v>
      </c>
      <c r="M1240" s="1303" t="e">
        <f t="shared" si="427"/>
        <v>#DIV/0!</v>
      </c>
      <c r="N1240" s="1303" t="e">
        <f t="shared" si="427"/>
        <v>#DIV/0!</v>
      </c>
      <c r="O1240" s="1303" t="e">
        <f t="shared" si="427"/>
        <v>#DIV/0!</v>
      </c>
      <c r="P1240" s="1303" t="e">
        <f t="shared" si="427"/>
        <v>#DIV/0!</v>
      </c>
      <c r="Q1240" s="1303" t="e">
        <f t="shared" si="427"/>
        <v>#DIV/0!</v>
      </c>
      <c r="R1240" s="1303" t="e">
        <f t="shared" si="427"/>
        <v>#DIV/0!</v>
      </c>
      <c r="S1240" s="1303" t="e">
        <f t="shared" si="427"/>
        <v>#DIV/0!</v>
      </c>
      <c r="T1240" s="1303" t="e">
        <f t="shared" si="427"/>
        <v>#DIV/0!</v>
      </c>
      <c r="U1240" s="1304"/>
      <c r="V1240" s="1304"/>
      <c r="W1240" s="1281"/>
    </row>
    <row r="1241" spans="1:29" s="1189" customFormat="1" ht="21" hidden="1">
      <c r="A1241" s="1073"/>
      <c r="B1241" s="1074"/>
      <c r="C1241" s="1075"/>
      <c r="D1241" s="1074"/>
      <c r="E1241" s="1074"/>
      <c r="F1241" s="1074"/>
      <c r="G1241" s="1074"/>
      <c r="H1241" s="1077"/>
      <c r="I1241" s="1077"/>
      <c r="J1241" s="1077"/>
      <c r="K1241" s="1077"/>
      <c r="L1241" s="1077"/>
      <c r="M1241" s="1077"/>
      <c r="N1241" s="1077"/>
      <c r="O1241" s="1077"/>
      <c r="P1241" s="1077"/>
      <c r="Q1241" s="1077"/>
      <c r="R1241" s="1077"/>
      <c r="S1241" s="1077"/>
      <c r="T1241" s="945"/>
      <c r="U1241" s="945" t="e">
        <f>U190+#REF!+U769+#REF!+#REF!</f>
        <v>#REF!</v>
      </c>
      <c r="V1241" s="945" t="e">
        <f>V190+#REF!+V769+#REF!+#REF!</f>
        <v>#REF!</v>
      </c>
      <c r="W1241" s="1188"/>
    </row>
    <row r="1242" spans="1:29" s="1282" customFormat="1" ht="21" hidden="1">
      <c r="A1242" s="964">
        <v>29</v>
      </c>
      <c r="B1242" s="1282" t="s">
        <v>168</v>
      </c>
      <c r="D1242" s="1290"/>
      <c r="E1242" s="1291"/>
      <c r="H1242" s="1281"/>
      <c r="I1242" s="1281"/>
      <c r="J1242" s="1281"/>
      <c r="K1242" s="1281"/>
      <c r="L1242" s="1281"/>
      <c r="M1242" s="1281"/>
      <c r="N1242" s="1281"/>
      <c r="O1242" s="1281"/>
      <c r="P1242" s="1281"/>
      <c r="Q1242" s="1281"/>
      <c r="R1242" s="1281"/>
      <c r="S1242" s="1281"/>
      <c r="T1242" s="1289"/>
      <c r="U1242" s="1289"/>
      <c r="V1242" s="1289"/>
      <c r="W1242" s="1281"/>
    </row>
    <row r="1243" spans="1:29" ht="21" hidden="1">
      <c r="A1243" s="964"/>
      <c r="B1243" s="1292"/>
      <c r="C1243" s="1031" t="s">
        <v>730</v>
      </c>
      <c r="D1243" s="964" t="s">
        <v>90</v>
      </c>
      <c r="E1243" s="984">
        <f>'[11]Price&amp;Heating-Value'!$R$6</f>
        <v>3.6</v>
      </c>
      <c r="F1243" s="964"/>
      <c r="G1243" s="1014">
        <f>'[11]Price&amp;Heating-Value'!$P$6</f>
        <v>2.7124999999999999</v>
      </c>
      <c r="H1243" s="966"/>
      <c r="I1243" s="966"/>
      <c r="J1243" s="966"/>
      <c r="K1243" s="966"/>
      <c r="L1243" s="966"/>
      <c r="M1243" s="966"/>
      <c r="N1243" s="966"/>
      <c r="O1243" s="966"/>
      <c r="P1243" s="966"/>
      <c r="Q1243" s="1154"/>
      <c r="R1243" s="966"/>
      <c r="S1243" s="966"/>
      <c r="T1243" s="966">
        <f>SUM(H1243:S1243)</f>
        <v>0</v>
      </c>
      <c r="U1243" s="966">
        <f>T1243*E1243</f>
        <v>0</v>
      </c>
      <c r="V1243" s="966">
        <f>G1243*T1243</f>
        <v>0</v>
      </c>
      <c r="W1243" s="954"/>
      <c r="X1243" s="954"/>
      <c r="Y1243" s="954"/>
      <c r="Z1243" s="954"/>
      <c r="AA1243" s="954"/>
      <c r="AB1243" s="954"/>
      <c r="AC1243" s="954"/>
    </row>
    <row r="1244" spans="1:29" ht="21" hidden="1">
      <c r="A1244" s="1011"/>
      <c r="B1244" s="1293"/>
      <c r="C1244" s="1031" t="s">
        <v>934</v>
      </c>
      <c r="D1244" s="964" t="s">
        <v>90</v>
      </c>
      <c r="E1244" s="1294">
        <v>0.34</v>
      </c>
      <c r="F1244" s="964"/>
      <c r="G1244" s="1014"/>
      <c r="H1244" s="981"/>
      <c r="I1244" s="981"/>
      <c r="J1244" s="981"/>
      <c r="K1244" s="981"/>
      <c r="L1244" s="981"/>
      <c r="M1244" s="981"/>
      <c r="N1244" s="981"/>
      <c r="O1244" s="981"/>
      <c r="P1244" s="981"/>
      <c r="Q1244" s="981"/>
      <c r="R1244" s="981"/>
      <c r="S1244" s="981"/>
      <c r="T1244" s="966">
        <f>SUM(H1244:S1244)</f>
        <v>0</v>
      </c>
      <c r="U1244" s="966"/>
      <c r="V1244" s="966"/>
      <c r="W1244" s="954"/>
      <c r="X1244" s="954"/>
      <c r="Y1244" s="954"/>
      <c r="Z1244" s="954"/>
      <c r="AA1244" s="954"/>
      <c r="AB1244" s="954"/>
      <c r="AC1244" s="954"/>
    </row>
    <row r="1245" spans="1:29" ht="21" hidden="1">
      <c r="A1245" s="1011"/>
      <c r="B1245" s="1011"/>
      <c r="C1245" s="1031" t="s">
        <v>935</v>
      </c>
      <c r="D1245" s="964" t="s">
        <v>90</v>
      </c>
      <c r="E1245" s="1294">
        <v>0.66</v>
      </c>
      <c r="F1245" s="964"/>
      <c r="G1245" s="1014"/>
      <c r="H1245" s="981"/>
      <c r="I1245" s="981"/>
      <c r="J1245" s="981"/>
      <c r="K1245" s="981"/>
      <c r="L1245" s="981"/>
      <c r="M1245" s="981"/>
      <c r="N1245" s="981"/>
      <c r="O1245" s="981"/>
      <c r="P1245" s="981"/>
      <c r="Q1245" s="981"/>
      <c r="R1245" s="981"/>
      <c r="S1245" s="981"/>
      <c r="T1245" s="966">
        <f>SUM(H1245:S1245)</f>
        <v>0</v>
      </c>
      <c r="U1245" s="966">
        <f>T1245*E1245</f>
        <v>0</v>
      </c>
      <c r="V1245" s="966">
        <f>G1245*T1245</f>
        <v>0</v>
      </c>
      <c r="W1245" s="982"/>
      <c r="X1245" s="982"/>
      <c r="Y1245" s="982"/>
      <c r="Z1245" s="982"/>
      <c r="AA1245" s="982"/>
      <c r="AB1245" s="982"/>
      <c r="AC1245" s="982"/>
    </row>
    <row r="1246" spans="1:29" ht="21" hidden="1">
      <c r="A1246" s="1011"/>
      <c r="B1246" s="1011"/>
      <c r="C1246" s="1031" t="s">
        <v>434</v>
      </c>
      <c r="D1246" s="964" t="s">
        <v>176</v>
      </c>
      <c r="E1246" s="964">
        <f>'[11]Price&amp;Heating-Value'!$R$18/'[11]Price&amp;Heating-Value'!$T$18/1000</f>
        <v>36.42</v>
      </c>
      <c r="F1246" s="984">
        <f>'[11]Price&amp;Heating-Value'!$T$18</f>
        <v>0.83520000000000005</v>
      </c>
      <c r="G1246" s="965">
        <f>'[11]Price&amp;Heating-Value'!$P$18*'[11]Price&amp;Heating-Value'!$T$18/1000</f>
        <v>25.160039938320001</v>
      </c>
      <c r="H1246" s="981"/>
      <c r="I1246" s="981"/>
      <c r="J1246" s="981"/>
      <c r="K1246" s="981"/>
      <c r="L1246" s="981"/>
      <c r="M1246" s="981"/>
      <c r="N1246" s="981"/>
      <c r="O1246" s="981"/>
      <c r="P1246" s="981"/>
      <c r="Q1246" s="1185"/>
      <c r="R1246" s="981"/>
      <c r="S1246" s="981"/>
      <c r="T1246" s="966">
        <f>SUM(H1246:S1246)</f>
        <v>0</v>
      </c>
      <c r="U1246" s="981"/>
      <c r="V1246" s="981"/>
      <c r="W1246" s="982"/>
      <c r="X1246" s="982"/>
      <c r="Y1246" s="982"/>
      <c r="Z1246" s="982"/>
      <c r="AA1246" s="982"/>
      <c r="AB1246" s="982"/>
      <c r="AC1246" s="982"/>
    </row>
    <row r="1247" spans="1:29" ht="21" hidden="1">
      <c r="A1247" s="1011"/>
      <c r="B1247" s="1011"/>
      <c r="C1247" s="1295"/>
      <c r="D1247" s="1011"/>
      <c r="E1247" s="1011"/>
      <c r="F1247" s="1011"/>
      <c r="G1247" s="1011"/>
      <c r="H1247" s="1056"/>
      <c r="I1247" s="1056"/>
      <c r="J1247" s="1056"/>
      <c r="K1247" s="1056"/>
      <c r="L1247" s="1056"/>
      <c r="M1247" s="1056"/>
      <c r="N1247" s="1056"/>
      <c r="O1247" s="1056"/>
      <c r="P1247" s="1056"/>
      <c r="Q1247" s="1296"/>
      <c r="R1247" s="1056"/>
      <c r="S1247" s="1056"/>
      <c r="T1247" s="987"/>
      <c r="U1247" s="1056">
        <f>SUM(U1243:U1245)</f>
        <v>0</v>
      </c>
      <c r="V1247" s="981">
        <f>SUM(V1243:V1245)</f>
        <v>0</v>
      </c>
      <c r="W1247" s="936"/>
      <c r="X1247" s="937"/>
      <c r="Y1247" s="937"/>
      <c r="Z1247" s="937"/>
      <c r="AA1247" s="937"/>
      <c r="AB1247" s="937"/>
      <c r="AC1247" s="937"/>
    </row>
    <row r="1248" spans="1:29" ht="21" hidden="1">
      <c r="A1248" s="1011"/>
      <c r="B1248" s="989"/>
      <c r="C1248" s="990" t="s">
        <v>107</v>
      </c>
      <c r="D1248" s="989" t="s">
        <v>147</v>
      </c>
      <c r="E1248" s="989"/>
      <c r="F1248" s="989"/>
      <c r="G1248" s="1011"/>
      <c r="H1248" s="994"/>
      <c r="I1248" s="994"/>
      <c r="J1248" s="994"/>
      <c r="K1248" s="994"/>
      <c r="L1248" s="994"/>
      <c r="M1248" s="994"/>
      <c r="N1248" s="994"/>
      <c r="O1248" s="994"/>
      <c r="P1248" s="994"/>
      <c r="Q1248" s="1297"/>
      <c r="R1248" s="1297"/>
      <c r="S1248" s="994"/>
      <c r="T1248" s="996">
        <f>SUM(H1248:S1248)</f>
        <v>0</v>
      </c>
      <c r="U1248" s="995"/>
      <c r="V1248" s="1026" t="e">
        <f>V1247/T1248</f>
        <v>#DIV/0!</v>
      </c>
      <c r="W1248" s="936"/>
      <c r="X1248" s="937"/>
      <c r="Y1248" s="937"/>
      <c r="Z1248" s="937"/>
      <c r="AA1248" s="937"/>
      <c r="AB1248" s="937"/>
      <c r="AC1248" s="937"/>
    </row>
    <row r="1249" spans="1:22" ht="21" hidden="1">
      <c r="A1249" s="1011"/>
      <c r="B1249" s="1011"/>
      <c r="C1249" s="1030"/>
      <c r="D1249" s="1011"/>
      <c r="E1249" s="1011"/>
      <c r="F1249" s="1011"/>
      <c r="G1249" s="1011"/>
      <c r="H1249" s="981"/>
      <c r="I1249" s="981"/>
      <c r="J1249" s="981"/>
      <c r="K1249" s="981"/>
      <c r="L1249" s="981"/>
      <c r="M1249" s="981"/>
      <c r="N1249" s="981"/>
      <c r="O1249" s="981"/>
      <c r="P1249" s="981"/>
      <c r="Q1249" s="1185"/>
      <c r="R1249" s="981"/>
      <c r="S1249" s="981"/>
      <c r="T1249" s="981"/>
      <c r="U1249" s="981"/>
      <c r="V1249" s="997" t="s">
        <v>137</v>
      </c>
    </row>
    <row r="1250" spans="1:22" ht="21" hidden="1">
      <c r="A1250" s="1011"/>
      <c r="B1250" s="1011"/>
      <c r="C1250" s="1031" t="s">
        <v>790</v>
      </c>
      <c r="D1250" s="1011" t="s">
        <v>173</v>
      </c>
      <c r="E1250" s="964"/>
      <c r="F1250" s="964"/>
      <c r="G1250" s="1011"/>
      <c r="H1250" s="981">
        <f>H1244*$E$1243/1000</f>
        <v>0</v>
      </c>
      <c r="I1250" s="981">
        <f t="shared" ref="I1250:S1251" si="428">I1244*$E$1243/1000</f>
        <v>0</v>
      </c>
      <c r="J1250" s="981">
        <f t="shared" si="428"/>
        <v>0</v>
      </c>
      <c r="K1250" s="981">
        <f t="shared" si="428"/>
        <v>0</v>
      </c>
      <c r="L1250" s="981">
        <f t="shared" si="428"/>
        <v>0</v>
      </c>
      <c r="M1250" s="981">
        <f t="shared" si="428"/>
        <v>0</v>
      </c>
      <c r="N1250" s="981">
        <f t="shared" si="428"/>
        <v>0</v>
      </c>
      <c r="O1250" s="981">
        <f t="shared" si="428"/>
        <v>0</v>
      </c>
      <c r="P1250" s="981">
        <f t="shared" si="428"/>
        <v>0</v>
      </c>
      <c r="Q1250" s="981">
        <f t="shared" si="428"/>
        <v>0</v>
      </c>
      <c r="R1250" s="981">
        <f t="shared" si="428"/>
        <v>0</v>
      </c>
      <c r="S1250" s="981">
        <f t="shared" si="428"/>
        <v>0</v>
      </c>
      <c r="T1250" s="981">
        <f t="shared" ref="T1250:T1256" si="429">SUM(H1250:S1250)</f>
        <v>0</v>
      </c>
      <c r="U1250" s="981"/>
      <c r="V1250" s="981"/>
    </row>
    <row r="1251" spans="1:22" ht="21" hidden="1">
      <c r="A1251" s="1011"/>
      <c r="B1251" s="1011"/>
      <c r="C1251" s="1031" t="s">
        <v>936</v>
      </c>
      <c r="D1251" s="1011" t="s">
        <v>173</v>
      </c>
      <c r="E1251" s="964"/>
      <c r="F1251" s="964"/>
      <c r="G1251" s="1011"/>
      <c r="H1251" s="981">
        <f>H1245*$E$1243/1000</f>
        <v>0</v>
      </c>
      <c r="I1251" s="981">
        <f t="shared" si="428"/>
        <v>0</v>
      </c>
      <c r="J1251" s="981">
        <f t="shared" si="428"/>
        <v>0</v>
      </c>
      <c r="K1251" s="981">
        <f t="shared" si="428"/>
        <v>0</v>
      </c>
      <c r="L1251" s="981">
        <f t="shared" si="428"/>
        <v>0</v>
      </c>
      <c r="M1251" s="981">
        <f t="shared" si="428"/>
        <v>0</v>
      </c>
      <c r="N1251" s="981">
        <f t="shared" si="428"/>
        <v>0</v>
      </c>
      <c r="O1251" s="981">
        <f t="shared" si="428"/>
        <v>0</v>
      </c>
      <c r="P1251" s="981">
        <f t="shared" si="428"/>
        <v>0</v>
      </c>
      <c r="Q1251" s="981">
        <f t="shared" si="428"/>
        <v>0</v>
      </c>
      <c r="R1251" s="981">
        <f t="shared" si="428"/>
        <v>0</v>
      </c>
      <c r="S1251" s="981">
        <f t="shared" si="428"/>
        <v>0</v>
      </c>
      <c r="T1251" s="981">
        <f t="shared" si="429"/>
        <v>0</v>
      </c>
      <c r="U1251" s="981"/>
      <c r="V1251" s="981"/>
    </row>
    <row r="1252" spans="1:22" ht="21" hidden="1">
      <c r="A1252" s="1011"/>
      <c r="B1252" s="1011"/>
      <c r="C1252" s="1031" t="s">
        <v>161</v>
      </c>
      <c r="D1252" s="1011" t="s">
        <v>173</v>
      </c>
      <c r="E1252" s="964"/>
      <c r="F1252" s="964"/>
      <c r="G1252" s="1011"/>
      <c r="H1252" s="981">
        <f>H1246*$E$1246/1000</f>
        <v>0</v>
      </c>
      <c r="I1252" s="981">
        <f t="shared" ref="I1252:S1252" si="430">I1246*$E$1246/1000</f>
        <v>0</v>
      </c>
      <c r="J1252" s="981">
        <f t="shared" si="430"/>
        <v>0</v>
      </c>
      <c r="K1252" s="981">
        <f t="shared" si="430"/>
        <v>0</v>
      </c>
      <c r="L1252" s="981">
        <f t="shared" si="430"/>
        <v>0</v>
      </c>
      <c r="M1252" s="981">
        <f t="shared" si="430"/>
        <v>0</v>
      </c>
      <c r="N1252" s="981">
        <f t="shared" si="430"/>
        <v>0</v>
      </c>
      <c r="O1252" s="981">
        <f t="shared" si="430"/>
        <v>0</v>
      </c>
      <c r="P1252" s="981">
        <f t="shared" si="430"/>
        <v>0</v>
      </c>
      <c r="Q1252" s="981">
        <f t="shared" si="430"/>
        <v>0</v>
      </c>
      <c r="R1252" s="981">
        <f t="shared" si="430"/>
        <v>0</v>
      </c>
      <c r="S1252" s="981">
        <f t="shared" si="430"/>
        <v>0</v>
      </c>
      <c r="T1252" s="981">
        <f t="shared" si="429"/>
        <v>0</v>
      </c>
      <c r="U1252" s="981"/>
      <c r="V1252" s="981"/>
    </row>
    <row r="1253" spans="1:22" ht="21" hidden="1">
      <c r="A1253" s="1011"/>
      <c r="B1253" s="964"/>
      <c r="C1253" s="983" t="s">
        <v>937</v>
      </c>
      <c r="D1253" s="964" t="s">
        <v>173</v>
      </c>
      <c r="E1253" s="1011"/>
      <c r="F1253" s="1011"/>
      <c r="G1253" s="1011"/>
      <c r="H1253" s="981">
        <f>H1250</f>
        <v>0</v>
      </c>
      <c r="I1253" s="981">
        <f t="shared" ref="I1253:S1253" si="431">I1250</f>
        <v>0</v>
      </c>
      <c r="J1253" s="981">
        <f t="shared" si="431"/>
        <v>0</v>
      </c>
      <c r="K1253" s="981">
        <f t="shared" si="431"/>
        <v>0</v>
      </c>
      <c r="L1253" s="981">
        <f t="shared" si="431"/>
        <v>0</v>
      </c>
      <c r="M1253" s="981">
        <f t="shared" si="431"/>
        <v>0</v>
      </c>
      <c r="N1253" s="981">
        <f t="shared" si="431"/>
        <v>0</v>
      </c>
      <c r="O1253" s="981">
        <f t="shared" si="431"/>
        <v>0</v>
      </c>
      <c r="P1253" s="981">
        <f t="shared" si="431"/>
        <v>0</v>
      </c>
      <c r="Q1253" s="981">
        <f t="shared" si="431"/>
        <v>0</v>
      </c>
      <c r="R1253" s="981">
        <f t="shared" si="431"/>
        <v>0</v>
      </c>
      <c r="S1253" s="981">
        <f t="shared" si="431"/>
        <v>0</v>
      </c>
      <c r="T1253" s="1032">
        <f t="shared" si="429"/>
        <v>0</v>
      </c>
      <c r="U1253" s="981"/>
      <c r="V1253" s="1033" t="e">
        <f>V1247/T1253</f>
        <v>#DIV/0!</v>
      </c>
    </row>
    <row r="1254" spans="1:22" ht="21" hidden="1">
      <c r="A1254" s="1011"/>
      <c r="B1254" s="964"/>
      <c r="C1254" s="983" t="s">
        <v>938</v>
      </c>
      <c r="D1254" s="964" t="s">
        <v>173</v>
      </c>
      <c r="E1254" s="1011"/>
      <c r="F1254" s="1011"/>
      <c r="G1254" s="1011"/>
      <c r="H1254" s="981">
        <f>SUM(H1251:H1252)</f>
        <v>0</v>
      </c>
      <c r="I1254" s="981">
        <f t="shared" ref="I1254:S1254" si="432">SUM(I1251:I1252)</f>
        <v>0</v>
      </c>
      <c r="J1254" s="981">
        <f t="shared" si="432"/>
        <v>0</v>
      </c>
      <c r="K1254" s="981">
        <f t="shared" si="432"/>
        <v>0</v>
      </c>
      <c r="L1254" s="981">
        <f t="shared" si="432"/>
        <v>0</v>
      </c>
      <c r="M1254" s="981">
        <f t="shared" si="432"/>
        <v>0</v>
      </c>
      <c r="N1254" s="981">
        <f t="shared" si="432"/>
        <v>0</v>
      </c>
      <c r="O1254" s="981">
        <f t="shared" si="432"/>
        <v>0</v>
      </c>
      <c r="P1254" s="981">
        <f t="shared" si="432"/>
        <v>0</v>
      </c>
      <c r="Q1254" s="981">
        <f t="shared" si="432"/>
        <v>0</v>
      </c>
      <c r="R1254" s="981">
        <f t="shared" si="432"/>
        <v>0</v>
      </c>
      <c r="S1254" s="981">
        <f t="shared" si="432"/>
        <v>0</v>
      </c>
      <c r="T1254" s="1032">
        <f t="shared" si="429"/>
        <v>0</v>
      </c>
      <c r="U1254" s="981"/>
      <c r="V1254" s="1033"/>
    </row>
    <row r="1255" spans="1:22" ht="21" hidden="1">
      <c r="A1255" s="1011"/>
      <c r="B1255" s="964"/>
      <c r="C1255" s="983" t="s">
        <v>791</v>
      </c>
      <c r="D1255" s="964" t="s">
        <v>173</v>
      </c>
      <c r="E1255" s="1298">
        <f>(H1250+I1250+J1250+K1250+L1250+M1250)/6</f>
        <v>0</v>
      </c>
      <c r="F1255" s="1298" t="s">
        <v>792</v>
      </c>
      <c r="G1255" s="1011"/>
      <c r="H1255" s="981">
        <f>$E$1255</f>
        <v>0</v>
      </c>
      <c r="I1255" s="981">
        <f t="shared" ref="I1255:R1255" si="433">$E$1255</f>
        <v>0</v>
      </c>
      <c r="J1255" s="981">
        <f t="shared" si="433"/>
        <v>0</v>
      </c>
      <c r="K1255" s="981">
        <f t="shared" si="433"/>
        <v>0</v>
      </c>
      <c r="L1255" s="981">
        <f t="shared" si="433"/>
        <v>0</v>
      </c>
      <c r="M1255" s="981">
        <f t="shared" si="433"/>
        <v>0</v>
      </c>
      <c r="N1255" s="981">
        <f t="shared" si="433"/>
        <v>0</v>
      </c>
      <c r="O1255" s="981">
        <f t="shared" si="433"/>
        <v>0</v>
      </c>
      <c r="P1255" s="981">
        <f t="shared" si="433"/>
        <v>0</v>
      </c>
      <c r="Q1255" s="981">
        <f t="shared" si="433"/>
        <v>0</v>
      </c>
      <c r="R1255" s="981">
        <f t="shared" si="433"/>
        <v>0</v>
      </c>
      <c r="S1255" s="981">
        <v>0</v>
      </c>
      <c r="T1255" s="966">
        <f t="shared" si="429"/>
        <v>0</v>
      </c>
      <c r="U1255" s="981"/>
      <c r="V1255" s="1033"/>
    </row>
    <row r="1256" spans="1:22" ht="21" hidden="1">
      <c r="A1256" s="1011"/>
      <c r="B1256" s="964"/>
      <c r="C1256" s="983" t="s">
        <v>939</v>
      </c>
      <c r="D1256" s="964" t="s">
        <v>173</v>
      </c>
      <c r="E1256" s="1298" t="e">
        <f>(H1254+I1254+J1254+K1254+L1254+M1254)/(H1248+I1248+J1248+K1248+L1248+M1248)</f>
        <v>#DIV/0!</v>
      </c>
      <c r="F1256" s="1298" t="s">
        <v>347</v>
      </c>
      <c r="G1256" s="1011"/>
      <c r="H1256" s="966" t="e">
        <f>H1248*$E$1256</f>
        <v>#DIV/0!</v>
      </c>
      <c r="I1256" s="966" t="e">
        <f t="shared" ref="I1256:S1256" si="434">I1248*$E$1256</f>
        <v>#DIV/0!</v>
      </c>
      <c r="J1256" s="966" t="e">
        <f t="shared" si="434"/>
        <v>#DIV/0!</v>
      </c>
      <c r="K1256" s="966" t="e">
        <f t="shared" si="434"/>
        <v>#DIV/0!</v>
      </c>
      <c r="L1256" s="966" t="e">
        <f t="shared" si="434"/>
        <v>#DIV/0!</v>
      </c>
      <c r="M1256" s="966" t="e">
        <f t="shared" si="434"/>
        <v>#DIV/0!</v>
      </c>
      <c r="N1256" s="966" t="e">
        <f t="shared" si="434"/>
        <v>#DIV/0!</v>
      </c>
      <c r="O1256" s="966" t="e">
        <f t="shared" si="434"/>
        <v>#DIV/0!</v>
      </c>
      <c r="P1256" s="966" t="e">
        <f t="shared" si="434"/>
        <v>#DIV/0!</v>
      </c>
      <c r="Q1256" s="966" t="e">
        <f t="shared" si="434"/>
        <v>#DIV/0!</v>
      </c>
      <c r="R1256" s="966" t="e">
        <f t="shared" si="434"/>
        <v>#DIV/0!</v>
      </c>
      <c r="S1256" s="966" t="e">
        <f t="shared" si="434"/>
        <v>#DIV/0!</v>
      </c>
      <c r="T1256" s="966" t="e">
        <f t="shared" si="429"/>
        <v>#DIV/0!</v>
      </c>
      <c r="U1256" s="966"/>
      <c r="V1256" s="1001" t="s">
        <v>158</v>
      </c>
    </row>
    <row r="1257" spans="1:22" ht="21" hidden="1">
      <c r="A1257" s="1011"/>
      <c r="B1257" s="1003" t="s">
        <v>174</v>
      </c>
      <c r="C1257" s="1004" t="s">
        <v>790</v>
      </c>
      <c r="D1257" s="1003" t="s">
        <v>792</v>
      </c>
      <c r="E1257" s="1003"/>
      <c r="F1257" s="1003"/>
      <c r="G1257" s="1011"/>
      <c r="H1257" s="1006">
        <f>H1250</f>
        <v>0</v>
      </c>
      <c r="I1257" s="1006">
        <f t="shared" ref="I1257:S1257" si="435">I1250</f>
        <v>0</v>
      </c>
      <c r="J1257" s="1006">
        <f t="shared" si="435"/>
        <v>0</v>
      </c>
      <c r="K1257" s="1006">
        <f t="shared" si="435"/>
        <v>0</v>
      </c>
      <c r="L1257" s="1006">
        <f t="shared" si="435"/>
        <v>0</v>
      </c>
      <c r="M1257" s="1006">
        <f t="shared" si="435"/>
        <v>0</v>
      </c>
      <c r="N1257" s="1006">
        <f t="shared" si="435"/>
        <v>0</v>
      </c>
      <c r="O1257" s="1006">
        <f t="shared" si="435"/>
        <v>0</v>
      </c>
      <c r="P1257" s="1006">
        <f t="shared" si="435"/>
        <v>0</v>
      </c>
      <c r="Q1257" s="1006">
        <f t="shared" si="435"/>
        <v>0</v>
      </c>
      <c r="R1257" s="1006">
        <f t="shared" si="435"/>
        <v>0</v>
      </c>
      <c r="S1257" s="1006">
        <f t="shared" si="435"/>
        <v>0</v>
      </c>
      <c r="T1257" s="1006">
        <f>T1250/11</f>
        <v>0</v>
      </c>
      <c r="U1257" s="1007"/>
      <c r="V1257" s="1007"/>
    </row>
    <row r="1258" spans="1:22" ht="21" hidden="1">
      <c r="A1258" s="1011"/>
      <c r="B1258" s="1003"/>
      <c r="C1258" s="1004" t="s">
        <v>936</v>
      </c>
      <c r="D1258" s="1003" t="s">
        <v>347</v>
      </c>
      <c r="E1258" s="1003"/>
      <c r="F1258" s="1003"/>
      <c r="G1258" s="1011"/>
      <c r="H1258" s="1006" t="e">
        <f>H1251/H1248</f>
        <v>#DIV/0!</v>
      </c>
      <c r="I1258" s="1006" t="e">
        <f t="shared" ref="I1258:T1258" si="436">I1251/I1248</f>
        <v>#DIV/0!</v>
      </c>
      <c r="J1258" s="1006" t="e">
        <f t="shared" si="436"/>
        <v>#DIV/0!</v>
      </c>
      <c r="K1258" s="1006" t="e">
        <f t="shared" si="436"/>
        <v>#DIV/0!</v>
      </c>
      <c r="L1258" s="1006" t="e">
        <f t="shared" si="436"/>
        <v>#DIV/0!</v>
      </c>
      <c r="M1258" s="1006" t="e">
        <f t="shared" si="436"/>
        <v>#DIV/0!</v>
      </c>
      <c r="N1258" s="1006" t="e">
        <f t="shared" si="436"/>
        <v>#DIV/0!</v>
      </c>
      <c r="O1258" s="1006" t="e">
        <f t="shared" si="436"/>
        <v>#DIV/0!</v>
      </c>
      <c r="P1258" s="1006" t="e">
        <f t="shared" si="436"/>
        <v>#DIV/0!</v>
      </c>
      <c r="Q1258" s="1006" t="e">
        <f t="shared" si="436"/>
        <v>#DIV/0!</v>
      </c>
      <c r="R1258" s="1006" t="e">
        <f t="shared" si="436"/>
        <v>#DIV/0!</v>
      </c>
      <c r="S1258" s="1006" t="e">
        <f t="shared" si="436"/>
        <v>#DIV/0!</v>
      </c>
      <c r="T1258" s="1006" t="e">
        <f t="shared" si="436"/>
        <v>#DIV/0!</v>
      </c>
      <c r="U1258" s="1007"/>
      <c r="V1258" s="1007"/>
    </row>
    <row r="1259" spans="1:22" ht="21" hidden="1">
      <c r="A1259" s="1011"/>
      <c r="B1259" s="1003"/>
      <c r="C1259" s="1004" t="s">
        <v>161</v>
      </c>
      <c r="D1259" s="1003" t="s">
        <v>347</v>
      </c>
      <c r="E1259" s="1003"/>
      <c r="F1259" s="1003"/>
      <c r="G1259" s="1011"/>
      <c r="H1259" s="1006" t="e">
        <f>H1252/H1248</f>
        <v>#DIV/0!</v>
      </c>
      <c r="I1259" s="1006" t="e">
        <f t="shared" ref="I1259:T1259" si="437">I1252/I1248</f>
        <v>#DIV/0!</v>
      </c>
      <c r="J1259" s="1006" t="e">
        <f t="shared" si="437"/>
        <v>#DIV/0!</v>
      </c>
      <c r="K1259" s="1006" t="e">
        <f t="shared" si="437"/>
        <v>#DIV/0!</v>
      </c>
      <c r="L1259" s="1006" t="e">
        <f t="shared" si="437"/>
        <v>#DIV/0!</v>
      </c>
      <c r="M1259" s="1006" t="e">
        <f t="shared" si="437"/>
        <v>#DIV/0!</v>
      </c>
      <c r="N1259" s="1006" t="e">
        <f t="shared" si="437"/>
        <v>#DIV/0!</v>
      </c>
      <c r="O1259" s="1006" t="e">
        <f t="shared" si="437"/>
        <v>#DIV/0!</v>
      </c>
      <c r="P1259" s="1006" t="e">
        <f t="shared" si="437"/>
        <v>#DIV/0!</v>
      </c>
      <c r="Q1259" s="1006" t="e">
        <f t="shared" si="437"/>
        <v>#DIV/0!</v>
      </c>
      <c r="R1259" s="1006" t="e">
        <f t="shared" si="437"/>
        <v>#DIV/0!</v>
      </c>
      <c r="S1259" s="1006" t="e">
        <f t="shared" si="437"/>
        <v>#DIV/0!</v>
      </c>
      <c r="T1259" s="1006" t="e">
        <f t="shared" si="437"/>
        <v>#DIV/0!</v>
      </c>
      <c r="U1259" s="1007"/>
      <c r="V1259" s="1007"/>
    </row>
    <row r="1260" spans="1:22" ht="23.25" hidden="1">
      <c r="A1260" s="1011"/>
      <c r="B1260" s="1003"/>
      <c r="C1260" s="1008" t="s">
        <v>943</v>
      </c>
      <c r="D1260" s="1003" t="s">
        <v>792</v>
      </c>
      <c r="E1260" s="1003"/>
      <c r="F1260" s="1003"/>
      <c r="G1260" s="1011"/>
      <c r="H1260" s="1006">
        <f>H1253</f>
        <v>0</v>
      </c>
      <c r="I1260" s="1006">
        <f t="shared" ref="I1260:S1260" si="438">I1253</f>
        <v>0</v>
      </c>
      <c r="J1260" s="1006">
        <f t="shared" si="438"/>
        <v>0</v>
      </c>
      <c r="K1260" s="1006">
        <f t="shared" si="438"/>
        <v>0</v>
      </c>
      <c r="L1260" s="1006">
        <f t="shared" si="438"/>
        <v>0</v>
      </c>
      <c r="M1260" s="1006">
        <f t="shared" si="438"/>
        <v>0</v>
      </c>
      <c r="N1260" s="1006">
        <f t="shared" si="438"/>
        <v>0</v>
      </c>
      <c r="O1260" s="1006">
        <f t="shared" si="438"/>
        <v>0</v>
      </c>
      <c r="P1260" s="1006">
        <f t="shared" si="438"/>
        <v>0</v>
      </c>
      <c r="Q1260" s="1006">
        <f t="shared" si="438"/>
        <v>0</v>
      </c>
      <c r="R1260" s="1006">
        <f t="shared" si="438"/>
        <v>0</v>
      </c>
      <c r="S1260" s="1006">
        <f t="shared" si="438"/>
        <v>0</v>
      </c>
      <c r="T1260" s="1021">
        <f>SUM(H1260:S1260)/11</f>
        <v>0</v>
      </c>
      <c r="U1260" s="1007"/>
      <c r="V1260" s="1007"/>
    </row>
    <row r="1261" spans="1:22" ht="21" hidden="1">
      <c r="A1261" s="1011"/>
      <c r="B1261" s="1003"/>
      <c r="C1261" s="1008" t="s">
        <v>944</v>
      </c>
      <c r="D1261" s="1003" t="s">
        <v>347</v>
      </c>
      <c r="E1261" s="1003"/>
      <c r="F1261" s="1003"/>
      <c r="G1261" s="1011"/>
      <c r="H1261" s="1006" t="e">
        <f>H1254/H1248</f>
        <v>#DIV/0!</v>
      </c>
      <c r="I1261" s="1006" t="e">
        <f t="shared" ref="I1261:T1261" si="439">I1254/I1248</f>
        <v>#DIV/0!</v>
      </c>
      <c r="J1261" s="1006" t="e">
        <f t="shared" si="439"/>
        <v>#DIV/0!</v>
      </c>
      <c r="K1261" s="1006" t="e">
        <f t="shared" si="439"/>
        <v>#DIV/0!</v>
      </c>
      <c r="L1261" s="1006" t="e">
        <f t="shared" si="439"/>
        <v>#DIV/0!</v>
      </c>
      <c r="M1261" s="1006" t="e">
        <f t="shared" si="439"/>
        <v>#DIV/0!</v>
      </c>
      <c r="N1261" s="1006" t="e">
        <f t="shared" si="439"/>
        <v>#DIV/0!</v>
      </c>
      <c r="O1261" s="1006" t="e">
        <f t="shared" si="439"/>
        <v>#DIV/0!</v>
      </c>
      <c r="P1261" s="1006" t="e">
        <f t="shared" si="439"/>
        <v>#DIV/0!</v>
      </c>
      <c r="Q1261" s="1006" t="e">
        <f t="shared" si="439"/>
        <v>#DIV/0!</v>
      </c>
      <c r="R1261" s="1006" t="e">
        <f t="shared" si="439"/>
        <v>#DIV/0!</v>
      </c>
      <c r="S1261" s="1006" t="e">
        <f t="shared" si="439"/>
        <v>#DIV/0!</v>
      </c>
      <c r="T1261" s="1006" t="e">
        <f t="shared" si="439"/>
        <v>#DIV/0!</v>
      </c>
      <c r="U1261" s="1007"/>
      <c r="V1261" s="1007"/>
    </row>
    <row r="1262" spans="1:22" ht="21" hidden="1">
      <c r="A1262" s="1011"/>
      <c r="B1262" s="1003"/>
      <c r="C1262" s="1008" t="s">
        <v>945</v>
      </c>
      <c r="D1262" s="1003" t="s">
        <v>401</v>
      </c>
      <c r="E1262" s="1003"/>
      <c r="F1262" s="1003"/>
      <c r="G1262" s="1011"/>
      <c r="H1262" s="1009" t="e">
        <f>(H1253+H1254)/(H1256+H1255)*100</f>
        <v>#DIV/0!</v>
      </c>
      <c r="I1262" s="1009" t="e">
        <f t="shared" ref="I1262:S1262" si="440">(I1253+I1254)/(I1256+I1255)*100</f>
        <v>#DIV/0!</v>
      </c>
      <c r="J1262" s="1009" t="e">
        <f t="shared" si="440"/>
        <v>#DIV/0!</v>
      </c>
      <c r="K1262" s="1009" t="e">
        <f t="shared" si="440"/>
        <v>#DIV/0!</v>
      </c>
      <c r="L1262" s="1009" t="e">
        <f t="shared" si="440"/>
        <v>#DIV/0!</v>
      </c>
      <c r="M1262" s="1009" t="e">
        <f t="shared" si="440"/>
        <v>#DIV/0!</v>
      </c>
      <c r="N1262" s="1009" t="e">
        <f t="shared" si="440"/>
        <v>#DIV/0!</v>
      </c>
      <c r="O1262" s="1009" t="e">
        <f t="shared" si="440"/>
        <v>#DIV/0!</v>
      </c>
      <c r="P1262" s="1009" t="e">
        <f t="shared" si="440"/>
        <v>#DIV/0!</v>
      </c>
      <c r="Q1262" s="1009" t="e">
        <f t="shared" si="440"/>
        <v>#DIV/0!</v>
      </c>
      <c r="R1262" s="1009" t="e">
        <f t="shared" si="440"/>
        <v>#DIV/0!</v>
      </c>
      <c r="S1262" s="1009" t="e">
        <f t="shared" si="440"/>
        <v>#DIV/0!</v>
      </c>
      <c r="T1262" s="1009" t="e">
        <f>(T1253+T1254)/(T1256+T1255)*100</f>
        <v>#DIV/0!</v>
      </c>
      <c r="U1262" s="1007"/>
      <c r="V1262" s="1007"/>
    </row>
    <row r="1263" spans="1:22" ht="21" hidden="1">
      <c r="A1263" s="1112"/>
      <c r="B1263" s="1305"/>
      <c r="C1263" s="1306" t="s">
        <v>946</v>
      </c>
      <c r="D1263" s="1305"/>
      <c r="E1263" s="1305"/>
      <c r="F1263" s="1305"/>
      <c r="G1263" s="1112"/>
      <c r="H1263" s="1307">
        <f>H1210+H1211+H1230+H1231+H1253+H1254</f>
        <v>0</v>
      </c>
      <c r="I1263" s="1307">
        <f t="shared" ref="I1263:T1263" si="441">I1210+I1211+I1230+I1231+I1253+I1254</f>
        <v>0</v>
      </c>
      <c r="J1263" s="1307">
        <f t="shared" si="441"/>
        <v>0</v>
      </c>
      <c r="K1263" s="1307">
        <f t="shared" si="441"/>
        <v>0</v>
      </c>
      <c r="L1263" s="1307">
        <f t="shared" si="441"/>
        <v>0</v>
      </c>
      <c r="M1263" s="1307">
        <f t="shared" si="441"/>
        <v>0</v>
      </c>
      <c r="N1263" s="1307">
        <f t="shared" si="441"/>
        <v>0</v>
      </c>
      <c r="O1263" s="1307">
        <f t="shared" si="441"/>
        <v>0</v>
      </c>
      <c r="P1263" s="1307">
        <f t="shared" si="441"/>
        <v>0</v>
      </c>
      <c r="Q1263" s="1307">
        <f t="shared" si="441"/>
        <v>0</v>
      </c>
      <c r="R1263" s="1307">
        <f t="shared" si="441"/>
        <v>0</v>
      </c>
      <c r="S1263" s="1307">
        <f t="shared" si="441"/>
        <v>0</v>
      </c>
      <c r="T1263" s="1307">
        <f t="shared" si="441"/>
        <v>0</v>
      </c>
      <c r="U1263" s="1308"/>
      <c r="V1263" s="1308"/>
    </row>
    <row r="1264" spans="1:22" ht="21" hidden="1">
      <c r="A1264" s="1112"/>
      <c r="B1264" s="1305"/>
      <c r="C1264" s="1306" t="s">
        <v>947</v>
      </c>
      <c r="D1264" s="1305"/>
      <c r="E1264" s="1305"/>
      <c r="F1264" s="1305"/>
      <c r="G1264" s="1112"/>
      <c r="H1264" s="1307" t="e">
        <f>H1212+H1213+H1232+H1233+H1255+H1256</f>
        <v>#DIV/0!</v>
      </c>
      <c r="I1264" s="1307" t="e">
        <f t="shared" ref="I1264:T1264" si="442">I1212+I1213+I1232+I1233+I1255+I1256</f>
        <v>#DIV/0!</v>
      </c>
      <c r="J1264" s="1307" t="e">
        <f t="shared" si="442"/>
        <v>#DIV/0!</v>
      </c>
      <c r="K1264" s="1307" t="e">
        <f t="shared" si="442"/>
        <v>#DIV/0!</v>
      </c>
      <c r="L1264" s="1307" t="e">
        <f t="shared" si="442"/>
        <v>#DIV/0!</v>
      </c>
      <c r="M1264" s="1307" t="e">
        <f t="shared" si="442"/>
        <v>#DIV/0!</v>
      </c>
      <c r="N1264" s="1307" t="e">
        <f t="shared" si="442"/>
        <v>#DIV/0!</v>
      </c>
      <c r="O1264" s="1307" t="e">
        <f t="shared" si="442"/>
        <v>#DIV/0!</v>
      </c>
      <c r="P1264" s="1307" t="e">
        <f t="shared" si="442"/>
        <v>#DIV/0!</v>
      </c>
      <c r="Q1264" s="1307" t="e">
        <f t="shared" si="442"/>
        <v>#DIV/0!</v>
      </c>
      <c r="R1264" s="1307" t="e">
        <f t="shared" si="442"/>
        <v>#DIV/0!</v>
      </c>
      <c r="S1264" s="1307" t="e">
        <f t="shared" si="442"/>
        <v>#DIV/0!</v>
      </c>
      <c r="T1264" s="1307" t="e">
        <f t="shared" si="442"/>
        <v>#DIV/0!</v>
      </c>
      <c r="U1264" s="1308"/>
      <c r="V1264" s="1308"/>
    </row>
    <row r="1265" spans="1:23" ht="21" hidden="1">
      <c r="A1265" s="1112"/>
      <c r="B1265" s="1305"/>
      <c r="C1265" s="1306" t="s">
        <v>497</v>
      </c>
      <c r="D1265" s="1305"/>
      <c r="E1265" s="1305"/>
      <c r="F1265" s="1305"/>
      <c r="G1265" s="1112"/>
      <c r="H1265" s="1307" t="e">
        <f>H1263/H1264*100</f>
        <v>#DIV/0!</v>
      </c>
      <c r="I1265" s="1307" t="e">
        <f t="shared" ref="I1265:T1265" si="443">I1263/I1264*100</f>
        <v>#DIV/0!</v>
      </c>
      <c r="J1265" s="1307" t="e">
        <f t="shared" si="443"/>
        <v>#DIV/0!</v>
      </c>
      <c r="K1265" s="1307" t="e">
        <f t="shared" si="443"/>
        <v>#DIV/0!</v>
      </c>
      <c r="L1265" s="1307" t="e">
        <f t="shared" si="443"/>
        <v>#DIV/0!</v>
      </c>
      <c r="M1265" s="1307" t="e">
        <f t="shared" si="443"/>
        <v>#DIV/0!</v>
      </c>
      <c r="N1265" s="1307" t="e">
        <f t="shared" si="443"/>
        <v>#DIV/0!</v>
      </c>
      <c r="O1265" s="1307" t="e">
        <f t="shared" si="443"/>
        <v>#DIV/0!</v>
      </c>
      <c r="P1265" s="1307" t="e">
        <f t="shared" si="443"/>
        <v>#DIV/0!</v>
      </c>
      <c r="Q1265" s="1307" t="e">
        <f t="shared" si="443"/>
        <v>#DIV/0!</v>
      </c>
      <c r="R1265" s="1307" t="e">
        <f t="shared" si="443"/>
        <v>#DIV/0!</v>
      </c>
      <c r="S1265" s="1307" t="e">
        <f t="shared" si="443"/>
        <v>#DIV/0!</v>
      </c>
      <c r="T1265" s="1307" t="e">
        <f t="shared" si="443"/>
        <v>#DIV/0!</v>
      </c>
      <c r="U1265" s="1308"/>
      <c r="V1265" s="1308"/>
      <c r="W1265" s="936"/>
    </row>
    <row r="1266" spans="1:23" s="1189" customFormat="1" ht="21" hidden="1">
      <c r="A1266" s="1080"/>
      <c r="B1266" s="1080"/>
      <c r="C1266" s="1193"/>
      <c r="D1266" s="1080"/>
      <c r="E1266" s="1080"/>
      <c r="F1266" s="1080"/>
      <c r="G1266" s="1080"/>
      <c r="H1266" s="1079"/>
      <c r="I1266" s="1079"/>
      <c r="J1266" s="1079"/>
      <c r="K1266" s="1079"/>
      <c r="L1266" s="1079"/>
      <c r="M1266" s="1079"/>
      <c r="N1266" s="1079"/>
      <c r="O1266" s="1079"/>
      <c r="P1266" s="1079"/>
      <c r="Q1266" s="1079"/>
      <c r="R1266" s="1079"/>
      <c r="S1266" s="1079"/>
      <c r="T1266" s="1079"/>
      <c r="U1266" s="1079"/>
      <c r="V1266" s="1079"/>
      <c r="W1266" s="1188"/>
    </row>
    <row r="1267" spans="1:23" s="1282" customFormat="1" ht="21" hidden="1">
      <c r="A1267" s="964">
        <v>30</v>
      </c>
      <c r="B1267" s="1282" t="s">
        <v>169</v>
      </c>
      <c r="D1267" s="1290"/>
      <c r="E1267" s="1291"/>
      <c r="H1267" s="1281"/>
      <c r="I1267" s="1281"/>
      <c r="J1267" s="1281"/>
      <c r="K1267" s="1281"/>
      <c r="L1267" s="1281"/>
      <c r="M1267" s="1281"/>
      <c r="N1267" s="1281"/>
      <c r="O1267" s="1281"/>
      <c r="P1267" s="1281"/>
      <c r="Q1267" s="1281"/>
      <c r="R1267" s="1281"/>
      <c r="S1267" s="1281"/>
      <c r="T1267" s="1289"/>
      <c r="U1267" s="1289"/>
      <c r="V1267" s="1289"/>
      <c r="W1267" s="1281"/>
    </row>
    <row r="1268" spans="1:23" ht="21" hidden="1">
      <c r="A1268" s="947">
        <v>1</v>
      </c>
      <c r="B1268" s="947" t="s">
        <v>145</v>
      </c>
      <c r="C1268" s="949" t="s">
        <v>89</v>
      </c>
      <c r="D1268" s="947" t="s">
        <v>90</v>
      </c>
      <c r="E1268" s="950">
        <v>3.6</v>
      </c>
      <c r="F1268" s="947"/>
      <c r="G1268" s="951">
        <v>2.67</v>
      </c>
      <c r="H1268" s="953">
        <v>48052</v>
      </c>
      <c r="I1268" s="1015">
        <v>54276</v>
      </c>
      <c r="J1268" s="952">
        <v>50336</v>
      </c>
      <c r="K1268" s="952"/>
      <c r="L1268" s="952"/>
      <c r="M1268" s="952"/>
      <c r="N1268" s="952"/>
      <c r="O1268" s="952"/>
      <c r="P1268" s="952"/>
      <c r="Q1268" s="952"/>
      <c r="R1268" s="952"/>
      <c r="S1268" s="952"/>
      <c r="T1268" s="952">
        <f t="shared" ref="T1268:T1276" si="444">SUM(H1268:S1268)</f>
        <v>152664</v>
      </c>
      <c r="U1268" s="952">
        <f>T1268*E1268</f>
        <v>549590.4</v>
      </c>
      <c r="V1268" s="952">
        <f>G1268*T1268</f>
        <v>407612.88</v>
      </c>
      <c r="W1268" s="936"/>
    </row>
    <row r="1269" spans="1:23" ht="21" hidden="1">
      <c r="A1269" s="964"/>
      <c r="B1269" s="964"/>
      <c r="C1269" s="958" t="s">
        <v>161</v>
      </c>
      <c r="D1269" s="964" t="s">
        <v>176</v>
      </c>
      <c r="E1269" s="964">
        <v>36.42</v>
      </c>
      <c r="F1269" s="964"/>
      <c r="G1269" s="965">
        <v>30</v>
      </c>
      <c r="H1269" s="966"/>
      <c r="I1269" s="966"/>
      <c r="J1269" s="966"/>
      <c r="K1269" s="966"/>
      <c r="L1269" s="966"/>
      <c r="M1269" s="966"/>
      <c r="N1269" s="966"/>
      <c r="O1269" s="966"/>
      <c r="P1269" s="966"/>
      <c r="Q1269" s="968"/>
      <c r="R1269" s="966"/>
      <c r="S1269" s="966"/>
      <c r="T1269" s="966">
        <f t="shared" si="444"/>
        <v>0</v>
      </c>
      <c r="U1269" s="966">
        <f>T1269*E1269</f>
        <v>0</v>
      </c>
      <c r="V1269" s="966">
        <f>G1269*T1269</f>
        <v>0</v>
      </c>
      <c r="W1269" s="936"/>
    </row>
    <row r="1270" spans="1:23" ht="21" hidden="1">
      <c r="A1270" s="964"/>
      <c r="B1270" s="964"/>
      <c r="C1270" s="983"/>
      <c r="D1270" s="964"/>
      <c r="E1270" s="964"/>
      <c r="F1270" s="964"/>
      <c r="G1270" s="984"/>
      <c r="H1270" s="987"/>
      <c r="I1270" s="987"/>
      <c r="J1270" s="987"/>
      <c r="K1270" s="987"/>
      <c r="L1270" s="987"/>
      <c r="M1270" s="987"/>
      <c r="N1270" s="987"/>
      <c r="O1270" s="987"/>
      <c r="P1270" s="987"/>
      <c r="Q1270" s="987"/>
      <c r="R1270" s="987"/>
      <c r="S1270" s="987"/>
      <c r="T1270" s="966">
        <f t="shared" si="444"/>
        <v>0</v>
      </c>
      <c r="U1270" s="987">
        <f>SUM(U1268:U1269)</f>
        <v>549590.4</v>
      </c>
      <c r="V1270" s="988">
        <f>SUM(V1268:V1269)</f>
        <v>407612.88</v>
      </c>
      <c r="W1270" s="936"/>
    </row>
    <row r="1271" spans="1:23" ht="21" hidden="1">
      <c r="A1271" s="964"/>
      <c r="B1271" s="989"/>
      <c r="C1271" s="990" t="s">
        <v>107</v>
      </c>
      <c r="D1271" s="989" t="s">
        <v>756</v>
      </c>
      <c r="E1271" s="989"/>
      <c r="F1271" s="989"/>
      <c r="G1271" s="991"/>
      <c r="H1271" s="1015">
        <v>57033987</v>
      </c>
      <c r="I1271" s="1092">
        <v>43101673</v>
      </c>
      <c r="J1271" s="995">
        <v>44286908</v>
      </c>
      <c r="K1271" s="995"/>
      <c r="L1271" s="995"/>
      <c r="M1271" s="995"/>
      <c r="N1271" s="995"/>
      <c r="O1271" s="995"/>
      <c r="P1271" s="995"/>
      <c r="Q1271" s="992"/>
      <c r="R1271" s="995"/>
      <c r="S1271" s="995"/>
      <c r="T1271" s="966">
        <f t="shared" si="444"/>
        <v>144422568</v>
      </c>
      <c r="U1271" s="995"/>
      <c r="V1271" s="1309">
        <f>V1270/T1271</f>
        <v>2.8223627764325586E-3</v>
      </c>
      <c r="W1271" s="936"/>
    </row>
    <row r="1272" spans="1:23" ht="21" hidden="1">
      <c r="A1272" s="964"/>
      <c r="B1272" s="964"/>
      <c r="C1272" s="983"/>
      <c r="D1272" s="964"/>
      <c r="E1272" s="964"/>
      <c r="F1272" s="964"/>
      <c r="G1272" s="984"/>
      <c r="H1272" s="987"/>
      <c r="I1272" s="987"/>
      <c r="J1272" s="987"/>
      <c r="K1272" s="987"/>
      <c r="L1272" s="987"/>
      <c r="M1272" s="987"/>
      <c r="N1272" s="987"/>
      <c r="O1272" s="987"/>
      <c r="P1272" s="987"/>
      <c r="Q1272" s="987"/>
      <c r="R1272" s="987"/>
      <c r="S1272" s="966"/>
      <c r="T1272" s="966">
        <f t="shared" si="444"/>
        <v>0</v>
      </c>
      <c r="U1272" s="966"/>
      <c r="V1272" s="997" t="s">
        <v>750</v>
      </c>
      <c r="W1272" s="936"/>
    </row>
    <row r="1273" spans="1:23" ht="21" hidden="1">
      <c r="A1273" s="964"/>
      <c r="B1273" s="964"/>
      <c r="C1273" s="958" t="s">
        <v>89</v>
      </c>
      <c r="D1273" s="964" t="s">
        <v>173</v>
      </c>
      <c r="E1273" s="964"/>
      <c r="F1273" s="964"/>
      <c r="G1273" s="984"/>
      <c r="H1273" s="966">
        <f>$E1268*H1268/1000</f>
        <v>172.9872</v>
      </c>
      <c r="I1273" s="966">
        <f>$E1268*I1268/1000</f>
        <v>195.39359999999999</v>
      </c>
      <c r="J1273" s="966">
        <f>$E1268*J1268/1000</f>
        <v>181.20959999999999</v>
      </c>
      <c r="K1273" s="966"/>
      <c r="L1273" s="966"/>
      <c r="M1273" s="966"/>
      <c r="N1273" s="966"/>
      <c r="O1273" s="966"/>
      <c r="P1273" s="966"/>
      <c r="Q1273" s="966"/>
      <c r="R1273" s="966"/>
      <c r="S1273" s="966"/>
      <c r="T1273" s="966">
        <f t="shared" si="444"/>
        <v>549.59040000000005</v>
      </c>
      <c r="U1273" s="966"/>
      <c r="V1273" s="966"/>
      <c r="W1273" s="936"/>
    </row>
    <row r="1274" spans="1:23" ht="21" hidden="1">
      <c r="A1274" s="964"/>
      <c r="B1274" s="964"/>
      <c r="C1274" s="958" t="s">
        <v>161</v>
      </c>
      <c r="D1274" s="964" t="s">
        <v>173</v>
      </c>
      <c r="E1274" s="964"/>
      <c r="F1274" s="964"/>
      <c r="G1274" s="984"/>
      <c r="H1274" s="966">
        <f>H1269*$E1269</f>
        <v>0</v>
      </c>
      <c r="I1274" s="966">
        <f>I1269*$E1269</f>
        <v>0</v>
      </c>
      <c r="J1274" s="966">
        <f>J1269*$E1269</f>
        <v>0</v>
      </c>
      <c r="K1274" s="966"/>
      <c r="L1274" s="966"/>
      <c r="M1274" s="966"/>
      <c r="N1274" s="966"/>
      <c r="O1274" s="966"/>
      <c r="P1274" s="966"/>
      <c r="Q1274" s="966"/>
      <c r="R1274" s="966"/>
      <c r="S1274" s="966"/>
      <c r="T1274" s="966">
        <f t="shared" si="444"/>
        <v>0</v>
      </c>
      <c r="U1274" s="966"/>
      <c r="V1274" s="966"/>
      <c r="W1274" s="936"/>
    </row>
    <row r="1275" spans="1:23" ht="21" hidden="1">
      <c r="A1275" s="964"/>
      <c r="B1275" s="964"/>
      <c r="C1275" s="983" t="s">
        <v>757</v>
      </c>
      <c r="D1275" s="964" t="s">
        <v>173</v>
      </c>
      <c r="E1275" s="964"/>
      <c r="F1275" s="964"/>
      <c r="G1275" s="984"/>
      <c r="H1275" s="966">
        <f t="shared" ref="H1275" si="445">SUM(H1273:H1274)</f>
        <v>172.9872</v>
      </c>
      <c r="I1275" s="966">
        <f>SUM(I1273:I1274)</f>
        <v>195.39359999999999</v>
      </c>
      <c r="J1275" s="966">
        <f>SUM(J1273:J1274)</f>
        <v>181.20959999999999</v>
      </c>
      <c r="K1275" s="966"/>
      <c r="L1275" s="966"/>
      <c r="M1275" s="966"/>
      <c r="N1275" s="966"/>
      <c r="O1275" s="966"/>
      <c r="P1275" s="966"/>
      <c r="Q1275" s="966"/>
      <c r="R1275" s="966"/>
      <c r="S1275" s="966"/>
      <c r="T1275" s="1000">
        <f t="shared" si="444"/>
        <v>549.59040000000005</v>
      </c>
      <c r="U1275" s="966"/>
      <c r="V1275" s="1310">
        <f>V1270/T1275</f>
        <v>741.66666666666663</v>
      </c>
      <c r="W1275" s="937"/>
    </row>
    <row r="1276" spans="1:23" ht="21" hidden="1">
      <c r="A1276" s="964"/>
      <c r="B1276" s="964"/>
      <c r="C1276" s="983" t="s">
        <v>345</v>
      </c>
      <c r="D1276" s="964" t="s">
        <v>173</v>
      </c>
      <c r="E1276" s="1811" t="s">
        <v>948</v>
      </c>
      <c r="F1276" s="1812"/>
      <c r="G1276" s="1813"/>
      <c r="H1276" s="1002">
        <f xml:space="preserve"> ((0.0003*H1271 +(6645.5+26776))*104.82/100)*3.6/1000</f>
        <v>190.68236586727198</v>
      </c>
      <c r="I1276" s="1002">
        <f xml:space="preserve"> ((0.0003*I1271 +(6645.5+26776))*104.82/100)*3.6/1000</f>
        <v>174.910206209688</v>
      </c>
      <c r="J1276" s="1002">
        <f xml:space="preserve"> ((0.0003*J1271 +(6645.5+26776))*104.82/100)*3.6/1000</f>
        <v>176.25195860284799</v>
      </c>
      <c r="K1276" s="966"/>
      <c r="L1276" s="966"/>
      <c r="M1276" s="966"/>
      <c r="N1276" s="966"/>
      <c r="O1276" s="966"/>
      <c r="P1276" s="966"/>
      <c r="Q1276" s="966"/>
      <c r="R1276" s="966"/>
      <c r="S1276" s="966"/>
      <c r="T1276" s="1000">
        <f t="shared" si="444"/>
        <v>541.84453067980803</v>
      </c>
      <c r="U1276" s="966"/>
      <c r="V1276" s="1001" t="s">
        <v>742</v>
      </c>
      <c r="W1276" s="937"/>
    </row>
    <row r="1277" spans="1:23" ht="21" hidden="1">
      <c r="A1277" s="964"/>
      <c r="B1277" s="1003" t="s">
        <v>174</v>
      </c>
      <c r="C1277" s="1004" t="s">
        <v>89</v>
      </c>
      <c r="D1277" s="1003" t="s">
        <v>761</v>
      </c>
      <c r="E1277" s="1003"/>
      <c r="F1277" s="1003"/>
      <c r="G1277" s="1005"/>
      <c r="H1277" s="1006">
        <f>H1273/H1271</f>
        <v>3.0330546591456073E-6</v>
      </c>
      <c r="I1277" s="1006">
        <f>I1273/I1271</f>
        <v>4.5333182310579913E-6</v>
      </c>
      <c r="J1277" s="1006">
        <f t="shared" ref="J1277:T1277" si="446">J1273/J1271</f>
        <v>4.0917193857832654E-6</v>
      </c>
      <c r="K1277" s="1006" t="e">
        <f t="shared" si="446"/>
        <v>#DIV/0!</v>
      </c>
      <c r="L1277" s="1006" t="e">
        <f t="shared" si="446"/>
        <v>#DIV/0!</v>
      </c>
      <c r="M1277" s="1006" t="e">
        <f t="shared" si="446"/>
        <v>#DIV/0!</v>
      </c>
      <c r="N1277" s="1006" t="e">
        <f t="shared" si="446"/>
        <v>#DIV/0!</v>
      </c>
      <c r="O1277" s="1006" t="e">
        <f t="shared" si="446"/>
        <v>#DIV/0!</v>
      </c>
      <c r="P1277" s="1006" t="e">
        <f t="shared" si="446"/>
        <v>#DIV/0!</v>
      </c>
      <c r="Q1277" s="1006" t="e">
        <f t="shared" si="446"/>
        <v>#DIV/0!</v>
      </c>
      <c r="R1277" s="1006" t="e">
        <f t="shared" si="446"/>
        <v>#DIV/0!</v>
      </c>
      <c r="S1277" s="1006" t="e">
        <f>S1273/S1271</f>
        <v>#DIV/0!</v>
      </c>
      <c r="T1277" s="1006">
        <f t="shared" si="446"/>
        <v>3.8054329569877198E-6</v>
      </c>
      <c r="U1277" s="1007"/>
      <c r="V1277" s="1007"/>
      <c r="W1277" s="937"/>
    </row>
    <row r="1278" spans="1:23" ht="21" hidden="1">
      <c r="A1278" s="964"/>
      <c r="B1278" s="1003"/>
      <c r="C1278" s="1004" t="s">
        <v>161</v>
      </c>
      <c r="D1278" s="1003" t="s">
        <v>761</v>
      </c>
      <c r="E1278" s="1003"/>
      <c r="F1278" s="1003"/>
      <c r="G1278" s="1005"/>
      <c r="H1278" s="1006">
        <f>H1274/H1271</f>
        <v>0</v>
      </c>
      <c r="I1278" s="1006">
        <f>I1274/I1271</f>
        <v>0</v>
      </c>
      <c r="J1278" s="1006">
        <f t="shared" ref="J1278:Q1278" si="447">J1274/J1271</f>
        <v>0</v>
      </c>
      <c r="K1278" s="1006" t="e">
        <f t="shared" si="447"/>
        <v>#DIV/0!</v>
      </c>
      <c r="L1278" s="1006" t="e">
        <f t="shared" si="447"/>
        <v>#DIV/0!</v>
      </c>
      <c r="M1278" s="1006" t="e">
        <f t="shared" si="447"/>
        <v>#DIV/0!</v>
      </c>
      <c r="N1278" s="1006" t="e">
        <f t="shared" si="447"/>
        <v>#DIV/0!</v>
      </c>
      <c r="O1278" s="1006" t="e">
        <f t="shared" si="447"/>
        <v>#DIV/0!</v>
      </c>
      <c r="P1278" s="1006" t="e">
        <f t="shared" si="447"/>
        <v>#DIV/0!</v>
      </c>
      <c r="Q1278" s="1006" t="e">
        <f t="shared" si="447"/>
        <v>#DIV/0!</v>
      </c>
      <c r="R1278" s="1006" t="e">
        <f>R1274/R1271</f>
        <v>#DIV/0!</v>
      </c>
      <c r="S1278" s="1006" t="e">
        <f>S1274/S1271</f>
        <v>#DIV/0!</v>
      </c>
      <c r="T1278" s="1006">
        <f>T1274/T1271</f>
        <v>0</v>
      </c>
      <c r="U1278" s="1007"/>
      <c r="V1278" s="1007"/>
      <c r="W1278" s="937"/>
    </row>
    <row r="1279" spans="1:23" ht="23.25" hidden="1">
      <c r="A1279" s="964"/>
      <c r="B1279" s="1003"/>
      <c r="C1279" s="1008" t="s">
        <v>762</v>
      </c>
      <c r="D1279" s="1003" t="s">
        <v>761</v>
      </c>
      <c r="E1279" s="1003"/>
      <c r="F1279" s="1003"/>
      <c r="G1279" s="1005"/>
      <c r="H1279" s="1006">
        <f t="shared" ref="H1279:T1279" si="448">H1275/H1271</f>
        <v>3.0330546591456073E-6</v>
      </c>
      <c r="I1279" s="1006">
        <f t="shared" si="448"/>
        <v>4.5333182310579913E-6</v>
      </c>
      <c r="J1279" s="1006">
        <f t="shared" si="448"/>
        <v>4.0917193857832654E-6</v>
      </c>
      <c r="K1279" s="1006" t="e">
        <f t="shared" si="448"/>
        <v>#DIV/0!</v>
      </c>
      <c r="L1279" s="1006" t="e">
        <f t="shared" si="448"/>
        <v>#DIV/0!</v>
      </c>
      <c r="M1279" s="1006" t="e">
        <f t="shared" si="448"/>
        <v>#DIV/0!</v>
      </c>
      <c r="N1279" s="1006" t="e">
        <f t="shared" si="448"/>
        <v>#DIV/0!</v>
      </c>
      <c r="O1279" s="1006" t="e">
        <f t="shared" si="448"/>
        <v>#DIV/0!</v>
      </c>
      <c r="P1279" s="1006" t="e">
        <f t="shared" si="448"/>
        <v>#DIV/0!</v>
      </c>
      <c r="Q1279" s="1006" t="e">
        <f t="shared" si="448"/>
        <v>#DIV/0!</v>
      </c>
      <c r="R1279" s="1006" t="e">
        <f t="shared" si="448"/>
        <v>#DIV/0!</v>
      </c>
      <c r="S1279" s="1006" t="e">
        <f t="shared" si="448"/>
        <v>#DIV/0!</v>
      </c>
      <c r="T1279" s="1021">
        <f t="shared" si="448"/>
        <v>3.8054329569877198E-6</v>
      </c>
      <c r="U1279" s="1007"/>
      <c r="V1279" s="1007"/>
      <c r="W1279" s="937"/>
    </row>
    <row r="1280" spans="1:23" ht="21" hidden="1">
      <c r="A1280" s="964"/>
      <c r="B1280" s="1003"/>
      <c r="C1280" s="1008" t="s">
        <v>763</v>
      </c>
      <c r="D1280" s="1003"/>
      <c r="E1280" s="1003"/>
      <c r="F1280" s="1003"/>
      <c r="G1280" s="1003"/>
      <c r="H1280" s="1009">
        <f>H1275/H1276*100</f>
        <v>90.720082695224676</v>
      </c>
      <c r="I1280" s="1009">
        <f>I1275/I1276*100</f>
        <v>111.71080535217929</v>
      </c>
      <c r="J1280" s="1009">
        <f t="shared" ref="J1280:T1280" si="449">J1275/J1276*100</f>
        <v>102.81281492498087</v>
      </c>
      <c r="K1280" s="1009" t="e">
        <f t="shared" si="449"/>
        <v>#DIV/0!</v>
      </c>
      <c r="L1280" s="1009" t="e">
        <f t="shared" si="449"/>
        <v>#DIV/0!</v>
      </c>
      <c r="M1280" s="1009" t="e">
        <f t="shared" si="449"/>
        <v>#DIV/0!</v>
      </c>
      <c r="N1280" s="1009" t="e">
        <f t="shared" si="449"/>
        <v>#DIV/0!</v>
      </c>
      <c r="O1280" s="1009" t="e">
        <f t="shared" si="449"/>
        <v>#DIV/0!</v>
      </c>
      <c r="P1280" s="1009" t="e">
        <f t="shared" si="449"/>
        <v>#DIV/0!</v>
      </c>
      <c r="Q1280" s="1009" t="e">
        <f t="shared" si="449"/>
        <v>#DIV/0!</v>
      </c>
      <c r="R1280" s="1009" t="e">
        <f t="shared" si="449"/>
        <v>#DIV/0!</v>
      </c>
      <c r="S1280" s="1009" t="e">
        <f t="shared" si="449"/>
        <v>#DIV/0!</v>
      </c>
      <c r="T1280" s="1009">
        <f t="shared" si="449"/>
        <v>101.42953723468868</v>
      </c>
      <c r="U1280" s="1007"/>
      <c r="V1280" s="1007"/>
      <c r="W1280" s="937"/>
    </row>
    <row r="1281" spans="1:23" ht="21" hidden="1">
      <c r="A1281" s="947">
        <v>2</v>
      </c>
      <c r="B1281" s="947" t="s">
        <v>144</v>
      </c>
      <c r="C1281" s="949" t="s">
        <v>89</v>
      </c>
      <c r="D1281" s="947" t="s">
        <v>90</v>
      </c>
      <c r="E1281" s="950">
        <v>3.6</v>
      </c>
      <c r="F1281" s="947"/>
      <c r="G1281" s="951">
        <v>2.67</v>
      </c>
      <c r="H1281" s="953">
        <v>89754</v>
      </c>
      <c r="I1281" s="953">
        <v>79907</v>
      </c>
      <c r="J1281" s="952">
        <v>92180</v>
      </c>
      <c r="K1281" s="952"/>
      <c r="L1281" s="952"/>
      <c r="M1281" s="952"/>
      <c r="N1281" s="952"/>
      <c r="O1281" s="952"/>
      <c r="P1281" s="952"/>
      <c r="Q1281" s="952"/>
      <c r="R1281" s="952"/>
      <c r="S1281" s="952"/>
      <c r="T1281" s="952">
        <f>SUM(H1281:S1281)</f>
        <v>261841</v>
      </c>
      <c r="U1281" s="952">
        <f>T1281*E1281</f>
        <v>942627.6</v>
      </c>
      <c r="V1281" s="952">
        <f>G1281*T1281</f>
        <v>699115.47</v>
      </c>
      <c r="W1281" s="937"/>
    </row>
    <row r="1282" spans="1:23" ht="21" hidden="1">
      <c r="A1282" s="964"/>
      <c r="B1282" s="964"/>
      <c r="C1282" s="958" t="s">
        <v>161</v>
      </c>
      <c r="D1282" s="964" t="s">
        <v>176</v>
      </c>
      <c r="E1282" s="964">
        <v>36.42</v>
      </c>
      <c r="F1282" s="964"/>
      <c r="G1282" s="965">
        <v>30</v>
      </c>
      <c r="H1282" s="966"/>
      <c r="I1282" s="966"/>
      <c r="J1282" s="966"/>
      <c r="K1282" s="966"/>
      <c r="L1282" s="966"/>
      <c r="M1282" s="966"/>
      <c r="N1282" s="966"/>
      <c r="O1282" s="966"/>
      <c r="P1282" s="966"/>
      <c r="Q1282" s="968"/>
      <c r="R1282" s="966"/>
      <c r="S1282" s="966"/>
      <c r="T1282" s="952">
        <f>SUM(H1282:S1282)</f>
        <v>0</v>
      </c>
      <c r="U1282" s="966">
        <f>T1282*E1282</f>
        <v>0</v>
      </c>
      <c r="V1282" s="966">
        <f>G1282*T1282</f>
        <v>0</v>
      </c>
      <c r="W1282" s="937"/>
    </row>
    <row r="1283" spans="1:23" ht="21" hidden="1">
      <c r="A1283" s="964"/>
      <c r="B1283" s="964"/>
      <c r="C1283" s="983"/>
      <c r="D1283" s="964"/>
      <c r="E1283" s="964"/>
      <c r="F1283" s="964"/>
      <c r="G1283" s="984"/>
      <c r="H1283" s="987"/>
      <c r="I1283" s="987"/>
      <c r="J1283" s="987"/>
      <c r="K1283" s="987"/>
      <c r="L1283" s="987"/>
      <c r="M1283" s="987"/>
      <c r="N1283" s="987"/>
      <c r="O1283" s="987"/>
      <c r="P1283" s="987"/>
      <c r="Q1283" s="987"/>
      <c r="R1283" s="987"/>
      <c r="S1283" s="987"/>
      <c r="T1283" s="987"/>
      <c r="U1283" s="987">
        <f>SUM(U1281:U1282)</f>
        <v>942627.6</v>
      </c>
      <c r="V1283" s="988">
        <f>SUM(V1281:V1282)</f>
        <v>699115.47</v>
      </c>
      <c r="W1283" s="937"/>
    </row>
    <row r="1284" spans="1:23" ht="21" hidden="1">
      <c r="A1284" s="964"/>
      <c r="B1284" s="989"/>
      <c r="C1284" s="990" t="s">
        <v>107</v>
      </c>
      <c r="D1284" s="989" t="s">
        <v>756</v>
      </c>
      <c r="E1284" s="989"/>
      <c r="F1284" s="989"/>
      <c r="G1284" s="991"/>
      <c r="H1284" s="1015">
        <v>112503000</v>
      </c>
      <c r="I1284" s="1015">
        <v>80131000</v>
      </c>
      <c r="J1284" s="995">
        <v>101229000</v>
      </c>
      <c r="K1284" s="995"/>
      <c r="L1284" s="995"/>
      <c r="M1284" s="995"/>
      <c r="N1284" s="995"/>
      <c r="O1284" s="995"/>
      <c r="P1284" s="995"/>
      <c r="Q1284" s="992"/>
      <c r="R1284" s="995"/>
      <c r="S1284" s="995"/>
      <c r="T1284" s="952">
        <f>SUM(H1284:S1284)</f>
        <v>293863000</v>
      </c>
      <c r="U1284" s="995"/>
      <c r="V1284" s="1309">
        <f>V1283/T1284</f>
        <v>2.3790523815519476E-3</v>
      </c>
      <c r="W1284" s="937"/>
    </row>
    <row r="1285" spans="1:23" ht="21" hidden="1">
      <c r="A1285" s="964"/>
      <c r="B1285" s="964"/>
      <c r="C1285" s="983"/>
      <c r="D1285" s="964"/>
      <c r="E1285" s="964"/>
      <c r="F1285" s="964"/>
      <c r="G1285" s="984"/>
      <c r="H1285" s="987"/>
      <c r="I1285" s="987"/>
      <c r="J1285" s="987"/>
      <c r="K1285" s="987"/>
      <c r="L1285" s="987"/>
      <c r="M1285" s="987"/>
      <c r="N1285" s="987"/>
      <c r="O1285" s="987"/>
      <c r="P1285" s="987"/>
      <c r="Q1285" s="987"/>
      <c r="R1285" s="987"/>
      <c r="S1285" s="966"/>
      <c r="T1285" s="966"/>
      <c r="U1285" s="966"/>
      <c r="V1285" s="997" t="s">
        <v>750</v>
      </c>
      <c r="W1285" s="937"/>
    </row>
    <row r="1286" spans="1:23" ht="21" hidden="1">
      <c r="A1286" s="964"/>
      <c r="B1286" s="964"/>
      <c r="C1286" s="958" t="s">
        <v>89</v>
      </c>
      <c r="D1286" s="964" t="s">
        <v>173</v>
      </c>
      <c r="E1286" s="964"/>
      <c r="F1286" s="964"/>
      <c r="G1286" s="984"/>
      <c r="H1286" s="966">
        <f>$E1281*H1281/1000</f>
        <v>323.11440000000005</v>
      </c>
      <c r="I1286" s="966">
        <f>$E1281*I1281/1000</f>
        <v>287.66520000000003</v>
      </c>
      <c r="J1286" s="966">
        <f>$E1281*J1281/1000</f>
        <v>331.84800000000001</v>
      </c>
      <c r="K1286" s="966"/>
      <c r="L1286" s="966"/>
      <c r="M1286" s="966"/>
      <c r="N1286" s="966"/>
      <c r="O1286" s="966"/>
      <c r="P1286" s="966"/>
      <c r="Q1286" s="966"/>
      <c r="R1286" s="966"/>
      <c r="S1286" s="966"/>
      <c r="T1286" s="966">
        <f>SUM(H1286:S1286)</f>
        <v>942.62760000000003</v>
      </c>
      <c r="U1286" s="966"/>
      <c r="V1286" s="966"/>
      <c r="W1286" s="937"/>
    </row>
    <row r="1287" spans="1:23" ht="21" hidden="1">
      <c r="A1287" s="964"/>
      <c r="B1287" s="964"/>
      <c r="C1287" s="958" t="s">
        <v>161</v>
      </c>
      <c r="D1287" s="964" t="s">
        <v>173</v>
      </c>
      <c r="E1287" s="964"/>
      <c r="F1287" s="964"/>
      <c r="G1287" s="984"/>
      <c r="H1287" s="966">
        <f>H1282*$E1282</f>
        <v>0</v>
      </c>
      <c r="I1287" s="966">
        <f t="shared" ref="I1287:J1287" si="450">I1282*$E1282</f>
        <v>0</v>
      </c>
      <c r="J1287" s="966">
        <f t="shared" si="450"/>
        <v>0</v>
      </c>
      <c r="K1287" s="966"/>
      <c r="L1287" s="966"/>
      <c r="M1287" s="966"/>
      <c r="N1287" s="966"/>
      <c r="O1287" s="966"/>
      <c r="P1287" s="966"/>
      <c r="Q1287" s="966"/>
      <c r="R1287" s="966"/>
      <c r="S1287" s="966"/>
      <c r="T1287" s="966">
        <f>SUM(H1287:S1287)</f>
        <v>0</v>
      </c>
      <c r="U1287" s="966"/>
      <c r="V1287" s="966"/>
      <c r="W1287" s="937"/>
    </row>
    <row r="1288" spans="1:23" ht="21" hidden="1">
      <c r="A1288" s="964"/>
      <c r="B1288" s="964"/>
      <c r="C1288" s="983" t="s">
        <v>764</v>
      </c>
      <c r="D1288" s="964" t="s">
        <v>173</v>
      </c>
      <c r="E1288" s="964"/>
      <c r="F1288" s="964"/>
      <c r="G1288" s="984"/>
      <c r="H1288" s="966">
        <f t="shared" ref="H1288:J1288" si="451">SUM(H1286:H1287)</f>
        <v>323.11440000000005</v>
      </c>
      <c r="I1288" s="966">
        <f t="shared" si="451"/>
        <v>287.66520000000003</v>
      </c>
      <c r="J1288" s="966">
        <f t="shared" si="451"/>
        <v>331.84800000000001</v>
      </c>
      <c r="K1288" s="966"/>
      <c r="L1288" s="966"/>
      <c r="M1288" s="966"/>
      <c r="N1288" s="966"/>
      <c r="O1288" s="966"/>
      <c r="P1288" s="966"/>
      <c r="Q1288" s="966"/>
      <c r="R1288" s="966"/>
      <c r="S1288" s="966"/>
      <c r="T1288" s="1000">
        <f>SUM(H1288:S1288)</f>
        <v>942.62760000000003</v>
      </c>
      <c r="U1288" s="966"/>
      <c r="V1288" s="1310">
        <f>V1283/T1288</f>
        <v>741.66666666666663</v>
      </c>
      <c r="W1288" s="937"/>
    </row>
    <row r="1289" spans="1:23" ht="21" hidden="1">
      <c r="A1289" s="964"/>
      <c r="B1289" s="964"/>
      <c r="C1289" s="983" t="s">
        <v>345</v>
      </c>
      <c r="D1289" s="964" t="s">
        <v>173</v>
      </c>
      <c r="E1289" s="1819" t="s">
        <v>949</v>
      </c>
      <c r="F1289" s="1820"/>
      <c r="G1289" s="1821"/>
      <c r="H1289" s="1002">
        <f>(0.0002*H1284 + 69946)*(3.6/1000)*(0.9643)</f>
        <v>320.92652296800003</v>
      </c>
      <c r="I1289" s="1002">
        <f>(0.0002*I1284 + 69946)*(3.6/1000)*(0.9643)</f>
        <v>298.45077285600001</v>
      </c>
      <c r="J1289" s="1002">
        <f>(0.0002*J1284 + 69946)*(3.6/1000)*(0.9643)</f>
        <v>313.09902986399999</v>
      </c>
      <c r="K1289" s="966"/>
      <c r="L1289" s="966"/>
      <c r="M1289" s="966"/>
      <c r="N1289" s="966"/>
      <c r="O1289" s="966"/>
      <c r="P1289" s="966"/>
      <c r="Q1289" s="966"/>
      <c r="R1289" s="966"/>
      <c r="S1289" s="966"/>
      <c r="T1289" s="1000">
        <f>SUM(H1289:S1289)</f>
        <v>932.47632568800009</v>
      </c>
      <c r="U1289" s="966"/>
      <c r="V1289" s="1001" t="s">
        <v>742</v>
      </c>
      <c r="W1289" s="937"/>
    </row>
    <row r="1290" spans="1:23" ht="21" hidden="1">
      <c r="A1290" s="964"/>
      <c r="B1290" s="1003" t="s">
        <v>174</v>
      </c>
      <c r="C1290" s="1004" t="s">
        <v>89</v>
      </c>
      <c r="D1290" s="1003" t="s">
        <v>761</v>
      </c>
      <c r="E1290" s="1003"/>
      <c r="F1290" s="1003"/>
      <c r="G1290" s="1005"/>
      <c r="H1290" s="1006">
        <f>H1286/H1284</f>
        <v>2.872051411962348E-6</v>
      </c>
      <c r="I1290" s="1006">
        <f>I1286/I1284</f>
        <v>3.5899364790156121E-6</v>
      </c>
      <c r="J1290" s="1006">
        <f t="shared" ref="J1290:R1290" si="452">J1286/J1284</f>
        <v>3.2781910322140892E-6</v>
      </c>
      <c r="K1290" s="1006" t="e">
        <f t="shared" si="452"/>
        <v>#DIV/0!</v>
      </c>
      <c r="L1290" s="1006" t="e">
        <f t="shared" si="452"/>
        <v>#DIV/0!</v>
      </c>
      <c r="M1290" s="1006" t="e">
        <f t="shared" si="452"/>
        <v>#DIV/0!</v>
      </c>
      <c r="N1290" s="1006" t="e">
        <f t="shared" si="452"/>
        <v>#DIV/0!</v>
      </c>
      <c r="O1290" s="1006" t="e">
        <f t="shared" si="452"/>
        <v>#DIV/0!</v>
      </c>
      <c r="P1290" s="1006" t="e">
        <f t="shared" si="452"/>
        <v>#DIV/0!</v>
      </c>
      <c r="Q1290" s="1006" t="e">
        <f t="shared" si="452"/>
        <v>#DIV/0!</v>
      </c>
      <c r="R1290" s="1006" t="e">
        <f t="shared" si="452"/>
        <v>#DIV/0!</v>
      </c>
      <c r="S1290" s="1006" t="e">
        <f>S1286/S1284</f>
        <v>#DIV/0!</v>
      </c>
      <c r="T1290" s="1006">
        <f>T1286/T1284</f>
        <v>3.2077110762498173E-6</v>
      </c>
      <c r="U1290" s="1007"/>
      <c r="V1290" s="1007"/>
      <c r="W1290" s="937"/>
    </row>
    <row r="1291" spans="1:23" ht="21" hidden="1">
      <c r="A1291" s="964"/>
      <c r="B1291" s="1003"/>
      <c r="C1291" s="1004" t="s">
        <v>161</v>
      </c>
      <c r="D1291" s="1003" t="s">
        <v>761</v>
      </c>
      <c r="E1291" s="1003"/>
      <c r="F1291" s="1003"/>
      <c r="G1291" s="1005"/>
      <c r="H1291" s="1006">
        <f>H1287/H1284</f>
        <v>0</v>
      </c>
      <c r="I1291" s="1006">
        <f>I1287/I1284</f>
        <v>0</v>
      </c>
      <c r="J1291" s="1006">
        <f t="shared" ref="J1291:Q1291" si="453">J1287/J1284</f>
        <v>0</v>
      </c>
      <c r="K1291" s="1006" t="e">
        <f t="shared" si="453"/>
        <v>#DIV/0!</v>
      </c>
      <c r="L1291" s="1006" t="e">
        <f t="shared" si="453"/>
        <v>#DIV/0!</v>
      </c>
      <c r="M1291" s="1006" t="e">
        <f t="shared" si="453"/>
        <v>#DIV/0!</v>
      </c>
      <c r="N1291" s="1006" t="e">
        <f t="shared" si="453"/>
        <v>#DIV/0!</v>
      </c>
      <c r="O1291" s="1006" t="e">
        <f t="shared" si="453"/>
        <v>#DIV/0!</v>
      </c>
      <c r="P1291" s="1006" t="e">
        <f t="shared" si="453"/>
        <v>#DIV/0!</v>
      </c>
      <c r="Q1291" s="1006" t="e">
        <f t="shared" si="453"/>
        <v>#DIV/0!</v>
      </c>
      <c r="R1291" s="1006" t="e">
        <f>R1287/R1284</f>
        <v>#DIV/0!</v>
      </c>
      <c r="S1291" s="1006" t="e">
        <f>S1287/S1284</f>
        <v>#DIV/0!</v>
      </c>
      <c r="T1291" s="1006">
        <f>T1287/T1284</f>
        <v>0</v>
      </c>
      <c r="U1291" s="1007"/>
      <c r="V1291" s="1007"/>
      <c r="W1291" s="937"/>
    </row>
    <row r="1292" spans="1:23" ht="23.25" hidden="1">
      <c r="A1292" s="964"/>
      <c r="B1292" s="1003"/>
      <c r="C1292" s="1008" t="s">
        <v>766</v>
      </c>
      <c r="D1292" s="1003" t="s">
        <v>761</v>
      </c>
      <c r="E1292" s="1003"/>
      <c r="F1292" s="1003"/>
      <c r="G1292" s="1005"/>
      <c r="H1292" s="1006">
        <f t="shared" ref="H1292:T1292" si="454">H1288/H1284</f>
        <v>2.872051411962348E-6</v>
      </c>
      <c r="I1292" s="1006">
        <f t="shared" si="454"/>
        <v>3.5899364790156121E-6</v>
      </c>
      <c r="J1292" s="1006">
        <f t="shared" si="454"/>
        <v>3.2781910322140892E-6</v>
      </c>
      <c r="K1292" s="1006" t="e">
        <f t="shared" si="454"/>
        <v>#DIV/0!</v>
      </c>
      <c r="L1292" s="1006" t="e">
        <f t="shared" si="454"/>
        <v>#DIV/0!</v>
      </c>
      <c r="M1292" s="1006" t="e">
        <f t="shared" si="454"/>
        <v>#DIV/0!</v>
      </c>
      <c r="N1292" s="1006" t="e">
        <f t="shared" si="454"/>
        <v>#DIV/0!</v>
      </c>
      <c r="O1292" s="1006" t="e">
        <f t="shared" si="454"/>
        <v>#DIV/0!</v>
      </c>
      <c r="P1292" s="1006" t="e">
        <f t="shared" si="454"/>
        <v>#DIV/0!</v>
      </c>
      <c r="Q1292" s="1006" t="e">
        <f t="shared" si="454"/>
        <v>#DIV/0!</v>
      </c>
      <c r="R1292" s="1006" t="e">
        <f t="shared" si="454"/>
        <v>#DIV/0!</v>
      </c>
      <c r="S1292" s="1006" t="e">
        <f t="shared" si="454"/>
        <v>#DIV/0!</v>
      </c>
      <c r="T1292" s="1021">
        <f t="shared" si="454"/>
        <v>3.2077110762498173E-6</v>
      </c>
      <c r="U1292" s="1007"/>
      <c r="V1292" s="1007"/>
      <c r="W1292" s="937"/>
    </row>
    <row r="1293" spans="1:23" ht="21" hidden="1">
      <c r="A1293" s="964"/>
      <c r="B1293" s="1003"/>
      <c r="C1293" s="1008" t="s">
        <v>767</v>
      </c>
      <c r="D1293" s="1003"/>
      <c r="E1293" s="1822"/>
      <c r="F1293" s="1823"/>
      <c r="G1293" s="1824"/>
      <c r="H1293" s="1009">
        <f>H1288/H1289*100</f>
        <v>100.68173767994182</v>
      </c>
      <c r="I1293" s="1009">
        <f>I1288/I1289*100</f>
        <v>96.386146783006012</v>
      </c>
      <c r="J1293" s="1009">
        <f t="shared" ref="J1293:T1293" si="455">J1288/J1289*100</f>
        <v>105.98819170539875</v>
      </c>
      <c r="K1293" s="1009" t="e">
        <f t="shared" si="455"/>
        <v>#DIV/0!</v>
      </c>
      <c r="L1293" s="1009" t="e">
        <f t="shared" si="455"/>
        <v>#DIV/0!</v>
      </c>
      <c r="M1293" s="1009" t="e">
        <f t="shared" si="455"/>
        <v>#DIV/0!</v>
      </c>
      <c r="N1293" s="1009" t="e">
        <f t="shared" si="455"/>
        <v>#DIV/0!</v>
      </c>
      <c r="O1293" s="1009" t="e">
        <f t="shared" si="455"/>
        <v>#DIV/0!</v>
      </c>
      <c r="P1293" s="1009" t="e">
        <f t="shared" si="455"/>
        <v>#DIV/0!</v>
      </c>
      <c r="Q1293" s="1009" t="e">
        <f t="shared" si="455"/>
        <v>#DIV/0!</v>
      </c>
      <c r="R1293" s="1009" t="e">
        <f t="shared" si="455"/>
        <v>#DIV/0!</v>
      </c>
      <c r="S1293" s="1009" t="e">
        <f t="shared" si="455"/>
        <v>#DIV/0!</v>
      </c>
      <c r="T1293" s="1009">
        <f t="shared" si="455"/>
        <v>101.08863614360506</v>
      </c>
      <c r="U1293" s="1007"/>
      <c r="V1293" s="1007"/>
      <c r="W1293" s="937"/>
    </row>
    <row r="1294" spans="1:23" ht="21" hidden="1">
      <c r="A1294" s="947">
        <v>3</v>
      </c>
      <c r="B1294" s="947" t="s">
        <v>143</v>
      </c>
      <c r="C1294" s="949" t="s">
        <v>89</v>
      </c>
      <c r="D1294" s="947" t="s">
        <v>90</v>
      </c>
      <c r="E1294" s="950">
        <v>3.6</v>
      </c>
      <c r="F1294" s="947"/>
      <c r="G1294" s="951">
        <v>2.67</v>
      </c>
      <c r="H1294" s="952">
        <v>193993</v>
      </c>
      <c r="I1294" s="952">
        <v>191329</v>
      </c>
      <c r="J1294" s="952">
        <v>206455</v>
      </c>
      <c r="K1294" s="952"/>
      <c r="L1294" s="952"/>
      <c r="M1294" s="952"/>
      <c r="N1294" s="952"/>
      <c r="O1294" s="952"/>
      <c r="P1294" s="952"/>
      <c r="Q1294" s="952"/>
      <c r="R1294" s="952"/>
      <c r="S1294" s="952"/>
      <c r="T1294" s="952">
        <f>SUM(H1294:S1294)</f>
        <v>591777</v>
      </c>
      <c r="U1294" s="952">
        <f>T1294*E1294</f>
        <v>2130397.2000000002</v>
      </c>
      <c r="V1294" s="952">
        <f>G1294*T1294</f>
        <v>1580044.5899999999</v>
      </c>
      <c r="W1294" s="937"/>
    </row>
    <row r="1295" spans="1:23" ht="21" hidden="1">
      <c r="A1295" s="964"/>
      <c r="B1295" s="964"/>
      <c r="C1295" s="958" t="s">
        <v>161</v>
      </c>
      <c r="D1295" s="964" t="s">
        <v>176</v>
      </c>
      <c r="E1295" s="964">
        <v>36.42</v>
      </c>
      <c r="F1295" s="964"/>
      <c r="G1295" s="965">
        <v>30</v>
      </c>
      <c r="H1295" s="966"/>
      <c r="I1295" s="966"/>
      <c r="J1295" s="966"/>
      <c r="K1295" s="966"/>
      <c r="L1295" s="966"/>
      <c r="M1295" s="966"/>
      <c r="N1295" s="966"/>
      <c r="O1295" s="966"/>
      <c r="P1295" s="966"/>
      <c r="Q1295" s="968"/>
      <c r="R1295" s="966"/>
      <c r="S1295" s="966"/>
      <c r="T1295" s="966">
        <f>SUM(H1295:S1295)</f>
        <v>0</v>
      </c>
      <c r="U1295" s="966">
        <f>T1295*E1295</f>
        <v>0</v>
      </c>
      <c r="V1295" s="966">
        <f>G1295*T1295</f>
        <v>0</v>
      </c>
      <c r="W1295" s="937"/>
    </row>
    <row r="1296" spans="1:23" ht="21" hidden="1">
      <c r="A1296" s="964"/>
      <c r="B1296" s="964"/>
      <c r="C1296" s="983"/>
      <c r="D1296" s="964"/>
      <c r="E1296" s="964"/>
      <c r="F1296" s="964"/>
      <c r="G1296" s="984"/>
      <c r="H1296" s="987"/>
      <c r="I1296" s="987"/>
      <c r="J1296" s="987"/>
      <c r="K1296" s="987"/>
      <c r="L1296" s="987"/>
      <c r="M1296" s="987"/>
      <c r="N1296" s="987"/>
      <c r="O1296" s="987"/>
      <c r="P1296" s="987"/>
      <c r="Q1296" s="987"/>
      <c r="R1296" s="987"/>
      <c r="S1296" s="987"/>
      <c r="T1296" s="987"/>
      <c r="U1296" s="987">
        <f>SUM(U1294:U1295)</f>
        <v>2130397.2000000002</v>
      </c>
      <c r="V1296" s="988">
        <f>SUM(V1294:V1295)</f>
        <v>1580044.5899999999</v>
      </c>
      <c r="W1296" s="937"/>
    </row>
    <row r="1297" spans="1:23" ht="21" hidden="1">
      <c r="A1297" s="964"/>
      <c r="B1297" s="989"/>
      <c r="C1297" s="990" t="s">
        <v>107</v>
      </c>
      <c r="D1297" s="989" t="s">
        <v>756</v>
      </c>
      <c r="E1297" s="989"/>
      <c r="F1297" s="989"/>
      <c r="G1297" s="991"/>
      <c r="H1297" s="995">
        <v>119359000</v>
      </c>
      <c r="I1297" s="995">
        <v>104472000</v>
      </c>
      <c r="J1297" s="995">
        <v>107331000</v>
      </c>
      <c r="K1297" s="995"/>
      <c r="L1297" s="995"/>
      <c r="M1297" s="995"/>
      <c r="N1297" s="995"/>
      <c r="O1297" s="995"/>
      <c r="P1297" s="995"/>
      <c r="Q1297" s="992"/>
      <c r="R1297" s="995"/>
      <c r="S1297" s="995"/>
      <c r="T1297" s="966">
        <f>SUM(H1297:S1297)</f>
        <v>331162000</v>
      </c>
      <c r="U1297" s="995"/>
      <c r="V1297" s="1309">
        <f>V1296/T1297</f>
        <v>4.7712134544422363E-3</v>
      </c>
      <c r="W1297" s="937"/>
    </row>
    <row r="1298" spans="1:23" ht="21" hidden="1">
      <c r="A1298" s="964"/>
      <c r="B1298" s="964"/>
      <c r="C1298" s="983"/>
      <c r="D1298" s="964"/>
      <c r="E1298" s="964"/>
      <c r="F1298" s="964"/>
      <c r="G1298" s="984"/>
      <c r="H1298" s="987"/>
      <c r="I1298" s="987"/>
      <c r="J1298" s="987"/>
      <c r="K1298" s="987"/>
      <c r="L1298" s="987"/>
      <c r="M1298" s="987"/>
      <c r="N1298" s="987"/>
      <c r="O1298" s="987"/>
      <c r="P1298" s="987"/>
      <c r="Q1298" s="987"/>
      <c r="R1298" s="987"/>
      <c r="S1298" s="966"/>
      <c r="T1298" s="966"/>
      <c r="U1298" s="966"/>
      <c r="V1298" s="997" t="s">
        <v>750</v>
      </c>
      <c r="W1298" s="937"/>
    </row>
    <row r="1299" spans="1:23" ht="21" hidden="1">
      <c r="A1299" s="964"/>
      <c r="B1299" s="964"/>
      <c r="C1299" s="958" t="s">
        <v>89</v>
      </c>
      <c r="D1299" s="964" t="s">
        <v>173</v>
      </c>
      <c r="E1299" s="964"/>
      <c r="F1299" s="964"/>
      <c r="G1299" s="984"/>
      <c r="H1299" s="966">
        <f>$E1294*H1294/1000</f>
        <v>698.37480000000005</v>
      </c>
      <c r="I1299" s="966">
        <f>$E1294*I1294/1000</f>
        <v>688.78440000000001</v>
      </c>
      <c r="J1299" s="966">
        <f>$E1294*J1294/1000</f>
        <v>743.23800000000006</v>
      </c>
      <c r="K1299" s="966"/>
      <c r="L1299" s="966"/>
      <c r="M1299" s="966"/>
      <c r="N1299" s="966"/>
      <c r="O1299" s="966"/>
      <c r="P1299" s="966"/>
      <c r="Q1299" s="966"/>
      <c r="R1299" s="966"/>
      <c r="S1299" s="966"/>
      <c r="T1299" s="966">
        <f>SUM(H1299:S1299)</f>
        <v>2130.3972000000003</v>
      </c>
      <c r="U1299" s="966"/>
      <c r="V1299" s="966"/>
      <c r="W1299" s="937"/>
    </row>
    <row r="1300" spans="1:23" ht="21" hidden="1">
      <c r="A1300" s="964"/>
      <c r="B1300" s="964"/>
      <c r="C1300" s="958" t="s">
        <v>161</v>
      </c>
      <c r="D1300" s="964" t="s">
        <v>173</v>
      </c>
      <c r="E1300" s="964"/>
      <c r="F1300" s="964"/>
      <c r="G1300" s="984"/>
      <c r="H1300" s="966">
        <f>H1295*$E1295</f>
        <v>0</v>
      </c>
      <c r="I1300" s="966">
        <f t="shared" ref="I1300:J1300" si="456">I1295*$E1295</f>
        <v>0</v>
      </c>
      <c r="J1300" s="966">
        <f t="shared" si="456"/>
        <v>0</v>
      </c>
      <c r="K1300" s="966"/>
      <c r="L1300" s="966"/>
      <c r="M1300" s="966"/>
      <c r="N1300" s="966"/>
      <c r="O1300" s="966"/>
      <c r="P1300" s="966"/>
      <c r="Q1300" s="966"/>
      <c r="R1300" s="966"/>
      <c r="S1300" s="966"/>
      <c r="T1300" s="966">
        <f>SUM(H1300:S1300)</f>
        <v>0</v>
      </c>
      <c r="U1300" s="966"/>
      <c r="V1300" s="966"/>
      <c r="W1300" s="937"/>
    </row>
    <row r="1301" spans="1:23" ht="21" hidden="1">
      <c r="A1301" s="964"/>
      <c r="B1301" s="964"/>
      <c r="C1301" s="983" t="s">
        <v>769</v>
      </c>
      <c r="D1301" s="964"/>
      <c r="E1301" s="964"/>
      <c r="F1301" s="964"/>
      <c r="G1301" s="984"/>
      <c r="H1301" s="966">
        <f t="shared" ref="H1301:J1301" si="457">SUM(H1299:H1300)</f>
        <v>698.37480000000005</v>
      </c>
      <c r="I1301" s="966">
        <f t="shared" si="457"/>
        <v>688.78440000000001</v>
      </c>
      <c r="J1301" s="966">
        <f t="shared" si="457"/>
        <v>743.23800000000006</v>
      </c>
      <c r="K1301" s="966"/>
      <c r="L1301" s="966"/>
      <c r="M1301" s="966"/>
      <c r="N1301" s="966"/>
      <c r="O1301" s="966"/>
      <c r="P1301" s="966"/>
      <c r="Q1301" s="966"/>
      <c r="R1301" s="966"/>
      <c r="S1301" s="966"/>
      <c r="T1301" s="1000">
        <f>SUM(H1301:S1301)</f>
        <v>2130.3972000000003</v>
      </c>
      <c r="U1301" s="966"/>
      <c r="V1301" s="1310">
        <f>V1296/T1301</f>
        <v>741.66666666666652</v>
      </c>
      <c r="W1301" s="937"/>
    </row>
    <row r="1302" spans="1:23" ht="21" hidden="1">
      <c r="A1302" s="964"/>
      <c r="B1302" s="964"/>
      <c r="C1302" s="983" t="s">
        <v>345</v>
      </c>
      <c r="D1302" s="964" t="s">
        <v>173</v>
      </c>
      <c r="E1302" s="1811" t="s">
        <v>950</v>
      </c>
      <c r="F1302" s="1812"/>
      <c r="G1302" s="1813"/>
      <c r="H1302" s="1002">
        <f>(0.0005*H1297 + 129158)*(3.6/1000)*(1.0195)</f>
        <v>693.0713925</v>
      </c>
      <c r="I1302" s="1002">
        <f>(0.0005*I1297 + 129158)*(3.6/1000)*(1.0195)</f>
        <v>665.75225879999994</v>
      </c>
      <c r="J1302" s="1002">
        <f>(0.0005*J1297 + 129158)*(3.6/1000)*(1.0195)</f>
        <v>670.99880970000004</v>
      </c>
      <c r="K1302" s="966"/>
      <c r="L1302" s="966"/>
      <c r="M1302" s="966"/>
      <c r="N1302" s="966"/>
      <c r="O1302" s="966"/>
      <c r="P1302" s="966"/>
      <c r="Q1302" s="966"/>
      <c r="R1302" s="966"/>
      <c r="S1302" s="966"/>
      <c r="T1302" s="1000">
        <f>SUM(H1302:S1302)</f>
        <v>2029.822461</v>
      </c>
      <c r="U1302" s="966"/>
      <c r="V1302" s="1001" t="s">
        <v>742</v>
      </c>
      <c r="W1302" s="937"/>
    </row>
    <row r="1303" spans="1:23" ht="21" hidden="1">
      <c r="A1303" s="964"/>
      <c r="B1303" s="1003" t="s">
        <v>174</v>
      </c>
      <c r="C1303" s="1004" t="s">
        <v>89</v>
      </c>
      <c r="D1303" s="1003" t="s">
        <v>761</v>
      </c>
      <c r="E1303" s="1003"/>
      <c r="F1303" s="1003"/>
      <c r="G1303" s="1005"/>
      <c r="H1303" s="1006">
        <f>H1299/H1297</f>
        <v>5.8510443284544953E-6</v>
      </c>
      <c r="I1303" s="1006">
        <f>I1299/I1297</f>
        <v>6.5930048242591319E-6</v>
      </c>
      <c r="J1303" s="1006">
        <f t="shared" ref="J1303:R1303" si="458">J1299/J1297</f>
        <v>6.9247281773206257E-6</v>
      </c>
      <c r="K1303" s="1006" t="e">
        <f t="shared" si="458"/>
        <v>#DIV/0!</v>
      </c>
      <c r="L1303" s="1006" t="e">
        <f t="shared" si="458"/>
        <v>#DIV/0!</v>
      </c>
      <c r="M1303" s="1006" t="e">
        <f t="shared" si="458"/>
        <v>#DIV/0!</v>
      </c>
      <c r="N1303" s="1006" t="e">
        <f t="shared" si="458"/>
        <v>#DIV/0!</v>
      </c>
      <c r="O1303" s="1006" t="e">
        <f t="shared" si="458"/>
        <v>#DIV/0!</v>
      </c>
      <c r="P1303" s="1006" t="e">
        <f t="shared" si="458"/>
        <v>#DIV/0!</v>
      </c>
      <c r="Q1303" s="1006" t="e">
        <f t="shared" si="458"/>
        <v>#DIV/0!</v>
      </c>
      <c r="R1303" s="1006" t="e">
        <f t="shared" si="458"/>
        <v>#DIV/0!</v>
      </c>
      <c r="S1303" s="1006" t="e">
        <f>S1299/S1297</f>
        <v>#DIV/0!</v>
      </c>
      <c r="T1303" s="1006">
        <f>T1299/T1297</f>
        <v>6.4330967925063873E-6</v>
      </c>
      <c r="U1303" s="1007"/>
      <c r="V1303" s="1007"/>
      <c r="W1303" s="937"/>
    </row>
    <row r="1304" spans="1:23" ht="21" hidden="1">
      <c r="A1304" s="964"/>
      <c r="B1304" s="1003"/>
      <c r="C1304" s="1004" t="s">
        <v>161</v>
      </c>
      <c r="D1304" s="1003" t="s">
        <v>761</v>
      </c>
      <c r="E1304" s="1003"/>
      <c r="F1304" s="1003"/>
      <c r="G1304" s="1005"/>
      <c r="H1304" s="1006">
        <f>H1300/H1297</f>
        <v>0</v>
      </c>
      <c r="I1304" s="1006">
        <f>I1300/I1297</f>
        <v>0</v>
      </c>
      <c r="J1304" s="1006">
        <f t="shared" ref="J1304:Q1304" si="459">J1300/J1297</f>
        <v>0</v>
      </c>
      <c r="K1304" s="1006" t="e">
        <f t="shared" si="459"/>
        <v>#DIV/0!</v>
      </c>
      <c r="L1304" s="1006" t="e">
        <f t="shared" si="459"/>
        <v>#DIV/0!</v>
      </c>
      <c r="M1304" s="1006" t="e">
        <f t="shared" si="459"/>
        <v>#DIV/0!</v>
      </c>
      <c r="N1304" s="1006" t="e">
        <f t="shared" si="459"/>
        <v>#DIV/0!</v>
      </c>
      <c r="O1304" s="1006" t="e">
        <f t="shared" si="459"/>
        <v>#DIV/0!</v>
      </c>
      <c r="P1304" s="1006" t="e">
        <f t="shared" si="459"/>
        <v>#DIV/0!</v>
      </c>
      <c r="Q1304" s="1006" t="e">
        <f t="shared" si="459"/>
        <v>#DIV/0!</v>
      </c>
      <c r="R1304" s="1006" t="e">
        <f>R1300/R1297</f>
        <v>#DIV/0!</v>
      </c>
      <c r="S1304" s="1006" t="e">
        <f>S1300/S1297</f>
        <v>#DIV/0!</v>
      </c>
      <c r="T1304" s="1006">
        <f>T1300/T1297</f>
        <v>0</v>
      </c>
      <c r="U1304" s="1007"/>
      <c r="V1304" s="1007"/>
      <c r="W1304" s="937"/>
    </row>
    <row r="1305" spans="1:23" ht="23.25" hidden="1">
      <c r="A1305" s="964"/>
      <c r="B1305" s="1003"/>
      <c r="C1305" s="1008" t="s">
        <v>771</v>
      </c>
      <c r="D1305" s="1003" t="s">
        <v>761</v>
      </c>
      <c r="E1305" s="1003"/>
      <c r="F1305" s="1003"/>
      <c r="G1305" s="1005"/>
      <c r="H1305" s="1006">
        <f t="shared" ref="H1305:T1305" si="460">H1301/H1297</f>
        <v>5.8510443284544953E-6</v>
      </c>
      <c r="I1305" s="1006">
        <f t="shared" si="460"/>
        <v>6.5930048242591319E-6</v>
      </c>
      <c r="J1305" s="1006">
        <f t="shared" si="460"/>
        <v>6.9247281773206257E-6</v>
      </c>
      <c r="K1305" s="1006" t="e">
        <f t="shared" si="460"/>
        <v>#DIV/0!</v>
      </c>
      <c r="L1305" s="1006" t="e">
        <f t="shared" si="460"/>
        <v>#DIV/0!</v>
      </c>
      <c r="M1305" s="1006" t="e">
        <f t="shared" si="460"/>
        <v>#DIV/0!</v>
      </c>
      <c r="N1305" s="1006" t="e">
        <f t="shared" si="460"/>
        <v>#DIV/0!</v>
      </c>
      <c r="O1305" s="1006" t="e">
        <f t="shared" si="460"/>
        <v>#DIV/0!</v>
      </c>
      <c r="P1305" s="1006" t="e">
        <f t="shared" si="460"/>
        <v>#DIV/0!</v>
      </c>
      <c r="Q1305" s="1006" t="e">
        <f t="shared" si="460"/>
        <v>#DIV/0!</v>
      </c>
      <c r="R1305" s="1006" t="e">
        <f t="shared" si="460"/>
        <v>#DIV/0!</v>
      </c>
      <c r="S1305" s="1006" t="e">
        <f t="shared" si="460"/>
        <v>#DIV/0!</v>
      </c>
      <c r="T1305" s="1021">
        <f t="shared" si="460"/>
        <v>6.4330967925063873E-6</v>
      </c>
      <c r="U1305" s="1007"/>
      <c r="V1305" s="1007"/>
      <c r="W1305" s="937"/>
    </row>
    <row r="1306" spans="1:23" ht="21" hidden="1">
      <c r="A1306" s="964"/>
      <c r="B1306" s="1003"/>
      <c r="C1306" s="1008" t="s">
        <v>772</v>
      </c>
      <c r="D1306" s="1003"/>
      <c r="E1306" s="1003"/>
      <c r="F1306" s="1003"/>
      <c r="G1306" s="1003"/>
      <c r="H1306" s="1009">
        <f>H1301/H1302*100</f>
        <v>100.76520363665134</v>
      </c>
      <c r="I1306" s="1009">
        <f t="shared" ref="I1306:T1306" si="461">I1301/I1302*100</f>
        <v>103.45956636204508</v>
      </c>
      <c r="J1306" s="1009">
        <f t="shared" si="461"/>
        <v>110.76591929161511</v>
      </c>
      <c r="K1306" s="1009" t="e">
        <f t="shared" si="461"/>
        <v>#DIV/0!</v>
      </c>
      <c r="L1306" s="1009" t="e">
        <f t="shared" si="461"/>
        <v>#DIV/0!</v>
      </c>
      <c r="M1306" s="1009" t="e">
        <f t="shared" si="461"/>
        <v>#DIV/0!</v>
      </c>
      <c r="N1306" s="1009" t="e">
        <f t="shared" si="461"/>
        <v>#DIV/0!</v>
      </c>
      <c r="O1306" s="1009" t="e">
        <f t="shared" si="461"/>
        <v>#DIV/0!</v>
      </c>
      <c r="P1306" s="1009" t="e">
        <f t="shared" si="461"/>
        <v>#DIV/0!</v>
      </c>
      <c r="Q1306" s="1009" t="e">
        <f t="shared" si="461"/>
        <v>#DIV/0!</v>
      </c>
      <c r="R1306" s="1009" t="e">
        <f t="shared" si="461"/>
        <v>#DIV/0!</v>
      </c>
      <c r="S1306" s="1009" t="e">
        <f t="shared" si="461"/>
        <v>#DIV/0!</v>
      </c>
      <c r="T1306" s="1009">
        <f t="shared" si="461"/>
        <v>104.9548539802073</v>
      </c>
      <c r="U1306" s="1007"/>
      <c r="V1306" s="1007"/>
      <c r="W1306" s="937"/>
    </row>
    <row r="1307" spans="1:23" ht="21" hidden="1">
      <c r="A1307" s="947">
        <v>4</v>
      </c>
      <c r="B1307" s="947" t="s">
        <v>151</v>
      </c>
      <c r="C1307" s="949" t="s">
        <v>89</v>
      </c>
      <c r="D1307" s="947" t="s">
        <v>90</v>
      </c>
      <c r="E1307" s="950">
        <v>3.6</v>
      </c>
      <c r="F1307" s="947"/>
      <c r="G1307" s="951">
        <v>2.67</v>
      </c>
      <c r="H1307" s="953">
        <v>9429</v>
      </c>
      <c r="I1307" s="953">
        <v>9040</v>
      </c>
      <c r="J1307" s="952">
        <v>10761</v>
      </c>
      <c r="K1307" s="952"/>
      <c r="L1307" s="952"/>
      <c r="M1307" s="952"/>
      <c r="N1307" s="952"/>
      <c r="O1307" s="952"/>
      <c r="P1307" s="952"/>
      <c r="Q1307" s="952"/>
      <c r="R1307" s="952"/>
      <c r="S1307" s="952"/>
      <c r="T1307" s="952">
        <f>SUM(H1307:S1307)</f>
        <v>29230</v>
      </c>
      <c r="U1307" s="952">
        <f>T1307*E1307</f>
        <v>105228</v>
      </c>
      <c r="V1307" s="952">
        <f>G1307*T1307</f>
        <v>78044.099999999991</v>
      </c>
      <c r="W1307" s="937"/>
    </row>
    <row r="1308" spans="1:23" ht="21" hidden="1">
      <c r="A1308" s="964"/>
      <c r="B1308" s="964"/>
      <c r="C1308" s="958" t="s">
        <v>161</v>
      </c>
      <c r="D1308" s="964" t="s">
        <v>176</v>
      </c>
      <c r="E1308" s="964">
        <v>36.42</v>
      </c>
      <c r="F1308" s="964"/>
      <c r="G1308" s="965">
        <v>30</v>
      </c>
      <c r="H1308" s="966"/>
      <c r="I1308" s="966"/>
      <c r="J1308" s="966"/>
      <c r="K1308" s="966"/>
      <c r="L1308" s="966"/>
      <c r="M1308" s="966"/>
      <c r="N1308" s="966"/>
      <c r="O1308" s="966"/>
      <c r="P1308" s="966"/>
      <c r="Q1308" s="968"/>
      <c r="R1308" s="966"/>
      <c r="S1308" s="966"/>
      <c r="T1308" s="966">
        <f>SUM(H1308:S1308)</f>
        <v>0</v>
      </c>
      <c r="U1308" s="966">
        <f>T1308*E1308</f>
        <v>0</v>
      </c>
      <c r="V1308" s="966">
        <f>G1308*T1308</f>
        <v>0</v>
      </c>
      <c r="W1308" s="937"/>
    </row>
    <row r="1309" spans="1:23" ht="21" hidden="1">
      <c r="A1309" s="964"/>
      <c r="B1309" s="964"/>
      <c r="C1309" s="983"/>
      <c r="D1309" s="964"/>
      <c r="E1309" s="964"/>
      <c r="F1309" s="964"/>
      <c r="G1309" s="984"/>
      <c r="H1309" s="987"/>
      <c r="I1309" s="987"/>
      <c r="J1309" s="987"/>
      <c r="K1309" s="987"/>
      <c r="L1309" s="987"/>
      <c r="M1309" s="987"/>
      <c r="N1309" s="987"/>
      <c r="O1309" s="987"/>
      <c r="P1309" s="987"/>
      <c r="Q1309" s="987"/>
      <c r="R1309" s="987"/>
      <c r="S1309" s="987"/>
      <c r="T1309" s="987"/>
      <c r="U1309" s="987">
        <f>SUM(U1307:U1308)</f>
        <v>105228</v>
      </c>
      <c r="V1309" s="988">
        <f>SUM(V1307:V1308)</f>
        <v>78044.099999999991</v>
      </c>
      <c r="W1309" s="937"/>
    </row>
    <row r="1310" spans="1:23" ht="21" hidden="1">
      <c r="A1310" s="964"/>
      <c r="B1310" s="989"/>
      <c r="C1310" s="990" t="s">
        <v>107</v>
      </c>
      <c r="D1310" s="989" t="s">
        <v>756</v>
      </c>
      <c r="E1310" s="989"/>
      <c r="F1310" s="989"/>
      <c r="G1310" s="991"/>
      <c r="H1310" s="995">
        <v>15879000</v>
      </c>
      <c r="I1310" s="995">
        <v>13023000</v>
      </c>
      <c r="J1310" s="995">
        <v>16965000</v>
      </c>
      <c r="K1310" s="995"/>
      <c r="L1310" s="995"/>
      <c r="M1310" s="995"/>
      <c r="N1310" s="995"/>
      <c r="O1310" s="995"/>
      <c r="P1310" s="995"/>
      <c r="Q1310" s="992"/>
      <c r="R1310" s="995"/>
      <c r="S1310" s="995"/>
      <c r="T1310" s="952">
        <f>SUM(H1310:S1310)</f>
        <v>45867000</v>
      </c>
      <c r="U1310" s="995"/>
      <c r="V1310" s="1309">
        <f>V1309/T1310</f>
        <v>1.7015305121329059E-3</v>
      </c>
      <c r="W1310" s="937"/>
    </row>
    <row r="1311" spans="1:23" ht="21" hidden="1">
      <c r="A1311" s="964"/>
      <c r="B1311" s="964"/>
      <c r="C1311" s="983"/>
      <c r="D1311" s="964"/>
      <c r="E1311" s="964"/>
      <c r="F1311" s="964"/>
      <c r="G1311" s="984"/>
      <c r="H1311" s="987"/>
      <c r="I1311" s="987"/>
      <c r="J1311" s="987"/>
      <c r="K1311" s="987"/>
      <c r="L1311" s="987"/>
      <c r="M1311" s="987"/>
      <c r="N1311" s="987"/>
      <c r="O1311" s="987"/>
      <c r="P1311" s="987"/>
      <c r="Q1311" s="987"/>
      <c r="R1311" s="987"/>
      <c r="S1311" s="966"/>
      <c r="T1311" s="966"/>
      <c r="U1311" s="966"/>
      <c r="V1311" s="997" t="s">
        <v>750</v>
      </c>
      <c r="W1311" s="937"/>
    </row>
    <row r="1312" spans="1:23" ht="21" hidden="1">
      <c r="A1312" s="964"/>
      <c r="B1312" s="964"/>
      <c r="C1312" s="958" t="s">
        <v>89</v>
      </c>
      <c r="D1312" s="964" t="s">
        <v>173</v>
      </c>
      <c r="E1312" s="964"/>
      <c r="F1312" s="964"/>
      <c r="G1312" s="984"/>
      <c r="H1312" s="966">
        <f>$E1307*H1307/1000</f>
        <v>33.944400000000002</v>
      </c>
      <c r="I1312" s="966">
        <f>$E1307*I1307/1000</f>
        <v>32.543999999999997</v>
      </c>
      <c r="J1312" s="966">
        <f>$E1307*J1307/1000</f>
        <v>38.739599999999996</v>
      </c>
      <c r="K1312" s="966"/>
      <c r="L1312" s="966"/>
      <c r="M1312" s="966"/>
      <c r="N1312" s="966"/>
      <c r="O1312" s="966"/>
      <c r="P1312" s="966"/>
      <c r="Q1312" s="966"/>
      <c r="R1312" s="966"/>
      <c r="S1312" s="966"/>
      <c r="T1312" s="966">
        <f>SUM(H1312:S1312)</f>
        <v>105.22799999999999</v>
      </c>
      <c r="U1312" s="966"/>
      <c r="V1312" s="966"/>
      <c r="W1312" s="937"/>
    </row>
    <row r="1313" spans="1:23" ht="21" hidden="1">
      <c r="A1313" s="964"/>
      <c r="B1313" s="964"/>
      <c r="C1313" s="958" t="s">
        <v>161</v>
      </c>
      <c r="D1313" s="964" t="s">
        <v>173</v>
      </c>
      <c r="E1313" s="964"/>
      <c r="F1313" s="964"/>
      <c r="G1313" s="984"/>
      <c r="H1313" s="966">
        <f>H1308*$E1308</f>
        <v>0</v>
      </c>
      <c r="I1313" s="966">
        <f t="shared" ref="I1313:J1313" si="462">I1308*$E1308</f>
        <v>0</v>
      </c>
      <c r="J1313" s="966">
        <f t="shared" si="462"/>
        <v>0</v>
      </c>
      <c r="K1313" s="966"/>
      <c r="L1313" s="966"/>
      <c r="M1313" s="966"/>
      <c r="N1313" s="966"/>
      <c r="O1313" s="966"/>
      <c r="P1313" s="966"/>
      <c r="Q1313" s="966"/>
      <c r="R1313" s="966"/>
      <c r="S1313" s="966"/>
      <c r="T1313" s="966">
        <f>SUM(H1313:S1313)</f>
        <v>0</v>
      </c>
      <c r="U1313" s="966"/>
      <c r="V1313" s="966"/>
      <c r="W1313" s="937"/>
    </row>
    <row r="1314" spans="1:23" ht="21" hidden="1">
      <c r="A1314" s="964"/>
      <c r="B1314" s="964"/>
      <c r="C1314" s="983" t="s">
        <v>773</v>
      </c>
      <c r="D1314" s="964"/>
      <c r="E1314" s="964"/>
      <c r="F1314" s="964"/>
      <c r="G1314" s="984"/>
      <c r="H1314" s="966">
        <f t="shared" ref="H1314:J1314" si="463">SUM(H1312:H1313)</f>
        <v>33.944400000000002</v>
      </c>
      <c r="I1314" s="966">
        <f t="shared" si="463"/>
        <v>32.543999999999997</v>
      </c>
      <c r="J1314" s="966">
        <f t="shared" si="463"/>
        <v>38.739599999999996</v>
      </c>
      <c r="K1314" s="966"/>
      <c r="L1314" s="966"/>
      <c r="M1314" s="966"/>
      <c r="N1314" s="966"/>
      <c r="O1314" s="966"/>
      <c r="P1314" s="966"/>
      <c r="Q1314" s="966"/>
      <c r="R1314" s="966"/>
      <c r="S1314" s="966"/>
      <c r="T1314" s="1000">
        <f>SUM(H1314:S1314)</f>
        <v>105.22799999999999</v>
      </c>
      <c r="U1314" s="966"/>
      <c r="V1314" s="1310">
        <f>V1309/T1314</f>
        <v>741.66666666666663</v>
      </c>
      <c r="W1314" s="937"/>
    </row>
    <row r="1315" spans="1:23" ht="21" hidden="1">
      <c r="A1315" s="964"/>
      <c r="B1315" s="964"/>
      <c r="C1315" s="983" t="s">
        <v>345</v>
      </c>
      <c r="D1315" s="964" t="s">
        <v>173</v>
      </c>
      <c r="E1315" s="1811" t="s">
        <v>951</v>
      </c>
      <c r="F1315" s="1812"/>
      <c r="G1315" s="1813"/>
      <c r="H1315" s="1002">
        <f>(0.0003*H1310 + (1223.8+2047))*(3.6/1000)*(1.0641)</f>
        <v>30.778241220000002</v>
      </c>
      <c r="I1315" s="1002">
        <f>(0.0003*I1310 + (1223.8+2047))*(3.6/1000)*(1.0641)</f>
        <v>27.496046052000001</v>
      </c>
      <c r="J1315" s="1002">
        <f>(0.0003*J1310 + (1223.8+2047))*(3.6/1000)*(1.0641)</f>
        <v>32.026302827999999</v>
      </c>
      <c r="K1315" s="966"/>
      <c r="L1315" s="966"/>
      <c r="M1315" s="966"/>
      <c r="N1315" s="966"/>
      <c r="O1315" s="966"/>
      <c r="P1315" s="966"/>
      <c r="Q1315" s="966"/>
      <c r="R1315" s="966"/>
      <c r="S1315" s="966"/>
      <c r="T1315" s="1000">
        <f>SUM(H1315:S1315)</f>
        <v>90.300590099999994</v>
      </c>
      <c r="U1315" s="966"/>
      <c r="V1315" s="1001" t="s">
        <v>742</v>
      </c>
      <c r="W1315" s="937"/>
    </row>
    <row r="1316" spans="1:23" ht="21" hidden="1">
      <c r="A1316" s="964"/>
      <c r="B1316" s="1003" t="s">
        <v>174</v>
      </c>
      <c r="C1316" s="1004" t="s">
        <v>89</v>
      </c>
      <c r="D1316" s="1003" t="s">
        <v>761</v>
      </c>
      <c r="E1316" s="1003"/>
      <c r="F1316" s="1003"/>
      <c r="G1316" s="1005"/>
      <c r="H1316" s="1006">
        <f>H1312/H1310</f>
        <v>2.1376912903835253E-6</v>
      </c>
      <c r="I1316" s="1006">
        <f>I1312/I1310</f>
        <v>2.4989633724948166E-6</v>
      </c>
      <c r="J1316" s="1006">
        <f t="shared" ref="J1316:R1316" si="464">J1312/J1310</f>
        <v>2.2835013262599465E-6</v>
      </c>
      <c r="K1316" s="1006" t="e">
        <f t="shared" si="464"/>
        <v>#DIV/0!</v>
      </c>
      <c r="L1316" s="1006" t="e">
        <f t="shared" si="464"/>
        <v>#DIV/0!</v>
      </c>
      <c r="M1316" s="1006" t="e">
        <f t="shared" si="464"/>
        <v>#DIV/0!</v>
      </c>
      <c r="N1316" s="1006" t="e">
        <f t="shared" si="464"/>
        <v>#DIV/0!</v>
      </c>
      <c r="O1316" s="1006" t="e">
        <f t="shared" si="464"/>
        <v>#DIV/0!</v>
      </c>
      <c r="P1316" s="1006" t="e">
        <f t="shared" si="464"/>
        <v>#DIV/0!</v>
      </c>
      <c r="Q1316" s="1006" t="e">
        <f t="shared" si="464"/>
        <v>#DIV/0!</v>
      </c>
      <c r="R1316" s="1006" t="e">
        <f t="shared" si="464"/>
        <v>#DIV/0!</v>
      </c>
      <c r="S1316" s="1006" t="e">
        <f>S1312/S1310</f>
        <v>#DIV/0!</v>
      </c>
      <c r="T1316" s="1006">
        <f>T1312/T1310</f>
        <v>2.2941984433252665E-6</v>
      </c>
      <c r="U1316" s="1007"/>
      <c r="V1316" s="1007"/>
      <c r="W1316" s="937"/>
    </row>
    <row r="1317" spans="1:23" ht="21" hidden="1">
      <c r="A1317" s="964"/>
      <c r="B1317" s="1003"/>
      <c r="C1317" s="1004" t="s">
        <v>161</v>
      </c>
      <c r="D1317" s="1003" t="s">
        <v>761</v>
      </c>
      <c r="E1317" s="1003"/>
      <c r="F1317" s="1003"/>
      <c r="G1317" s="1005"/>
      <c r="H1317" s="1006">
        <f>H1313/H1310</f>
        <v>0</v>
      </c>
      <c r="I1317" s="1006">
        <f>I1313/I1310</f>
        <v>0</v>
      </c>
      <c r="J1317" s="1006">
        <f t="shared" ref="J1317:Q1317" si="465">J1313/J1310</f>
        <v>0</v>
      </c>
      <c r="K1317" s="1006" t="e">
        <f t="shared" si="465"/>
        <v>#DIV/0!</v>
      </c>
      <c r="L1317" s="1006" t="e">
        <f t="shared" si="465"/>
        <v>#DIV/0!</v>
      </c>
      <c r="M1317" s="1006" t="e">
        <f t="shared" si="465"/>
        <v>#DIV/0!</v>
      </c>
      <c r="N1317" s="1006" t="e">
        <f t="shared" si="465"/>
        <v>#DIV/0!</v>
      </c>
      <c r="O1317" s="1006" t="e">
        <f t="shared" si="465"/>
        <v>#DIV/0!</v>
      </c>
      <c r="P1317" s="1006" t="e">
        <f t="shared" si="465"/>
        <v>#DIV/0!</v>
      </c>
      <c r="Q1317" s="1006" t="e">
        <f t="shared" si="465"/>
        <v>#DIV/0!</v>
      </c>
      <c r="R1317" s="1006" t="e">
        <f>R1313/R1310</f>
        <v>#DIV/0!</v>
      </c>
      <c r="S1317" s="1006" t="e">
        <f>S1313/S1310</f>
        <v>#DIV/0!</v>
      </c>
      <c r="T1317" s="1006">
        <f>T1313/T1310</f>
        <v>0</v>
      </c>
      <c r="U1317" s="1007"/>
      <c r="V1317" s="1007"/>
      <c r="W1317" s="937"/>
    </row>
    <row r="1318" spans="1:23" ht="23.25" hidden="1">
      <c r="A1318" s="964"/>
      <c r="B1318" s="1003"/>
      <c r="C1318" s="1008" t="s">
        <v>774</v>
      </c>
      <c r="D1318" s="1003" t="s">
        <v>761</v>
      </c>
      <c r="E1318" s="1003"/>
      <c r="F1318" s="1003"/>
      <c r="G1318" s="1005"/>
      <c r="H1318" s="1006">
        <f t="shared" ref="H1318:T1318" si="466">H1314/H1310</f>
        <v>2.1376912903835253E-6</v>
      </c>
      <c r="I1318" s="1006">
        <f t="shared" si="466"/>
        <v>2.4989633724948166E-6</v>
      </c>
      <c r="J1318" s="1006">
        <f t="shared" si="466"/>
        <v>2.2835013262599465E-6</v>
      </c>
      <c r="K1318" s="1006" t="e">
        <f t="shared" si="466"/>
        <v>#DIV/0!</v>
      </c>
      <c r="L1318" s="1006" t="e">
        <f t="shared" si="466"/>
        <v>#DIV/0!</v>
      </c>
      <c r="M1318" s="1006" t="e">
        <f t="shared" si="466"/>
        <v>#DIV/0!</v>
      </c>
      <c r="N1318" s="1006" t="e">
        <f t="shared" si="466"/>
        <v>#DIV/0!</v>
      </c>
      <c r="O1318" s="1006" t="e">
        <f t="shared" si="466"/>
        <v>#DIV/0!</v>
      </c>
      <c r="P1318" s="1006" t="e">
        <f t="shared" si="466"/>
        <v>#DIV/0!</v>
      </c>
      <c r="Q1318" s="1006" t="e">
        <f t="shared" si="466"/>
        <v>#DIV/0!</v>
      </c>
      <c r="R1318" s="1006" t="e">
        <f t="shared" si="466"/>
        <v>#DIV/0!</v>
      </c>
      <c r="S1318" s="1006" t="e">
        <f t="shared" si="466"/>
        <v>#DIV/0!</v>
      </c>
      <c r="T1318" s="1021">
        <f t="shared" si="466"/>
        <v>2.2941984433252665E-6</v>
      </c>
      <c r="U1318" s="1007"/>
      <c r="V1318" s="1007"/>
      <c r="W1318" s="937"/>
    </row>
    <row r="1319" spans="1:23" ht="21" hidden="1">
      <c r="A1319" s="964"/>
      <c r="B1319" s="1003"/>
      <c r="C1319" s="1008" t="s">
        <v>775</v>
      </c>
      <c r="D1319" s="1003"/>
      <c r="E1319" s="1003"/>
      <c r="F1319" s="1003"/>
      <c r="G1319" s="1003"/>
      <c r="H1319" s="1009">
        <f>H1314/H1315*100</f>
        <v>110.28700359246844</v>
      </c>
      <c r="I1319" s="1009">
        <f>I1314/I1315*100</f>
        <v>118.35883580662252</v>
      </c>
      <c r="J1319" s="1009">
        <f t="shared" ref="J1319:T1319" si="467">J1314/J1315*100</f>
        <v>120.96182381105409</v>
      </c>
      <c r="K1319" s="1009" t="e">
        <f t="shared" si="467"/>
        <v>#DIV/0!</v>
      </c>
      <c r="L1319" s="1009" t="e">
        <f t="shared" si="467"/>
        <v>#DIV/0!</v>
      </c>
      <c r="M1319" s="1009" t="e">
        <f t="shared" si="467"/>
        <v>#DIV/0!</v>
      </c>
      <c r="N1319" s="1009" t="e">
        <f t="shared" si="467"/>
        <v>#DIV/0!</v>
      </c>
      <c r="O1319" s="1009" t="e">
        <f t="shared" si="467"/>
        <v>#DIV/0!</v>
      </c>
      <c r="P1319" s="1009" t="e">
        <f t="shared" si="467"/>
        <v>#DIV/0!</v>
      </c>
      <c r="Q1319" s="1009" t="e">
        <f t="shared" si="467"/>
        <v>#DIV/0!</v>
      </c>
      <c r="R1319" s="1009" t="e">
        <f t="shared" si="467"/>
        <v>#DIV/0!</v>
      </c>
      <c r="S1319" s="1009" t="e">
        <f t="shared" si="467"/>
        <v>#DIV/0!</v>
      </c>
      <c r="T1319" s="1009">
        <f t="shared" si="467"/>
        <v>116.53079994656646</v>
      </c>
      <c r="U1319" s="1007"/>
      <c r="V1319" s="1007"/>
      <c r="W1319" s="937"/>
    </row>
    <row r="1320" spans="1:23" ht="21" hidden="1">
      <c r="A1320" s="964"/>
      <c r="B1320" s="964"/>
      <c r="C1320" s="958"/>
      <c r="D1320" s="964"/>
      <c r="E1320" s="1011"/>
      <c r="F1320" s="1011"/>
      <c r="G1320" s="1011"/>
      <c r="H1320" s="968"/>
      <c r="I1320" s="968"/>
      <c r="J1320" s="968"/>
      <c r="K1320" s="968"/>
      <c r="L1320" s="968"/>
      <c r="M1320" s="968"/>
      <c r="N1320" s="966"/>
      <c r="O1320" s="966"/>
      <c r="P1320" s="966"/>
      <c r="Q1320" s="966"/>
      <c r="R1320" s="966"/>
      <c r="S1320" s="966"/>
      <c r="T1320" s="966"/>
      <c r="U1320" s="966"/>
      <c r="V1320" s="966"/>
      <c r="W1320" s="937"/>
    </row>
    <row r="1321" spans="1:23" ht="21" hidden="1">
      <c r="A1321" s="947">
        <v>5</v>
      </c>
      <c r="B1321" s="947" t="s">
        <v>149</v>
      </c>
      <c r="C1321" s="949" t="s">
        <v>89</v>
      </c>
      <c r="D1321" s="947" t="s">
        <v>90</v>
      </c>
      <c r="E1321" s="950">
        <v>3.6</v>
      </c>
      <c r="F1321" s="947"/>
      <c r="G1321" s="951">
        <v>2.67</v>
      </c>
      <c r="H1321" s="953">
        <v>11000</v>
      </c>
      <c r="I1321" s="953">
        <v>15000</v>
      </c>
      <c r="J1321" s="952">
        <v>13000</v>
      </c>
      <c r="K1321" s="952"/>
      <c r="L1321" s="952"/>
      <c r="M1321" s="952"/>
      <c r="N1321" s="952"/>
      <c r="O1321" s="952"/>
      <c r="P1321" s="952"/>
      <c r="Q1321" s="952"/>
      <c r="R1321" s="952"/>
      <c r="S1321" s="952"/>
      <c r="T1321" s="952">
        <f>SUM(H1321:S1321)</f>
        <v>39000</v>
      </c>
      <c r="U1321" s="952">
        <f>T1321*E1321</f>
        <v>140400</v>
      </c>
      <c r="V1321" s="952">
        <f>G1321*T1321</f>
        <v>104130</v>
      </c>
      <c r="W1321" s="937"/>
    </row>
    <row r="1322" spans="1:23" ht="21.75" hidden="1">
      <c r="A1322" s="964"/>
      <c r="B1322" s="964"/>
      <c r="C1322" s="958" t="s">
        <v>533</v>
      </c>
      <c r="D1322" s="964" t="s">
        <v>176</v>
      </c>
      <c r="E1322" s="964">
        <v>39.770000000000003</v>
      </c>
      <c r="F1322" s="964"/>
      <c r="G1322" s="965">
        <v>30</v>
      </c>
      <c r="H1322" s="1311">
        <v>1770</v>
      </c>
      <c r="I1322" s="1311">
        <v>2150</v>
      </c>
      <c r="J1322" s="966">
        <v>2400</v>
      </c>
      <c r="K1322" s="966"/>
      <c r="L1322" s="966"/>
      <c r="M1322" s="966"/>
      <c r="N1322" s="966"/>
      <c r="O1322" s="966"/>
      <c r="P1322" s="966"/>
      <c r="Q1322" s="968"/>
      <c r="R1322" s="966"/>
      <c r="S1322" s="966"/>
      <c r="T1322" s="966">
        <f>SUM(H1322:S1322)</f>
        <v>6320</v>
      </c>
      <c r="U1322" s="966">
        <f>T1322*E1322</f>
        <v>251346.40000000002</v>
      </c>
      <c r="V1322" s="966">
        <f>G1322*T1322</f>
        <v>189600</v>
      </c>
      <c r="W1322" s="937"/>
    </row>
    <row r="1323" spans="1:23" ht="21" hidden="1">
      <c r="A1323" s="964"/>
      <c r="B1323" s="964"/>
      <c r="C1323" s="983"/>
      <c r="D1323" s="964"/>
      <c r="E1323" s="964"/>
      <c r="F1323" s="964"/>
      <c r="G1323" s="984"/>
      <c r="H1323" s="987"/>
      <c r="I1323" s="987"/>
      <c r="J1323" s="987"/>
      <c r="K1323" s="987"/>
      <c r="L1323" s="987"/>
      <c r="M1323" s="987"/>
      <c r="N1323" s="987"/>
      <c r="O1323" s="987"/>
      <c r="P1323" s="987"/>
      <c r="Q1323" s="987"/>
      <c r="R1323" s="987"/>
      <c r="S1323" s="987"/>
      <c r="T1323" s="987"/>
      <c r="U1323" s="987">
        <f>SUM(U1321:U1322)</f>
        <v>391746.4</v>
      </c>
      <c r="V1323" s="988">
        <f>SUM(V1321:V1322)</f>
        <v>293730</v>
      </c>
      <c r="W1323" s="937"/>
    </row>
    <row r="1324" spans="1:23" ht="21.75" hidden="1">
      <c r="A1324" s="964"/>
      <c r="B1324" s="989"/>
      <c r="C1324" s="990" t="s">
        <v>107</v>
      </c>
      <c r="D1324" s="989" t="s">
        <v>756</v>
      </c>
      <c r="E1324" s="989"/>
      <c r="F1324" s="989"/>
      <c r="G1324" s="991"/>
      <c r="H1324" s="1312">
        <v>1023902</v>
      </c>
      <c r="I1324" s="1313">
        <v>1476252</v>
      </c>
      <c r="J1324" s="995">
        <v>1271588</v>
      </c>
      <c r="K1324" s="995"/>
      <c r="L1324" s="995"/>
      <c r="M1324" s="995"/>
      <c r="N1324" s="995"/>
      <c r="O1324" s="995"/>
      <c r="P1324" s="995"/>
      <c r="Q1324" s="992"/>
      <c r="R1324" s="995"/>
      <c r="S1324" s="995"/>
      <c r="T1324" s="966">
        <f>SUM(H1324:S1324)</f>
        <v>3771742</v>
      </c>
      <c r="U1324" s="995"/>
      <c r="V1324" s="1309">
        <f>V1323/T1324</f>
        <v>7.7876482537776973E-2</v>
      </c>
      <c r="W1324" s="937"/>
    </row>
    <row r="1325" spans="1:23" ht="21" hidden="1">
      <c r="A1325" s="964"/>
      <c r="B1325" s="964"/>
      <c r="C1325" s="983"/>
      <c r="D1325" s="964"/>
      <c r="E1325" s="964"/>
      <c r="F1325" s="964"/>
      <c r="G1325" s="984"/>
      <c r="H1325" s="987"/>
      <c r="I1325" s="987"/>
      <c r="J1325" s="987"/>
      <c r="K1325" s="987"/>
      <c r="L1325" s="987"/>
      <c r="M1325" s="987"/>
      <c r="N1325" s="987"/>
      <c r="O1325" s="987"/>
      <c r="P1325" s="987"/>
      <c r="Q1325" s="987"/>
      <c r="R1325" s="987"/>
      <c r="S1325" s="966"/>
      <c r="T1325" s="966"/>
      <c r="U1325" s="966"/>
      <c r="V1325" s="997" t="s">
        <v>750</v>
      </c>
      <c r="W1325" s="937"/>
    </row>
    <row r="1326" spans="1:23" ht="21" hidden="1">
      <c r="A1326" s="964"/>
      <c r="B1326" s="964"/>
      <c r="C1326" s="958" t="s">
        <v>89</v>
      </c>
      <c r="D1326" s="964" t="s">
        <v>173</v>
      </c>
      <c r="E1326" s="964"/>
      <c r="F1326" s="964"/>
      <c r="G1326" s="984"/>
      <c r="H1326" s="966">
        <f>$E1321*H1321/1000</f>
        <v>39.6</v>
      </c>
      <c r="I1326" s="966">
        <f>$E1321*I1321/1000</f>
        <v>54</v>
      </c>
      <c r="J1326" s="966">
        <f>$E1321*J1321/1000</f>
        <v>46.8</v>
      </c>
      <c r="K1326" s="966"/>
      <c r="L1326" s="966"/>
      <c r="M1326" s="966"/>
      <c r="N1326" s="966"/>
      <c r="O1326" s="966"/>
      <c r="P1326" s="966"/>
      <c r="Q1326" s="966"/>
      <c r="R1326" s="966"/>
      <c r="S1326" s="966"/>
      <c r="T1326" s="966">
        <f>SUM(H1326:S1326)</f>
        <v>140.39999999999998</v>
      </c>
      <c r="U1326" s="966"/>
      <c r="V1326" s="966"/>
      <c r="W1326" s="937"/>
    </row>
    <row r="1327" spans="1:23" ht="21" hidden="1">
      <c r="A1327" s="964"/>
      <c r="B1327" s="964"/>
      <c r="C1327" s="958" t="s">
        <v>533</v>
      </c>
      <c r="D1327" s="964" t="s">
        <v>173</v>
      </c>
      <c r="E1327" s="964"/>
      <c r="F1327" s="964"/>
      <c r="G1327" s="984"/>
      <c r="H1327" s="966">
        <f>H1322*$E1322/1000</f>
        <v>70.392900000000012</v>
      </c>
      <c r="I1327" s="966">
        <f>I1322*$E1322/1000</f>
        <v>85.505499999999998</v>
      </c>
      <c r="J1327" s="966">
        <f>J1322*$E1322/1000</f>
        <v>95.448000000000008</v>
      </c>
      <c r="K1327" s="966"/>
      <c r="L1327" s="966"/>
      <c r="M1327" s="966"/>
      <c r="N1327" s="966"/>
      <c r="O1327" s="966"/>
      <c r="P1327" s="966"/>
      <c r="Q1327" s="966"/>
      <c r="R1327" s="966"/>
      <c r="S1327" s="966"/>
      <c r="T1327" s="966">
        <f>SUM(H1327:S1327)</f>
        <v>251.34640000000002</v>
      </c>
      <c r="U1327" s="966"/>
      <c r="V1327" s="966"/>
      <c r="W1327" s="937"/>
    </row>
    <row r="1328" spans="1:23" ht="21" hidden="1">
      <c r="A1328" s="964"/>
      <c r="B1328" s="964"/>
      <c r="C1328" s="983" t="s">
        <v>776</v>
      </c>
      <c r="D1328" s="964"/>
      <c r="E1328" s="964"/>
      <c r="F1328" s="964"/>
      <c r="G1328" s="984"/>
      <c r="H1328" s="966">
        <f>H1326</f>
        <v>39.6</v>
      </c>
      <c r="I1328" s="966">
        <f>I1326</f>
        <v>54</v>
      </c>
      <c r="J1328" s="966">
        <f>J1326</f>
        <v>46.8</v>
      </c>
      <c r="K1328" s="966"/>
      <c r="L1328" s="966"/>
      <c r="M1328" s="966"/>
      <c r="N1328" s="966"/>
      <c r="O1328" s="966"/>
      <c r="P1328" s="966"/>
      <c r="Q1328" s="966"/>
      <c r="R1328" s="966"/>
      <c r="S1328" s="966"/>
      <c r="T1328" s="1000">
        <f>SUM(H1328:S1328)</f>
        <v>140.39999999999998</v>
      </c>
      <c r="U1328" s="966"/>
      <c r="V1328" s="1310">
        <f>V1323/T1328</f>
        <v>2092.0940170940175</v>
      </c>
      <c r="W1328" s="937"/>
    </row>
    <row r="1329" spans="1:23" ht="21" hidden="1">
      <c r="A1329" s="964"/>
      <c r="B1329" s="964"/>
      <c r="C1329" s="983" t="s">
        <v>345</v>
      </c>
      <c r="D1329" s="964" t="s">
        <v>173</v>
      </c>
      <c r="E1329" s="964"/>
      <c r="F1329" s="964"/>
      <c r="G1329" s="984"/>
      <c r="H1329" s="1314">
        <f>0.000009*H1324 + 37.743</f>
        <v>46.958117999999999</v>
      </c>
      <c r="I1329" s="1314">
        <f>0.000009*I1324 + 37.743</f>
        <v>51.029268000000002</v>
      </c>
      <c r="J1329" s="1314">
        <f>0.000009*J1324 + 37.743</f>
        <v>49.187291999999999</v>
      </c>
      <c r="K1329" s="966"/>
      <c r="L1329" s="966"/>
      <c r="M1329" s="966"/>
      <c r="N1329" s="966"/>
      <c r="O1329" s="966"/>
      <c r="P1329" s="966"/>
      <c r="Q1329" s="966"/>
      <c r="R1329" s="966"/>
      <c r="S1329" s="966"/>
      <c r="T1329" s="1000">
        <f>SUM(H1329:S1329)</f>
        <v>147.174678</v>
      </c>
      <c r="U1329" s="966"/>
      <c r="V1329" s="1001" t="s">
        <v>742</v>
      </c>
      <c r="W1329" s="937"/>
    </row>
    <row r="1330" spans="1:23" ht="21" hidden="1">
      <c r="A1330" s="964"/>
      <c r="B1330" s="1003" t="s">
        <v>174</v>
      </c>
      <c r="C1330" s="1004" t="s">
        <v>89</v>
      </c>
      <c r="D1330" s="1003" t="s">
        <v>761</v>
      </c>
      <c r="E1330" s="1003"/>
      <c r="F1330" s="1003"/>
      <c r="G1330" s="1005"/>
      <c r="H1330" s="1006">
        <f>H1326/H1324</f>
        <v>3.8675576373520124E-5</v>
      </c>
      <c r="I1330" s="1006">
        <f>I1326/I1324</f>
        <v>3.6579120637939867E-5</v>
      </c>
      <c r="J1330" s="1006">
        <f t="shared" ref="J1330:R1330" si="468">J1326/J1324</f>
        <v>3.6804373743696855E-5</v>
      </c>
      <c r="K1330" s="1006" t="e">
        <f t="shared" si="468"/>
        <v>#DIV/0!</v>
      </c>
      <c r="L1330" s="1006" t="e">
        <f t="shared" si="468"/>
        <v>#DIV/0!</v>
      </c>
      <c r="M1330" s="1006" t="e">
        <f t="shared" si="468"/>
        <v>#DIV/0!</v>
      </c>
      <c r="N1330" s="1006" t="e">
        <f t="shared" si="468"/>
        <v>#DIV/0!</v>
      </c>
      <c r="O1330" s="1006" t="e">
        <f t="shared" si="468"/>
        <v>#DIV/0!</v>
      </c>
      <c r="P1330" s="1006" t="e">
        <f t="shared" si="468"/>
        <v>#DIV/0!</v>
      </c>
      <c r="Q1330" s="1006" t="e">
        <f t="shared" si="468"/>
        <v>#DIV/0!</v>
      </c>
      <c r="R1330" s="1006" t="e">
        <f t="shared" si="468"/>
        <v>#DIV/0!</v>
      </c>
      <c r="S1330" s="1006" t="e">
        <f>S1326/S1324</f>
        <v>#DIV/0!</v>
      </c>
      <c r="T1330" s="1006">
        <f>T1326/T1324</f>
        <v>3.722417917238241E-5</v>
      </c>
      <c r="U1330" s="1007"/>
      <c r="V1330" s="1007"/>
      <c r="W1330" s="937"/>
    </row>
    <row r="1331" spans="1:23" ht="21" hidden="1">
      <c r="A1331" s="964"/>
      <c r="B1331" s="1003"/>
      <c r="C1331" s="1004" t="s">
        <v>533</v>
      </c>
      <c r="D1331" s="1003" t="s">
        <v>761</v>
      </c>
      <c r="E1331" s="1003"/>
      <c r="F1331" s="1003"/>
      <c r="G1331" s="1005"/>
      <c r="H1331" s="1006">
        <f>H1327/H1324</f>
        <v>6.874964596221124E-5</v>
      </c>
      <c r="I1331" s="1006">
        <f>I1327/I1324</f>
        <v>5.7920666661247535E-5</v>
      </c>
      <c r="J1331" s="1006">
        <f t="shared" ref="J1331:Q1331" si="469">J1327/J1324</f>
        <v>7.506204839932431E-5</v>
      </c>
      <c r="K1331" s="1006" t="e">
        <f t="shared" si="469"/>
        <v>#DIV/0!</v>
      </c>
      <c r="L1331" s="1006" t="e">
        <f t="shared" si="469"/>
        <v>#DIV/0!</v>
      </c>
      <c r="M1331" s="1006" t="e">
        <f t="shared" si="469"/>
        <v>#DIV/0!</v>
      </c>
      <c r="N1331" s="1006" t="e">
        <f t="shared" si="469"/>
        <v>#DIV/0!</v>
      </c>
      <c r="O1331" s="1006" t="e">
        <f t="shared" si="469"/>
        <v>#DIV/0!</v>
      </c>
      <c r="P1331" s="1006" t="e">
        <f t="shared" si="469"/>
        <v>#DIV/0!</v>
      </c>
      <c r="Q1331" s="1006" t="e">
        <f t="shared" si="469"/>
        <v>#DIV/0!</v>
      </c>
      <c r="R1331" s="1006" t="e">
        <f>R1327/R1324</f>
        <v>#DIV/0!</v>
      </c>
      <c r="S1331" s="1006" t="e">
        <f>S1327/S1324</f>
        <v>#DIV/0!</v>
      </c>
      <c r="T1331" s="1006">
        <f>T1327/T1324</f>
        <v>6.6639340654795588E-5</v>
      </c>
      <c r="U1331" s="1007"/>
      <c r="V1331" s="1007"/>
      <c r="W1331" s="937"/>
    </row>
    <row r="1332" spans="1:23" ht="23.25" hidden="1">
      <c r="A1332" s="964"/>
      <c r="B1332" s="1003"/>
      <c r="C1332" s="1008" t="s">
        <v>777</v>
      </c>
      <c r="D1332" s="1003" t="s">
        <v>761</v>
      </c>
      <c r="E1332" s="1003"/>
      <c r="F1332" s="1003"/>
      <c r="G1332" s="1005"/>
      <c r="H1332" s="1006">
        <f t="shared" ref="H1332:T1332" si="470">H1328/H1324</f>
        <v>3.8675576373520124E-5</v>
      </c>
      <c r="I1332" s="1006">
        <f t="shared" si="470"/>
        <v>3.6579120637939867E-5</v>
      </c>
      <c r="J1332" s="1006">
        <f t="shared" si="470"/>
        <v>3.6804373743696855E-5</v>
      </c>
      <c r="K1332" s="1006" t="e">
        <f t="shared" si="470"/>
        <v>#DIV/0!</v>
      </c>
      <c r="L1332" s="1006" t="e">
        <f t="shared" si="470"/>
        <v>#DIV/0!</v>
      </c>
      <c r="M1332" s="1006" t="e">
        <f t="shared" si="470"/>
        <v>#DIV/0!</v>
      </c>
      <c r="N1332" s="1006" t="e">
        <f t="shared" si="470"/>
        <v>#DIV/0!</v>
      </c>
      <c r="O1332" s="1006" t="e">
        <f t="shared" si="470"/>
        <v>#DIV/0!</v>
      </c>
      <c r="P1332" s="1006" t="e">
        <f t="shared" si="470"/>
        <v>#DIV/0!</v>
      </c>
      <c r="Q1332" s="1006" t="e">
        <f t="shared" si="470"/>
        <v>#DIV/0!</v>
      </c>
      <c r="R1332" s="1006" t="e">
        <f t="shared" si="470"/>
        <v>#DIV/0!</v>
      </c>
      <c r="S1332" s="1006" t="e">
        <f t="shared" si="470"/>
        <v>#DIV/0!</v>
      </c>
      <c r="T1332" s="1021">
        <f t="shared" si="470"/>
        <v>3.722417917238241E-5</v>
      </c>
      <c r="U1332" s="1007"/>
      <c r="V1332" s="1007"/>
      <c r="W1332" s="937"/>
    </row>
    <row r="1333" spans="1:23" ht="21" hidden="1">
      <c r="A1333" s="964"/>
      <c r="B1333" s="1003"/>
      <c r="C1333" s="1008" t="s">
        <v>778</v>
      </c>
      <c r="D1333" s="1003"/>
      <c r="E1333" s="1003"/>
      <c r="F1333" s="1003"/>
      <c r="G1333" s="1003"/>
      <c r="H1333" s="1009">
        <f>H1328/H1329*100</f>
        <v>84.330466565972685</v>
      </c>
      <c r="I1333" s="1009">
        <f>I1328/I1329*100</f>
        <v>105.82162377873028</v>
      </c>
      <c r="J1333" s="1009">
        <f t="shared" ref="J1333:T1333" si="471">J1328/J1329*100</f>
        <v>95.14652687120892</v>
      </c>
      <c r="K1333" s="1009" t="e">
        <f t="shared" si="471"/>
        <v>#DIV/0!</v>
      </c>
      <c r="L1333" s="1009" t="e">
        <f t="shared" si="471"/>
        <v>#DIV/0!</v>
      </c>
      <c r="M1333" s="1009" t="e">
        <f t="shared" si="471"/>
        <v>#DIV/0!</v>
      </c>
      <c r="N1333" s="1009" t="e">
        <f t="shared" si="471"/>
        <v>#DIV/0!</v>
      </c>
      <c r="O1333" s="1009" t="e">
        <f t="shared" si="471"/>
        <v>#DIV/0!</v>
      </c>
      <c r="P1333" s="1009" t="e">
        <f t="shared" si="471"/>
        <v>#DIV/0!</v>
      </c>
      <c r="Q1333" s="1009" t="e">
        <f t="shared" si="471"/>
        <v>#DIV/0!</v>
      </c>
      <c r="R1333" s="1009" t="e">
        <f t="shared" si="471"/>
        <v>#DIV/0!</v>
      </c>
      <c r="S1333" s="1009" t="e">
        <f t="shared" si="471"/>
        <v>#DIV/0!</v>
      </c>
      <c r="T1333" s="1009">
        <f t="shared" si="471"/>
        <v>95.396845373087871</v>
      </c>
      <c r="U1333" s="1007"/>
      <c r="V1333" s="1007"/>
      <c r="W1333" s="937"/>
    </row>
    <row r="1334" spans="1:23" ht="21.75" hidden="1">
      <c r="A1334" s="947">
        <v>6</v>
      </c>
      <c r="B1334" s="947" t="s">
        <v>142</v>
      </c>
      <c r="C1334" s="949" t="s">
        <v>89</v>
      </c>
      <c r="D1334" s="947" t="s">
        <v>90</v>
      </c>
      <c r="E1334" s="950">
        <v>3.6</v>
      </c>
      <c r="F1334" s="947"/>
      <c r="G1334" s="951">
        <v>2.67</v>
      </c>
      <c r="H1334" s="1315">
        <v>15840</v>
      </c>
      <c r="I1334" s="1315">
        <v>7884</v>
      </c>
      <c r="J1334" s="952">
        <v>12684</v>
      </c>
      <c r="K1334" s="952"/>
      <c r="L1334" s="952"/>
      <c r="M1334" s="952"/>
      <c r="N1334" s="952"/>
      <c r="O1334" s="966"/>
      <c r="P1334" s="952"/>
      <c r="Q1334" s="952"/>
      <c r="R1334" s="952"/>
      <c r="S1334" s="952"/>
      <c r="T1334" s="952">
        <f>SUM(H1334:S1334)</f>
        <v>36408</v>
      </c>
      <c r="U1334" s="952">
        <f>T1334*E1334</f>
        <v>131068.8</v>
      </c>
      <c r="V1334" s="952">
        <f>G1334*T1334</f>
        <v>97209.36</v>
      </c>
      <c r="W1334" s="937"/>
    </row>
    <row r="1335" spans="1:23" ht="21.75" hidden="1">
      <c r="A1335" s="964"/>
      <c r="B1335" s="964"/>
      <c r="C1335" s="958" t="s">
        <v>161</v>
      </c>
      <c r="D1335" s="964" t="s">
        <v>176</v>
      </c>
      <c r="E1335" s="964">
        <v>36.42</v>
      </c>
      <c r="F1335" s="964"/>
      <c r="G1335" s="965">
        <v>30</v>
      </c>
      <c r="H1335" s="1316">
        <v>72110</v>
      </c>
      <c r="I1335" s="1316">
        <v>52930</v>
      </c>
      <c r="J1335" s="966">
        <v>72416</v>
      </c>
      <c r="K1335" s="966"/>
      <c r="L1335" s="966"/>
      <c r="M1335" s="966"/>
      <c r="N1335" s="966"/>
      <c r="O1335" s="952"/>
      <c r="P1335" s="966"/>
      <c r="Q1335" s="968"/>
      <c r="R1335" s="966"/>
      <c r="S1335" s="966"/>
      <c r="T1335" s="966">
        <f>SUM(H1335:S1335)</f>
        <v>197456</v>
      </c>
      <c r="U1335" s="966">
        <f>T1335*E1335</f>
        <v>7191347.5200000005</v>
      </c>
      <c r="V1335" s="966">
        <f>G1335*T1335</f>
        <v>5923680</v>
      </c>
      <c r="W1335" s="937"/>
    </row>
    <row r="1336" spans="1:23" ht="21" hidden="1">
      <c r="A1336" s="964"/>
      <c r="B1336" s="964"/>
      <c r="C1336" s="983"/>
      <c r="D1336" s="964"/>
      <c r="E1336" s="964"/>
      <c r="F1336" s="964"/>
      <c r="G1336" s="984"/>
      <c r="H1336" s="987"/>
      <c r="I1336" s="987"/>
      <c r="J1336" s="987"/>
      <c r="K1336" s="987"/>
      <c r="L1336" s="987"/>
      <c r="M1336" s="987"/>
      <c r="N1336" s="987"/>
      <c r="O1336" s="987"/>
      <c r="P1336" s="987"/>
      <c r="Q1336" s="987"/>
      <c r="R1336" s="987"/>
      <c r="S1336" s="987"/>
      <c r="T1336" s="987"/>
      <c r="U1336" s="987">
        <f>SUM(U1334:U1335)</f>
        <v>7322416.3200000003</v>
      </c>
      <c r="V1336" s="988">
        <f>SUM(V1334:V1335)</f>
        <v>6020889.3600000003</v>
      </c>
      <c r="W1336" s="937"/>
    </row>
    <row r="1337" spans="1:23" ht="21.75" hidden="1">
      <c r="A1337" s="964"/>
      <c r="B1337" s="989"/>
      <c r="C1337" s="990" t="s">
        <v>107</v>
      </c>
      <c r="D1337" s="989" t="s">
        <v>756</v>
      </c>
      <c r="E1337" s="989"/>
      <c r="F1337" s="989"/>
      <c r="G1337" s="991"/>
      <c r="H1337" s="1316">
        <v>55814000</v>
      </c>
      <c r="I1337" s="1316">
        <v>42179000</v>
      </c>
      <c r="J1337" s="995">
        <f>61545.26*1000</f>
        <v>61545260</v>
      </c>
      <c r="K1337" s="995"/>
      <c r="L1337" s="995"/>
      <c r="M1337" s="995"/>
      <c r="N1337" s="995"/>
      <c r="O1337" s="995"/>
      <c r="P1337" s="995"/>
      <c r="Q1337" s="992"/>
      <c r="R1337" s="995"/>
      <c r="S1337" s="995"/>
      <c r="T1337" s="966">
        <f>SUM(H1337:S1337)</f>
        <v>159538260</v>
      </c>
      <c r="U1337" s="995"/>
      <c r="V1337" s="1309">
        <f>V1336/T1337</f>
        <v>3.7739469892676528E-2</v>
      </c>
      <c r="W1337" s="937"/>
    </row>
    <row r="1338" spans="1:23" ht="21" hidden="1">
      <c r="A1338" s="964"/>
      <c r="B1338" s="964"/>
      <c r="C1338" s="983"/>
      <c r="D1338" s="964"/>
      <c r="E1338" s="964"/>
      <c r="F1338" s="964"/>
      <c r="G1338" s="984"/>
      <c r="H1338" s="987"/>
      <c r="I1338" s="987"/>
      <c r="J1338" s="987"/>
      <c r="K1338" s="987"/>
      <c r="L1338" s="987"/>
      <c r="M1338" s="987"/>
      <c r="N1338" s="987"/>
      <c r="O1338" s="987"/>
      <c r="P1338" s="987"/>
      <c r="Q1338" s="987"/>
      <c r="R1338" s="987"/>
      <c r="S1338" s="966"/>
      <c r="T1338" s="966"/>
      <c r="U1338" s="966"/>
      <c r="V1338" s="997" t="s">
        <v>750</v>
      </c>
      <c r="W1338" s="937"/>
    </row>
    <row r="1339" spans="1:23" ht="21" hidden="1">
      <c r="A1339" s="964"/>
      <c r="B1339" s="964"/>
      <c r="C1339" s="958" t="s">
        <v>89</v>
      </c>
      <c r="D1339" s="964" t="s">
        <v>173</v>
      </c>
      <c r="E1339" s="964"/>
      <c r="F1339" s="964"/>
      <c r="G1339" s="984"/>
      <c r="H1339" s="966">
        <f>$E1334*H1334/1000</f>
        <v>57.024000000000001</v>
      </c>
      <c r="I1339" s="966">
        <f>$E1334*I1334/1000</f>
        <v>28.382400000000001</v>
      </c>
      <c r="J1339" s="966">
        <f>$E1334*J1334/1000</f>
        <v>45.662399999999998</v>
      </c>
      <c r="K1339" s="966"/>
      <c r="L1339" s="966"/>
      <c r="M1339" s="966"/>
      <c r="N1339" s="966"/>
      <c r="O1339" s="966"/>
      <c r="P1339" s="966"/>
      <c r="Q1339" s="966"/>
      <c r="R1339" s="966"/>
      <c r="S1339" s="966"/>
      <c r="T1339" s="966">
        <f>SUM(H1339:S1339)</f>
        <v>131.06880000000001</v>
      </c>
      <c r="U1339" s="966"/>
      <c r="V1339" s="966"/>
      <c r="W1339" s="936"/>
    </row>
    <row r="1340" spans="1:23" ht="21" hidden="1">
      <c r="A1340" s="964"/>
      <c r="B1340" s="964"/>
      <c r="C1340" s="958" t="s">
        <v>161</v>
      </c>
      <c r="D1340" s="964" t="s">
        <v>173</v>
      </c>
      <c r="E1340" s="964"/>
      <c r="F1340" s="964"/>
      <c r="G1340" s="984"/>
      <c r="H1340" s="966">
        <f>H1335*$E1335/1000</f>
        <v>2626.2462</v>
      </c>
      <c r="I1340" s="966">
        <f>I1335*$E1335/1000</f>
        <v>1927.7106000000001</v>
      </c>
      <c r="J1340" s="966">
        <f>J1335*$E1335/1000</f>
        <v>2637.3907200000003</v>
      </c>
      <c r="K1340" s="966"/>
      <c r="L1340" s="966"/>
      <c r="M1340" s="966"/>
      <c r="N1340" s="966"/>
      <c r="O1340" s="966"/>
      <c r="P1340" s="966"/>
      <c r="Q1340" s="966"/>
      <c r="R1340" s="966"/>
      <c r="S1340" s="966"/>
      <c r="T1340" s="966">
        <f>SUM(H1340:S1340)</f>
        <v>7191.3475200000003</v>
      </c>
      <c r="U1340" s="966"/>
      <c r="V1340" s="966"/>
      <c r="W1340" s="936"/>
    </row>
    <row r="1341" spans="1:23" ht="21" hidden="1">
      <c r="A1341" s="964"/>
      <c r="B1341" s="964"/>
      <c r="C1341" s="983" t="s">
        <v>879</v>
      </c>
      <c r="D1341" s="964"/>
      <c r="E1341" s="964"/>
      <c r="F1341" s="964"/>
      <c r="G1341" s="984"/>
      <c r="H1341" s="966">
        <f>H1339</f>
        <v>57.024000000000001</v>
      </c>
      <c r="I1341" s="966">
        <f>I1339</f>
        <v>28.382400000000001</v>
      </c>
      <c r="J1341" s="966">
        <f>J1339</f>
        <v>45.662399999999998</v>
      </c>
      <c r="K1341" s="966"/>
      <c r="L1341" s="966"/>
      <c r="M1341" s="966"/>
      <c r="N1341" s="966"/>
      <c r="O1341" s="966"/>
      <c r="P1341" s="966"/>
      <c r="Q1341" s="966"/>
      <c r="R1341" s="966"/>
      <c r="S1341" s="966"/>
      <c r="T1341" s="1000">
        <f>SUM(H1341:S1341)</f>
        <v>131.06880000000001</v>
      </c>
      <c r="U1341" s="966"/>
      <c r="V1341" s="1310">
        <f>V1336/T1341</f>
        <v>45936.861861861864</v>
      </c>
      <c r="W1341" s="936"/>
    </row>
    <row r="1342" spans="1:23" ht="21" hidden="1">
      <c r="A1342" s="964"/>
      <c r="B1342" s="964"/>
      <c r="C1342" s="983" t="s">
        <v>345</v>
      </c>
      <c r="D1342" s="964" t="s">
        <v>173</v>
      </c>
      <c r="E1342" s="964"/>
      <c r="F1342" s="964"/>
      <c r="G1342" s="984"/>
      <c r="H1342" s="1002">
        <f xml:space="preserve"> 0.0000004*H1337 + 26.944</f>
        <v>49.269599999999997</v>
      </c>
      <c r="I1342" s="1002">
        <f xml:space="preserve"> 0.0000004*I1337 + 26.944</f>
        <v>43.815600000000003</v>
      </c>
      <c r="J1342" s="1002">
        <f xml:space="preserve"> 0.0000004*J1337 + 26.944</f>
        <v>51.562103999999998</v>
      </c>
      <c r="K1342" s="966"/>
      <c r="L1342" s="966"/>
      <c r="M1342" s="966"/>
      <c r="N1342" s="966"/>
      <c r="O1342" s="966"/>
      <c r="P1342" s="966"/>
      <c r="Q1342" s="966"/>
      <c r="R1342" s="966"/>
      <c r="S1342" s="966"/>
      <c r="T1342" s="1000">
        <f>SUM(H1342:S1342)</f>
        <v>144.64730399999999</v>
      </c>
      <c r="U1342" s="966"/>
      <c r="V1342" s="1001" t="s">
        <v>742</v>
      </c>
      <c r="W1342" s="936"/>
    </row>
    <row r="1343" spans="1:23" ht="21" hidden="1">
      <c r="A1343" s="964"/>
      <c r="B1343" s="1003" t="s">
        <v>174</v>
      </c>
      <c r="C1343" s="1004" t="s">
        <v>89</v>
      </c>
      <c r="D1343" s="1003" t="s">
        <v>761</v>
      </c>
      <c r="E1343" s="1003"/>
      <c r="F1343" s="1003"/>
      <c r="G1343" s="1005"/>
      <c r="H1343" s="1006">
        <f>H1339/H1337</f>
        <v>1.0216791486007095E-6</v>
      </c>
      <c r="I1343" s="1006">
        <f>I1339/I1337</f>
        <v>6.7290357760971105E-7</v>
      </c>
      <c r="J1343" s="1006">
        <f t="shared" ref="J1343:R1343" si="472">J1339/J1337</f>
        <v>7.4193203505842685E-7</v>
      </c>
      <c r="K1343" s="1006" t="e">
        <f t="shared" si="472"/>
        <v>#DIV/0!</v>
      </c>
      <c r="L1343" s="1006" t="e">
        <f t="shared" si="472"/>
        <v>#DIV/0!</v>
      </c>
      <c r="M1343" s="1006" t="e">
        <f t="shared" si="472"/>
        <v>#DIV/0!</v>
      </c>
      <c r="N1343" s="1006" t="e">
        <f t="shared" si="472"/>
        <v>#DIV/0!</v>
      </c>
      <c r="O1343" s="1006" t="e">
        <f t="shared" si="472"/>
        <v>#DIV/0!</v>
      </c>
      <c r="P1343" s="1006" t="e">
        <f t="shared" si="472"/>
        <v>#DIV/0!</v>
      </c>
      <c r="Q1343" s="1006" t="e">
        <f t="shared" si="472"/>
        <v>#DIV/0!</v>
      </c>
      <c r="R1343" s="1006" t="e">
        <f t="shared" si="472"/>
        <v>#DIV/0!</v>
      </c>
      <c r="S1343" s="1006" t="e">
        <f>S1339/S1337</f>
        <v>#DIV/0!</v>
      </c>
      <c r="T1343" s="1006">
        <f>T1339/T1337</f>
        <v>8.2155089318386709E-7</v>
      </c>
      <c r="U1343" s="1007"/>
      <c r="V1343" s="1007"/>
      <c r="W1343" s="936"/>
    </row>
    <row r="1344" spans="1:23" ht="21" hidden="1">
      <c r="A1344" s="964"/>
      <c r="B1344" s="1003"/>
      <c r="C1344" s="1004" t="s">
        <v>161</v>
      </c>
      <c r="D1344" s="1003" t="s">
        <v>761</v>
      </c>
      <c r="E1344" s="1003"/>
      <c r="F1344" s="1003"/>
      <c r="G1344" s="1005"/>
      <c r="H1344" s="1006">
        <f>H1340/H1337</f>
        <v>4.7053538538717884E-5</v>
      </c>
      <c r="I1344" s="1006">
        <f>I1340/I1337</f>
        <v>4.5703089215012215E-5</v>
      </c>
      <c r="J1344" s="1006">
        <f t="shared" ref="J1344:Q1344" si="473">J1340/J1337</f>
        <v>4.2852865029735846E-5</v>
      </c>
      <c r="K1344" s="1006" t="e">
        <f t="shared" si="473"/>
        <v>#DIV/0!</v>
      </c>
      <c r="L1344" s="1006" t="e">
        <f t="shared" si="473"/>
        <v>#DIV/0!</v>
      </c>
      <c r="M1344" s="1006" t="e">
        <f t="shared" si="473"/>
        <v>#DIV/0!</v>
      </c>
      <c r="N1344" s="1006" t="e">
        <f t="shared" si="473"/>
        <v>#DIV/0!</v>
      </c>
      <c r="O1344" s="1006" t="e">
        <f t="shared" si="473"/>
        <v>#DIV/0!</v>
      </c>
      <c r="P1344" s="1006" t="e">
        <f t="shared" si="473"/>
        <v>#DIV/0!</v>
      </c>
      <c r="Q1344" s="1006" t="e">
        <f t="shared" si="473"/>
        <v>#DIV/0!</v>
      </c>
      <c r="R1344" s="1006" t="e">
        <f>R1340/R1337</f>
        <v>#DIV/0!</v>
      </c>
      <c r="S1344" s="1006" t="e">
        <f>S1340/S1337</f>
        <v>#DIV/0!</v>
      </c>
      <c r="T1344" s="1006">
        <f>T1340/T1337</f>
        <v>4.5076005718001437E-5</v>
      </c>
      <c r="U1344" s="1007"/>
      <c r="V1344" s="1007"/>
      <c r="W1344" s="936"/>
    </row>
    <row r="1345" spans="1:23" ht="23.25" hidden="1">
      <c r="A1345" s="964"/>
      <c r="B1345" s="1003"/>
      <c r="C1345" s="1008" t="s">
        <v>881</v>
      </c>
      <c r="D1345" s="1003" t="s">
        <v>761</v>
      </c>
      <c r="E1345" s="1003"/>
      <c r="F1345" s="1003"/>
      <c r="G1345" s="1005"/>
      <c r="H1345" s="1006">
        <f t="shared" ref="H1345:T1345" si="474">H1341/H1337</f>
        <v>1.0216791486007095E-6</v>
      </c>
      <c r="I1345" s="1006">
        <f t="shared" si="474"/>
        <v>6.7290357760971105E-7</v>
      </c>
      <c r="J1345" s="1006">
        <f t="shared" si="474"/>
        <v>7.4193203505842685E-7</v>
      </c>
      <c r="K1345" s="1006" t="e">
        <f t="shared" si="474"/>
        <v>#DIV/0!</v>
      </c>
      <c r="L1345" s="1006" t="e">
        <f t="shared" si="474"/>
        <v>#DIV/0!</v>
      </c>
      <c r="M1345" s="1006" t="e">
        <f t="shared" si="474"/>
        <v>#DIV/0!</v>
      </c>
      <c r="N1345" s="1006" t="e">
        <f t="shared" si="474"/>
        <v>#DIV/0!</v>
      </c>
      <c r="O1345" s="1006" t="e">
        <f>O1341/O1337</f>
        <v>#DIV/0!</v>
      </c>
      <c r="P1345" s="1006" t="e">
        <f t="shared" si="474"/>
        <v>#DIV/0!</v>
      </c>
      <c r="Q1345" s="1006" t="e">
        <f t="shared" si="474"/>
        <v>#DIV/0!</v>
      </c>
      <c r="R1345" s="1006" t="e">
        <f t="shared" si="474"/>
        <v>#DIV/0!</v>
      </c>
      <c r="S1345" s="1006" t="e">
        <f t="shared" si="474"/>
        <v>#DIV/0!</v>
      </c>
      <c r="T1345" s="1021">
        <f t="shared" si="474"/>
        <v>8.2155089318386709E-7</v>
      </c>
      <c r="U1345" s="1007"/>
      <c r="V1345" s="1007"/>
      <c r="W1345" s="936"/>
    </row>
    <row r="1346" spans="1:23" ht="21" hidden="1">
      <c r="A1346" s="964"/>
      <c r="B1346" s="1003"/>
      <c r="C1346" s="1008" t="s">
        <v>779</v>
      </c>
      <c r="D1346" s="1003"/>
      <c r="E1346" s="1003"/>
      <c r="F1346" s="1003"/>
      <c r="G1346" s="1003"/>
      <c r="H1346" s="1009">
        <f>H1341/H1342*100</f>
        <v>115.73871109162648</v>
      </c>
      <c r="I1346" s="1009">
        <f>I1341/I1342*100</f>
        <v>64.776928765097367</v>
      </c>
      <c r="J1346" s="1009">
        <f t="shared" ref="J1346:T1346" si="475">J1341/J1342*100</f>
        <v>88.558061944097545</v>
      </c>
      <c r="K1346" s="1009" t="e">
        <f t="shared" si="475"/>
        <v>#DIV/0!</v>
      </c>
      <c r="L1346" s="1009" t="e">
        <f t="shared" si="475"/>
        <v>#DIV/0!</v>
      </c>
      <c r="M1346" s="1009" t="e">
        <f t="shared" si="475"/>
        <v>#DIV/0!</v>
      </c>
      <c r="N1346" s="1009" t="e">
        <f t="shared" si="475"/>
        <v>#DIV/0!</v>
      </c>
      <c r="O1346" s="1009" t="e">
        <f t="shared" si="475"/>
        <v>#DIV/0!</v>
      </c>
      <c r="P1346" s="1009" t="e">
        <f t="shared" si="475"/>
        <v>#DIV/0!</v>
      </c>
      <c r="Q1346" s="1009" t="e">
        <f t="shared" si="475"/>
        <v>#DIV/0!</v>
      </c>
      <c r="R1346" s="1009" t="e">
        <f t="shared" si="475"/>
        <v>#DIV/0!</v>
      </c>
      <c r="S1346" s="1009" t="e">
        <f t="shared" si="475"/>
        <v>#DIV/0!</v>
      </c>
      <c r="T1346" s="1009">
        <f t="shared" si="475"/>
        <v>90.612680897253369</v>
      </c>
      <c r="U1346" s="1007"/>
      <c r="V1346" s="1007"/>
      <c r="W1346" s="936"/>
    </row>
    <row r="1347" spans="1:23" s="1189" customFormat="1" ht="21" hidden="1">
      <c r="A1347" s="1080"/>
      <c r="B1347" s="1080"/>
      <c r="C1347" s="1080" t="s">
        <v>780</v>
      </c>
      <c r="D1347" s="1080" t="s">
        <v>173</v>
      </c>
      <c r="E1347" s="1080"/>
      <c r="F1347" s="1080"/>
      <c r="G1347" s="1080"/>
      <c r="H1347" s="1079">
        <f>(H1275+H1301+H1314+H1328+H1341)/1000</f>
        <v>1.0019304</v>
      </c>
      <c r="I1347" s="1079">
        <f t="shared" ref="I1347:S1348" si="476">(I1275+I1301+I1314+I1328+I1341)/1000</f>
        <v>0.99910439999999989</v>
      </c>
      <c r="J1347" s="1079">
        <f t="shared" si="476"/>
        <v>1.0556496</v>
      </c>
      <c r="K1347" s="1079">
        <f t="shared" si="476"/>
        <v>0</v>
      </c>
      <c r="L1347" s="1079">
        <f t="shared" si="476"/>
        <v>0</v>
      </c>
      <c r="M1347" s="1079">
        <f t="shared" si="476"/>
        <v>0</v>
      </c>
      <c r="N1347" s="1079">
        <f t="shared" si="476"/>
        <v>0</v>
      </c>
      <c r="O1347" s="1079">
        <f t="shared" si="476"/>
        <v>0</v>
      </c>
      <c r="P1347" s="1079">
        <f t="shared" si="476"/>
        <v>0</v>
      </c>
      <c r="Q1347" s="1079">
        <f t="shared" si="476"/>
        <v>0</v>
      </c>
      <c r="R1347" s="1079">
        <f t="shared" si="476"/>
        <v>0</v>
      </c>
      <c r="S1347" s="1079">
        <f t="shared" si="476"/>
        <v>0</v>
      </c>
      <c r="T1347" s="1079">
        <f>T1275+T1301+T1314+T1328+T1341</f>
        <v>3056.6844000000006</v>
      </c>
      <c r="U1347" s="1079"/>
      <c r="V1347" s="1079"/>
      <c r="W1347" s="1188"/>
    </row>
    <row r="1348" spans="1:23" s="1189" customFormat="1" ht="21" hidden="1">
      <c r="A1348" s="1080"/>
      <c r="B1348" s="1080"/>
      <c r="C1348" s="983" t="s">
        <v>781</v>
      </c>
      <c r="D1348" s="1080" t="s">
        <v>173</v>
      </c>
      <c r="E1348" s="1080"/>
      <c r="F1348" s="1080"/>
      <c r="G1348" s="1080"/>
      <c r="H1348" s="1079">
        <f>(H1276+H1302+H1315+H1329+H1342)/1000</f>
        <v>1.010759717587272</v>
      </c>
      <c r="I1348" s="1079">
        <f t="shared" si="476"/>
        <v>0.96300337906168798</v>
      </c>
      <c r="J1348" s="1079">
        <f t="shared" si="476"/>
        <v>0.98002646713084784</v>
      </c>
      <c r="K1348" s="1079">
        <f t="shared" si="476"/>
        <v>0</v>
      </c>
      <c r="L1348" s="1079">
        <f t="shared" si="476"/>
        <v>0</v>
      </c>
      <c r="M1348" s="1079">
        <f t="shared" si="476"/>
        <v>0</v>
      </c>
      <c r="N1348" s="1079">
        <f t="shared" si="476"/>
        <v>0</v>
      </c>
      <c r="O1348" s="1079">
        <f t="shared" si="476"/>
        <v>0</v>
      </c>
      <c r="P1348" s="1079">
        <f t="shared" si="476"/>
        <v>0</v>
      </c>
      <c r="Q1348" s="1079">
        <f t="shared" si="476"/>
        <v>0</v>
      </c>
      <c r="R1348" s="1079">
        <f t="shared" si="476"/>
        <v>0</v>
      </c>
      <c r="S1348" s="1079">
        <f t="shared" si="476"/>
        <v>0</v>
      </c>
      <c r="T1348" s="1079">
        <f>T1276+T1302+T1315+T1329+T1342</f>
        <v>2953.7895637798083</v>
      </c>
      <c r="U1348" s="1079"/>
      <c r="V1348" s="1079"/>
      <c r="W1348" s="1188"/>
    </row>
    <row r="1349" spans="1:23" s="1189" customFormat="1" ht="21" hidden="1">
      <c r="A1349" s="1080"/>
      <c r="B1349" s="1080"/>
      <c r="C1349" s="1080" t="s">
        <v>782</v>
      </c>
      <c r="D1349" s="1080"/>
      <c r="E1349" s="1080"/>
      <c r="F1349" s="1080"/>
      <c r="G1349" s="1080"/>
      <c r="H1349" s="1191">
        <f>H1347/H1348*100</f>
        <v>99.126467207424142</v>
      </c>
      <c r="I1349" s="1191">
        <f t="shared" ref="I1349:S1349" si="477">I1347/I1348*100</f>
        <v>103.74879483532938</v>
      </c>
      <c r="J1349" s="1191">
        <f t="shared" si="477"/>
        <v>107.71643781116937</v>
      </c>
      <c r="K1349" s="1191" t="e">
        <f t="shared" si="477"/>
        <v>#DIV/0!</v>
      </c>
      <c r="L1349" s="1191" t="e">
        <f t="shared" si="477"/>
        <v>#DIV/0!</v>
      </c>
      <c r="M1349" s="1191" t="e">
        <f t="shared" si="477"/>
        <v>#DIV/0!</v>
      </c>
      <c r="N1349" s="1191" t="e">
        <f t="shared" si="477"/>
        <v>#DIV/0!</v>
      </c>
      <c r="O1349" s="1191" t="e">
        <f t="shared" si="477"/>
        <v>#DIV/0!</v>
      </c>
      <c r="P1349" s="1191" t="e">
        <f t="shared" si="477"/>
        <v>#DIV/0!</v>
      </c>
      <c r="Q1349" s="1191" t="e">
        <f t="shared" si="477"/>
        <v>#DIV/0!</v>
      </c>
      <c r="R1349" s="1191" t="e">
        <f t="shared" si="477"/>
        <v>#DIV/0!</v>
      </c>
      <c r="S1349" s="1191" t="e">
        <f t="shared" si="477"/>
        <v>#DIV/0!</v>
      </c>
      <c r="T1349" s="1191">
        <f>T1347/T1348*100</f>
        <v>103.48348567148851</v>
      </c>
      <c r="U1349" s="1079"/>
      <c r="V1349" s="1079"/>
      <c r="W1349" s="1188"/>
    </row>
    <row r="1350" spans="1:23" s="1189" customFormat="1" ht="21.75" hidden="1" thickBot="1">
      <c r="A1350" s="1080"/>
      <c r="B1350" s="1080"/>
      <c r="C1350" s="1080" t="s">
        <v>783</v>
      </c>
      <c r="D1350" s="1080"/>
      <c r="E1350" s="1080"/>
      <c r="F1350" s="1080"/>
      <c r="G1350" s="1080"/>
      <c r="H1350" s="1317">
        <f>H1349</f>
        <v>99.126467207424142</v>
      </c>
      <c r="I1350" s="1317">
        <f>(H1347+I1347)/(H1348+I1348)*100</f>
        <v>101.38171107755241</v>
      </c>
      <c r="J1350" s="1317">
        <f>(H1347+I1347+J1347)/(H1348+I1348+J1348)*100</f>
        <v>103.48348567148851</v>
      </c>
      <c r="K1350" s="1317">
        <f>(H1347+I1347+J1347+K1347)/(H1348+I1348+J1348+K1348)*100</f>
        <v>103.48348567148851</v>
      </c>
      <c r="L1350" s="1318">
        <f>(H1347+I1347+J1347+K1347+L1347)/(H1348+I1348+J1348+K1348+L1348)*100</f>
        <v>103.48348567148851</v>
      </c>
      <c r="M1350" s="1317">
        <f>(H1347+I1347+J1347+K1347+L1347+M1347)/(H1348+I1348+J1348+K1348+L1348+M1348)*100</f>
        <v>103.48348567148851</v>
      </c>
      <c r="N1350" s="1317">
        <f>(H1347+I1347+J1347+K1347+L1347+M1347+N1347)/(H1348+I1348+J1348+K1348+L1348+M1348+N1348)*100</f>
        <v>103.48348567148851</v>
      </c>
      <c r="O1350" s="1317">
        <f>(H1347+I1347+J1347+K1347+L1347+M1347+N1347+O1347)/(H1348+I1348+J1348+K1348+L1348+M1348+N1348+O1348)*100</f>
        <v>103.48348567148851</v>
      </c>
      <c r="P1350" s="1317">
        <f>(H1347+I1347+J1347+K1347+L1347+M1347+N1347+O1347+P1347)/(H1348+I1348+J1348+K1348+L1348+M1348+N1348+O1348+P1348)*100</f>
        <v>103.48348567148851</v>
      </c>
      <c r="Q1350" s="1317">
        <f>(H1347+I1347+J1347+K1347+L1347+N1347+M1347+O1347+P1347+Q1347)/(H1348+I1348+J1348+K1348+L1348+M1348+N1348+O1348+P1348+Q1348)*100</f>
        <v>103.48348567148851</v>
      </c>
      <c r="R1350" s="1317">
        <f>(H1347+I1347+J1347+K1347+L1347+M1347+N1347+O1347+P1347+Q1347+R1347)/(H1348+I1348+J1348+K1348+M1348+L1348+N1348+O1348+P1348+Q1348+R1348)*100</f>
        <v>103.48348567148851</v>
      </c>
      <c r="S1350" s="1319">
        <f>(H1347+I1347+J1347+K1347+L1347+M1347+N1347+O1347+P1347+Q1347+R1347+S1347)/(H1348+I1348+J1348+K1348+L1348+M1348+N1348+O1348+P1348+Q1348+R1348+S1348)*100</f>
        <v>103.48348567148851</v>
      </c>
      <c r="T1350" s="1079"/>
      <c r="U1350" s="1079"/>
      <c r="V1350" s="1079"/>
      <c r="W1350" s="1188"/>
    </row>
    <row r="1351" spans="1:23" ht="21.75" hidden="1">
      <c r="A1351" s="947">
        <v>7</v>
      </c>
      <c r="B1351" s="947" t="s">
        <v>148</v>
      </c>
      <c r="C1351" s="949" t="s">
        <v>89</v>
      </c>
      <c r="D1351" s="947" t="s">
        <v>90</v>
      </c>
      <c r="E1351" s="950">
        <v>3.6</v>
      </c>
      <c r="F1351" s="947"/>
      <c r="G1351" s="951">
        <v>2.67</v>
      </c>
      <c r="H1351" s="1315">
        <v>67745.320000000007</v>
      </c>
      <c r="I1351" s="1315">
        <v>63805</v>
      </c>
      <c r="J1351" s="952">
        <v>72570.490000000005</v>
      </c>
      <c r="K1351" s="952"/>
      <c r="L1351" s="952"/>
      <c r="M1351" s="952"/>
      <c r="N1351" s="952"/>
      <c r="O1351" s="952"/>
      <c r="P1351" s="952"/>
      <c r="Q1351" s="952"/>
      <c r="R1351" s="952"/>
      <c r="S1351" s="952"/>
      <c r="T1351" s="952">
        <f>SUM(H1351:S1351)</f>
        <v>204120.81</v>
      </c>
      <c r="U1351" s="952">
        <f>T1351*E1351</f>
        <v>734834.91599999997</v>
      </c>
      <c r="V1351" s="952">
        <f>G1351*T1351</f>
        <v>545002.56270000001</v>
      </c>
      <c r="W1351" s="936"/>
    </row>
    <row r="1352" spans="1:23" ht="21.75" hidden="1">
      <c r="A1352" s="964"/>
      <c r="B1352" s="964"/>
      <c r="C1352" s="958" t="s">
        <v>161</v>
      </c>
      <c r="D1352" s="964" t="s">
        <v>176</v>
      </c>
      <c r="E1352" s="964">
        <v>36.42</v>
      </c>
      <c r="F1352" s="964"/>
      <c r="G1352" s="965">
        <v>30</v>
      </c>
      <c r="H1352" s="1316">
        <v>12731</v>
      </c>
      <c r="I1352" s="1316">
        <v>14474</v>
      </c>
      <c r="J1352" s="966">
        <v>13669</v>
      </c>
      <c r="K1352" s="966"/>
      <c r="L1352" s="966"/>
      <c r="M1352" s="966"/>
      <c r="N1352" s="966"/>
      <c r="O1352" s="966"/>
      <c r="P1352" s="966"/>
      <c r="Q1352" s="968"/>
      <c r="R1352" s="966"/>
      <c r="S1352" s="966"/>
      <c r="T1352" s="966">
        <f>SUM(H1352:S1352)</f>
        <v>40874</v>
      </c>
      <c r="U1352" s="966">
        <f>T1352*E1352</f>
        <v>1488631.08</v>
      </c>
      <c r="V1352" s="966">
        <f>G1352*T1352</f>
        <v>1226220</v>
      </c>
      <c r="W1352" s="936"/>
    </row>
    <row r="1353" spans="1:23" ht="21" hidden="1">
      <c r="A1353" s="964"/>
      <c r="B1353" s="964"/>
      <c r="C1353" s="983"/>
      <c r="D1353" s="964"/>
      <c r="E1353" s="964"/>
      <c r="F1353" s="964"/>
      <c r="G1353" s="984"/>
      <c r="H1353" s="987"/>
      <c r="I1353" s="987"/>
      <c r="J1353" s="987"/>
      <c r="K1353" s="987"/>
      <c r="L1353" s="987"/>
      <c r="M1353" s="987"/>
      <c r="N1353" s="987"/>
      <c r="O1353" s="987"/>
      <c r="P1353" s="987"/>
      <c r="Q1353" s="987"/>
      <c r="R1353" s="987"/>
      <c r="S1353" s="987"/>
      <c r="T1353" s="987"/>
      <c r="U1353" s="987">
        <f>SUM(U1351:U1352)</f>
        <v>2223465.9960000003</v>
      </c>
      <c r="V1353" s="988">
        <f>SUM(V1351:V1352)</f>
        <v>1771222.5627000001</v>
      </c>
      <c r="W1353" s="936"/>
    </row>
    <row r="1354" spans="1:23" ht="21.75" hidden="1">
      <c r="A1354" s="964"/>
      <c r="B1354" s="989"/>
      <c r="C1354" s="990" t="s">
        <v>107</v>
      </c>
      <c r="D1354" s="989" t="s">
        <v>121</v>
      </c>
      <c r="E1354" s="989"/>
      <c r="F1354" s="989"/>
      <c r="G1354" s="991"/>
      <c r="H1354" s="1316">
        <v>91961.58</v>
      </c>
      <c r="I1354" s="1316">
        <v>94897.62</v>
      </c>
      <c r="J1354" s="995">
        <v>96281.99</v>
      </c>
      <c r="K1354" s="995"/>
      <c r="L1354" s="995"/>
      <c r="M1354" s="995"/>
      <c r="N1354" s="995"/>
      <c r="O1354" s="995"/>
      <c r="P1354" s="995"/>
      <c r="Q1354" s="992"/>
      <c r="R1354" s="995"/>
      <c r="S1354" s="995"/>
      <c r="T1354" s="952">
        <f>SUM(H1354:S1354)</f>
        <v>283141.19</v>
      </c>
      <c r="U1354" s="995"/>
      <c r="V1354" s="1309">
        <f>V1353/T1354</f>
        <v>6.2556160151053968</v>
      </c>
      <c r="W1354" s="936"/>
    </row>
    <row r="1355" spans="1:23" ht="21" hidden="1">
      <c r="A1355" s="964"/>
      <c r="B1355" s="964"/>
      <c r="C1355" s="983"/>
      <c r="D1355" s="964"/>
      <c r="E1355" s="964"/>
      <c r="F1355" s="964"/>
      <c r="G1355" s="984"/>
      <c r="H1355" s="987"/>
      <c r="I1355" s="987"/>
      <c r="J1355" s="987"/>
      <c r="K1355" s="987"/>
      <c r="L1355" s="987"/>
      <c r="M1355" s="987"/>
      <c r="N1355" s="987"/>
      <c r="O1355" s="987"/>
      <c r="P1355" s="987"/>
      <c r="Q1355" s="987"/>
      <c r="R1355" s="987"/>
      <c r="S1355" s="966"/>
      <c r="T1355" s="966"/>
      <c r="U1355" s="966"/>
      <c r="V1355" s="997" t="s">
        <v>137</v>
      </c>
      <c r="W1355" s="937"/>
    </row>
    <row r="1356" spans="1:23" ht="21" hidden="1">
      <c r="A1356" s="964"/>
      <c r="B1356" s="964"/>
      <c r="C1356" s="958" t="s">
        <v>89</v>
      </c>
      <c r="D1356" s="964" t="s">
        <v>173</v>
      </c>
      <c r="E1356" s="964"/>
      <c r="F1356" s="964"/>
      <c r="G1356" s="984"/>
      <c r="H1356" s="966">
        <f>$E1351*H1351/1000</f>
        <v>243.88315200000002</v>
      </c>
      <c r="I1356" s="966">
        <f>$E1351*I1351/1000</f>
        <v>229.69800000000001</v>
      </c>
      <c r="J1356" s="966">
        <f>$E1351*J1351/1000</f>
        <v>261.25376400000005</v>
      </c>
      <c r="K1356" s="966"/>
      <c r="L1356" s="966"/>
      <c r="M1356" s="966"/>
      <c r="N1356" s="966"/>
      <c r="O1356" s="966"/>
      <c r="P1356" s="966"/>
      <c r="Q1356" s="966"/>
      <c r="R1356" s="966"/>
      <c r="S1356" s="966"/>
      <c r="T1356" s="966">
        <f>SUM(H1356:S1356)</f>
        <v>734.83491600000002</v>
      </c>
      <c r="U1356" s="966"/>
      <c r="V1356" s="966"/>
      <c r="W1356" s="937"/>
    </row>
    <row r="1357" spans="1:23" ht="21" hidden="1">
      <c r="A1357" s="964"/>
      <c r="B1357" s="964"/>
      <c r="C1357" s="958" t="s">
        <v>161</v>
      </c>
      <c r="D1357" s="964" t="s">
        <v>173</v>
      </c>
      <c r="E1357" s="964"/>
      <c r="F1357" s="964"/>
      <c r="G1357" s="984"/>
      <c r="H1357" s="966">
        <f>H1352*$E1352/1000</f>
        <v>463.66302000000002</v>
      </c>
      <c r="I1357" s="966">
        <f>I1352*$E1352/1000</f>
        <v>527.14308000000005</v>
      </c>
      <c r="J1357" s="966">
        <f>J1352*$E1352/1000</f>
        <v>497.82498000000004</v>
      </c>
      <c r="K1357" s="966"/>
      <c r="L1357" s="966"/>
      <c r="M1357" s="966"/>
      <c r="N1357" s="966"/>
      <c r="O1357" s="966"/>
      <c r="P1357" s="966"/>
      <c r="Q1357" s="966"/>
      <c r="R1357" s="966"/>
      <c r="S1357" s="966"/>
      <c r="T1357" s="966">
        <f>SUM(H1357:S1357)</f>
        <v>1488.6310800000001</v>
      </c>
      <c r="U1357" s="966"/>
      <c r="V1357" s="966"/>
      <c r="W1357" s="937"/>
    </row>
    <row r="1358" spans="1:23" ht="21" hidden="1">
      <c r="A1358" s="964"/>
      <c r="B1358" s="964"/>
      <c r="C1358" s="983" t="s">
        <v>747</v>
      </c>
      <c r="D1358" s="964"/>
      <c r="E1358" s="964"/>
      <c r="F1358" s="964"/>
      <c r="G1358" s="984"/>
      <c r="H1358" s="966">
        <f>H1356</f>
        <v>243.88315200000002</v>
      </c>
      <c r="I1358" s="966">
        <f>I1356</f>
        <v>229.69800000000001</v>
      </c>
      <c r="J1358" s="966">
        <f>J1356</f>
        <v>261.25376400000005</v>
      </c>
      <c r="K1358" s="966"/>
      <c r="L1358" s="966"/>
      <c r="M1358" s="966"/>
      <c r="N1358" s="966"/>
      <c r="O1358" s="966"/>
      <c r="P1358" s="966"/>
      <c r="Q1358" s="966"/>
      <c r="R1358" s="966"/>
      <c r="S1358" s="966"/>
      <c r="T1358" s="1000">
        <f>SUM(H1358:S1358)</f>
        <v>734.83491600000002</v>
      </c>
      <c r="U1358" s="966"/>
      <c r="V1358" s="1310">
        <f>V1353/T1358</f>
        <v>2410.3679944081482</v>
      </c>
      <c r="W1358" s="937"/>
    </row>
    <row r="1359" spans="1:23" ht="21" hidden="1">
      <c r="A1359" s="964"/>
      <c r="B1359" s="964"/>
      <c r="C1359" s="983" t="s">
        <v>345</v>
      </c>
      <c r="D1359" s="964" t="s">
        <v>173</v>
      </c>
      <c r="E1359" s="964"/>
      <c r="F1359" s="964"/>
      <c r="G1359" s="984"/>
      <c r="H1359" s="966">
        <f xml:space="preserve"> 0.0003*H1354+ 320.88</f>
        <v>348.46847400000001</v>
      </c>
      <c r="I1359" s="966">
        <f xml:space="preserve"> 0.0003*I1354+ 320.88</f>
        <v>349.34928600000001</v>
      </c>
      <c r="J1359" s="966">
        <f xml:space="preserve"> 0.0003*J1354+ 320.88</f>
        <v>349.76459699999998</v>
      </c>
      <c r="K1359" s="966"/>
      <c r="L1359" s="966"/>
      <c r="M1359" s="966"/>
      <c r="N1359" s="966"/>
      <c r="O1359" s="966"/>
      <c r="P1359" s="966"/>
      <c r="Q1359" s="966"/>
      <c r="R1359" s="966"/>
      <c r="S1359" s="966"/>
      <c r="T1359" s="1000">
        <f>SUM(H1359:S1359)</f>
        <v>1047.582357</v>
      </c>
      <c r="U1359" s="966"/>
      <c r="V1359" s="1001" t="s">
        <v>742</v>
      </c>
      <c r="W1359" s="937"/>
    </row>
    <row r="1360" spans="1:23" ht="21" hidden="1">
      <c r="A1360" s="964"/>
      <c r="B1360" s="1003" t="s">
        <v>174</v>
      </c>
      <c r="C1360" s="1004" t="s">
        <v>89</v>
      </c>
      <c r="D1360" s="1003" t="s">
        <v>347</v>
      </c>
      <c r="E1360" s="1003"/>
      <c r="F1360" s="1003"/>
      <c r="G1360" s="1005"/>
      <c r="H1360" s="1006">
        <f>H1356/H1354</f>
        <v>2.6520113290789482E-3</v>
      </c>
      <c r="I1360" s="1006">
        <f>I1356/I1354</f>
        <v>2.4204821996589589E-3</v>
      </c>
      <c r="J1360" s="1006">
        <f t="shared" ref="J1360:R1360" si="478">J1356/J1354</f>
        <v>2.7134229776513761E-3</v>
      </c>
      <c r="K1360" s="1006" t="e">
        <f t="shared" si="478"/>
        <v>#DIV/0!</v>
      </c>
      <c r="L1360" s="1006" t="e">
        <f t="shared" si="478"/>
        <v>#DIV/0!</v>
      </c>
      <c r="M1360" s="1006" t="e">
        <f t="shared" si="478"/>
        <v>#DIV/0!</v>
      </c>
      <c r="N1360" s="1006" t="e">
        <f t="shared" si="478"/>
        <v>#DIV/0!</v>
      </c>
      <c r="O1360" s="1006" t="e">
        <f t="shared" si="478"/>
        <v>#DIV/0!</v>
      </c>
      <c r="P1360" s="1006" t="e">
        <f t="shared" si="478"/>
        <v>#DIV/0!</v>
      </c>
      <c r="Q1360" s="1006" t="e">
        <f t="shared" si="478"/>
        <v>#DIV/0!</v>
      </c>
      <c r="R1360" s="1006" t="e">
        <f t="shared" si="478"/>
        <v>#DIV/0!</v>
      </c>
      <c r="S1360" s="1006" t="e">
        <f>S1356/S1354</f>
        <v>#DIV/0!</v>
      </c>
      <c r="T1360" s="1006">
        <f>T1356/T1354</f>
        <v>2.5952950045876407E-3</v>
      </c>
      <c r="U1360" s="1007"/>
      <c r="V1360" s="1007"/>
      <c r="W1360" s="937"/>
    </row>
    <row r="1361" spans="1:23" ht="21" hidden="1">
      <c r="A1361" s="964"/>
      <c r="B1361" s="1003"/>
      <c r="C1361" s="1004" t="s">
        <v>161</v>
      </c>
      <c r="D1361" s="1003" t="s">
        <v>347</v>
      </c>
      <c r="E1361" s="1003"/>
      <c r="F1361" s="1003"/>
      <c r="G1361" s="1005"/>
      <c r="H1361" s="1006">
        <f>H1357/H1354</f>
        <v>5.041920984828664E-3</v>
      </c>
      <c r="I1361" s="1006">
        <f>I1357/I1354</f>
        <v>5.5548609122125512E-3</v>
      </c>
      <c r="J1361" s="1006">
        <f t="shared" ref="J1361:Q1361" si="479">J1357/J1354</f>
        <v>5.1704891018559129E-3</v>
      </c>
      <c r="K1361" s="1006" t="e">
        <f t="shared" si="479"/>
        <v>#DIV/0!</v>
      </c>
      <c r="L1361" s="1006" t="e">
        <f t="shared" si="479"/>
        <v>#DIV/0!</v>
      </c>
      <c r="M1361" s="1006" t="e">
        <f t="shared" si="479"/>
        <v>#DIV/0!</v>
      </c>
      <c r="N1361" s="1006" t="e">
        <f t="shared" si="479"/>
        <v>#DIV/0!</v>
      </c>
      <c r="O1361" s="1006" t="e">
        <f t="shared" si="479"/>
        <v>#DIV/0!</v>
      </c>
      <c r="P1361" s="1006" t="e">
        <f t="shared" si="479"/>
        <v>#DIV/0!</v>
      </c>
      <c r="Q1361" s="1006" t="e">
        <f t="shared" si="479"/>
        <v>#DIV/0!</v>
      </c>
      <c r="R1361" s="1006" t="e">
        <f>R1357/R1354</f>
        <v>#DIV/0!</v>
      </c>
      <c r="S1361" s="1006" t="e">
        <f>S1357/S1354</f>
        <v>#DIV/0!</v>
      </c>
      <c r="T1361" s="1006">
        <f>T1357/T1354</f>
        <v>5.2575574751239839E-3</v>
      </c>
      <c r="U1361" s="1007"/>
      <c r="V1361" s="1007"/>
      <c r="W1361" s="937"/>
    </row>
    <row r="1362" spans="1:23" ht="23.25" hidden="1">
      <c r="A1362" s="964"/>
      <c r="B1362" s="1003"/>
      <c r="C1362" s="1008" t="s">
        <v>748</v>
      </c>
      <c r="D1362" s="1003" t="s">
        <v>347</v>
      </c>
      <c r="E1362" s="1003"/>
      <c r="F1362" s="1003"/>
      <c r="G1362" s="1005"/>
      <c r="H1362" s="1006">
        <f t="shared" ref="H1362:T1362" si="480">H1358/H1354</f>
        <v>2.6520113290789482E-3</v>
      </c>
      <c r="I1362" s="1006">
        <f t="shared" si="480"/>
        <v>2.4204821996589589E-3</v>
      </c>
      <c r="J1362" s="1006">
        <f t="shared" si="480"/>
        <v>2.7134229776513761E-3</v>
      </c>
      <c r="K1362" s="1006" t="e">
        <f t="shared" si="480"/>
        <v>#DIV/0!</v>
      </c>
      <c r="L1362" s="1006" t="e">
        <f t="shared" si="480"/>
        <v>#DIV/0!</v>
      </c>
      <c r="M1362" s="1006" t="e">
        <f t="shared" si="480"/>
        <v>#DIV/0!</v>
      </c>
      <c r="N1362" s="1006" t="e">
        <f t="shared" si="480"/>
        <v>#DIV/0!</v>
      </c>
      <c r="O1362" s="1006" t="e">
        <f t="shared" si="480"/>
        <v>#DIV/0!</v>
      </c>
      <c r="P1362" s="1006" t="e">
        <f t="shared" si="480"/>
        <v>#DIV/0!</v>
      </c>
      <c r="Q1362" s="1006" t="e">
        <f t="shared" si="480"/>
        <v>#DIV/0!</v>
      </c>
      <c r="R1362" s="1006" t="e">
        <f t="shared" si="480"/>
        <v>#DIV/0!</v>
      </c>
      <c r="S1362" s="1006" t="e">
        <f t="shared" si="480"/>
        <v>#DIV/0!</v>
      </c>
      <c r="T1362" s="1021">
        <f t="shared" si="480"/>
        <v>2.5952950045876407E-3</v>
      </c>
      <c r="U1362" s="1007"/>
      <c r="V1362" s="1007"/>
      <c r="W1362" s="937"/>
    </row>
    <row r="1363" spans="1:23" ht="21" hidden="1">
      <c r="A1363" s="964"/>
      <c r="B1363" s="1003"/>
      <c r="C1363" s="1008" t="s">
        <v>749</v>
      </c>
      <c r="D1363" s="1003"/>
      <c r="E1363" s="1003"/>
      <c r="F1363" s="1003"/>
      <c r="G1363" s="1003"/>
      <c r="H1363" s="1110">
        <f>H1358/H1359*100</f>
        <v>69.987149540534915</v>
      </c>
      <c r="I1363" s="1110">
        <f>I1358/I1359*100</f>
        <v>65.750241722263041</v>
      </c>
      <c r="J1363" s="1110">
        <f t="shared" ref="J1363:T1363" si="481">J1358/J1359*100</f>
        <v>74.694170376540441</v>
      </c>
      <c r="K1363" s="1009" t="e">
        <f t="shared" si="481"/>
        <v>#DIV/0!</v>
      </c>
      <c r="L1363" s="1009" t="e">
        <f t="shared" si="481"/>
        <v>#DIV/0!</v>
      </c>
      <c r="M1363" s="1009" t="e">
        <f t="shared" si="481"/>
        <v>#DIV/0!</v>
      </c>
      <c r="N1363" s="1009" t="e">
        <f t="shared" si="481"/>
        <v>#DIV/0!</v>
      </c>
      <c r="O1363" s="1009" t="e">
        <f t="shared" si="481"/>
        <v>#DIV/0!</v>
      </c>
      <c r="P1363" s="1009" t="e">
        <f t="shared" si="481"/>
        <v>#DIV/0!</v>
      </c>
      <c r="Q1363" s="1009" t="e">
        <f t="shared" si="481"/>
        <v>#DIV/0!</v>
      </c>
      <c r="R1363" s="1009" t="e">
        <f t="shared" si="481"/>
        <v>#DIV/0!</v>
      </c>
      <c r="S1363" s="1009" t="e">
        <f t="shared" si="481"/>
        <v>#DIV/0!</v>
      </c>
      <c r="T1363" s="1009">
        <f t="shared" si="481"/>
        <v>70.145789597332836</v>
      </c>
      <c r="U1363" s="1007"/>
      <c r="V1363" s="1007"/>
      <c r="W1363" s="937"/>
    </row>
    <row r="1364" spans="1:23" ht="21.75" hidden="1">
      <c r="A1364" s="947">
        <v>8</v>
      </c>
      <c r="B1364" s="947" t="s">
        <v>952</v>
      </c>
      <c r="C1364" s="949" t="s">
        <v>89</v>
      </c>
      <c r="D1364" s="947" t="s">
        <v>90</v>
      </c>
      <c r="E1364" s="950">
        <v>3.6</v>
      </c>
      <c r="F1364" s="947"/>
      <c r="G1364" s="951">
        <v>2.67</v>
      </c>
      <c r="H1364" s="1320">
        <v>19840</v>
      </c>
      <c r="I1364" s="1320">
        <v>72570.490000000005</v>
      </c>
      <c r="J1364" s="1154">
        <v>19360</v>
      </c>
      <c r="K1364" s="952"/>
      <c r="L1364" s="952"/>
      <c r="M1364" s="952"/>
      <c r="N1364" s="952"/>
      <c r="O1364" s="952"/>
      <c r="P1364" s="952"/>
      <c r="Q1364" s="952"/>
      <c r="R1364" s="952"/>
      <c r="S1364" s="952"/>
      <c r="T1364" s="952">
        <f>SUM(H1364:S1364)</f>
        <v>111770.49</v>
      </c>
      <c r="U1364" s="952">
        <f>T1364*E1364</f>
        <v>402373.76400000002</v>
      </c>
      <c r="V1364" s="952">
        <f>G1364*T1364</f>
        <v>298427.2083</v>
      </c>
      <c r="W1364" s="937"/>
    </row>
    <row r="1365" spans="1:23" ht="21.75" hidden="1">
      <c r="A1365" s="964"/>
      <c r="B1365" s="964" t="s">
        <v>953</v>
      </c>
      <c r="C1365" s="958" t="s">
        <v>161</v>
      </c>
      <c r="D1365" s="964" t="s">
        <v>176</v>
      </c>
      <c r="E1365" s="964">
        <v>36.42</v>
      </c>
      <c r="F1365" s="964"/>
      <c r="G1365" s="965">
        <v>30</v>
      </c>
      <c r="H1365" s="1321">
        <v>834</v>
      </c>
      <c r="I1365" s="1321">
        <v>13669</v>
      </c>
      <c r="J1365" s="1154">
        <v>882</v>
      </c>
      <c r="K1365" s="966"/>
      <c r="L1365" s="966"/>
      <c r="M1365" s="966"/>
      <c r="N1365" s="966"/>
      <c r="O1365" s="966"/>
      <c r="P1365" s="966"/>
      <c r="Q1365" s="968"/>
      <c r="R1365" s="966"/>
      <c r="S1365" s="966"/>
      <c r="T1365" s="966">
        <f>SUM(H1365:S1365)</f>
        <v>15385</v>
      </c>
      <c r="U1365" s="966">
        <f>T1365*E1365</f>
        <v>560321.70000000007</v>
      </c>
      <c r="V1365" s="966">
        <f>G1365*T1365</f>
        <v>461550</v>
      </c>
      <c r="W1365" s="937"/>
    </row>
    <row r="1366" spans="1:23" ht="21" hidden="1">
      <c r="A1366" s="964"/>
      <c r="B1366" s="964"/>
      <c r="C1366" s="983"/>
      <c r="D1366" s="964"/>
      <c r="E1366" s="964"/>
      <c r="F1366" s="964"/>
      <c r="G1366" s="984"/>
      <c r="H1366" s="1322"/>
      <c r="I1366" s="1322"/>
      <c r="J1366" s="1322"/>
      <c r="K1366" s="987"/>
      <c r="L1366" s="987"/>
      <c r="M1366" s="987"/>
      <c r="N1366" s="987"/>
      <c r="O1366" s="987"/>
      <c r="P1366" s="987"/>
      <c r="Q1366" s="987"/>
      <c r="R1366" s="987"/>
      <c r="S1366" s="987"/>
      <c r="T1366" s="987"/>
      <c r="U1366" s="987">
        <f>SUM(U1364:U1365)</f>
        <v>962695.46400000015</v>
      </c>
      <c r="V1366" s="988">
        <f>SUM(V1364:V1365)</f>
        <v>759977.20830000006</v>
      </c>
      <c r="W1366" s="937"/>
    </row>
    <row r="1367" spans="1:23" ht="21.75" hidden="1">
      <c r="A1367" s="964"/>
      <c r="B1367" s="989"/>
      <c r="C1367" s="990" t="s">
        <v>107</v>
      </c>
      <c r="D1367" s="989" t="s">
        <v>121</v>
      </c>
      <c r="E1367" s="989"/>
      <c r="F1367" s="989"/>
      <c r="G1367" s="991"/>
      <c r="H1367" s="1323">
        <v>57759</v>
      </c>
      <c r="I1367" s="1324">
        <v>68713</v>
      </c>
      <c r="J1367" s="1325">
        <v>64394</v>
      </c>
      <c r="K1367" s="995"/>
      <c r="L1367" s="995"/>
      <c r="M1367" s="995"/>
      <c r="N1367" s="995"/>
      <c r="O1367" s="995"/>
      <c r="P1367" s="995"/>
      <c r="Q1367" s="992"/>
      <c r="R1367" s="995"/>
      <c r="S1367" s="995"/>
      <c r="T1367" s="952">
        <f>SUM(H1367:S1367)</f>
        <v>190866</v>
      </c>
      <c r="U1367" s="995"/>
      <c r="V1367" s="997">
        <f>V1366/T1367</f>
        <v>3.9817317295903933</v>
      </c>
      <c r="W1367" s="937"/>
    </row>
    <row r="1368" spans="1:23" ht="21" hidden="1">
      <c r="A1368" s="964"/>
      <c r="B1368" s="964"/>
      <c r="C1368" s="983"/>
      <c r="D1368" s="964"/>
      <c r="E1368" s="964"/>
      <c r="F1368" s="964"/>
      <c r="G1368" s="984"/>
      <c r="H1368" s="987"/>
      <c r="I1368" s="987"/>
      <c r="J1368" s="987"/>
      <c r="K1368" s="987"/>
      <c r="L1368" s="987"/>
      <c r="M1368" s="987"/>
      <c r="N1368" s="987"/>
      <c r="O1368" s="987"/>
      <c r="P1368" s="987"/>
      <c r="Q1368" s="987"/>
      <c r="R1368" s="987"/>
      <c r="S1368" s="966"/>
      <c r="T1368" s="966"/>
      <c r="U1368" s="966"/>
      <c r="V1368" s="997" t="s">
        <v>137</v>
      </c>
      <c r="W1368" s="937"/>
    </row>
    <row r="1369" spans="1:23" ht="21" hidden="1">
      <c r="A1369" s="964"/>
      <c r="B1369" s="964"/>
      <c r="C1369" s="958" t="s">
        <v>89</v>
      </c>
      <c r="D1369" s="964" t="s">
        <v>173</v>
      </c>
      <c r="E1369" s="964"/>
      <c r="F1369" s="964"/>
      <c r="G1369" s="984"/>
      <c r="H1369" s="966">
        <f>$E1364*H1364/1000</f>
        <v>71.424000000000007</v>
      </c>
      <c r="I1369" s="966">
        <f>$E1364*I1364/1000</f>
        <v>261.25376400000005</v>
      </c>
      <c r="J1369" s="966">
        <f>$E1364*J1364/1000</f>
        <v>69.695999999999998</v>
      </c>
      <c r="K1369" s="966"/>
      <c r="L1369" s="966"/>
      <c r="M1369" s="966"/>
      <c r="N1369" s="966"/>
      <c r="O1369" s="966"/>
      <c r="P1369" s="966"/>
      <c r="Q1369" s="966"/>
      <c r="R1369" s="966"/>
      <c r="S1369" s="966"/>
      <c r="T1369" s="966">
        <f>SUM(H1369:S1369)</f>
        <v>402.37376400000005</v>
      </c>
      <c r="U1369" s="966"/>
      <c r="V1369" s="966"/>
      <c r="W1369" s="937"/>
    </row>
    <row r="1370" spans="1:23" ht="21" hidden="1">
      <c r="A1370" s="964"/>
      <c r="B1370" s="964"/>
      <c r="C1370" s="958" t="s">
        <v>161</v>
      </c>
      <c r="D1370" s="964" t="s">
        <v>173</v>
      </c>
      <c r="E1370" s="964"/>
      <c r="F1370" s="964"/>
      <c r="G1370" s="984"/>
      <c r="H1370" s="966">
        <f>H1365*$E1365/1000</f>
        <v>30.374280000000002</v>
      </c>
      <c r="I1370" s="966">
        <f>I1365*$E1365/1000</f>
        <v>497.82498000000004</v>
      </c>
      <c r="J1370" s="966">
        <f>J1365*$E1365/1000</f>
        <v>32.122440000000005</v>
      </c>
      <c r="K1370" s="966"/>
      <c r="L1370" s="966"/>
      <c r="M1370" s="966"/>
      <c r="N1370" s="966"/>
      <c r="O1370" s="966"/>
      <c r="P1370" s="966"/>
      <c r="Q1370" s="966"/>
      <c r="R1370" s="966"/>
      <c r="S1370" s="966"/>
      <c r="T1370" s="966">
        <f>SUM(H1370:S1370)</f>
        <v>560.32170000000008</v>
      </c>
      <c r="U1370" s="966"/>
      <c r="V1370" s="966"/>
      <c r="W1370" s="937"/>
    </row>
    <row r="1371" spans="1:23" ht="21" hidden="1">
      <c r="A1371" s="964"/>
      <c r="B1371" s="964"/>
      <c r="C1371" s="983" t="s">
        <v>954</v>
      </c>
      <c r="D1371" s="964"/>
      <c r="E1371" s="964"/>
      <c r="F1371" s="964"/>
      <c r="G1371" s="984"/>
      <c r="H1371" s="966">
        <f>H1369</f>
        <v>71.424000000000007</v>
      </c>
      <c r="I1371" s="966">
        <f>I1369</f>
        <v>261.25376400000005</v>
      </c>
      <c r="J1371" s="966">
        <f>J1369</f>
        <v>69.695999999999998</v>
      </c>
      <c r="K1371" s="966"/>
      <c r="L1371" s="966"/>
      <c r="M1371" s="966"/>
      <c r="N1371" s="966"/>
      <c r="O1371" s="966"/>
      <c r="P1371" s="966"/>
      <c r="Q1371" s="966"/>
      <c r="R1371" s="966"/>
      <c r="S1371" s="966"/>
      <c r="T1371" s="1000">
        <f>SUM(H1371:S1371)</f>
        <v>402.37376400000005</v>
      </c>
      <c r="U1371" s="966"/>
      <c r="V1371" s="1001">
        <f>V1366/T1371</f>
        <v>1888.7344958703618</v>
      </c>
      <c r="W1371" s="937"/>
    </row>
    <row r="1372" spans="1:23" ht="21" hidden="1">
      <c r="A1372" s="964"/>
      <c r="B1372" s="964"/>
      <c r="C1372" s="983" t="s">
        <v>345</v>
      </c>
      <c r="D1372" s="964"/>
      <c r="E1372" s="964"/>
      <c r="F1372" s="964"/>
      <c r="G1372" s="984"/>
      <c r="H1372" s="966">
        <f>0.0019*H1367 + 17.802</f>
        <v>127.54409999999999</v>
      </c>
      <c r="I1372" s="966">
        <f>0.0019*I1367 + 17.802</f>
        <v>148.35669999999999</v>
      </c>
      <c r="J1372" s="966">
        <f>0.0019*J1367 + 17.802</f>
        <v>140.1506</v>
      </c>
      <c r="K1372" s="966"/>
      <c r="L1372" s="966"/>
      <c r="M1372" s="966"/>
      <c r="N1372" s="966"/>
      <c r="O1372" s="966"/>
      <c r="P1372" s="966"/>
      <c r="Q1372" s="966"/>
      <c r="R1372" s="966"/>
      <c r="S1372" s="966"/>
      <c r="T1372" s="1000">
        <f>SUM(H1372:S1372)</f>
        <v>416.0514</v>
      </c>
      <c r="U1372" s="966"/>
      <c r="V1372" s="1001" t="s">
        <v>158</v>
      </c>
      <c r="W1372" s="937"/>
    </row>
    <row r="1373" spans="1:23" ht="21" hidden="1">
      <c r="A1373" s="964"/>
      <c r="B1373" s="1003" t="s">
        <v>174</v>
      </c>
      <c r="C1373" s="1004" t="s">
        <v>89</v>
      </c>
      <c r="D1373" s="1003" t="s">
        <v>347</v>
      </c>
      <c r="E1373" s="1003"/>
      <c r="F1373" s="1003"/>
      <c r="G1373" s="1005"/>
      <c r="H1373" s="1006">
        <f>H1369/H1367</f>
        <v>1.2365865059990652E-3</v>
      </c>
      <c r="I1373" s="1006">
        <f>I1369/I1367</f>
        <v>3.8021009707042341E-3</v>
      </c>
      <c r="J1373" s="1006">
        <f t="shared" ref="J1373:R1373" si="482">J1369/J1367</f>
        <v>1.0823368636829517E-3</v>
      </c>
      <c r="K1373" s="1006" t="e">
        <f t="shared" si="482"/>
        <v>#DIV/0!</v>
      </c>
      <c r="L1373" s="1006" t="e">
        <f t="shared" si="482"/>
        <v>#DIV/0!</v>
      </c>
      <c r="M1373" s="1006" t="e">
        <f t="shared" si="482"/>
        <v>#DIV/0!</v>
      </c>
      <c r="N1373" s="1006" t="e">
        <f t="shared" si="482"/>
        <v>#DIV/0!</v>
      </c>
      <c r="O1373" s="1006" t="e">
        <f t="shared" si="482"/>
        <v>#DIV/0!</v>
      </c>
      <c r="P1373" s="1006" t="e">
        <f t="shared" si="482"/>
        <v>#DIV/0!</v>
      </c>
      <c r="Q1373" s="1006" t="e">
        <f t="shared" si="482"/>
        <v>#DIV/0!</v>
      </c>
      <c r="R1373" s="1006" t="e">
        <f t="shared" si="482"/>
        <v>#DIV/0!</v>
      </c>
      <c r="S1373" s="1006" t="e">
        <f>S1369/S1367</f>
        <v>#DIV/0!</v>
      </c>
      <c r="T1373" s="1006">
        <f>T1369/T1367</f>
        <v>2.108147936248468E-3</v>
      </c>
      <c r="U1373" s="1007"/>
      <c r="V1373" s="1007"/>
      <c r="W1373" s="937"/>
    </row>
    <row r="1374" spans="1:23" ht="21" hidden="1">
      <c r="A1374" s="964"/>
      <c r="B1374" s="1003"/>
      <c r="C1374" s="1004" t="s">
        <v>161</v>
      </c>
      <c r="D1374" s="1003" t="s">
        <v>347</v>
      </c>
      <c r="E1374" s="1003"/>
      <c r="F1374" s="1003"/>
      <c r="G1374" s="1005"/>
      <c r="H1374" s="1006">
        <f>H1370/H1367</f>
        <v>5.2587960317872543E-4</v>
      </c>
      <c r="I1374" s="1006">
        <f>I1370/I1367</f>
        <v>7.2449897399327647E-3</v>
      </c>
      <c r="J1374" s="1006">
        <f t="shared" ref="J1374:Q1374" si="483">J1370/J1367</f>
        <v>4.9884212814858538E-4</v>
      </c>
      <c r="K1374" s="1006" t="e">
        <f t="shared" si="483"/>
        <v>#DIV/0!</v>
      </c>
      <c r="L1374" s="1006" t="e">
        <f t="shared" si="483"/>
        <v>#DIV/0!</v>
      </c>
      <c r="M1374" s="1006" t="e">
        <f t="shared" si="483"/>
        <v>#DIV/0!</v>
      </c>
      <c r="N1374" s="1006" t="e">
        <f t="shared" si="483"/>
        <v>#DIV/0!</v>
      </c>
      <c r="O1374" s="1006" t="e">
        <f t="shared" si="483"/>
        <v>#DIV/0!</v>
      </c>
      <c r="P1374" s="1006" t="e">
        <f t="shared" si="483"/>
        <v>#DIV/0!</v>
      </c>
      <c r="Q1374" s="1006" t="e">
        <f t="shared" si="483"/>
        <v>#DIV/0!</v>
      </c>
      <c r="R1374" s="1006" t="e">
        <f>R1370/R1367</f>
        <v>#DIV/0!</v>
      </c>
      <c r="S1374" s="1006" t="e">
        <f>S1370/S1367</f>
        <v>#DIV/0!</v>
      </c>
      <c r="T1374" s="1006">
        <f>T1370/T1367</f>
        <v>2.935681053723555E-3</v>
      </c>
      <c r="U1374" s="1007"/>
      <c r="V1374" s="1007"/>
      <c r="W1374" s="937"/>
    </row>
    <row r="1375" spans="1:23" ht="23.25" hidden="1">
      <c r="A1375" s="964"/>
      <c r="B1375" s="1003"/>
      <c r="C1375" s="1008" t="s">
        <v>955</v>
      </c>
      <c r="D1375" s="1003" t="s">
        <v>347</v>
      </c>
      <c r="E1375" s="1003"/>
      <c r="F1375" s="1003"/>
      <c r="G1375" s="1005"/>
      <c r="H1375" s="1006">
        <f t="shared" ref="H1375:T1375" si="484">H1371/H1367</f>
        <v>1.2365865059990652E-3</v>
      </c>
      <c r="I1375" s="1006">
        <f t="shared" si="484"/>
        <v>3.8021009707042341E-3</v>
      </c>
      <c r="J1375" s="1006">
        <f t="shared" si="484"/>
        <v>1.0823368636829517E-3</v>
      </c>
      <c r="K1375" s="1006" t="e">
        <f t="shared" si="484"/>
        <v>#DIV/0!</v>
      </c>
      <c r="L1375" s="1006" t="e">
        <f t="shared" si="484"/>
        <v>#DIV/0!</v>
      </c>
      <c r="M1375" s="1006" t="e">
        <f t="shared" si="484"/>
        <v>#DIV/0!</v>
      </c>
      <c r="N1375" s="1006" t="e">
        <f t="shared" si="484"/>
        <v>#DIV/0!</v>
      </c>
      <c r="O1375" s="1006" t="e">
        <f t="shared" si="484"/>
        <v>#DIV/0!</v>
      </c>
      <c r="P1375" s="1006" t="e">
        <f t="shared" si="484"/>
        <v>#DIV/0!</v>
      </c>
      <c r="Q1375" s="1006" t="e">
        <f t="shared" si="484"/>
        <v>#DIV/0!</v>
      </c>
      <c r="R1375" s="1006" t="e">
        <f t="shared" si="484"/>
        <v>#DIV/0!</v>
      </c>
      <c r="S1375" s="1006" t="e">
        <f t="shared" si="484"/>
        <v>#DIV/0!</v>
      </c>
      <c r="T1375" s="1021">
        <f t="shared" si="484"/>
        <v>2.108147936248468E-3</v>
      </c>
      <c r="U1375" s="1007"/>
      <c r="V1375" s="1007"/>
      <c r="W1375" s="937"/>
    </row>
    <row r="1376" spans="1:23" ht="21" hidden="1">
      <c r="A1376" s="964"/>
      <c r="B1376" s="1003"/>
      <c r="C1376" s="1008" t="s">
        <v>956</v>
      </c>
      <c r="D1376" s="1003"/>
      <c r="E1376" s="1003"/>
      <c r="F1376" s="1003"/>
      <c r="G1376" s="1003"/>
      <c r="H1376" s="1009">
        <f>H1371/H1372*100</f>
        <v>55.999454306392863</v>
      </c>
      <c r="I1376" s="1009">
        <f>I1371/I1372*100</f>
        <v>176.09839259029087</v>
      </c>
      <c r="J1376" s="1009">
        <f t="shared" ref="J1376:T1376" si="485">J1371/J1372*100</f>
        <v>49.729362557134962</v>
      </c>
      <c r="K1376" s="1009" t="e">
        <f t="shared" si="485"/>
        <v>#DIV/0!</v>
      </c>
      <c r="L1376" s="1009" t="e">
        <f t="shared" si="485"/>
        <v>#DIV/0!</v>
      </c>
      <c r="M1376" s="1009" t="e">
        <f t="shared" si="485"/>
        <v>#DIV/0!</v>
      </c>
      <c r="N1376" s="1009" t="e">
        <f t="shared" si="485"/>
        <v>#DIV/0!</v>
      </c>
      <c r="O1376" s="1009" t="e">
        <f t="shared" si="485"/>
        <v>#DIV/0!</v>
      </c>
      <c r="P1376" s="1009" t="e">
        <f t="shared" si="485"/>
        <v>#DIV/0!</v>
      </c>
      <c r="Q1376" s="1009" t="e">
        <f t="shared" si="485"/>
        <v>#DIV/0!</v>
      </c>
      <c r="R1376" s="1009" t="e">
        <f t="shared" si="485"/>
        <v>#DIV/0!</v>
      </c>
      <c r="S1376" s="1009" t="e">
        <f t="shared" si="485"/>
        <v>#DIV/0!</v>
      </c>
      <c r="T1376" s="1009">
        <f t="shared" si="485"/>
        <v>96.712512925085719</v>
      </c>
      <c r="U1376" s="1007"/>
      <c r="V1376" s="1007"/>
      <c r="W1376" s="937"/>
    </row>
    <row r="1377" spans="1:23" ht="21.75" hidden="1">
      <c r="A1377" s="947">
        <v>8</v>
      </c>
      <c r="B1377" s="947" t="s">
        <v>952</v>
      </c>
      <c r="C1377" s="949" t="s">
        <v>89</v>
      </c>
      <c r="D1377" s="947" t="s">
        <v>90</v>
      </c>
      <c r="E1377" s="950">
        <v>3.6</v>
      </c>
      <c r="F1377" s="947"/>
      <c r="G1377" s="951">
        <v>2.67</v>
      </c>
      <c r="H1377" s="1315">
        <v>31488</v>
      </c>
      <c r="I1377" s="1315">
        <v>29412</v>
      </c>
      <c r="J1377" s="952">
        <v>32616</v>
      </c>
      <c r="K1377" s="952"/>
      <c r="L1377" s="952"/>
      <c r="M1377" s="952"/>
      <c r="N1377" s="952"/>
      <c r="O1377" s="952"/>
      <c r="P1377" s="952"/>
      <c r="Q1377" s="952"/>
      <c r="R1377" s="952"/>
      <c r="S1377" s="952"/>
      <c r="T1377" s="952">
        <f>SUM(H1377:S1377)</f>
        <v>93516</v>
      </c>
      <c r="U1377" s="952">
        <f>T1377*E1377</f>
        <v>336657.60000000003</v>
      </c>
      <c r="V1377" s="952">
        <f>G1377*T1377</f>
        <v>249687.72</v>
      </c>
      <c r="W1377" s="937"/>
    </row>
    <row r="1378" spans="1:23" ht="21.75" hidden="1">
      <c r="A1378" s="964"/>
      <c r="B1378" s="964" t="s">
        <v>957</v>
      </c>
      <c r="C1378" s="958" t="s">
        <v>161</v>
      </c>
      <c r="D1378" s="964" t="s">
        <v>176</v>
      </c>
      <c r="E1378" s="964">
        <v>36.42</v>
      </c>
      <c r="F1378" s="964"/>
      <c r="G1378" s="965">
        <v>30</v>
      </c>
      <c r="H1378" s="1326">
        <v>860</v>
      </c>
      <c r="I1378" s="1326">
        <v>900</v>
      </c>
      <c r="J1378" s="966">
        <v>1220</v>
      </c>
      <c r="K1378" s="966"/>
      <c r="L1378" s="966"/>
      <c r="M1378" s="966"/>
      <c r="N1378" s="966"/>
      <c r="O1378" s="966"/>
      <c r="P1378" s="966"/>
      <c r="Q1378" s="968"/>
      <c r="R1378" s="966"/>
      <c r="S1378" s="966"/>
      <c r="T1378" s="966">
        <f>SUM(H1378:S1378)</f>
        <v>2980</v>
      </c>
      <c r="U1378" s="966">
        <f>T1378*E1378</f>
        <v>108531.6</v>
      </c>
      <c r="V1378" s="966">
        <f>G1378*T1378</f>
        <v>89400</v>
      </c>
      <c r="W1378" s="937"/>
    </row>
    <row r="1379" spans="1:23" ht="21" hidden="1">
      <c r="A1379" s="964"/>
      <c r="B1379" s="964"/>
      <c r="C1379" s="983"/>
      <c r="D1379" s="964"/>
      <c r="E1379" s="964"/>
      <c r="F1379" s="964"/>
      <c r="G1379" s="984"/>
      <c r="H1379" s="1092"/>
      <c r="I1379" s="1092"/>
      <c r="J1379" s="987"/>
      <c r="K1379" s="987"/>
      <c r="L1379" s="987"/>
      <c r="M1379" s="987"/>
      <c r="N1379" s="987"/>
      <c r="O1379" s="987"/>
      <c r="P1379" s="987"/>
      <c r="Q1379" s="987"/>
      <c r="R1379" s="987"/>
      <c r="S1379" s="987"/>
      <c r="T1379" s="987"/>
      <c r="U1379" s="987">
        <f>SUM(U1377:U1378)</f>
        <v>445189.20000000007</v>
      </c>
      <c r="V1379" s="988">
        <f>SUM(V1377:V1378)</f>
        <v>339087.72</v>
      </c>
      <c r="W1379" s="937"/>
    </row>
    <row r="1380" spans="1:23" ht="21.75" hidden="1">
      <c r="A1380" s="964"/>
      <c r="B1380" s="989"/>
      <c r="C1380" s="990" t="s">
        <v>107</v>
      </c>
      <c r="D1380" s="989" t="s">
        <v>121</v>
      </c>
      <c r="E1380" s="989"/>
      <c r="F1380" s="989"/>
      <c r="G1380" s="991"/>
      <c r="H1380" s="1316">
        <v>29367</v>
      </c>
      <c r="I1380" s="1316">
        <v>40540</v>
      </c>
      <c r="J1380" s="995">
        <v>30445</v>
      </c>
      <c r="K1380" s="995"/>
      <c r="L1380" s="995"/>
      <c r="M1380" s="995"/>
      <c r="N1380" s="995"/>
      <c r="O1380" s="995"/>
      <c r="P1380" s="995"/>
      <c r="Q1380" s="992"/>
      <c r="R1380" s="995"/>
      <c r="S1380" s="995"/>
      <c r="T1380" s="952">
        <f>SUM(H1380:S1380)</f>
        <v>100352</v>
      </c>
      <c r="U1380" s="995"/>
      <c r="V1380" s="997">
        <f>V1379/T1380</f>
        <v>3.3789831792091833</v>
      </c>
      <c r="W1380" s="937"/>
    </row>
    <row r="1381" spans="1:23" ht="21" hidden="1">
      <c r="A1381" s="964"/>
      <c r="B1381" s="964"/>
      <c r="C1381" s="983"/>
      <c r="D1381" s="964"/>
      <c r="E1381" s="964"/>
      <c r="F1381" s="964"/>
      <c r="G1381" s="984"/>
      <c r="H1381" s="987"/>
      <c r="I1381" s="987"/>
      <c r="J1381" s="987"/>
      <c r="K1381" s="987"/>
      <c r="L1381" s="987"/>
      <c r="M1381" s="987"/>
      <c r="N1381" s="987"/>
      <c r="O1381" s="987"/>
      <c r="P1381" s="987"/>
      <c r="Q1381" s="987"/>
      <c r="R1381" s="987"/>
      <c r="S1381" s="966"/>
      <c r="T1381" s="966"/>
      <c r="U1381" s="966"/>
      <c r="V1381" s="997" t="s">
        <v>137</v>
      </c>
      <c r="W1381" s="937"/>
    </row>
    <row r="1382" spans="1:23" ht="21" hidden="1">
      <c r="A1382" s="964"/>
      <c r="B1382" s="964"/>
      <c r="C1382" s="958" t="s">
        <v>89</v>
      </c>
      <c r="D1382" s="964" t="s">
        <v>173</v>
      </c>
      <c r="E1382" s="964"/>
      <c r="F1382" s="964"/>
      <c r="G1382" s="984"/>
      <c r="H1382" s="966">
        <f>$E1377*H1377/1000</f>
        <v>113.35680000000001</v>
      </c>
      <c r="I1382" s="966">
        <f>$E1377*I1377/1000</f>
        <v>105.8832</v>
      </c>
      <c r="J1382" s="966">
        <f>$E1377*J1377/1000</f>
        <v>117.41760000000001</v>
      </c>
      <c r="K1382" s="966"/>
      <c r="L1382" s="966"/>
      <c r="M1382" s="966"/>
      <c r="N1382" s="966"/>
      <c r="O1382" s="966"/>
      <c r="P1382" s="966"/>
      <c r="Q1382" s="966"/>
      <c r="R1382" s="966"/>
      <c r="S1382" s="966"/>
      <c r="T1382" s="966">
        <f>SUM(H1382:S1382)</f>
        <v>336.6576</v>
      </c>
      <c r="U1382" s="966"/>
      <c r="V1382" s="966"/>
      <c r="W1382" s="937"/>
    </row>
    <row r="1383" spans="1:23" ht="21" hidden="1">
      <c r="A1383" s="964"/>
      <c r="B1383" s="964"/>
      <c r="C1383" s="958" t="s">
        <v>161</v>
      </c>
      <c r="D1383" s="964" t="s">
        <v>173</v>
      </c>
      <c r="E1383" s="964"/>
      <c r="F1383" s="964"/>
      <c r="G1383" s="984"/>
      <c r="H1383" s="966">
        <f>H1378*$E1378/1000</f>
        <v>31.321200000000001</v>
      </c>
      <c r="I1383" s="966">
        <f>I1378*$E1378/1000</f>
        <v>32.777999999999999</v>
      </c>
      <c r="J1383" s="966">
        <f>J1378*$E1378/1000</f>
        <v>44.432400000000001</v>
      </c>
      <c r="K1383" s="966"/>
      <c r="L1383" s="966"/>
      <c r="M1383" s="966"/>
      <c r="N1383" s="966"/>
      <c r="O1383" s="966"/>
      <c r="P1383" s="966"/>
      <c r="Q1383" s="966"/>
      <c r="R1383" s="966"/>
      <c r="S1383" s="966"/>
      <c r="T1383" s="966">
        <f>SUM(H1383:S1383)</f>
        <v>108.5316</v>
      </c>
      <c r="U1383" s="966"/>
      <c r="V1383" s="966"/>
      <c r="W1383" s="937"/>
    </row>
    <row r="1384" spans="1:23" ht="21" hidden="1">
      <c r="A1384" s="964"/>
      <c r="B1384" s="964"/>
      <c r="C1384" s="983" t="s">
        <v>958</v>
      </c>
      <c r="D1384" s="964"/>
      <c r="E1384" s="964"/>
      <c r="F1384" s="964"/>
      <c r="G1384" s="984"/>
      <c r="H1384" s="966">
        <f>H1382</f>
        <v>113.35680000000001</v>
      </c>
      <c r="I1384" s="966">
        <f>I1382</f>
        <v>105.8832</v>
      </c>
      <c r="J1384" s="966">
        <f>J1382</f>
        <v>117.41760000000001</v>
      </c>
      <c r="K1384" s="966"/>
      <c r="L1384" s="966"/>
      <c r="M1384" s="966"/>
      <c r="N1384" s="966"/>
      <c r="O1384" s="966"/>
      <c r="P1384" s="966"/>
      <c r="Q1384" s="966"/>
      <c r="R1384" s="966"/>
      <c r="S1384" s="966"/>
      <c r="T1384" s="1000">
        <f>SUM(H1384:S1384)</f>
        <v>336.6576</v>
      </c>
      <c r="U1384" s="966"/>
      <c r="V1384" s="1001">
        <f>V1379/T1384</f>
        <v>1007.2183726135991</v>
      </c>
      <c r="W1384" s="937"/>
    </row>
    <row r="1385" spans="1:23" ht="21" hidden="1">
      <c r="A1385" s="964"/>
      <c r="B1385" s="964"/>
      <c r="C1385" s="983" t="s">
        <v>345</v>
      </c>
      <c r="D1385" s="964"/>
      <c r="E1385" s="964"/>
      <c r="F1385" s="964"/>
      <c r="G1385" s="984"/>
      <c r="H1385" s="966">
        <f>0.0018*H1380 + 64.925</f>
        <v>117.78559999999999</v>
      </c>
      <c r="I1385" s="966">
        <f>0.0018*I1380 + 64.925</f>
        <v>137.89699999999999</v>
      </c>
      <c r="J1385" s="966">
        <f>0.0018*J1380 + 64.925</f>
        <v>119.726</v>
      </c>
      <c r="K1385" s="966"/>
      <c r="L1385" s="966"/>
      <c r="M1385" s="966"/>
      <c r="N1385" s="966"/>
      <c r="O1385" s="966"/>
      <c r="P1385" s="966"/>
      <c r="Q1385" s="966"/>
      <c r="R1385" s="966"/>
      <c r="S1385" s="966"/>
      <c r="T1385" s="1000">
        <f>SUM(H1385:S1385)</f>
        <v>375.40859999999998</v>
      </c>
      <c r="U1385" s="966"/>
      <c r="V1385" s="1001" t="s">
        <v>158</v>
      </c>
      <c r="W1385" s="937"/>
    </row>
    <row r="1386" spans="1:23" ht="21" hidden="1">
      <c r="A1386" s="964"/>
      <c r="B1386" s="1003" t="s">
        <v>174</v>
      </c>
      <c r="C1386" s="1004" t="s">
        <v>89</v>
      </c>
      <c r="D1386" s="1003" t="s">
        <v>347</v>
      </c>
      <c r="E1386" s="1003"/>
      <c r="F1386" s="1003"/>
      <c r="G1386" s="1005"/>
      <c r="H1386" s="1006">
        <f>H1382/H1380</f>
        <v>3.8600061293288389E-3</v>
      </c>
      <c r="I1386" s="1006">
        <f>I1382/I1380</f>
        <v>2.6118204242723238E-3</v>
      </c>
      <c r="J1386" s="1006">
        <f t="shared" ref="J1386:R1386" si="486">J1382/J1380</f>
        <v>3.8567121037937266E-3</v>
      </c>
      <c r="K1386" s="1006" t="e">
        <f t="shared" si="486"/>
        <v>#DIV/0!</v>
      </c>
      <c r="L1386" s="1006" t="e">
        <f t="shared" si="486"/>
        <v>#DIV/0!</v>
      </c>
      <c r="M1386" s="1006" t="e">
        <f t="shared" si="486"/>
        <v>#DIV/0!</v>
      </c>
      <c r="N1386" s="1006" t="e">
        <f t="shared" si="486"/>
        <v>#DIV/0!</v>
      </c>
      <c r="O1386" s="1006" t="e">
        <f t="shared" si="486"/>
        <v>#DIV/0!</v>
      </c>
      <c r="P1386" s="1006" t="e">
        <f t="shared" si="486"/>
        <v>#DIV/0!</v>
      </c>
      <c r="Q1386" s="1006" t="e">
        <f t="shared" si="486"/>
        <v>#DIV/0!</v>
      </c>
      <c r="R1386" s="1006" t="e">
        <f t="shared" si="486"/>
        <v>#DIV/0!</v>
      </c>
      <c r="S1386" s="1006" t="e">
        <f>S1382/S1380</f>
        <v>#DIV/0!</v>
      </c>
      <c r="T1386" s="1006">
        <f>T1382/T1380</f>
        <v>3.3547672193877552E-3</v>
      </c>
      <c r="U1386" s="1007"/>
      <c r="V1386" s="1007"/>
      <c r="W1386" s="937"/>
    </row>
    <row r="1387" spans="1:23" ht="21" hidden="1">
      <c r="A1387" s="964"/>
      <c r="B1387" s="1003"/>
      <c r="C1387" s="1004" t="s">
        <v>161</v>
      </c>
      <c r="D1387" s="1003" t="s">
        <v>347</v>
      </c>
      <c r="E1387" s="1003"/>
      <c r="F1387" s="1003"/>
      <c r="G1387" s="1005"/>
      <c r="H1387" s="1006">
        <f>H1383/H1380</f>
        <v>1.066544080089897E-3</v>
      </c>
      <c r="I1387" s="1006">
        <f>I1383/I1380</f>
        <v>8.085347804637395E-4</v>
      </c>
      <c r="J1387" s="1006">
        <f t="shared" ref="J1387:Q1387" si="487">J1383/J1380</f>
        <v>1.4594317621941205E-3</v>
      </c>
      <c r="K1387" s="1006" t="e">
        <f t="shared" si="487"/>
        <v>#DIV/0!</v>
      </c>
      <c r="L1387" s="1006" t="e">
        <f t="shared" si="487"/>
        <v>#DIV/0!</v>
      </c>
      <c r="M1387" s="1006" t="e">
        <f t="shared" si="487"/>
        <v>#DIV/0!</v>
      </c>
      <c r="N1387" s="1006" t="e">
        <f t="shared" si="487"/>
        <v>#DIV/0!</v>
      </c>
      <c r="O1387" s="1006" t="e">
        <f t="shared" si="487"/>
        <v>#DIV/0!</v>
      </c>
      <c r="P1387" s="1006" t="e">
        <f t="shared" si="487"/>
        <v>#DIV/0!</v>
      </c>
      <c r="Q1387" s="1006" t="e">
        <f t="shared" si="487"/>
        <v>#DIV/0!</v>
      </c>
      <c r="R1387" s="1006" t="e">
        <f>R1383/R1380</f>
        <v>#DIV/0!</v>
      </c>
      <c r="S1387" s="1006" t="e">
        <f>S1383/S1380</f>
        <v>#DIV/0!</v>
      </c>
      <c r="T1387" s="1006">
        <f>T1383/T1380</f>
        <v>1.081509088010204E-3</v>
      </c>
      <c r="U1387" s="1007"/>
      <c r="V1387" s="1007"/>
      <c r="W1387" s="936"/>
    </row>
    <row r="1388" spans="1:23" ht="23.25" hidden="1">
      <c r="A1388" s="964"/>
      <c r="B1388" s="1003"/>
      <c r="C1388" s="1008" t="s">
        <v>959</v>
      </c>
      <c r="D1388" s="1003" t="s">
        <v>347</v>
      </c>
      <c r="E1388" s="1003"/>
      <c r="F1388" s="1003"/>
      <c r="G1388" s="1005"/>
      <c r="H1388" s="1006">
        <f t="shared" ref="H1388:T1388" si="488">H1384/H1380</f>
        <v>3.8600061293288389E-3</v>
      </c>
      <c r="I1388" s="1006">
        <f t="shared" si="488"/>
        <v>2.6118204242723238E-3</v>
      </c>
      <c r="J1388" s="1006">
        <f t="shared" si="488"/>
        <v>3.8567121037937266E-3</v>
      </c>
      <c r="K1388" s="1006" t="e">
        <f t="shared" si="488"/>
        <v>#DIV/0!</v>
      </c>
      <c r="L1388" s="1006" t="e">
        <f t="shared" si="488"/>
        <v>#DIV/0!</v>
      </c>
      <c r="M1388" s="1006" t="e">
        <f t="shared" si="488"/>
        <v>#DIV/0!</v>
      </c>
      <c r="N1388" s="1006" t="e">
        <f t="shared" si="488"/>
        <v>#DIV/0!</v>
      </c>
      <c r="O1388" s="1006" t="e">
        <f t="shared" si="488"/>
        <v>#DIV/0!</v>
      </c>
      <c r="P1388" s="1006" t="e">
        <f t="shared" si="488"/>
        <v>#DIV/0!</v>
      </c>
      <c r="Q1388" s="1006" t="e">
        <f t="shared" si="488"/>
        <v>#DIV/0!</v>
      </c>
      <c r="R1388" s="1006" t="e">
        <f t="shared" si="488"/>
        <v>#DIV/0!</v>
      </c>
      <c r="S1388" s="1006" t="e">
        <f t="shared" si="488"/>
        <v>#DIV/0!</v>
      </c>
      <c r="T1388" s="1021">
        <f t="shared" si="488"/>
        <v>3.3547672193877552E-3</v>
      </c>
      <c r="U1388" s="1007"/>
      <c r="V1388" s="1007"/>
      <c r="W1388" s="936"/>
    </row>
    <row r="1389" spans="1:23" ht="21" hidden="1">
      <c r="A1389" s="964"/>
      <c r="B1389" s="1003"/>
      <c r="C1389" s="1008" t="s">
        <v>960</v>
      </c>
      <c r="D1389" s="1003"/>
      <c r="E1389" s="1003"/>
      <c r="F1389" s="1003"/>
      <c r="G1389" s="1003"/>
      <c r="H1389" s="1009">
        <f>H1384/H1385*100</f>
        <v>96.239947837426669</v>
      </c>
      <c r="I1389" s="1009">
        <f>I1384/I1385*100</f>
        <v>76.784266517763271</v>
      </c>
      <c r="J1389" s="1009">
        <f t="shared" ref="J1389:T1389" si="489">J1384/J1385*100</f>
        <v>98.071930908908683</v>
      </c>
      <c r="K1389" s="1009" t="e">
        <f t="shared" si="489"/>
        <v>#DIV/0!</v>
      </c>
      <c r="L1389" s="1009" t="e">
        <f t="shared" si="489"/>
        <v>#DIV/0!</v>
      </c>
      <c r="M1389" s="1009" t="e">
        <f t="shared" si="489"/>
        <v>#DIV/0!</v>
      </c>
      <c r="N1389" s="1009" t="e">
        <f t="shared" si="489"/>
        <v>#DIV/0!</v>
      </c>
      <c r="O1389" s="1009" t="e">
        <f t="shared" si="489"/>
        <v>#DIV/0!</v>
      </c>
      <c r="P1389" s="1009" t="e">
        <f t="shared" si="489"/>
        <v>#DIV/0!</v>
      </c>
      <c r="Q1389" s="1009" t="e">
        <f t="shared" si="489"/>
        <v>#DIV/0!</v>
      </c>
      <c r="R1389" s="1009" t="e">
        <f t="shared" si="489"/>
        <v>#DIV/0!</v>
      </c>
      <c r="S1389" s="1009" t="e">
        <f t="shared" si="489"/>
        <v>#DIV/0!</v>
      </c>
      <c r="T1389" s="1009">
        <f t="shared" si="489"/>
        <v>89.677647235572124</v>
      </c>
      <c r="U1389" s="1007"/>
      <c r="V1389" s="1007"/>
      <c r="W1389" s="936"/>
    </row>
    <row r="1390" spans="1:23" s="1189" customFormat="1" ht="21" hidden="1">
      <c r="A1390" s="1080"/>
      <c r="B1390" s="1080"/>
      <c r="C1390" s="1080" t="s">
        <v>961</v>
      </c>
      <c r="D1390" s="1080" t="s">
        <v>173</v>
      </c>
      <c r="E1390" s="1080"/>
      <c r="F1390" s="1080"/>
      <c r="G1390" s="1080"/>
      <c r="H1390" s="1079">
        <f>(H1358+H1371+H1384)/1000</f>
        <v>0.42866395200000007</v>
      </c>
      <c r="I1390" s="1079">
        <f t="shared" ref="I1390:S1391" si="490">(I1358+I1371+I1384)/1000</f>
        <v>0.59683496400000002</v>
      </c>
      <c r="J1390" s="1079">
        <f t="shared" si="490"/>
        <v>0.44836736400000005</v>
      </c>
      <c r="K1390" s="1079">
        <f t="shared" si="490"/>
        <v>0</v>
      </c>
      <c r="L1390" s="1079">
        <f t="shared" si="490"/>
        <v>0</v>
      </c>
      <c r="M1390" s="1079">
        <f t="shared" si="490"/>
        <v>0</v>
      </c>
      <c r="N1390" s="1079">
        <f t="shared" si="490"/>
        <v>0</v>
      </c>
      <c r="O1390" s="1079">
        <f t="shared" si="490"/>
        <v>0</v>
      </c>
      <c r="P1390" s="1079">
        <f t="shared" si="490"/>
        <v>0</v>
      </c>
      <c r="Q1390" s="1079">
        <f t="shared" si="490"/>
        <v>0</v>
      </c>
      <c r="R1390" s="1079">
        <f t="shared" si="490"/>
        <v>0</v>
      </c>
      <c r="S1390" s="1079">
        <f t="shared" si="490"/>
        <v>0</v>
      </c>
      <c r="T1390" s="1079">
        <f>T1358+T1371+T1384</f>
        <v>1473.8662800000002</v>
      </c>
      <c r="U1390" s="1079"/>
      <c r="V1390" s="1079"/>
      <c r="W1390" s="1188"/>
    </row>
    <row r="1391" spans="1:23" s="1189" customFormat="1" ht="21" hidden="1">
      <c r="A1391" s="1080"/>
      <c r="B1391" s="1080"/>
      <c r="C1391" s="983" t="s">
        <v>962</v>
      </c>
      <c r="D1391" s="1080" t="s">
        <v>173</v>
      </c>
      <c r="E1391" s="1080"/>
      <c r="F1391" s="1080"/>
      <c r="G1391" s="1080"/>
      <c r="H1391" s="1079">
        <f>(H1359+H1372+H1385)/1000</f>
        <v>0.59379817400000001</v>
      </c>
      <c r="I1391" s="1079">
        <f t="shared" si="490"/>
        <v>0.63560298599999998</v>
      </c>
      <c r="J1391" s="1079">
        <f t="shared" si="490"/>
        <v>0.60964119699999997</v>
      </c>
      <c r="K1391" s="1079">
        <f t="shared" si="490"/>
        <v>0</v>
      </c>
      <c r="L1391" s="1079">
        <f t="shared" si="490"/>
        <v>0</v>
      </c>
      <c r="M1391" s="1079">
        <f t="shared" si="490"/>
        <v>0</v>
      </c>
      <c r="N1391" s="1079">
        <f t="shared" si="490"/>
        <v>0</v>
      </c>
      <c r="O1391" s="1079">
        <f t="shared" si="490"/>
        <v>0</v>
      </c>
      <c r="P1391" s="1079">
        <f t="shared" si="490"/>
        <v>0</v>
      </c>
      <c r="Q1391" s="1079">
        <f t="shared" si="490"/>
        <v>0</v>
      </c>
      <c r="R1391" s="1079">
        <f t="shared" si="490"/>
        <v>0</v>
      </c>
      <c r="S1391" s="1079">
        <f t="shared" si="490"/>
        <v>0</v>
      </c>
      <c r="T1391" s="1079">
        <f>T1359+T1372+T1385</f>
        <v>1839.042357</v>
      </c>
      <c r="U1391" s="1079"/>
      <c r="V1391" s="1079"/>
      <c r="W1391" s="1188"/>
    </row>
    <row r="1392" spans="1:23" s="1189" customFormat="1" ht="21" hidden="1">
      <c r="A1392" s="1080"/>
      <c r="B1392" s="1080"/>
      <c r="C1392" s="1080" t="s">
        <v>963</v>
      </c>
      <c r="D1392" s="1080"/>
      <c r="E1392" s="1080"/>
      <c r="F1392" s="1080"/>
      <c r="G1392" s="1080"/>
      <c r="H1392" s="1191">
        <f>H1390/H1391*100</f>
        <v>72.190176859654684</v>
      </c>
      <c r="I1392" s="1191">
        <f t="shared" ref="I1392:S1392" si="491">I1390/I1391*100</f>
        <v>93.900591587214478</v>
      </c>
      <c r="J1392" s="1191">
        <f t="shared" si="491"/>
        <v>73.54610649778644</v>
      </c>
      <c r="K1392" s="1191" t="e">
        <f t="shared" si="491"/>
        <v>#DIV/0!</v>
      </c>
      <c r="L1392" s="1191" t="e">
        <f t="shared" si="491"/>
        <v>#DIV/0!</v>
      </c>
      <c r="M1392" s="1191" t="e">
        <f t="shared" si="491"/>
        <v>#DIV/0!</v>
      </c>
      <c r="N1392" s="1191" t="e">
        <f t="shared" si="491"/>
        <v>#DIV/0!</v>
      </c>
      <c r="O1392" s="1191" t="e">
        <f t="shared" si="491"/>
        <v>#DIV/0!</v>
      </c>
      <c r="P1392" s="1191" t="e">
        <f t="shared" si="491"/>
        <v>#DIV/0!</v>
      </c>
      <c r="Q1392" s="1191" t="e">
        <f t="shared" si="491"/>
        <v>#DIV/0!</v>
      </c>
      <c r="R1392" s="1191" t="e">
        <f t="shared" si="491"/>
        <v>#DIV/0!</v>
      </c>
      <c r="S1392" s="1191" t="e">
        <f t="shared" si="491"/>
        <v>#DIV/0!</v>
      </c>
      <c r="T1392" s="1191">
        <f>T1390/T1391*100</f>
        <v>80.143139411116906</v>
      </c>
      <c r="U1392" s="1079"/>
      <c r="V1392" s="1079"/>
      <c r="W1392" s="1188"/>
    </row>
    <row r="1393" spans="1:29" s="1189" customFormat="1" ht="21.75" hidden="1" thickBot="1">
      <c r="A1393" s="1080"/>
      <c r="B1393" s="1080"/>
      <c r="C1393" s="1080" t="s">
        <v>964</v>
      </c>
      <c r="D1393" s="1080"/>
      <c r="E1393" s="1080"/>
      <c r="F1393" s="1080"/>
      <c r="G1393" s="1080"/>
      <c r="H1393" s="1317">
        <f>H1392</f>
        <v>72.190176859654684</v>
      </c>
      <c r="I1393" s="1317">
        <f>(H1390+I1390)/(H1391+I1391)*100</f>
        <v>83.414506945804419</v>
      </c>
      <c r="J1393" s="1317">
        <f>(H1390+I1390+J1390)/(H1391+I1391+J1391)*100</f>
        <v>80.143139411116906</v>
      </c>
      <c r="K1393" s="1317">
        <f>(H1390+I1390+J1390+K1390)/(H1391+I1391+J1391+K1391)*100</f>
        <v>80.143139411116906</v>
      </c>
      <c r="L1393" s="1318">
        <f>(H1390+I1390+J1390+K1390+L1390)/(H1391+I1391+J1391+K1391+L1391)*100</f>
        <v>80.143139411116906</v>
      </c>
      <c r="M1393" s="1317">
        <f>(H1390+I1390+J1390+K1390+L1390+M1390)/(H1391+I1391+J1391+K1391+L1391+M1391)*100</f>
        <v>80.143139411116906</v>
      </c>
      <c r="N1393" s="1317">
        <f>(H1390+I1390+J1390+K1390+L1390+M1390+N1390)/(H1391+I1391+J1391+K1391+L1391+M1391+N1391)*100</f>
        <v>80.143139411116906</v>
      </c>
      <c r="O1393" s="1317">
        <f>(H1390+I1390+J1390+K1390+L1390+M1390+N1390+O1390)/(H1391+I1391+J1391+K1391+L1391+M1391+N1391+O1391)*100</f>
        <v>80.143139411116906</v>
      </c>
      <c r="P1393" s="1317">
        <f>(H1390+I1390+J1390+K1390+L1390+M1390+N1390+O1390+P1390)/(H1391+I1391+J1391+K1391+L1391+M1391+N1391+O1391+P1391)*100</f>
        <v>80.143139411116906</v>
      </c>
      <c r="Q1393" s="1317">
        <f>(H1390+I1390+J1390+K1390+L1390+N1390+M1390+O1390+P1390+Q1390)/(H1391+I1391+J1391+K1391+L1391+M1391+N1391+O1391+P1391+Q1391)*100</f>
        <v>80.143139411116906</v>
      </c>
      <c r="R1393" s="1317">
        <f>(H1390+I1390+J1390+K1390+L1390+M1390+N1390+O1390+P1390+Q1390+R1390)/(H1391+I1391+J1391+K1391+M1391+L1391+N1391+O1391+P1391+Q1391+R1391)*100</f>
        <v>80.143139411116906</v>
      </c>
      <c r="S1393" s="1319">
        <f>(H1390+I1390+J1390+K1390+L1390+M1390+N1390+O1390+P1390+Q1390+R1390+S1390)/(H1391+I1391+J1391+K1391+L1391+M1391+N1391+O1391+P1391+Q1391+R1391+S1391)*100</f>
        <v>80.143139411116906</v>
      </c>
      <c r="T1393" s="1079"/>
      <c r="U1393" s="1079"/>
      <c r="V1393" s="1079"/>
      <c r="W1393" s="1188"/>
    </row>
    <row r="1394" spans="1:29" s="1330" customFormat="1" ht="21" hidden="1">
      <c r="A1394" s="1327"/>
      <c r="B1394" s="1327"/>
      <c r="C1394" s="1327" t="s">
        <v>784</v>
      </c>
      <c r="D1394" s="1327" t="s">
        <v>173</v>
      </c>
      <c r="E1394" s="1327"/>
      <c r="F1394" s="1327"/>
      <c r="G1394" s="1327"/>
      <c r="H1394" s="1328">
        <f t="shared" ref="H1394:S1395" si="492">(H1275+H1288+H1301+H1314+H1328+H1341+H1358+H1371+H1384)</f>
        <v>1753.7087520000002</v>
      </c>
      <c r="I1394" s="1328">
        <f t="shared" si="492"/>
        <v>1883.6045640000002</v>
      </c>
      <c r="J1394" s="1328">
        <f t="shared" si="492"/>
        <v>1835.8649639999996</v>
      </c>
      <c r="K1394" s="1328">
        <f t="shared" ref="K1394:S1394" si="493">(K1275+K1288+K1301+K1314+K1328+K1341+K1358+K1371+K1384)/1000</f>
        <v>0</v>
      </c>
      <c r="L1394" s="1328">
        <f t="shared" si="493"/>
        <v>0</v>
      </c>
      <c r="M1394" s="1328">
        <f t="shared" si="493"/>
        <v>0</v>
      </c>
      <c r="N1394" s="1328">
        <f t="shared" si="493"/>
        <v>0</v>
      </c>
      <c r="O1394" s="1328">
        <f t="shared" si="493"/>
        <v>0</v>
      </c>
      <c r="P1394" s="1328">
        <f t="shared" si="493"/>
        <v>0</v>
      </c>
      <c r="Q1394" s="1328">
        <f t="shared" si="493"/>
        <v>0</v>
      </c>
      <c r="R1394" s="1328">
        <f t="shared" si="493"/>
        <v>0</v>
      </c>
      <c r="S1394" s="1328">
        <f t="shared" si="493"/>
        <v>0</v>
      </c>
      <c r="T1394" s="1328">
        <f>T1275+T1288+T1301+T1314+T1328+T1341+T1358+T1371+T1384</f>
        <v>5473.1782800000001</v>
      </c>
      <c r="U1394" s="1328"/>
      <c r="V1394" s="1328"/>
      <c r="W1394" s="1329"/>
    </row>
    <row r="1395" spans="1:29" s="1330" customFormat="1" ht="21" hidden="1">
      <c r="A1395" s="1327"/>
      <c r="B1395" s="1327"/>
      <c r="C1395" s="1331" t="s">
        <v>785</v>
      </c>
      <c r="D1395" s="1327" t="s">
        <v>173</v>
      </c>
      <c r="E1395" s="1327"/>
      <c r="F1395" s="1327"/>
      <c r="G1395" s="1327"/>
      <c r="H1395" s="1328">
        <f t="shared" si="492"/>
        <v>1925.484414555272</v>
      </c>
      <c r="I1395" s="1328">
        <f t="shared" si="492"/>
        <v>1897.0571379176879</v>
      </c>
      <c r="J1395" s="1328">
        <f t="shared" si="492"/>
        <v>1902.7666939948481</v>
      </c>
      <c r="K1395" s="1328">
        <f t="shared" si="492"/>
        <v>0</v>
      </c>
      <c r="L1395" s="1328">
        <f t="shared" si="492"/>
        <v>0</v>
      </c>
      <c r="M1395" s="1328">
        <f t="shared" si="492"/>
        <v>0</v>
      </c>
      <c r="N1395" s="1328">
        <f t="shared" si="492"/>
        <v>0</v>
      </c>
      <c r="O1395" s="1328">
        <f t="shared" si="492"/>
        <v>0</v>
      </c>
      <c r="P1395" s="1328">
        <f t="shared" si="492"/>
        <v>0</v>
      </c>
      <c r="Q1395" s="1328">
        <f t="shared" si="492"/>
        <v>0</v>
      </c>
      <c r="R1395" s="1328">
        <f t="shared" si="492"/>
        <v>0</v>
      </c>
      <c r="S1395" s="1328">
        <f t="shared" si="492"/>
        <v>0</v>
      </c>
      <c r="T1395" s="1328">
        <f>T1276+T1289+T1302+T1315+T1329+T1342+T1359+T1372+T1385</f>
        <v>5725.3082464678082</v>
      </c>
      <c r="U1395" s="1328"/>
      <c r="V1395" s="1328"/>
      <c r="W1395" s="1329"/>
    </row>
    <row r="1396" spans="1:29" s="1330" customFormat="1" ht="21" hidden="1">
      <c r="A1396" s="1327"/>
      <c r="B1396" s="1327"/>
      <c r="C1396" s="1327" t="s">
        <v>786</v>
      </c>
      <c r="D1396" s="1327"/>
      <c r="E1396" s="1327"/>
      <c r="F1396" s="1327"/>
      <c r="G1396" s="1327"/>
      <c r="H1396" s="1332">
        <f>H1394/H1395*100</f>
        <v>91.078833915415174</v>
      </c>
      <c r="I1396" s="1332">
        <f t="shared" ref="I1396:S1396" si="494">I1394/I1395*100</f>
        <v>99.29087144246725</v>
      </c>
      <c r="J1396" s="1332">
        <f t="shared" si="494"/>
        <v>96.483976190775721</v>
      </c>
      <c r="K1396" s="1332" t="e">
        <f t="shared" si="494"/>
        <v>#DIV/0!</v>
      </c>
      <c r="L1396" s="1332" t="e">
        <f t="shared" si="494"/>
        <v>#DIV/0!</v>
      </c>
      <c r="M1396" s="1332" t="e">
        <f t="shared" si="494"/>
        <v>#DIV/0!</v>
      </c>
      <c r="N1396" s="1332" t="e">
        <f t="shared" si="494"/>
        <v>#DIV/0!</v>
      </c>
      <c r="O1396" s="1332" t="e">
        <f t="shared" si="494"/>
        <v>#DIV/0!</v>
      </c>
      <c r="P1396" s="1332" t="e">
        <f t="shared" si="494"/>
        <v>#DIV/0!</v>
      </c>
      <c r="Q1396" s="1332" t="e">
        <f t="shared" si="494"/>
        <v>#DIV/0!</v>
      </c>
      <c r="R1396" s="1332" t="e">
        <f t="shared" si="494"/>
        <v>#DIV/0!</v>
      </c>
      <c r="S1396" s="1332" t="e">
        <f t="shared" si="494"/>
        <v>#DIV/0!</v>
      </c>
      <c r="T1396" s="1332">
        <f>T1394/T1395*100</f>
        <v>95.596220227559655</v>
      </c>
      <c r="U1396" s="1328"/>
      <c r="V1396" s="1328"/>
      <c r="W1396" s="1329"/>
    </row>
    <row r="1397" spans="1:29" s="1330" customFormat="1" ht="21.75" hidden="1" thickBot="1">
      <c r="A1397" s="1327"/>
      <c r="B1397" s="1327"/>
      <c r="C1397" s="1327" t="s">
        <v>787</v>
      </c>
      <c r="D1397" s="1327"/>
      <c r="E1397" s="1327"/>
      <c r="F1397" s="1327"/>
      <c r="G1397" s="1327"/>
      <c r="H1397" s="1333">
        <f>H1396</f>
        <v>91.078833915415174</v>
      </c>
      <c r="I1397" s="1333">
        <f>(H1394+I1394)/(H1395+I1395)*100</f>
        <v>95.154317253840517</v>
      </c>
      <c r="J1397" s="1333">
        <f>(H1394+I1394+J1394)/(H1395+I1395+J1395)*100</f>
        <v>95.596220227559655</v>
      </c>
      <c r="K1397" s="1333">
        <f>(H1394+I1394+J1394+K1394)/(H1395+I1395+J1395+K1395)*100</f>
        <v>95.596220227559655</v>
      </c>
      <c r="L1397" s="1334">
        <f>(H1394+I1394+J1394+K1394+L1394)/(H1395+I1395+J1395+K1395+L1395)*100</f>
        <v>95.596220227559655</v>
      </c>
      <c r="M1397" s="1333">
        <f>(H1394+I1394+J1394+K1394+L1394+M1394)/(H1395+I1395+J1395+K1395+L1395+M1395)*100</f>
        <v>95.596220227559655</v>
      </c>
      <c r="N1397" s="1333">
        <f>(H1394+I1394+J1394+K1394+L1394+M1394+N1394)/(H1395+I1395+J1395+K1395+L1395+M1395+N1395)*100</f>
        <v>95.596220227559655</v>
      </c>
      <c r="O1397" s="1333">
        <f>(H1394+I1394+J1394+K1394+L1394+M1394+N1394+O1394)/(H1395+I1395+J1395+K1395+L1395+M1395+N1395+O1395)*100</f>
        <v>95.596220227559655</v>
      </c>
      <c r="P1397" s="1333">
        <f>(H1394+I1394+J1394+K1394+L1394+M1394+N1394+O1394+P1394)/(H1395+I1395+J1395+K1395+L1395+M1395+N1395+O1395+P1395)*100</f>
        <v>95.596220227559655</v>
      </c>
      <c r="Q1397" s="1333">
        <f>(H1394+I1394+J1394+K1394+L1394+N1394+M1394+O1394+P1394+Q1394)/(H1395+I1395+J1395+K1395+L1395+M1395+N1395+O1395+P1395+Q1395)*100</f>
        <v>95.596220227559655</v>
      </c>
      <c r="R1397" s="1333">
        <f>(H1394+I1394+J1394+K1394+L1394+M1394+N1394+O1394+P1394+Q1394+R1394)/(H1395+I1395+J1395+K1395+M1395+L1395+N1395+O1395+P1395+Q1395+R1395)*100</f>
        <v>95.596220227559655</v>
      </c>
      <c r="S1397" s="1335">
        <f>(H1394+I1394+J1394+K1394+L1394+M1394+N1394+O1394+P1394+Q1394+R1394+S1394)/(H1395+I1395+J1395+K1395+L1395+M1395+N1395+O1395+P1395+Q1395+R1395+S1395)*100</f>
        <v>95.596220227559655</v>
      </c>
      <c r="T1397" s="1328"/>
      <c r="U1397" s="1328"/>
      <c r="V1397" s="1328"/>
      <c r="W1397" s="1329"/>
    </row>
    <row r="1398" spans="1:29" s="1189" customFormat="1" ht="21" hidden="1">
      <c r="A1398" s="1080"/>
      <c r="B1398" s="1292" t="s">
        <v>788</v>
      </c>
      <c r="C1398" s="1080"/>
      <c r="D1398" s="1080"/>
      <c r="E1398" s="1080"/>
      <c r="F1398" s="1080"/>
      <c r="G1398" s="1080"/>
      <c r="H1398" s="1079"/>
      <c r="I1398" s="1079"/>
      <c r="J1398" s="1079"/>
      <c r="K1398" s="1079"/>
      <c r="L1398" s="1079"/>
      <c r="M1398" s="1079"/>
      <c r="N1398" s="1079"/>
      <c r="O1398" s="1079"/>
      <c r="P1398" s="1079"/>
      <c r="Q1398" s="1079"/>
      <c r="R1398" s="1079"/>
      <c r="S1398" s="1079"/>
      <c r="T1398" s="1079"/>
      <c r="U1398" s="1079"/>
      <c r="V1398" s="1079"/>
      <c r="W1398" s="1188"/>
    </row>
    <row r="1399" spans="1:29" ht="21" hidden="1">
      <c r="A1399" s="964"/>
      <c r="B1399" s="1292" t="s">
        <v>788</v>
      </c>
      <c r="C1399" s="1031"/>
      <c r="D1399" s="964"/>
      <c r="E1399" s="984"/>
      <c r="F1399" s="964"/>
      <c r="G1399" s="1014"/>
      <c r="H1399" s="966"/>
      <c r="I1399" s="966"/>
      <c r="J1399" s="966"/>
      <c r="K1399" s="966"/>
      <c r="L1399" s="966"/>
      <c r="M1399" s="966"/>
      <c r="N1399" s="966"/>
      <c r="O1399" s="966"/>
      <c r="P1399" s="966"/>
      <c r="Q1399" s="1154"/>
      <c r="R1399" s="966"/>
      <c r="S1399" s="966"/>
      <c r="T1399" s="966"/>
      <c r="U1399" s="966"/>
      <c r="V1399" s="966"/>
      <c r="W1399" s="954"/>
      <c r="X1399" s="954"/>
      <c r="Y1399" s="954"/>
      <c r="Z1399" s="954"/>
      <c r="AA1399" s="954"/>
      <c r="AB1399" s="954"/>
      <c r="AC1399" s="954"/>
    </row>
    <row r="1400" spans="1:29" ht="21" hidden="1">
      <c r="A1400" s="1011"/>
      <c r="B1400" s="1293"/>
      <c r="C1400" s="1031" t="s">
        <v>789</v>
      </c>
      <c r="D1400" s="964" t="s">
        <v>90</v>
      </c>
      <c r="E1400" s="1336">
        <v>3.6</v>
      </c>
      <c r="F1400" s="964"/>
      <c r="G1400" s="1014"/>
      <c r="H1400" s="981">
        <f>'[11]Port-54'!F4</f>
        <v>7850</v>
      </c>
      <c r="I1400" s="981">
        <f>'[11]Port-54'!F5</f>
        <v>10300</v>
      </c>
      <c r="J1400" s="981">
        <f>'[11]Port-54'!F6</f>
        <v>11450</v>
      </c>
      <c r="K1400" s="981" t="e">
        <f>'[11]Port-54'!F7</f>
        <v>#REF!</v>
      </c>
      <c r="L1400" s="981" t="e">
        <f>'[11]Port-54'!F8</f>
        <v>#REF!</v>
      </c>
      <c r="M1400" s="981" t="e">
        <f>'[11]Port-54'!F9</f>
        <v>#REF!</v>
      </c>
      <c r="N1400" s="981" t="e">
        <f>'[11]Port-54'!F10</f>
        <v>#REF!</v>
      </c>
      <c r="O1400" s="981" t="e">
        <f>'[11]Port-54'!F11</f>
        <v>#REF!</v>
      </c>
      <c r="P1400" s="981" t="e">
        <f>'[11]Port-54'!F12</f>
        <v>#REF!</v>
      </c>
      <c r="Q1400" s="981" t="e">
        <f>'[11]Port-54'!F13</f>
        <v>#REF!</v>
      </c>
      <c r="R1400" s="981" t="e">
        <f>'[11]Port-54'!F14</f>
        <v>#REF!</v>
      </c>
      <c r="S1400" s="981" t="e">
        <f>'[11]Port-54'!F14</f>
        <v>#REF!</v>
      </c>
      <c r="T1400" s="966" t="e">
        <f>SUM(H1400:S1400)</f>
        <v>#REF!</v>
      </c>
      <c r="U1400" s="966"/>
      <c r="V1400" s="966"/>
      <c r="W1400" s="954"/>
      <c r="X1400" s="954"/>
      <c r="Y1400" s="954"/>
      <c r="Z1400" s="954"/>
      <c r="AA1400" s="954"/>
      <c r="AB1400" s="954"/>
      <c r="AC1400" s="954"/>
    </row>
    <row r="1401" spans="1:29" ht="21" hidden="1">
      <c r="A1401" s="1011"/>
      <c r="B1401" s="1011"/>
      <c r="C1401" s="1295"/>
      <c r="D1401" s="1011"/>
      <c r="E1401" s="1011"/>
      <c r="F1401" s="1011"/>
      <c r="G1401" s="1011"/>
      <c r="H1401" s="1056"/>
      <c r="I1401" s="1056"/>
      <c r="J1401" s="1056"/>
      <c r="K1401" s="1056"/>
      <c r="L1401" s="1056"/>
      <c r="M1401" s="1056"/>
      <c r="N1401" s="1056"/>
      <c r="O1401" s="1056"/>
      <c r="P1401" s="1056"/>
      <c r="Q1401" s="1296"/>
      <c r="R1401" s="1056"/>
      <c r="S1401" s="1056"/>
      <c r="T1401" s="987"/>
      <c r="U1401" s="1056">
        <f>SUM(U1399:U1400)</f>
        <v>0</v>
      </c>
      <c r="V1401" s="981">
        <f>SUM(V1399:V1400)</f>
        <v>0</v>
      </c>
      <c r="W1401" s="936"/>
      <c r="X1401" s="937"/>
      <c r="Y1401" s="937"/>
      <c r="Z1401" s="937"/>
      <c r="AA1401" s="937"/>
      <c r="AB1401" s="937"/>
      <c r="AC1401" s="937"/>
    </row>
    <row r="1402" spans="1:29" ht="21" hidden="1">
      <c r="A1402" s="1011"/>
      <c r="B1402" s="989"/>
      <c r="C1402" s="990"/>
      <c r="D1402" s="989"/>
      <c r="E1402" s="989"/>
      <c r="F1402" s="989"/>
      <c r="G1402" s="1011"/>
      <c r="H1402" s="994"/>
      <c r="I1402" s="994"/>
      <c r="J1402" s="994"/>
      <c r="K1402" s="994"/>
      <c r="L1402" s="994"/>
      <c r="M1402" s="994"/>
      <c r="N1402" s="994"/>
      <c r="O1402" s="994"/>
      <c r="P1402" s="994"/>
      <c r="Q1402" s="1297"/>
      <c r="R1402" s="1297"/>
      <c r="S1402" s="994"/>
      <c r="T1402" s="996">
        <f>SUM(H1402:S1402)</f>
        <v>0</v>
      </c>
      <c r="U1402" s="995"/>
      <c r="V1402" s="1026" t="e">
        <f>V1401/T1402</f>
        <v>#DIV/0!</v>
      </c>
      <c r="W1402" s="936"/>
      <c r="X1402" s="937"/>
      <c r="Y1402" s="937"/>
      <c r="Z1402" s="937"/>
      <c r="AA1402" s="937"/>
      <c r="AB1402" s="937"/>
      <c r="AC1402" s="937"/>
    </row>
    <row r="1403" spans="1:29" ht="21" hidden="1">
      <c r="A1403" s="1011"/>
      <c r="B1403" s="1011"/>
      <c r="C1403" s="1030"/>
      <c r="D1403" s="1011"/>
      <c r="E1403" s="1011"/>
      <c r="F1403" s="1011"/>
      <c r="G1403" s="1011"/>
      <c r="H1403" s="981"/>
      <c r="I1403" s="981"/>
      <c r="J1403" s="981"/>
      <c r="K1403" s="981"/>
      <c r="L1403" s="981"/>
      <c r="M1403" s="981"/>
      <c r="N1403" s="981"/>
      <c r="O1403" s="981"/>
      <c r="P1403" s="981"/>
      <c r="Q1403" s="1185"/>
      <c r="R1403" s="981"/>
      <c r="S1403" s="981"/>
      <c r="T1403" s="981"/>
      <c r="U1403" s="981"/>
      <c r="V1403" s="997" t="s">
        <v>137</v>
      </c>
      <c r="W1403" s="936"/>
      <c r="X1403" s="937"/>
      <c r="Y1403" s="937"/>
      <c r="Z1403" s="937"/>
      <c r="AA1403" s="937"/>
      <c r="AB1403" s="937"/>
      <c r="AC1403" s="937"/>
    </row>
    <row r="1404" spans="1:29" ht="21" hidden="1">
      <c r="A1404" s="1011"/>
      <c r="B1404" s="1011"/>
      <c r="C1404" s="1031" t="s">
        <v>790</v>
      </c>
      <c r="D1404" s="1011" t="s">
        <v>173</v>
      </c>
      <c r="E1404" s="964"/>
      <c r="F1404" s="964"/>
      <c r="G1404" s="1011"/>
      <c r="H1404" s="981">
        <f>H1400*$E$1400/1000</f>
        <v>28.26</v>
      </c>
      <c r="I1404" s="981">
        <f t="shared" ref="I1404:S1404" si="495">I1400*$E$1400/1000</f>
        <v>37.08</v>
      </c>
      <c r="J1404" s="981">
        <f t="shared" si="495"/>
        <v>41.22</v>
      </c>
      <c r="K1404" s="981" t="e">
        <f t="shared" si="495"/>
        <v>#REF!</v>
      </c>
      <c r="L1404" s="981" t="e">
        <f t="shared" si="495"/>
        <v>#REF!</v>
      </c>
      <c r="M1404" s="981" t="e">
        <f t="shared" si="495"/>
        <v>#REF!</v>
      </c>
      <c r="N1404" s="981" t="e">
        <f t="shared" si="495"/>
        <v>#REF!</v>
      </c>
      <c r="O1404" s="981" t="e">
        <f t="shared" si="495"/>
        <v>#REF!</v>
      </c>
      <c r="P1404" s="981" t="e">
        <f t="shared" si="495"/>
        <v>#REF!</v>
      </c>
      <c r="Q1404" s="981" t="e">
        <f t="shared" si="495"/>
        <v>#REF!</v>
      </c>
      <c r="R1404" s="981" t="e">
        <f t="shared" si="495"/>
        <v>#REF!</v>
      </c>
      <c r="S1404" s="981" t="e">
        <f t="shared" si="495"/>
        <v>#REF!</v>
      </c>
      <c r="T1404" s="981" t="e">
        <f>T1400*E1400/1000</f>
        <v>#REF!</v>
      </c>
      <c r="U1404" s="981"/>
      <c r="V1404" s="981"/>
      <c r="W1404" s="936"/>
      <c r="X1404" s="937"/>
      <c r="Y1404" s="937"/>
      <c r="Z1404" s="937"/>
      <c r="AA1404" s="937"/>
      <c r="AB1404" s="937"/>
      <c r="AC1404" s="937"/>
    </row>
    <row r="1405" spans="1:29" ht="21" hidden="1">
      <c r="A1405" s="1011"/>
      <c r="B1405" s="964"/>
      <c r="C1405" s="983" t="s">
        <v>791</v>
      </c>
      <c r="D1405" s="964" t="s">
        <v>173</v>
      </c>
      <c r="E1405" s="1298">
        <v>67.45</v>
      </c>
      <c r="F1405" s="1298" t="s">
        <v>792</v>
      </c>
      <c r="G1405" s="1011"/>
      <c r="H1405" s="981">
        <f>('[11]Port-54'!E4*3.6/1000)*$E$1405/100</f>
        <v>53.178363942706852</v>
      </c>
      <c r="I1405" s="981">
        <f>('[11]Port-54'!E5*3.6/1000)*E1405/100</f>
        <v>49.747501752854788</v>
      </c>
      <c r="J1405" s="981">
        <f>('[11]Port-54'!E6*3.6/1000)*E1405/100</f>
        <v>53.178363942706852</v>
      </c>
      <c r="K1405" s="981">
        <f>'[11]Port-54'!E7*3.6/1000</f>
        <v>0</v>
      </c>
      <c r="L1405" s="981">
        <f>'[11]Port-54'!E8*3.6/1000</f>
        <v>0</v>
      </c>
      <c r="M1405" s="981">
        <f>'[11]Port-54'!E9*3.6/1000</f>
        <v>0</v>
      </c>
      <c r="N1405" s="981">
        <f>'[11]Port-54'!E10*3.6/1000</f>
        <v>0</v>
      </c>
      <c r="O1405" s="981">
        <f>'[11]Port-54'!E11*3.6/1000</f>
        <v>0</v>
      </c>
      <c r="P1405" s="981">
        <f>'[11]Port-54'!E12*3.6/1000</f>
        <v>0</v>
      </c>
      <c r="Q1405" s="981">
        <f>'[11]Port-54'!E13*3.6/1000</f>
        <v>0</v>
      </c>
      <c r="R1405" s="981">
        <f>'[11]Port-54'!E14*3.6/1000</f>
        <v>0</v>
      </c>
      <c r="S1405" s="981">
        <f>'[11]Port-54'!E15*3.6/1000</f>
        <v>0</v>
      </c>
      <c r="T1405" s="966">
        <f>SUM(H1405:S1405)</f>
        <v>156.10422963826849</v>
      </c>
      <c r="U1405" s="981"/>
      <c r="V1405" s="1033"/>
      <c r="W1405" s="936"/>
      <c r="X1405" s="937"/>
      <c r="Y1405" s="937"/>
      <c r="Z1405" s="937"/>
      <c r="AA1405" s="937"/>
      <c r="AB1405" s="937"/>
      <c r="AC1405" s="937"/>
    </row>
    <row r="1406" spans="1:29" ht="21" hidden="1">
      <c r="A1406" s="1011"/>
      <c r="B1406" s="1003" t="s">
        <v>174</v>
      </c>
      <c r="C1406" s="1004" t="s">
        <v>790</v>
      </c>
      <c r="D1406" s="1003" t="s">
        <v>792</v>
      </c>
      <c r="E1406" s="1003"/>
      <c r="F1406" s="1003"/>
      <c r="G1406" s="1011"/>
      <c r="H1406" s="1006">
        <f>H1404</f>
        <v>28.26</v>
      </c>
      <c r="I1406" s="1006">
        <f t="shared" ref="I1406:S1406" si="496">I1404</f>
        <v>37.08</v>
      </c>
      <c r="J1406" s="1006">
        <f t="shared" si="496"/>
        <v>41.22</v>
      </c>
      <c r="K1406" s="1006" t="e">
        <f t="shared" si="496"/>
        <v>#REF!</v>
      </c>
      <c r="L1406" s="1006" t="e">
        <f t="shared" si="496"/>
        <v>#REF!</v>
      </c>
      <c r="M1406" s="1006" t="e">
        <f t="shared" si="496"/>
        <v>#REF!</v>
      </c>
      <c r="N1406" s="1006" t="e">
        <f t="shared" si="496"/>
        <v>#REF!</v>
      </c>
      <c r="O1406" s="1006" t="e">
        <f t="shared" si="496"/>
        <v>#REF!</v>
      </c>
      <c r="P1406" s="1006" t="e">
        <f t="shared" si="496"/>
        <v>#REF!</v>
      </c>
      <c r="Q1406" s="1006" t="e">
        <f t="shared" si="496"/>
        <v>#REF!</v>
      </c>
      <c r="R1406" s="1006" t="e">
        <f t="shared" si="496"/>
        <v>#REF!</v>
      </c>
      <c r="S1406" s="1006" t="e">
        <f t="shared" si="496"/>
        <v>#REF!</v>
      </c>
      <c r="T1406" s="1006" t="e">
        <f>T1404</f>
        <v>#REF!</v>
      </c>
      <c r="U1406" s="1007"/>
      <c r="V1406" s="1007"/>
      <c r="W1406" s="936"/>
      <c r="X1406" s="937"/>
      <c r="Y1406" s="937"/>
      <c r="Z1406" s="937"/>
      <c r="AA1406" s="937"/>
      <c r="AB1406" s="937"/>
      <c r="AC1406" s="937"/>
    </row>
    <row r="1407" spans="1:29" ht="23.25" hidden="1">
      <c r="A1407" s="1011"/>
      <c r="B1407" s="1003"/>
      <c r="C1407" s="1008" t="s">
        <v>793</v>
      </c>
      <c r="D1407" s="1003" t="s">
        <v>792</v>
      </c>
      <c r="E1407" s="1003"/>
      <c r="F1407" s="1003"/>
      <c r="G1407" s="1011"/>
      <c r="H1407" s="1006"/>
      <c r="I1407" s="1006"/>
      <c r="J1407" s="1006"/>
      <c r="K1407" s="1006"/>
      <c r="L1407" s="1006"/>
      <c r="M1407" s="1006"/>
      <c r="N1407" s="1006"/>
      <c r="O1407" s="1006"/>
      <c r="P1407" s="1006"/>
      <c r="Q1407" s="1006"/>
      <c r="R1407" s="1006"/>
      <c r="S1407" s="1006"/>
      <c r="T1407" s="1021"/>
      <c r="U1407" s="1007"/>
      <c r="V1407" s="1007"/>
      <c r="W1407" s="936"/>
      <c r="X1407" s="937"/>
      <c r="Y1407" s="937"/>
      <c r="Z1407" s="937"/>
      <c r="AA1407" s="937"/>
      <c r="AB1407" s="937"/>
      <c r="AC1407" s="937"/>
    </row>
    <row r="1408" spans="1:29" ht="21" hidden="1">
      <c r="A1408" s="1011"/>
      <c r="B1408" s="1003"/>
      <c r="C1408" s="1008" t="s">
        <v>794</v>
      </c>
      <c r="D1408" s="1003" t="s">
        <v>401</v>
      </c>
      <c r="E1408" s="1003"/>
      <c r="F1408" s="1003"/>
      <c r="G1408" s="1011"/>
      <c r="H1408" s="1009">
        <f>H1404/H1405*100</f>
        <v>53.141913185683329</v>
      </c>
      <c r="I1408" s="1009">
        <f t="shared" ref="I1408:S1408" si="497">I1404/I1405*100</f>
        <v>74.536406238474356</v>
      </c>
      <c r="J1408" s="1009">
        <f t="shared" si="497"/>
        <v>77.512726875932998</v>
      </c>
      <c r="K1408" s="1009" t="e">
        <f t="shared" si="497"/>
        <v>#REF!</v>
      </c>
      <c r="L1408" s="1009" t="e">
        <f t="shared" si="497"/>
        <v>#REF!</v>
      </c>
      <c r="M1408" s="1009" t="e">
        <f t="shared" si="497"/>
        <v>#REF!</v>
      </c>
      <c r="N1408" s="1009" t="e">
        <f t="shared" si="497"/>
        <v>#REF!</v>
      </c>
      <c r="O1408" s="1009" t="e">
        <f t="shared" si="497"/>
        <v>#REF!</v>
      </c>
      <c r="P1408" s="1009" t="e">
        <f t="shared" si="497"/>
        <v>#REF!</v>
      </c>
      <c r="Q1408" s="1009" t="e">
        <f t="shared" si="497"/>
        <v>#REF!</v>
      </c>
      <c r="R1408" s="1009" t="e">
        <f t="shared" si="497"/>
        <v>#REF!</v>
      </c>
      <c r="S1408" s="1009" t="e">
        <f t="shared" si="497"/>
        <v>#REF!</v>
      </c>
      <c r="T1408" s="1009" t="e">
        <f>T1404/T1405*100</f>
        <v>#REF!</v>
      </c>
      <c r="U1408" s="1007"/>
      <c r="V1408" s="1007"/>
      <c r="W1408" s="936"/>
      <c r="X1408" s="937"/>
      <c r="Y1408" s="937"/>
      <c r="Z1408" s="937"/>
      <c r="AA1408" s="937"/>
      <c r="AB1408" s="937"/>
      <c r="AC1408" s="937"/>
    </row>
    <row r="1409" spans="1:29" s="1189" customFormat="1" ht="21" hidden="1">
      <c r="A1409" s="1080"/>
      <c r="B1409" s="1292" t="s">
        <v>796</v>
      </c>
      <c r="C1409" s="1080"/>
      <c r="D1409" s="1080"/>
      <c r="E1409" s="1080"/>
      <c r="F1409" s="1080"/>
      <c r="G1409" s="1080"/>
      <c r="H1409" s="1079"/>
      <c r="I1409" s="1079"/>
      <c r="J1409" s="1079"/>
      <c r="K1409" s="1079"/>
      <c r="L1409" s="1079"/>
      <c r="M1409" s="1079"/>
      <c r="N1409" s="1079"/>
      <c r="O1409" s="1079"/>
      <c r="P1409" s="1079"/>
      <c r="Q1409" s="1079"/>
      <c r="R1409" s="1079"/>
      <c r="S1409" s="1079"/>
      <c r="T1409" s="1079"/>
      <c r="U1409" s="1079"/>
      <c r="V1409" s="1079"/>
      <c r="W1409" s="1188"/>
    </row>
    <row r="1410" spans="1:29" ht="21" hidden="1">
      <c r="A1410" s="964"/>
      <c r="B1410" s="1292" t="s">
        <v>797</v>
      </c>
      <c r="C1410" s="1031"/>
      <c r="D1410" s="964"/>
      <c r="E1410" s="984"/>
      <c r="F1410" s="964"/>
      <c r="G1410" s="1014"/>
      <c r="H1410" s="966"/>
      <c r="I1410" s="966"/>
      <c r="J1410" s="966"/>
      <c r="K1410" s="966"/>
      <c r="L1410" s="966"/>
      <c r="M1410" s="966"/>
      <c r="N1410" s="966"/>
      <c r="O1410" s="966"/>
      <c r="P1410" s="966"/>
      <c r="Q1410" s="1154"/>
      <c r="R1410" s="966"/>
      <c r="S1410" s="966"/>
      <c r="T1410" s="966">
        <f>SUM(H1410:S1410)</f>
        <v>0</v>
      </c>
      <c r="U1410" s="966">
        <f>T1410*E1410</f>
        <v>0</v>
      </c>
      <c r="V1410" s="966">
        <f>G1410*T1410</f>
        <v>0</v>
      </c>
      <c r="W1410" s="954"/>
      <c r="X1410" s="954"/>
      <c r="Y1410" s="954"/>
      <c r="Z1410" s="954"/>
      <c r="AA1410" s="954"/>
      <c r="AB1410" s="954"/>
      <c r="AC1410" s="954"/>
    </row>
    <row r="1411" spans="1:29" ht="21" hidden="1">
      <c r="A1411" s="1011"/>
      <c r="B1411" s="1293"/>
      <c r="C1411" s="1031" t="s">
        <v>789</v>
      </c>
      <c r="D1411" s="964" t="s">
        <v>90</v>
      </c>
      <c r="E1411" s="1336">
        <v>3.6</v>
      </c>
      <c r="F1411" s="964"/>
      <c r="G1411" s="1014"/>
      <c r="H1411" s="981">
        <v>143320</v>
      </c>
      <c r="I1411" s="981">
        <v>152960</v>
      </c>
      <c r="J1411" s="981">
        <v>146200</v>
      </c>
      <c r="K1411" s="981">
        <v>187160</v>
      </c>
      <c r="L1411" s="981">
        <v>170640</v>
      </c>
      <c r="M1411" s="981">
        <v>191080</v>
      </c>
      <c r="N1411" s="981">
        <v>158320</v>
      </c>
      <c r="O1411" s="981">
        <v>198200</v>
      </c>
      <c r="P1411" s="981">
        <v>176120</v>
      </c>
      <c r="Q1411" s="981">
        <v>171200</v>
      </c>
      <c r="R1411" s="981">
        <f>[15]EII!$F$14</f>
        <v>0</v>
      </c>
      <c r="S1411" s="981">
        <f>[15]EII!$F$15</f>
        <v>0</v>
      </c>
      <c r="T1411" s="966">
        <f>SUM(H1411:S1411)</f>
        <v>1695200</v>
      </c>
      <c r="U1411" s="966"/>
      <c r="V1411" s="966"/>
      <c r="W1411" s="954"/>
      <c r="X1411" s="954"/>
      <c r="Y1411" s="954"/>
      <c r="Z1411" s="954"/>
      <c r="AA1411" s="954"/>
      <c r="AB1411" s="954"/>
      <c r="AC1411" s="954"/>
    </row>
    <row r="1412" spans="1:29" ht="21" hidden="1">
      <c r="A1412" s="1011"/>
      <c r="B1412" s="1011"/>
      <c r="C1412" s="1295"/>
      <c r="D1412" s="1011"/>
      <c r="E1412" s="1011" t="s">
        <v>798</v>
      </c>
      <c r="F1412" s="1011" t="s">
        <v>799</v>
      </c>
      <c r="G1412" s="1011"/>
      <c r="H1412" s="1056"/>
      <c r="I1412" s="1056"/>
      <c r="J1412" s="1056"/>
      <c r="K1412" s="1056"/>
      <c r="L1412" s="1056"/>
      <c r="M1412" s="1056"/>
      <c r="N1412" s="1056"/>
      <c r="O1412" s="1056"/>
      <c r="P1412" s="1056"/>
      <c r="Q1412" s="1296"/>
      <c r="R1412" s="1056"/>
      <c r="S1412" s="1056"/>
      <c r="T1412" s="987"/>
      <c r="U1412" s="1056">
        <f>SUM(U1410:U1411)</f>
        <v>0</v>
      </c>
      <c r="V1412" s="981">
        <f>SUM(V1410:V1411)</f>
        <v>0</v>
      </c>
      <c r="W1412" s="936"/>
      <c r="X1412" s="937"/>
      <c r="Y1412" s="937"/>
      <c r="Z1412" s="937"/>
      <c r="AA1412" s="937"/>
      <c r="AB1412" s="937"/>
      <c r="AC1412" s="937"/>
    </row>
    <row r="1413" spans="1:29" ht="21" hidden="1">
      <c r="A1413" s="1011"/>
      <c r="B1413" s="989"/>
      <c r="C1413" s="990" t="s">
        <v>800</v>
      </c>
      <c r="D1413" s="989" t="s">
        <v>801</v>
      </c>
      <c r="E1413" s="989">
        <f>536+100</f>
        <v>636</v>
      </c>
      <c r="F1413" s="989">
        <f>483+90</f>
        <v>573</v>
      </c>
      <c r="G1413" s="1011"/>
      <c r="H1413" s="994">
        <f>$E$1413</f>
        <v>636</v>
      </c>
      <c r="I1413" s="994">
        <f t="shared" ref="I1413:Q1413" si="498">$E$1413</f>
        <v>636</v>
      </c>
      <c r="J1413" s="994">
        <f t="shared" si="498"/>
        <v>636</v>
      </c>
      <c r="K1413" s="994">
        <f t="shared" si="498"/>
        <v>636</v>
      </c>
      <c r="L1413" s="994">
        <f t="shared" si="498"/>
        <v>636</v>
      </c>
      <c r="M1413" s="994">
        <f t="shared" si="498"/>
        <v>636</v>
      </c>
      <c r="N1413" s="994">
        <f t="shared" si="498"/>
        <v>636</v>
      </c>
      <c r="O1413" s="994">
        <f t="shared" si="498"/>
        <v>636</v>
      </c>
      <c r="P1413" s="994">
        <f t="shared" si="498"/>
        <v>636</v>
      </c>
      <c r="Q1413" s="994">
        <f t="shared" si="498"/>
        <v>636</v>
      </c>
      <c r="R1413" s="1297"/>
      <c r="S1413" s="994"/>
      <c r="T1413" s="996">
        <f>SUM(H1413:S1413)</f>
        <v>6360</v>
      </c>
      <c r="U1413" s="995"/>
      <c r="V1413" s="1026">
        <f>V1412/T1413</f>
        <v>0</v>
      </c>
      <c r="W1413" s="936"/>
      <c r="X1413" s="937"/>
      <c r="Y1413" s="937"/>
      <c r="Z1413" s="937"/>
      <c r="AA1413" s="937"/>
      <c r="AB1413" s="937"/>
      <c r="AC1413" s="937"/>
    </row>
    <row r="1414" spans="1:29" ht="21" hidden="1">
      <c r="A1414" s="1011"/>
      <c r="B1414" s="1011"/>
      <c r="C1414" s="990" t="s">
        <v>513</v>
      </c>
      <c r="D1414" s="989" t="s">
        <v>514</v>
      </c>
      <c r="E1414" s="1337">
        <v>11300</v>
      </c>
      <c r="F1414" s="1011"/>
      <c r="G1414" s="1011"/>
      <c r="H1414" s="981"/>
      <c r="I1414" s="981"/>
      <c r="J1414" s="981"/>
      <c r="K1414" s="981"/>
      <c r="L1414" s="981"/>
      <c r="M1414" s="981"/>
      <c r="N1414" s="981"/>
      <c r="O1414" s="981"/>
      <c r="P1414" s="981"/>
      <c r="Q1414" s="1185"/>
      <c r="R1414" s="981"/>
      <c r="S1414" s="981"/>
      <c r="T1414" s="981"/>
      <c r="U1414" s="981"/>
      <c r="V1414" s="997" t="s">
        <v>137</v>
      </c>
      <c r="W1414" s="936"/>
      <c r="X1414" s="937"/>
      <c r="Y1414" s="937"/>
      <c r="Z1414" s="937"/>
      <c r="AA1414" s="937"/>
      <c r="AB1414" s="937"/>
      <c r="AC1414" s="937"/>
    </row>
    <row r="1415" spans="1:29" ht="21" hidden="1">
      <c r="A1415" s="1011"/>
      <c r="B1415" s="1011"/>
      <c r="C1415" s="1031" t="s">
        <v>790</v>
      </c>
      <c r="D1415" s="1011" t="s">
        <v>173</v>
      </c>
      <c r="E1415" s="964"/>
      <c r="F1415" s="964"/>
      <c r="G1415" s="1011"/>
      <c r="H1415" s="981">
        <f>H1411*$E$1411/1000</f>
        <v>515.952</v>
      </c>
      <c r="I1415" s="981">
        <f t="shared" ref="I1415:M1415" si="499">I1411*$E$1411/1000</f>
        <v>550.65599999999995</v>
      </c>
      <c r="J1415" s="981">
        <f t="shared" si="499"/>
        <v>526.32000000000005</v>
      </c>
      <c r="K1415" s="981">
        <f t="shared" si="499"/>
        <v>673.77599999999995</v>
      </c>
      <c r="L1415" s="981">
        <f t="shared" si="499"/>
        <v>614.30399999999997</v>
      </c>
      <c r="M1415" s="981">
        <f t="shared" si="499"/>
        <v>687.88800000000003</v>
      </c>
      <c r="N1415" s="981">
        <f>N1411*$E$1411/1000</f>
        <v>569.952</v>
      </c>
      <c r="O1415" s="981">
        <f>O1411*$E$1411/1000</f>
        <v>713.52</v>
      </c>
      <c r="P1415" s="981">
        <f>P1411*$E$1411/1000</f>
        <v>634.03200000000004</v>
      </c>
      <c r="Q1415" s="981">
        <f>Q1411*$E$1411/1000</f>
        <v>616.32000000000005</v>
      </c>
      <c r="R1415" s="981"/>
      <c r="S1415" s="981"/>
      <c r="T1415" s="981">
        <f>SUM(H1415:S1415)</f>
        <v>6102.72</v>
      </c>
      <c r="U1415" s="981"/>
      <c r="V1415" s="981"/>
      <c r="W1415" s="936"/>
      <c r="X1415" s="937"/>
      <c r="Y1415" s="937"/>
      <c r="Z1415" s="937"/>
      <c r="AA1415" s="937"/>
      <c r="AB1415" s="937"/>
      <c r="AC1415" s="937"/>
    </row>
    <row r="1416" spans="1:29" ht="21" hidden="1">
      <c r="A1416" s="1011"/>
      <c r="B1416" s="964"/>
      <c r="C1416" s="983" t="s">
        <v>791</v>
      </c>
      <c r="D1416" s="964" t="s">
        <v>173</v>
      </c>
      <c r="E1416" s="1338">
        <f>[11]GA!F30</f>
        <v>35.969533099046117</v>
      </c>
      <c r="F1416" s="1298" t="s">
        <v>802</v>
      </c>
      <c r="G1416" s="1011"/>
      <c r="H1416" s="981">
        <f>H1413*$E$1416*31/1000</f>
        <v>709.17531458079327</v>
      </c>
      <c r="I1416" s="981">
        <f>I1413*$E$1416*28/1000</f>
        <v>640.54544542781321</v>
      </c>
      <c r="J1416" s="981">
        <f t="shared" ref="J1416:Q1416" si="500">J1413*$E$1416*31/1000</f>
        <v>709.17531458079327</v>
      </c>
      <c r="K1416" s="981">
        <f t="shared" si="500"/>
        <v>709.17531458079327</v>
      </c>
      <c r="L1416" s="981">
        <f t="shared" si="500"/>
        <v>709.17531458079327</v>
      </c>
      <c r="M1416" s="981">
        <f t="shared" si="500"/>
        <v>709.17531458079327</v>
      </c>
      <c r="N1416" s="981">
        <f t="shared" si="500"/>
        <v>709.17531458079327</v>
      </c>
      <c r="O1416" s="981">
        <f t="shared" si="500"/>
        <v>709.17531458079327</v>
      </c>
      <c r="P1416" s="981">
        <f t="shared" si="500"/>
        <v>709.17531458079327</v>
      </c>
      <c r="Q1416" s="981">
        <f t="shared" si="500"/>
        <v>709.17531458079327</v>
      </c>
      <c r="R1416" s="981"/>
      <c r="S1416" s="981"/>
      <c r="T1416" s="981">
        <f>SUM(H1416:S1416)</f>
        <v>7023.1232766549529</v>
      </c>
      <c r="U1416" s="981"/>
      <c r="V1416" s="1033"/>
      <c r="W1416" s="936"/>
      <c r="X1416" s="937"/>
      <c r="Y1416" s="937"/>
      <c r="Z1416" s="937"/>
      <c r="AA1416" s="937"/>
      <c r="AB1416" s="937"/>
      <c r="AC1416" s="937"/>
    </row>
    <row r="1417" spans="1:29" ht="21" hidden="1">
      <c r="A1417" s="1011"/>
      <c r="B1417" s="1003" t="s">
        <v>174</v>
      </c>
      <c r="C1417" s="1004" t="s">
        <v>790</v>
      </c>
      <c r="D1417" s="1003" t="s">
        <v>803</v>
      </c>
      <c r="E1417" s="1003"/>
      <c r="F1417" s="1003"/>
      <c r="G1417" s="1011"/>
      <c r="H1417" s="1006">
        <f>H1415/H1413/31</f>
        <v>2.6169202678027997E-2</v>
      </c>
      <c r="I1417" s="1006">
        <f>I1415/I1413/28</f>
        <v>3.0921832884097031E-2</v>
      </c>
      <c r="J1417" s="1006">
        <f>J1415/J1413/31</f>
        <v>2.6695069993913575E-2</v>
      </c>
      <c r="K1417" s="1006">
        <f>K1415/K1413/30</f>
        <v>3.5313207547169809E-2</v>
      </c>
      <c r="L1417" s="1006">
        <f>L1415/L1413/31</f>
        <v>3.1157638466220328E-2</v>
      </c>
      <c r="M1417" s="1006">
        <f>M1415/M1413/30</f>
        <v>3.6052830188679247E-2</v>
      </c>
      <c r="N1417" s="1006">
        <f t="shared" ref="N1417" si="501">N1415/N1413</f>
        <v>0.89615094339622636</v>
      </c>
      <c r="O1417" s="1006">
        <f>O1415/O1413/31</f>
        <v>3.6189896530736461E-2</v>
      </c>
      <c r="P1417" s="1006">
        <f>P1415/P1413/30</f>
        <v>3.3230188679245286E-2</v>
      </c>
      <c r="Q1417" s="1006">
        <f>Q1415/Q1413/31</f>
        <v>3.1259890444309192E-2</v>
      </c>
      <c r="R1417" s="1006" t="e">
        <f>R1415/R1413/30</f>
        <v>#DIV/0!</v>
      </c>
      <c r="S1417" s="1006" t="e">
        <f>S1415/S1413/31</f>
        <v>#DIV/0!</v>
      </c>
      <c r="T1417" s="1006">
        <f>T1415/T1413/31</f>
        <v>3.0953134510042606E-2</v>
      </c>
      <c r="U1417" s="1007"/>
      <c r="V1417" s="1007"/>
      <c r="W1417" s="936"/>
      <c r="X1417" s="937"/>
      <c r="Y1417" s="937"/>
      <c r="Z1417" s="937"/>
      <c r="AA1417" s="937"/>
      <c r="AB1417" s="937"/>
      <c r="AC1417" s="937"/>
    </row>
    <row r="1418" spans="1:29" ht="23.25" hidden="1">
      <c r="A1418" s="1011"/>
      <c r="B1418" s="1003"/>
      <c r="C1418" s="1008"/>
      <c r="D1418" s="1003" t="s">
        <v>804</v>
      </c>
      <c r="E1418" s="1003"/>
      <c r="F1418" s="1003"/>
      <c r="G1418" s="1011"/>
      <c r="H1418" s="1006">
        <f>H1411/$E$1414</f>
        <v>12.683185840707965</v>
      </c>
      <c r="I1418" s="1006">
        <f t="shared" ref="I1418:S1418" si="502">I1411/$E$1414</f>
        <v>13.536283185840707</v>
      </c>
      <c r="J1418" s="1006">
        <f t="shared" si="502"/>
        <v>12.938053097345133</v>
      </c>
      <c r="K1418" s="1006">
        <f t="shared" si="502"/>
        <v>16.56283185840708</v>
      </c>
      <c r="L1418" s="1006">
        <f t="shared" si="502"/>
        <v>15.100884955752212</v>
      </c>
      <c r="M1418" s="1006">
        <f t="shared" si="502"/>
        <v>16.909734513274337</v>
      </c>
      <c r="N1418" s="1006">
        <f t="shared" si="502"/>
        <v>14.010619469026549</v>
      </c>
      <c r="O1418" s="1006">
        <f t="shared" si="502"/>
        <v>17.539823008849556</v>
      </c>
      <c r="P1418" s="1006">
        <f t="shared" si="502"/>
        <v>15.585840707964602</v>
      </c>
      <c r="Q1418" s="1006">
        <f t="shared" si="502"/>
        <v>15.150442477876107</v>
      </c>
      <c r="R1418" s="1006">
        <f t="shared" si="502"/>
        <v>0</v>
      </c>
      <c r="S1418" s="1006">
        <f t="shared" si="502"/>
        <v>0</v>
      </c>
      <c r="T1418" s="1021"/>
      <c r="U1418" s="1007"/>
      <c r="V1418" s="1007"/>
      <c r="W1418" s="936"/>
      <c r="X1418" s="937"/>
      <c r="Y1418" s="937"/>
      <c r="Z1418" s="937"/>
      <c r="AA1418" s="937"/>
      <c r="AB1418" s="937"/>
      <c r="AC1418" s="937"/>
    </row>
    <row r="1419" spans="1:29" ht="21" hidden="1">
      <c r="A1419" s="1011"/>
      <c r="B1419" s="1003"/>
      <c r="C1419" s="1008" t="s">
        <v>805</v>
      </c>
      <c r="D1419" s="1003" t="s">
        <v>401</v>
      </c>
      <c r="E1419" s="1003"/>
      <c r="F1419" s="1003"/>
      <c r="G1419" s="1011"/>
      <c r="H1419" s="1009">
        <f>H1415/H1416*100</f>
        <v>72.753801407341541</v>
      </c>
      <c r="I1419" s="1009">
        <f t="shared" ref="I1419:T1419" si="503">I1415/I1416*100</f>
        <v>85.966734121764446</v>
      </c>
      <c r="J1419" s="1009">
        <f t="shared" si="503"/>
        <v>74.215781229091093</v>
      </c>
      <c r="K1419" s="1009">
        <f t="shared" si="503"/>
        <v>95.008383138417827</v>
      </c>
      <c r="L1419" s="1009">
        <f t="shared" si="503"/>
        <v>86.622304438660066</v>
      </c>
      <c r="M1419" s="1009">
        <f t="shared" si="503"/>
        <v>96.998300118021376</v>
      </c>
      <c r="N1419" s="1009">
        <f t="shared" si="503"/>
        <v>80.36827964562039</v>
      </c>
      <c r="O1419" s="1009">
        <f t="shared" si="503"/>
        <v>100.61263912179106</v>
      </c>
      <c r="P1419" s="1009">
        <f t="shared" si="503"/>
        <v>89.404127155044606</v>
      </c>
      <c r="Q1419" s="1009">
        <f t="shared" si="503"/>
        <v>86.906578292889165</v>
      </c>
      <c r="R1419" s="1009" t="e">
        <f t="shared" si="503"/>
        <v>#DIV/0!</v>
      </c>
      <c r="S1419" s="1009" t="e">
        <f t="shared" si="503"/>
        <v>#DIV/0!</v>
      </c>
      <c r="T1419" s="1009">
        <f t="shared" si="503"/>
        <v>86.894672919747862</v>
      </c>
      <c r="U1419" s="1007"/>
      <c r="V1419" s="1007"/>
      <c r="W1419" s="936"/>
      <c r="X1419" s="937"/>
      <c r="Y1419" s="937"/>
      <c r="Z1419" s="937"/>
      <c r="AA1419" s="937"/>
      <c r="AB1419" s="937"/>
      <c r="AC1419" s="937"/>
    </row>
    <row r="1420" spans="1:29" ht="21" hidden="1">
      <c r="A1420" s="1112"/>
      <c r="B1420" s="1305"/>
      <c r="C1420" s="1008" t="s">
        <v>806</v>
      </c>
      <c r="D1420" s="1003"/>
      <c r="E1420" s="1003"/>
      <c r="F1420" s="1003"/>
      <c r="G1420" s="1011"/>
      <c r="H1420" s="1110">
        <f>H1415</f>
        <v>515.952</v>
      </c>
      <c r="I1420" s="1110">
        <f t="shared" ref="I1420:S1421" si="504">I1415</f>
        <v>550.65599999999995</v>
      </c>
      <c r="J1420" s="1110">
        <f t="shared" si="504"/>
        <v>526.32000000000005</v>
      </c>
      <c r="K1420" s="1110">
        <f t="shared" si="504"/>
        <v>673.77599999999995</v>
      </c>
      <c r="L1420" s="1110">
        <f t="shared" si="504"/>
        <v>614.30399999999997</v>
      </c>
      <c r="M1420" s="1110">
        <f t="shared" si="504"/>
        <v>687.88800000000003</v>
      </c>
      <c r="N1420" s="1110">
        <f t="shared" si="504"/>
        <v>569.952</v>
      </c>
      <c r="O1420" s="1110">
        <f t="shared" si="504"/>
        <v>713.52</v>
      </c>
      <c r="P1420" s="1110">
        <f t="shared" si="504"/>
        <v>634.03200000000004</v>
      </c>
      <c r="Q1420" s="1110">
        <f t="shared" si="504"/>
        <v>616.32000000000005</v>
      </c>
      <c r="R1420" s="1110">
        <f t="shared" si="504"/>
        <v>0</v>
      </c>
      <c r="S1420" s="1110">
        <f t="shared" si="504"/>
        <v>0</v>
      </c>
      <c r="T1420" s="1009"/>
      <c r="U1420" s="1308"/>
      <c r="V1420" s="1308"/>
      <c r="W1420" s="936"/>
      <c r="X1420" s="937"/>
      <c r="Y1420" s="937"/>
      <c r="Z1420" s="937"/>
      <c r="AA1420" s="937"/>
      <c r="AB1420" s="937"/>
      <c r="AC1420" s="937"/>
    </row>
    <row r="1421" spans="1:29" ht="21" hidden="1">
      <c r="A1421" s="1112"/>
      <c r="B1421" s="1305"/>
      <c r="C1421" s="1008" t="s">
        <v>736</v>
      </c>
      <c r="D1421" s="1003"/>
      <c r="E1421" s="1003"/>
      <c r="F1421" s="1003"/>
      <c r="G1421" s="1011"/>
      <c r="H1421" s="1110">
        <f>H1416</f>
        <v>709.17531458079327</v>
      </c>
      <c r="I1421" s="1110">
        <f t="shared" si="504"/>
        <v>640.54544542781321</v>
      </c>
      <c r="J1421" s="1110">
        <f t="shared" si="504"/>
        <v>709.17531458079327</v>
      </c>
      <c r="K1421" s="1110">
        <f t="shared" si="504"/>
        <v>709.17531458079327</v>
      </c>
      <c r="L1421" s="1110">
        <f t="shared" si="504"/>
        <v>709.17531458079327</v>
      </c>
      <c r="M1421" s="1110">
        <f t="shared" si="504"/>
        <v>709.17531458079327</v>
      </c>
      <c r="N1421" s="1110">
        <f t="shared" si="504"/>
        <v>709.17531458079327</v>
      </c>
      <c r="O1421" s="1110">
        <f t="shared" si="504"/>
        <v>709.17531458079327</v>
      </c>
      <c r="P1421" s="1110">
        <f t="shared" si="504"/>
        <v>709.17531458079327</v>
      </c>
      <c r="Q1421" s="1110">
        <f t="shared" si="504"/>
        <v>709.17531458079327</v>
      </c>
      <c r="R1421" s="1110">
        <f t="shared" si="504"/>
        <v>0</v>
      </c>
      <c r="S1421" s="1110">
        <f t="shared" si="504"/>
        <v>0</v>
      </c>
      <c r="T1421" s="1009"/>
      <c r="U1421" s="1308"/>
      <c r="V1421" s="1308"/>
      <c r="W1421" s="936"/>
      <c r="X1421" s="937"/>
      <c r="Y1421" s="937"/>
      <c r="Z1421" s="937"/>
      <c r="AA1421" s="937"/>
      <c r="AB1421" s="937"/>
      <c r="AC1421" s="937"/>
    </row>
    <row r="1422" spans="1:29" s="1189" customFormat="1" ht="21.75" hidden="1" thickBot="1">
      <c r="A1422" s="1080"/>
      <c r="B1422" s="1080"/>
      <c r="C1422" s="1008" t="s">
        <v>807</v>
      </c>
      <c r="D1422" s="1003" t="s">
        <v>401</v>
      </c>
      <c r="E1422" s="1003"/>
      <c r="F1422" s="1003"/>
      <c r="G1422" s="1011"/>
      <c r="H1422" s="1333">
        <f>H1420/H1421*100</f>
        <v>72.753801407341541</v>
      </c>
      <c r="I1422" s="1333">
        <f>(H1420+I1420)/(H1421+I1421)*100</f>
        <v>79.024345746389699</v>
      </c>
      <c r="J1422" s="1333">
        <f>(H1420+I1420+J1420)/(H1421+I1421+J1421)*100</f>
        <v>77.368062412653515</v>
      </c>
      <c r="K1422" s="1333">
        <f>(H1420+I1420+J1420+K1420)/(H1421+I1421+J1421+K1421)*100</f>
        <v>81.887483425039392</v>
      </c>
      <c r="L1422" s="1334">
        <f>(H1420+I1420+J1420+K1420+L1420)/(H1421+I1421+J1421+K1421+L1421)*100</f>
        <v>82.853137710712033</v>
      </c>
      <c r="M1422" s="1333">
        <f>(H1420+I1420+J1420+K1420+L1420+M1420)/(H1421+I1421+J1421+K1421+L1421+M1421)*100</f>
        <v>85.249312763316354</v>
      </c>
      <c r="N1422" s="1333">
        <f>(H1420+I1420+J1420+K1420+L1420+M1420+N1420)/(H1421+I1421+J1421+K1421+L1421+M1421+N1421)*100</f>
        <v>84.542247218229562</v>
      </c>
      <c r="O1422" s="1333">
        <f>(H1420+I1420+J1420+K1420+L1420+M1420+N1420+O1420)/(H1421+I1421+J1421+K1421+L1421+M1421+N1421+O1421)*100</f>
        <v>86.575643744802662</v>
      </c>
      <c r="P1422" s="1333">
        <f>(H1420+I1420+J1420+K1420+L1420+M1420+N1420+O1420+P1420)/(H1421+I1421+J1421+K1421+L1421+M1421+N1421+O1421+P1421)*100</f>
        <v>86.893335722039978</v>
      </c>
      <c r="Q1422" s="1333">
        <f>(H1420+I1420+J1420+K1420+L1420+N1420+M1420+O1420+P1420+Q1420)/(H1421+I1421+J1421+K1421+L1421+M1421+N1421+O1421+P1421+Q1421)*100</f>
        <v>86.894672919747862</v>
      </c>
      <c r="R1422" s="1333">
        <f>(H1420+I1420+J1420+K1420+L1420+M1420+N1420+O1420+P1420+Q1420+R1420)/(H1421+I1421+J1421+K1421+M1421+L1421+N1421+O1421+P1421+Q1421+R1421)*100</f>
        <v>86.894672919747862</v>
      </c>
      <c r="S1422" s="1335">
        <f>(H1420+I1420+J1420+K1420+L1420+M1420+N1420+O1420+P1420+Q1420+R1420+S1420)/(H1421+I1421+J1421+K1421+L1421+M1421+N1421+O1421+P1421+Q1421+R1421+S1421)*100</f>
        <v>86.894672919747862</v>
      </c>
      <c r="T1422" s="1009">
        <f>T1415/T1416*100</f>
        <v>86.894672919747862</v>
      </c>
      <c r="U1422" s="1079"/>
      <c r="V1422" s="1079"/>
      <c r="W1422" s="1188"/>
    </row>
    <row r="1423" spans="1:29" s="1189" customFormat="1" ht="21" hidden="1">
      <c r="A1423" s="1080"/>
      <c r="B1423" s="1080"/>
      <c r="C1423" s="1193"/>
      <c r="D1423" s="1080"/>
      <c r="E1423" s="1080"/>
      <c r="F1423" s="1080"/>
      <c r="G1423" s="1080"/>
      <c r="H1423" s="1079"/>
      <c r="I1423" s="1079"/>
      <c r="J1423" s="1079"/>
      <c r="K1423" s="1079"/>
      <c r="L1423" s="1079"/>
      <c r="M1423" s="1079"/>
      <c r="N1423" s="1079"/>
      <c r="O1423" s="1079"/>
      <c r="P1423" s="1079"/>
      <c r="Q1423" s="1079"/>
      <c r="R1423" s="1079"/>
      <c r="S1423" s="1079"/>
      <c r="T1423" s="1079"/>
      <c r="U1423" s="1079"/>
      <c r="V1423" s="1079"/>
      <c r="W1423" s="1188"/>
    </row>
    <row r="1424" spans="1:29" s="1189" customFormat="1" ht="21" hidden="1">
      <c r="A1424" s="1080"/>
      <c r="B1424" s="1080"/>
      <c r="C1424" s="1193"/>
      <c r="D1424" s="1080"/>
      <c r="E1424" s="1080"/>
      <c r="F1424" s="1080"/>
      <c r="G1424" s="1080"/>
      <c r="H1424" s="1079"/>
      <c r="I1424" s="1079"/>
      <c r="J1424" s="1079"/>
      <c r="K1424" s="1079"/>
      <c r="L1424" s="1079"/>
      <c r="M1424" s="1079"/>
      <c r="N1424" s="1079"/>
      <c r="O1424" s="1079"/>
      <c r="P1424" s="1079"/>
      <c r="Q1424" s="1079"/>
      <c r="R1424" s="1079"/>
      <c r="S1424" s="1079"/>
      <c r="T1424" s="1079"/>
      <c r="U1424" s="1079"/>
      <c r="V1424" s="1079"/>
      <c r="W1424" s="1188"/>
    </row>
    <row r="1425" spans="1:23" s="1189" customFormat="1" ht="21" hidden="1">
      <c r="A1425" s="1080"/>
      <c r="B1425" s="1080"/>
      <c r="C1425" s="1193"/>
      <c r="D1425" s="1080"/>
      <c r="E1425" s="1080"/>
      <c r="F1425" s="1080"/>
      <c r="G1425" s="1080"/>
      <c r="H1425" s="1079"/>
      <c r="I1425" s="1079"/>
      <c r="J1425" s="1079"/>
      <c r="K1425" s="1079"/>
      <c r="L1425" s="1079"/>
      <c r="M1425" s="1079"/>
      <c r="N1425" s="1079"/>
      <c r="O1425" s="1079"/>
      <c r="P1425" s="1079"/>
      <c r="Q1425" s="1079"/>
      <c r="R1425" s="1079"/>
      <c r="S1425" s="1079"/>
      <c r="T1425" s="1079"/>
      <c r="U1425" s="1079"/>
      <c r="V1425" s="1079"/>
      <c r="W1425" s="1188"/>
    </row>
    <row r="1426" spans="1:23" s="1189" customFormat="1" ht="21" hidden="1">
      <c r="A1426" s="1080"/>
      <c r="B1426" s="1080"/>
      <c r="C1426" s="1193"/>
      <c r="D1426" s="1080"/>
      <c r="E1426" s="1080"/>
      <c r="F1426" s="1080"/>
      <c r="G1426" s="1080"/>
      <c r="H1426" s="1079"/>
      <c r="I1426" s="1079"/>
      <c r="J1426" s="1079"/>
      <c r="K1426" s="1079"/>
      <c r="L1426" s="1079"/>
      <c r="M1426" s="1079"/>
      <c r="N1426" s="1079"/>
      <c r="O1426" s="1079"/>
      <c r="P1426" s="1079"/>
      <c r="Q1426" s="1079"/>
      <c r="R1426" s="1079"/>
      <c r="S1426" s="1079"/>
      <c r="T1426" s="1079"/>
      <c r="U1426" s="1079"/>
      <c r="V1426" s="1079"/>
      <c r="W1426" s="1188"/>
    </row>
    <row r="1427" spans="1:23" s="1189" customFormat="1" ht="21" hidden="1">
      <c r="A1427" s="1080"/>
      <c r="B1427" s="1080"/>
      <c r="C1427" s="1193"/>
      <c r="D1427" s="1080"/>
      <c r="E1427" s="1080"/>
      <c r="F1427" s="1080"/>
      <c r="G1427" s="1080"/>
      <c r="H1427" s="1079"/>
      <c r="I1427" s="1079"/>
      <c r="J1427" s="1079"/>
      <c r="K1427" s="1079"/>
      <c r="L1427" s="1079"/>
      <c r="M1427" s="1079"/>
      <c r="N1427" s="1079"/>
      <c r="O1427" s="1079"/>
      <c r="P1427" s="1079"/>
      <c r="Q1427" s="1079"/>
      <c r="R1427" s="1079"/>
      <c r="S1427" s="1079"/>
      <c r="T1427" s="1079"/>
      <c r="U1427" s="1079"/>
      <c r="V1427" s="1079"/>
      <c r="W1427" s="1188"/>
    </row>
    <row r="1428" spans="1:23" s="1189" customFormat="1" ht="21" hidden="1">
      <c r="A1428" s="1080"/>
      <c r="B1428" s="1080"/>
      <c r="C1428" s="1193"/>
      <c r="D1428" s="1080"/>
      <c r="E1428" s="1080"/>
      <c r="F1428" s="1080"/>
      <c r="G1428" s="1080"/>
      <c r="H1428" s="1079"/>
      <c r="I1428" s="1079"/>
      <c r="J1428" s="1079"/>
      <c r="K1428" s="1079"/>
      <c r="L1428" s="1079"/>
      <c r="M1428" s="1079"/>
      <c r="N1428" s="1079"/>
      <c r="O1428" s="1079"/>
      <c r="P1428" s="1079"/>
      <c r="Q1428" s="1079"/>
      <c r="R1428" s="1079"/>
      <c r="S1428" s="1079"/>
      <c r="T1428" s="1079"/>
      <c r="U1428" s="1079"/>
      <c r="V1428" s="1079"/>
      <c r="W1428" s="1188"/>
    </row>
    <row r="1429" spans="1:23" s="1189" customFormat="1" ht="21" hidden="1">
      <c r="A1429" s="1080"/>
      <c r="B1429" s="1080"/>
      <c r="C1429" s="1193"/>
      <c r="D1429" s="1080"/>
      <c r="E1429" s="1080"/>
      <c r="F1429" s="1080"/>
      <c r="G1429" s="1080"/>
      <c r="H1429" s="1079"/>
      <c r="I1429" s="1079"/>
      <c r="J1429" s="1079"/>
      <c r="K1429" s="1079"/>
      <c r="L1429" s="1079"/>
      <c r="M1429" s="1079"/>
      <c r="N1429" s="1079"/>
      <c r="O1429" s="1079"/>
      <c r="P1429" s="1079"/>
      <c r="Q1429" s="1079"/>
      <c r="R1429" s="1079"/>
      <c r="S1429" s="1079"/>
      <c r="T1429" s="1079"/>
      <c r="U1429" s="1079"/>
      <c r="V1429" s="1079"/>
      <c r="W1429" s="1188"/>
    </row>
    <row r="1430" spans="1:23" s="1189" customFormat="1" ht="21" hidden="1">
      <c r="A1430" s="1080"/>
      <c r="B1430" s="1080"/>
      <c r="C1430" s="1193"/>
      <c r="D1430" s="1080"/>
      <c r="E1430" s="1080"/>
      <c r="F1430" s="1080"/>
      <c r="G1430" s="1080"/>
      <c r="H1430" s="1079"/>
      <c r="I1430" s="1079"/>
      <c r="J1430" s="1079"/>
      <c r="K1430" s="1079"/>
      <c r="L1430" s="1079"/>
      <c r="M1430" s="1079"/>
      <c r="N1430" s="1079"/>
      <c r="O1430" s="1079"/>
      <c r="P1430" s="1079"/>
      <c r="Q1430" s="1079"/>
      <c r="R1430" s="1079"/>
      <c r="S1430" s="1079"/>
      <c r="T1430" s="1079"/>
      <c r="U1430" s="1079"/>
      <c r="V1430" s="1079"/>
      <c r="W1430" s="1188"/>
    </row>
    <row r="1431" spans="1:23" ht="34.5" hidden="1" customHeight="1">
      <c r="A1431" s="937"/>
      <c r="B1431" s="937"/>
      <c r="C1431" s="939"/>
      <c r="D1431" s="937"/>
      <c r="E1431" s="937"/>
      <c r="F1431" s="937"/>
      <c r="G1431" s="937"/>
      <c r="H1431" s="936"/>
      <c r="I1431" s="936"/>
      <c r="J1431" s="936"/>
      <c r="K1431" s="936"/>
      <c r="L1431" s="936"/>
      <c r="M1431" s="936"/>
      <c r="N1431" s="936"/>
      <c r="O1431" s="936"/>
      <c r="P1431" s="936"/>
      <c r="Q1431" s="936"/>
      <c r="R1431" s="936"/>
      <c r="S1431" s="936"/>
      <c r="T1431" s="936"/>
      <c r="U1431" s="936"/>
      <c r="V1431" s="936"/>
      <c r="W1431" s="936"/>
    </row>
    <row r="1432" spans="1:23" ht="25.5" hidden="1" customHeight="1">
      <c r="A1432" s="1339" t="s">
        <v>808</v>
      </c>
      <c r="B1432" s="1229"/>
      <c r="C1432" s="1340"/>
      <c r="D1432" s="1229"/>
      <c r="E1432" s="1229"/>
      <c r="F1432" s="1229"/>
      <c r="G1432" s="1229"/>
      <c r="H1432" s="1230"/>
      <c r="I1432" s="1230"/>
      <c r="J1432" s="1230"/>
      <c r="K1432" s="1230"/>
      <c r="L1432" s="1230"/>
      <c r="M1432" s="1230"/>
      <c r="N1432" s="1230"/>
      <c r="O1432" s="1230"/>
      <c r="P1432" s="1230"/>
      <c r="Q1432" s="1230"/>
      <c r="R1432" s="1230"/>
      <c r="S1432" s="1230"/>
      <c r="T1432" s="1230"/>
      <c r="U1432" s="1230"/>
      <c r="V1432" s="1341"/>
      <c r="W1432" s="936"/>
    </row>
    <row r="1433" spans="1:23" ht="21" hidden="1">
      <c r="A1433" s="1342"/>
      <c r="B1433" s="1343"/>
      <c r="C1433" s="1344"/>
      <c r="D1433" s="1342"/>
      <c r="E1433" s="1342"/>
      <c r="F1433" s="1342"/>
      <c r="G1433" s="1342"/>
      <c r="H1433" s="1345"/>
      <c r="I1433" s="1345"/>
      <c r="J1433" s="1345"/>
      <c r="K1433" s="1345"/>
      <c r="L1433" s="1345"/>
      <c r="M1433" s="1345"/>
      <c r="N1433" s="1345"/>
      <c r="O1433" s="1345"/>
      <c r="P1433" s="1345"/>
      <c r="Q1433" s="1345"/>
      <c r="R1433" s="1345"/>
      <c r="S1433" s="1345"/>
      <c r="T1433" s="966"/>
      <c r="U1433" s="1345"/>
      <c r="V1433" s="1345"/>
      <c r="W1433" s="936"/>
    </row>
    <row r="1434" spans="1:23" ht="21" hidden="1">
      <c r="A1434" s="964">
        <v>1</v>
      </c>
      <c r="B1434" s="1814" t="s">
        <v>809</v>
      </c>
      <c r="C1434" s="1815"/>
      <c r="D1434" s="964" t="s">
        <v>90</v>
      </c>
      <c r="E1434" s="1346">
        <v>3.6</v>
      </c>
      <c r="F1434" s="964"/>
      <c r="G1434" s="964">
        <v>2.64</v>
      </c>
      <c r="H1434" s="966">
        <f t="shared" ref="H1434:S1434" si="505">H5+H29+H44+H57+H65+H78+H89+H100+H111+H146+H157+H168+H191+H208+H226+H250+H266+H290+H310+H319+H343+H393+H412+H448+H488+H516+H527+H538+H549+H559+H586+H646+H657+H668+H679+H693+H724+H775+H830+H864+H889+H903+H982+H996+H1010+H1024+H1038+H1052+H1068+H1084</f>
        <v>83326197.204090372</v>
      </c>
      <c r="I1434" s="966">
        <f t="shared" si="505"/>
        <v>71856704.516302481</v>
      </c>
      <c r="J1434" s="966">
        <f t="shared" si="505"/>
        <v>71902890.495367244</v>
      </c>
      <c r="K1434" s="966" t="e">
        <f t="shared" si="505"/>
        <v>#DIV/0!</v>
      </c>
      <c r="L1434" s="966" t="e">
        <f t="shared" si="505"/>
        <v>#DIV/0!</v>
      </c>
      <c r="M1434" s="966" t="e">
        <f t="shared" si="505"/>
        <v>#DIV/0!</v>
      </c>
      <c r="N1434" s="966" t="e">
        <f t="shared" si="505"/>
        <v>#DIV/0!</v>
      </c>
      <c r="O1434" s="966" t="e">
        <f t="shared" si="505"/>
        <v>#DIV/0!</v>
      </c>
      <c r="P1434" s="966" t="e">
        <f t="shared" si="505"/>
        <v>#DIV/0!</v>
      </c>
      <c r="Q1434" s="966" t="e">
        <f t="shared" si="505"/>
        <v>#DIV/0!</v>
      </c>
      <c r="R1434" s="966" t="e">
        <f t="shared" si="505"/>
        <v>#DIV/0!</v>
      </c>
      <c r="S1434" s="966" t="e">
        <f t="shared" si="505"/>
        <v>#DIV/0!</v>
      </c>
      <c r="T1434" s="966" t="e">
        <f>T5+T29+T44+T57+T65+T132+T168+T191+T208+T226+T250+T266+T290+T310+T319+T343+T393+T412+T448+T488+#REF!+#REF!+T693+T724+#REF!+#REF!</f>
        <v>#DIV/0!</v>
      </c>
      <c r="U1434" s="966" t="e">
        <f>#REF!+#REF!+U724+U693+#REF!+#REF!+U488+U448+U412+U393+U343+U319+U310+U290+U266+U250+U226+U208+U191+U168+U132+U65+U57+U44+U29+U5</f>
        <v>#REF!</v>
      </c>
      <c r="V1434" s="966" t="e">
        <f>#REF!+#REF!+V724+V693+#REF!+#REF!+V488+V448+V412+V393+V343+V319+V310+V290+V266+V250+V226+V208+V191+V168+V132+V65+V57+V44+V29+V5</f>
        <v>#REF!</v>
      </c>
      <c r="W1434" s="936"/>
    </row>
    <row r="1435" spans="1:23" ht="21" hidden="1">
      <c r="A1435" s="964"/>
      <c r="B1435" s="1347" t="s">
        <v>810</v>
      </c>
      <c r="C1435" s="1348"/>
      <c r="D1435" s="964" t="s">
        <v>90</v>
      </c>
      <c r="E1435" s="1346">
        <v>3.6</v>
      </c>
      <c r="F1435" s="964"/>
      <c r="G1435" s="964">
        <v>2.64</v>
      </c>
      <c r="H1435" s="966" t="e">
        <f>H1436+H1439</f>
        <v>#REF!</v>
      </c>
      <c r="I1435" s="966" t="e">
        <f t="shared" ref="I1435:S1435" si="506">I1436+I1439</f>
        <v>#REF!</v>
      </c>
      <c r="J1435" s="966" t="e">
        <f t="shared" si="506"/>
        <v>#REF!</v>
      </c>
      <c r="K1435" s="966" t="e">
        <f t="shared" si="506"/>
        <v>#REF!</v>
      </c>
      <c r="L1435" s="966" t="e">
        <f t="shared" si="506"/>
        <v>#REF!</v>
      </c>
      <c r="M1435" s="966" t="e">
        <f t="shared" si="506"/>
        <v>#REF!</v>
      </c>
      <c r="N1435" s="966" t="e">
        <f t="shared" si="506"/>
        <v>#REF!</v>
      </c>
      <c r="O1435" s="966" t="e">
        <f t="shared" si="506"/>
        <v>#REF!</v>
      </c>
      <c r="P1435" s="966" t="e">
        <f t="shared" si="506"/>
        <v>#REF!</v>
      </c>
      <c r="Q1435" s="966" t="e">
        <f t="shared" si="506"/>
        <v>#REF!</v>
      </c>
      <c r="R1435" s="966" t="e">
        <f t="shared" si="506"/>
        <v>#REF!</v>
      </c>
      <c r="S1435" s="966" t="e">
        <f t="shared" si="506"/>
        <v>#REF!</v>
      </c>
      <c r="T1435" s="966" t="e">
        <f t="shared" ref="T1435:T1445" si="507">SUM(H1435:S1435)</f>
        <v>#REF!</v>
      </c>
      <c r="U1435" s="966" t="e">
        <f t="shared" ref="U1435:U1442" si="508">T1435*E1435</f>
        <v>#REF!</v>
      </c>
      <c r="V1435" s="966" t="e">
        <f t="shared" ref="V1435:V1442" si="509">T1435*G1435</f>
        <v>#REF!</v>
      </c>
      <c r="W1435" s="936"/>
    </row>
    <row r="1436" spans="1:23" ht="21" hidden="1">
      <c r="A1436" s="964"/>
      <c r="B1436" s="1349" t="s">
        <v>811</v>
      </c>
      <c r="C1436" s="1350"/>
      <c r="D1436" s="1085" t="s">
        <v>90</v>
      </c>
      <c r="E1436" s="1351">
        <v>3.6</v>
      </c>
      <c r="F1436" s="1085"/>
      <c r="G1436" s="1085">
        <v>2.64</v>
      </c>
      <c r="H1436" s="1352" t="e">
        <f>H1437+H1438</f>
        <v>#REF!</v>
      </c>
      <c r="I1436" s="1352" t="e">
        <f t="shared" ref="I1436:S1436" si="510">I1437+I1438</f>
        <v>#REF!</v>
      </c>
      <c r="J1436" s="1352" t="e">
        <f t="shared" si="510"/>
        <v>#REF!</v>
      </c>
      <c r="K1436" s="1352" t="e">
        <f t="shared" si="510"/>
        <v>#REF!</v>
      </c>
      <c r="L1436" s="1352" t="e">
        <f t="shared" si="510"/>
        <v>#REF!</v>
      </c>
      <c r="M1436" s="1352" t="e">
        <f t="shared" si="510"/>
        <v>#REF!</v>
      </c>
      <c r="N1436" s="1352" t="e">
        <f t="shared" si="510"/>
        <v>#REF!</v>
      </c>
      <c r="O1436" s="1352" t="e">
        <f t="shared" si="510"/>
        <v>#REF!</v>
      </c>
      <c r="P1436" s="1352" t="e">
        <f t="shared" si="510"/>
        <v>#REF!</v>
      </c>
      <c r="Q1436" s="1352" t="e">
        <f t="shared" si="510"/>
        <v>#REF!</v>
      </c>
      <c r="R1436" s="1352" t="e">
        <f t="shared" si="510"/>
        <v>#REF!</v>
      </c>
      <c r="S1436" s="1352" t="e">
        <f t="shared" si="510"/>
        <v>#REF!</v>
      </c>
      <c r="T1436" s="1352" t="e">
        <f t="shared" si="507"/>
        <v>#REF!</v>
      </c>
      <c r="U1436" s="1352" t="e">
        <f t="shared" si="508"/>
        <v>#REF!</v>
      </c>
      <c r="V1436" s="1352" t="e">
        <f t="shared" si="509"/>
        <v>#REF!</v>
      </c>
      <c r="W1436" s="1353" t="e">
        <f>T1436/12</f>
        <v>#REF!</v>
      </c>
    </row>
    <row r="1437" spans="1:23" ht="21" hidden="1">
      <c r="A1437" s="964"/>
      <c r="B1437" s="1349"/>
      <c r="C1437" s="1350" t="s">
        <v>812</v>
      </c>
      <c r="D1437" s="1085" t="s">
        <v>90</v>
      </c>
      <c r="E1437" s="1351">
        <v>3.6</v>
      </c>
      <c r="F1437" s="1085"/>
      <c r="G1437" s="1085">
        <v>2.64</v>
      </c>
      <c r="H1437" s="1352" t="e">
        <f>'[11]ข้อมูลไฟฟ้า 08-11'!D3</f>
        <v>#REF!</v>
      </c>
      <c r="I1437" s="1352" t="e">
        <f>'[11]ข้อมูลไฟฟ้า 08-11'!E3</f>
        <v>#REF!</v>
      </c>
      <c r="J1437" s="1352" t="e">
        <f>'[11]ข้อมูลไฟฟ้า 08-11'!F3</f>
        <v>#REF!</v>
      </c>
      <c r="K1437" s="1352" t="e">
        <f>'[11]ข้อมูลไฟฟ้า 08-11'!G3</f>
        <v>#REF!</v>
      </c>
      <c r="L1437" s="1352" t="e">
        <f>'[11]ข้อมูลไฟฟ้า 08-11'!H3</f>
        <v>#REF!</v>
      </c>
      <c r="M1437" s="1352" t="e">
        <f>'[11]ข้อมูลไฟฟ้า 08-11'!I3</f>
        <v>#REF!</v>
      </c>
      <c r="N1437" s="1352" t="e">
        <f>'[11]ข้อมูลไฟฟ้า 08-11'!J3</f>
        <v>#REF!</v>
      </c>
      <c r="O1437" s="1352" t="e">
        <f>'[11]ข้อมูลไฟฟ้า 08-11'!K3</f>
        <v>#REF!</v>
      </c>
      <c r="P1437" s="1352" t="e">
        <f>'[11]ข้อมูลไฟฟ้า 08-11'!L3</f>
        <v>#REF!</v>
      </c>
      <c r="Q1437" s="1352" t="e">
        <f>'[11]ข้อมูลไฟฟ้า 08-11'!M3</f>
        <v>#REF!</v>
      </c>
      <c r="R1437" s="1352" t="e">
        <f>'[11]ข้อมูลไฟฟ้า 08-11'!N3</f>
        <v>#REF!</v>
      </c>
      <c r="S1437" s="1352" t="e">
        <f>'[11]ข้อมูลไฟฟ้า 08-11'!O3</f>
        <v>#REF!</v>
      </c>
      <c r="T1437" s="1352" t="e">
        <f t="shared" si="507"/>
        <v>#REF!</v>
      </c>
      <c r="U1437" s="1352" t="e">
        <f t="shared" si="508"/>
        <v>#REF!</v>
      </c>
      <c r="V1437" s="1352" t="e">
        <f t="shared" si="509"/>
        <v>#REF!</v>
      </c>
      <c r="W1437" s="1353"/>
    </row>
    <row r="1438" spans="1:23" ht="21" hidden="1">
      <c r="A1438" s="964"/>
      <c r="B1438" s="1349"/>
      <c r="C1438" s="1350" t="s">
        <v>813</v>
      </c>
      <c r="D1438" s="1085" t="s">
        <v>90</v>
      </c>
      <c r="E1438" s="1351">
        <v>3.6</v>
      </c>
      <c r="F1438" s="1085"/>
      <c r="G1438" s="1085">
        <v>2.64</v>
      </c>
      <c r="H1438" s="1352" t="e">
        <f>'[11]ข้อมูลไฟฟ้า 08-11'!D4</f>
        <v>#REF!</v>
      </c>
      <c r="I1438" s="1352" t="e">
        <f>'[11]ข้อมูลไฟฟ้า 08-11'!E4</f>
        <v>#REF!</v>
      </c>
      <c r="J1438" s="1352" t="e">
        <f>'[11]ข้อมูลไฟฟ้า 08-11'!F4</f>
        <v>#REF!</v>
      </c>
      <c r="K1438" s="1352" t="e">
        <f>'[11]ข้อมูลไฟฟ้า 08-11'!G4</f>
        <v>#REF!</v>
      </c>
      <c r="L1438" s="1352" t="e">
        <f>'[11]ข้อมูลไฟฟ้า 08-11'!H4</f>
        <v>#REF!</v>
      </c>
      <c r="M1438" s="1352" t="e">
        <f>'[11]ข้อมูลไฟฟ้า 08-11'!I4</f>
        <v>#REF!</v>
      </c>
      <c r="N1438" s="1352" t="e">
        <f>'[11]ข้อมูลไฟฟ้า 08-11'!J4</f>
        <v>#REF!</v>
      </c>
      <c r="O1438" s="1352" t="e">
        <f>'[11]ข้อมูลไฟฟ้า 08-11'!K4</f>
        <v>#REF!</v>
      </c>
      <c r="P1438" s="1352" t="e">
        <f>'[11]ข้อมูลไฟฟ้า 08-11'!L4</f>
        <v>#REF!</v>
      </c>
      <c r="Q1438" s="1352" t="e">
        <f>'[11]ข้อมูลไฟฟ้า 08-11'!M4</f>
        <v>#REF!</v>
      </c>
      <c r="R1438" s="1352" t="e">
        <f>'[11]ข้อมูลไฟฟ้า 08-11'!N4</f>
        <v>#REF!</v>
      </c>
      <c r="S1438" s="1352" t="e">
        <f>'[11]ข้อมูลไฟฟ้า 08-11'!O4</f>
        <v>#REF!</v>
      </c>
      <c r="T1438" s="1352" t="e">
        <f t="shared" si="507"/>
        <v>#REF!</v>
      </c>
      <c r="U1438" s="1352" t="e">
        <f t="shared" si="508"/>
        <v>#REF!</v>
      </c>
      <c r="V1438" s="1352" t="e">
        <f t="shared" si="509"/>
        <v>#REF!</v>
      </c>
      <c r="W1438" s="1353"/>
    </row>
    <row r="1439" spans="1:23" ht="21" hidden="1">
      <c r="A1439" s="964"/>
      <c r="B1439" s="1349" t="s">
        <v>814</v>
      </c>
      <c r="C1439" s="1350"/>
      <c r="D1439" s="1085" t="s">
        <v>90</v>
      </c>
      <c r="E1439" s="1351">
        <v>3.6</v>
      </c>
      <c r="F1439" s="1085"/>
      <c r="G1439" s="1085">
        <v>2.64</v>
      </c>
      <c r="H1439" s="1352" t="e">
        <f>'[11]ข้อมูลไฟฟ้า 08-11'!D5</f>
        <v>#REF!</v>
      </c>
      <c r="I1439" s="1352" t="e">
        <f>'[11]ข้อมูลไฟฟ้า 08-11'!E5</f>
        <v>#REF!</v>
      </c>
      <c r="J1439" s="1352" t="e">
        <f>'[11]ข้อมูลไฟฟ้า 08-11'!F5</f>
        <v>#REF!</v>
      </c>
      <c r="K1439" s="1352" t="e">
        <f>'[11]ข้อมูลไฟฟ้า 08-11'!G5</f>
        <v>#REF!</v>
      </c>
      <c r="L1439" s="1352" t="e">
        <f>'[11]ข้อมูลไฟฟ้า 08-11'!H5</f>
        <v>#REF!</v>
      </c>
      <c r="M1439" s="1352" t="e">
        <f>'[11]ข้อมูลไฟฟ้า 08-11'!I5</f>
        <v>#REF!</v>
      </c>
      <c r="N1439" s="1352" t="e">
        <f>'[11]ข้อมูลไฟฟ้า 08-11'!J5</f>
        <v>#REF!</v>
      </c>
      <c r="O1439" s="1352" t="e">
        <f>'[11]ข้อมูลไฟฟ้า 08-11'!K5</f>
        <v>#REF!</v>
      </c>
      <c r="P1439" s="1352" t="e">
        <f>'[11]ข้อมูลไฟฟ้า 08-11'!L5</f>
        <v>#REF!</v>
      </c>
      <c r="Q1439" s="1352" t="e">
        <f>'[11]ข้อมูลไฟฟ้า 08-11'!M5</f>
        <v>#REF!</v>
      </c>
      <c r="R1439" s="1352" t="e">
        <f>'[11]ข้อมูลไฟฟ้า 08-11'!N5</f>
        <v>#REF!</v>
      </c>
      <c r="S1439" s="1352" t="e">
        <f>'[11]ข้อมูลไฟฟ้า 08-11'!O5</f>
        <v>#REF!</v>
      </c>
      <c r="T1439" s="1352" t="e">
        <f t="shared" si="507"/>
        <v>#REF!</v>
      </c>
      <c r="U1439" s="1352" t="e">
        <f t="shared" si="508"/>
        <v>#REF!</v>
      </c>
      <c r="V1439" s="1352" t="e">
        <f t="shared" si="509"/>
        <v>#REF!</v>
      </c>
      <c r="W1439" s="1353" t="e">
        <f>T1439/12</f>
        <v>#REF!</v>
      </c>
    </row>
    <row r="1440" spans="1:23" ht="21" hidden="1">
      <c r="A1440" s="964"/>
      <c r="B1440" s="1349"/>
      <c r="C1440" s="1350" t="s">
        <v>815</v>
      </c>
      <c r="D1440" s="1085" t="s">
        <v>90</v>
      </c>
      <c r="E1440" s="1351">
        <v>3.6</v>
      </c>
      <c r="F1440" s="1085"/>
      <c r="G1440" s="1085">
        <v>2.64</v>
      </c>
      <c r="H1440" s="1352"/>
      <c r="I1440" s="1352"/>
      <c r="J1440" s="1352"/>
      <c r="K1440" s="1352"/>
      <c r="L1440" s="1352"/>
      <c r="M1440" s="1352"/>
      <c r="N1440" s="1352"/>
      <c r="O1440" s="1352"/>
      <c r="P1440" s="1352"/>
      <c r="Q1440" s="1352"/>
      <c r="R1440" s="1352"/>
      <c r="S1440" s="1352"/>
      <c r="T1440" s="1352">
        <f t="shared" si="507"/>
        <v>0</v>
      </c>
      <c r="U1440" s="1352">
        <f t="shared" si="508"/>
        <v>0</v>
      </c>
      <c r="V1440" s="1352">
        <f t="shared" si="509"/>
        <v>0</v>
      </c>
      <c r="W1440" s="1353"/>
    </row>
    <row r="1441" spans="1:23" ht="21" hidden="1">
      <c r="A1441" s="964"/>
      <c r="B1441" s="1349"/>
      <c r="C1441" s="1350" t="s">
        <v>816</v>
      </c>
      <c r="D1441" s="1085" t="s">
        <v>90</v>
      </c>
      <c r="E1441" s="1351">
        <v>3.6</v>
      </c>
      <c r="F1441" s="1085"/>
      <c r="G1441" s="1085">
        <v>2.2000000000000002</v>
      </c>
      <c r="H1441" s="1352"/>
      <c r="I1441" s="1352"/>
      <c r="J1441" s="1352"/>
      <c r="K1441" s="1352"/>
      <c r="L1441" s="1352"/>
      <c r="M1441" s="1352"/>
      <c r="N1441" s="1352"/>
      <c r="O1441" s="1352"/>
      <c r="P1441" s="1352"/>
      <c r="Q1441" s="1352"/>
      <c r="R1441" s="1352"/>
      <c r="S1441" s="1352"/>
      <c r="T1441" s="1352">
        <f t="shared" si="507"/>
        <v>0</v>
      </c>
      <c r="U1441" s="1352">
        <f t="shared" si="508"/>
        <v>0</v>
      </c>
      <c r="V1441" s="1352">
        <f t="shared" si="509"/>
        <v>0</v>
      </c>
      <c r="W1441" s="1353"/>
    </row>
    <row r="1442" spans="1:23" ht="21" hidden="1">
      <c r="A1442" s="964"/>
      <c r="B1442" s="1347" t="s">
        <v>882</v>
      </c>
      <c r="C1442" s="1348"/>
      <c r="D1442" s="964" t="s">
        <v>90</v>
      </c>
      <c r="E1442" s="1346">
        <v>3.6</v>
      </c>
      <c r="F1442" s="964"/>
      <c r="G1442" s="964">
        <v>2.64</v>
      </c>
      <c r="H1442" s="966">
        <f>[16]Sheet1!D9</f>
        <v>30842148</v>
      </c>
      <c r="I1442" s="966">
        <f>[16]Sheet1!E9</f>
        <v>27708442</v>
      </c>
      <c r="J1442" s="966">
        <f>[16]Sheet1!F9</f>
        <v>36488436</v>
      </c>
      <c r="K1442" s="966">
        <f>[16]Sheet1!G9</f>
        <v>36906778.170000002</v>
      </c>
      <c r="L1442" s="966">
        <f>[16]Sheet1!H9</f>
        <v>36402481.909000002</v>
      </c>
      <c r="M1442" s="966">
        <f>[16]Sheet1!I9</f>
        <v>35251640.052000001</v>
      </c>
      <c r="N1442" s="966">
        <f>[16]Sheet1!J9</f>
        <v>39120975.824000001</v>
      </c>
      <c r="O1442" s="966">
        <f>[16]Sheet1!K9</f>
        <v>41424050</v>
      </c>
      <c r="P1442" s="966">
        <f>[16]Sheet1!L9</f>
        <v>34713689.200000003</v>
      </c>
      <c r="Q1442" s="966">
        <f>[16]Sheet1!M9</f>
        <v>39506109</v>
      </c>
      <c r="R1442" s="966" t="e">
        <f>[16]Sheet1!N9</f>
        <v>#REF!</v>
      </c>
      <c r="S1442" s="966" t="e">
        <f>[16]Sheet1!O9</f>
        <v>#REF!</v>
      </c>
      <c r="T1442" s="966" t="e">
        <f t="shared" si="507"/>
        <v>#REF!</v>
      </c>
      <c r="U1442" s="966" t="e">
        <f t="shared" si="508"/>
        <v>#REF!</v>
      </c>
      <c r="V1442" s="966" t="e">
        <f t="shared" si="509"/>
        <v>#REF!</v>
      </c>
      <c r="W1442" s="936"/>
    </row>
    <row r="1443" spans="1:23" ht="21" hidden="1">
      <c r="A1443" s="1011"/>
      <c r="B1443" s="1347" t="s">
        <v>883</v>
      </c>
      <c r="C1443" s="1354"/>
      <c r="D1443" s="964"/>
      <c r="E1443" s="1346"/>
      <c r="F1443" s="964"/>
      <c r="G1443" s="964"/>
      <c r="H1443" s="981">
        <f t="shared" ref="H1443:S1443" si="511">H191+H250+H266+H290+H310+H319</f>
        <v>7793904.1219999995</v>
      </c>
      <c r="I1443" s="981">
        <f t="shared" si="511"/>
        <v>7059444.2019999996</v>
      </c>
      <c r="J1443" s="981">
        <f t="shared" si="511"/>
        <v>7952629.8049999997</v>
      </c>
      <c r="K1443" s="981">
        <f t="shared" si="511"/>
        <v>0</v>
      </c>
      <c r="L1443" s="981">
        <f t="shared" si="511"/>
        <v>0</v>
      </c>
      <c r="M1443" s="981">
        <f t="shared" si="511"/>
        <v>0</v>
      </c>
      <c r="N1443" s="981">
        <f t="shared" si="511"/>
        <v>0</v>
      </c>
      <c r="O1443" s="981">
        <f t="shared" si="511"/>
        <v>0</v>
      </c>
      <c r="P1443" s="981">
        <f t="shared" si="511"/>
        <v>0</v>
      </c>
      <c r="Q1443" s="981">
        <f t="shared" si="511"/>
        <v>0</v>
      </c>
      <c r="R1443" s="981">
        <f t="shared" si="511"/>
        <v>0</v>
      </c>
      <c r="S1443" s="981">
        <f t="shared" si="511"/>
        <v>0</v>
      </c>
      <c r="T1443" s="981"/>
      <c r="U1443" s="981"/>
      <c r="V1443" s="981"/>
      <c r="W1443" s="936"/>
    </row>
    <row r="1444" spans="1:23" ht="21" hidden="1">
      <c r="A1444" s="1011"/>
      <c r="B1444" s="1347" t="s">
        <v>884</v>
      </c>
      <c r="C1444" s="1354"/>
      <c r="D1444" s="964" t="s">
        <v>90</v>
      </c>
      <c r="E1444" s="1346">
        <v>3.6</v>
      </c>
      <c r="F1444" s="964"/>
      <c r="G1444" s="964">
        <v>2.64</v>
      </c>
      <c r="H1444" s="981" t="e">
        <f>H1439+H1443-H1442</f>
        <v>#REF!</v>
      </c>
      <c r="I1444" s="981" t="e">
        <f t="shared" ref="I1444:S1444" si="512">I1439+I1443-I1442</f>
        <v>#REF!</v>
      </c>
      <c r="J1444" s="981" t="e">
        <f t="shared" si="512"/>
        <v>#REF!</v>
      </c>
      <c r="K1444" s="981" t="e">
        <f t="shared" si="512"/>
        <v>#REF!</v>
      </c>
      <c r="L1444" s="981" t="e">
        <f t="shared" si="512"/>
        <v>#REF!</v>
      </c>
      <c r="M1444" s="981" t="e">
        <f t="shared" si="512"/>
        <v>#REF!</v>
      </c>
      <c r="N1444" s="981" t="e">
        <f t="shared" si="512"/>
        <v>#REF!</v>
      </c>
      <c r="O1444" s="981" t="e">
        <f t="shared" si="512"/>
        <v>#REF!</v>
      </c>
      <c r="P1444" s="981" t="e">
        <f t="shared" si="512"/>
        <v>#REF!</v>
      </c>
      <c r="Q1444" s="981" t="e">
        <f t="shared" si="512"/>
        <v>#REF!</v>
      </c>
      <c r="R1444" s="981" t="e">
        <f t="shared" si="512"/>
        <v>#REF!</v>
      </c>
      <c r="S1444" s="981" t="e">
        <f t="shared" si="512"/>
        <v>#REF!</v>
      </c>
      <c r="T1444" s="981" t="e">
        <f>T1439-T1442</f>
        <v>#REF!</v>
      </c>
      <c r="U1444" s="981" t="e">
        <f>U1439-U1442</f>
        <v>#REF!</v>
      </c>
      <c r="V1444" s="981" t="e">
        <f>V1439-V1442</f>
        <v>#REF!</v>
      </c>
      <c r="W1444" s="936"/>
    </row>
    <row r="1445" spans="1:23" ht="21" hidden="1">
      <c r="A1445" s="1065"/>
      <c r="B1445" s="1355"/>
      <c r="C1445" s="1356" t="s">
        <v>885</v>
      </c>
      <c r="D1445" s="1065" t="s">
        <v>90</v>
      </c>
      <c r="E1445" s="1357">
        <v>3.6</v>
      </c>
      <c r="F1445" s="1065"/>
      <c r="G1445" s="1065">
        <v>2.64</v>
      </c>
      <c r="H1445" s="1072" t="e">
        <f>H1436+H1439-H1442+H1443</f>
        <v>#REF!</v>
      </c>
      <c r="I1445" s="1072" t="e">
        <f t="shared" ref="I1445:S1445" si="513">I1436+I1439-I1442+I1443</f>
        <v>#REF!</v>
      </c>
      <c r="J1445" s="1072" t="e">
        <f t="shared" si="513"/>
        <v>#REF!</v>
      </c>
      <c r="K1445" s="1072" t="e">
        <f t="shared" si="513"/>
        <v>#REF!</v>
      </c>
      <c r="L1445" s="1072" t="e">
        <f t="shared" si="513"/>
        <v>#REF!</v>
      </c>
      <c r="M1445" s="1072" t="e">
        <f t="shared" si="513"/>
        <v>#REF!</v>
      </c>
      <c r="N1445" s="1072" t="e">
        <f t="shared" si="513"/>
        <v>#REF!</v>
      </c>
      <c r="O1445" s="1072" t="e">
        <f t="shared" si="513"/>
        <v>#REF!</v>
      </c>
      <c r="P1445" s="1072" t="e">
        <f t="shared" si="513"/>
        <v>#REF!</v>
      </c>
      <c r="Q1445" s="1072" t="e">
        <f t="shared" si="513"/>
        <v>#REF!</v>
      </c>
      <c r="R1445" s="1072" t="e">
        <f t="shared" si="513"/>
        <v>#REF!</v>
      </c>
      <c r="S1445" s="1072" t="e">
        <f t="shared" si="513"/>
        <v>#REF!</v>
      </c>
      <c r="T1445" s="1072" t="e">
        <f t="shared" si="507"/>
        <v>#REF!</v>
      </c>
      <c r="U1445" s="1072" t="e">
        <f>T1445*E1445</f>
        <v>#REF!</v>
      </c>
      <c r="V1445" s="1072" t="e">
        <f>T1445*G1445</f>
        <v>#REF!</v>
      </c>
      <c r="W1445" s="936"/>
    </row>
    <row r="1446" spans="1:23" ht="21" hidden="1">
      <c r="A1446" s="956">
        <v>1</v>
      </c>
      <c r="B1446" s="1358" t="s">
        <v>824</v>
      </c>
      <c r="C1446" s="1359"/>
      <c r="D1446" s="964" t="s">
        <v>90</v>
      </c>
      <c r="E1446" s="1360">
        <v>3.6</v>
      </c>
      <c r="F1446" s="956"/>
      <c r="G1446" s="956">
        <v>2.64</v>
      </c>
      <c r="H1446" s="961"/>
      <c r="I1446" s="961"/>
      <c r="J1446" s="961"/>
      <c r="K1446" s="961"/>
      <c r="L1446" s="961"/>
      <c r="M1446" s="961"/>
      <c r="N1446" s="961"/>
      <c r="O1446" s="961"/>
      <c r="P1446" s="961"/>
      <c r="Q1446" s="961"/>
      <c r="R1446" s="961"/>
      <c r="S1446" s="961"/>
      <c r="T1446" s="981">
        <f>SUM(H1446:S1446)</f>
        <v>0</v>
      </c>
      <c r="U1446" s="966">
        <f>T1446*E1446</f>
        <v>0</v>
      </c>
      <c r="V1446" s="966">
        <f>T1446*G1446</f>
        <v>0</v>
      </c>
      <c r="W1446" s="936"/>
    </row>
    <row r="1447" spans="1:23" ht="21" hidden="1">
      <c r="A1447" s="956"/>
      <c r="B1447" s="1358"/>
      <c r="C1447" s="1359"/>
      <c r="D1447" s="964"/>
      <c r="E1447" s="1360"/>
      <c r="F1447" s="956"/>
      <c r="G1447" s="956"/>
      <c r="H1447" s="961"/>
      <c r="I1447" s="961"/>
      <c r="J1447" s="961"/>
      <c r="K1447" s="961"/>
      <c r="L1447" s="961"/>
      <c r="M1447" s="961"/>
      <c r="N1447" s="961"/>
      <c r="O1447" s="961"/>
      <c r="P1447" s="961"/>
      <c r="Q1447" s="961"/>
      <c r="R1447" s="961"/>
      <c r="S1447" s="961"/>
      <c r="T1447" s="981"/>
      <c r="U1447" s="966"/>
      <c r="V1447" s="966"/>
      <c r="W1447" s="936"/>
    </row>
    <row r="1448" spans="1:23" ht="21" hidden="1">
      <c r="A1448" s="964">
        <v>2</v>
      </c>
      <c r="B1448" s="1347" t="s">
        <v>817</v>
      </c>
      <c r="C1448" s="1361"/>
      <c r="D1448" s="964" t="s">
        <v>147</v>
      </c>
      <c r="E1448" s="1346">
        <v>2690</v>
      </c>
      <c r="F1448" s="964"/>
      <c r="G1448" s="964">
        <v>939.33</v>
      </c>
      <c r="H1448" s="966">
        <f>SUM(H1449:H1452)</f>
        <v>497914.34095428546</v>
      </c>
      <c r="I1448" s="966">
        <f t="shared" ref="I1448:J1448" si="514">SUM(I1449:I1452)</f>
        <v>466532.63642205705</v>
      </c>
      <c r="J1448" s="966">
        <f t="shared" si="514"/>
        <v>557046.33553555084</v>
      </c>
      <c r="K1448" s="966"/>
      <c r="L1448" s="966"/>
      <c r="M1448" s="966"/>
      <c r="N1448" s="966"/>
      <c r="O1448" s="966"/>
      <c r="P1448" s="966"/>
      <c r="Q1448" s="966"/>
      <c r="R1448" s="966"/>
      <c r="S1448" s="966"/>
      <c r="T1448" s="981">
        <f>SUM(H1448:S1448)</f>
        <v>1521493.3129118932</v>
      </c>
      <c r="U1448" s="966">
        <f>T1448*E1448</f>
        <v>4092817011.7329926</v>
      </c>
      <c r="V1448" s="966">
        <f>T1448*G1448</f>
        <v>1429184313.6175287</v>
      </c>
      <c r="W1448" s="936">
        <f>T1448/12</f>
        <v>126791.10940932443</v>
      </c>
    </row>
    <row r="1449" spans="1:23" ht="21" hidden="1">
      <c r="A1449" s="964"/>
      <c r="B1449" s="1347" t="s">
        <v>825</v>
      </c>
      <c r="C1449" s="1361"/>
      <c r="D1449" s="964" t="s">
        <v>147</v>
      </c>
      <c r="E1449" s="1346">
        <v>2700</v>
      </c>
      <c r="F1449" s="964"/>
      <c r="G1449" s="964">
        <v>929.33</v>
      </c>
      <c r="H1449" s="966"/>
      <c r="I1449" s="966"/>
      <c r="J1449" s="966"/>
      <c r="K1449" s="966"/>
      <c r="L1449" s="966"/>
      <c r="M1449" s="966"/>
      <c r="N1449" s="966"/>
      <c r="O1449" s="966"/>
      <c r="P1449" s="966"/>
      <c r="Q1449" s="966"/>
      <c r="R1449" s="966"/>
      <c r="S1449" s="966"/>
      <c r="T1449" s="966"/>
      <c r="U1449" s="966">
        <f>T1449*E1449</f>
        <v>0</v>
      </c>
      <c r="V1449" s="966">
        <f>T1449*G1449</f>
        <v>0</v>
      </c>
      <c r="W1449" s="936"/>
    </row>
    <row r="1450" spans="1:23" ht="21" hidden="1">
      <c r="A1450" s="964"/>
      <c r="B1450" s="1347" t="s">
        <v>826</v>
      </c>
      <c r="C1450" s="1361"/>
      <c r="D1450" s="964" t="s">
        <v>147</v>
      </c>
      <c r="E1450" s="1346">
        <v>2668.15</v>
      </c>
      <c r="F1450" s="964"/>
      <c r="G1450" s="964">
        <v>929.33</v>
      </c>
      <c r="H1450" s="966"/>
      <c r="I1450" s="966"/>
      <c r="J1450" s="966"/>
      <c r="K1450" s="966"/>
      <c r="L1450" s="966"/>
      <c r="M1450" s="966"/>
      <c r="N1450" s="966"/>
      <c r="O1450" s="966"/>
      <c r="P1450" s="966"/>
      <c r="Q1450" s="966"/>
      <c r="R1450" s="966"/>
      <c r="S1450" s="966"/>
      <c r="T1450" s="966"/>
      <c r="U1450" s="966"/>
      <c r="V1450" s="966"/>
      <c r="W1450" s="936"/>
    </row>
    <row r="1451" spans="1:23" ht="21" hidden="1">
      <c r="A1451" s="964"/>
      <c r="B1451" s="1347" t="s">
        <v>827</v>
      </c>
      <c r="C1451" s="1361"/>
      <c r="D1451" s="964" t="s">
        <v>147</v>
      </c>
      <c r="E1451" s="1346">
        <v>2690</v>
      </c>
      <c r="F1451" s="964"/>
      <c r="G1451" s="964">
        <v>929.33</v>
      </c>
      <c r="H1451" s="966">
        <f>H7+H31+H45+H192+H209+H251+H291+H320+H344+H394+H413+H725+H833+H834+H865+H1053+H1069+H1085+H267+H780+H781+H782+H909+H910</f>
        <v>152585.08180648679</v>
      </c>
      <c r="I1451" s="966">
        <f>I7+I31+I45+I192+I209+I251+I291+I320+I344+I394+I413+I725+I833+I834+I865+I1053+I1069+I1085+I267+I780+I781+I782+I909+I910</f>
        <v>140300.56851954132</v>
      </c>
      <c r="J1451" s="966">
        <f>J7+J31+J45+J192+J209+J251+J291+J320+J344+J394+J413+J725+J833+J834+J865+J1053+J1069+J1085+J267+J780+J781+J782+J909+J910</f>
        <v>168427.57271165148</v>
      </c>
      <c r="K1451" s="966"/>
      <c r="L1451" s="966"/>
      <c r="M1451" s="966"/>
      <c r="N1451" s="966"/>
      <c r="O1451" s="966"/>
      <c r="P1451" s="966"/>
      <c r="Q1451" s="966"/>
      <c r="R1451" s="966"/>
      <c r="S1451" s="966"/>
      <c r="T1451" s="966"/>
      <c r="U1451" s="966"/>
      <c r="V1451" s="966"/>
      <c r="W1451" s="936"/>
    </row>
    <row r="1452" spans="1:23" ht="21" hidden="1">
      <c r="A1452" s="964"/>
      <c r="B1452" s="1347" t="s">
        <v>828</v>
      </c>
      <c r="C1452" s="1361"/>
      <c r="D1452" s="964" t="s">
        <v>147</v>
      </c>
      <c r="E1452" s="1346">
        <v>2831</v>
      </c>
      <c r="F1452" s="964"/>
      <c r="G1452" s="964">
        <v>949.33</v>
      </c>
      <c r="H1452" s="966">
        <f t="shared" ref="H1452:J1452" si="515">H32+H227+H414+H449+H489+H778+H779+H831+H832</f>
        <v>345329.2591477987</v>
      </c>
      <c r="I1452" s="966">
        <f t="shared" si="515"/>
        <v>326232.06790251576</v>
      </c>
      <c r="J1452" s="966">
        <f t="shared" si="515"/>
        <v>388618.76282389939</v>
      </c>
      <c r="K1452" s="966"/>
      <c r="L1452" s="966"/>
      <c r="M1452" s="966"/>
      <c r="N1452" s="966"/>
      <c r="O1452" s="966"/>
      <c r="P1452" s="966"/>
      <c r="Q1452" s="966"/>
      <c r="R1452" s="966"/>
      <c r="S1452" s="966"/>
      <c r="T1452" s="966"/>
      <c r="U1452" s="966"/>
      <c r="V1452" s="966"/>
      <c r="W1452" s="936"/>
    </row>
    <row r="1453" spans="1:23" ht="21" hidden="1">
      <c r="A1453" s="964">
        <v>3</v>
      </c>
      <c r="B1453" s="1347" t="s">
        <v>165</v>
      </c>
      <c r="C1453" s="1361"/>
      <c r="D1453" s="964" t="s">
        <v>147</v>
      </c>
      <c r="E1453" s="1346">
        <v>26467.68</v>
      </c>
      <c r="F1453" s="964"/>
      <c r="G1453" s="964">
        <v>1800</v>
      </c>
      <c r="H1453" s="966">
        <f>H1166</f>
        <v>15002.99</v>
      </c>
      <c r="I1453" s="966">
        <f t="shared" ref="I1453:J1453" si="516">I1166</f>
        <v>15438.62</v>
      </c>
      <c r="J1453" s="966">
        <f t="shared" si="516"/>
        <v>17665.78</v>
      </c>
      <c r="K1453" s="966"/>
      <c r="L1453" s="966"/>
      <c r="M1453" s="966"/>
      <c r="N1453" s="966"/>
      <c r="O1453" s="966"/>
      <c r="P1453" s="966"/>
      <c r="Q1453" s="966"/>
      <c r="R1453" s="966"/>
      <c r="S1453" s="966"/>
      <c r="T1453" s="981">
        <f>SUM(H1453:S1453)</f>
        <v>48107.39</v>
      </c>
      <c r="U1453" s="966">
        <f>T1453*E1453</f>
        <v>1273291004.1552</v>
      </c>
      <c r="V1453" s="966">
        <f>T1453*G1453</f>
        <v>86593302</v>
      </c>
      <c r="W1453" s="936">
        <f>T1453/12</f>
        <v>4008.9491666666668</v>
      </c>
    </row>
    <row r="1454" spans="1:23" ht="21" hidden="1">
      <c r="A1454" s="964"/>
      <c r="B1454" s="1347"/>
      <c r="C1454" s="1361"/>
      <c r="D1454" s="964"/>
      <c r="E1454" s="1346"/>
      <c r="F1454" s="964"/>
      <c r="G1454" s="964"/>
      <c r="H1454" s="966"/>
      <c r="I1454" s="966"/>
      <c r="J1454" s="966"/>
      <c r="K1454" s="966"/>
      <c r="L1454" s="966"/>
      <c r="M1454" s="966"/>
      <c r="N1454" s="966"/>
      <c r="O1454" s="966"/>
      <c r="P1454" s="966"/>
      <c r="Q1454" s="966"/>
      <c r="R1454" s="966"/>
      <c r="S1454" s="966"/>
      <c r="T1454" s="966"/>
      <c r="U1454" s="966"/>
      <c r="V1454" s="966"/>
      <c r="W1454" s="936"/>
    </row>
    <row r="1455" spans="1:23" ht="21" hidden="1">
      <c r="A1455" s="964">
        <v>4</v>
      </c>
      <c r="B1455" s="1347" t="s">
        <v>819</v>
      </c>
      <c r="C1455" s="1361"/>
      <c r="D1455" s="964" t="s">
        <v>160</v>
      </c>
      <c r="E1455" s="964">
        <v>39.770000000000003</v>
      </c>
      <c r="F1455" s="964">
        <v>1</v>
      </c>
      <c r="G1455" s="1014">
        <f>'[11]Price&amp;Heating-Value'!P16/'[11]Price&amp;Heating-Value'!T16/1000</f>
        <v>18.476593226788427</v>
      </c>
      <c r="H1455" s="966">
        <f>H210+H228+H268+H321+H345+H362+H397+H451+H491+H904</f>
        <v>5654404.044581987</v>
      </c>
      <c r="I1455" s="966">
        <f>I210+I228+I268+I321+I345+I362+I397+I451+I491+I904</f>
        <v>5882831.648339509</v>
      </c>
      <c r="J1455" s="966">
        <f>J210+J228+J268+J321+J345+J362+J397+J451+J491+J904</f>
        <v>6397200.4659310132</v>
      </c>
      <c r="K1455" s="966"/>
      <c r="L1455" s="966"/>
      <c r="M1455" s="966"/>
      <c r="N1455" s="966"/>
      <c r="O1455" s="966"/>
      <c r="P1455" s="966"/>
      <c r="Q1455" s="966"/>
      <c r="R1455" s="966"/>
      <c r="S1455" s="966"/>
      <c r="T1455" s="966">
        <f>SUM(H1455:S1455)</f>
        <v>17934436.15885251</v>
      </c>
      <c r="U1455" s="966">
        <f>T1455*E1455</f>
        <v>713252526.0375644</v>
      </c>
      <c r="V1455" s="966">
        <f>T1455*G1455</f>
        <v>331367281.65892375</v>
      </c>
      <c r="W1455" s="936">
        <f>T1455/12</f>
        <v>1494536.3465710424</v>
      </c>
    </row>
    <row r="1456" spans="1:23" ht="21" hidden="1">
      <c r="A1456" s="964"/>
      <c r="B1456" s="1347"/>
      <c r="C1456" s="1361"/>
      <c r="D1456" s="964"/>
      <c r="E1456" s="1346"/>
      <c r="F1456" s="964"/>
      <c r="G1456" s="964"/>
      <c r="H1456" s="966"/>
      <c r="I1456" s="966"/>
      <c r="J1456" s="966"/>
      <c r="K1456" s="966"/>
      <c r="L1456" s="966"/>
      <c r="M1456" s="966"/>
      <c r="N1456" s="966"/>
      <c r="O1456" s="966"/>
      <c r="P1456" s="966"/>
      <c r="Q1456" s="966"/>
      <c r="R1456" s="966"/>
      <c r="S1456" s="966"/>
      <c r="T1456" s="966"/>
      <c r="U1456" s="966"/>
      <c r="V1456" s="966"/>
      <c r="W1456" s="936"/>
    </row>
    <row r="1457" spans="1:23" ht="21" hidden="1">
      <c r="A1457" s="964">
        <v>5</v>
      </c>
      <c r="B1457" s="1347" t="s">
        <v>821</v>
      </c>
      <c r="C1457" s="1361"/>
      <c r="D1457" s="964" t="s">
        <v>160</v>
      </c>
      <c r="E1457" s="964">
        <v>36.42</v>
      </c>
      <c r="F1457" s="964">
        <v>0.83069999999999999</v>
      </c>
      <c r="G1457" s="984">
        <v>18.96136980922422</v>
      </c>
      <c r="H1457" s="966">
        <f t="shared" ref="H1457:J1457" si="517">H66+H169+H230+H252+H905+H1161</f>
        <v>782356.67500000005</v>
      </c>
      <c r="I1457" s="966">
        <f t="shared" si="517"/>
        <v>574287.91899999999</v>
      </c>
      <c r="J1457" s="966">
        <f t="shared" si="517"/>
        <v>562576.98300000001</v>
      </c>
      <c r="K1457" s="966"/>
      <c r="L1457" s="966"/>
      <c r="M1457" s="966"/>
      <c r="N1457" s="966"/>
      <c r="O1457" s="966"/>
      <c r="P1457" s="966"/>
      <c r="Q1457" s="966"/>
      <c r="R1457" s="966"/>
      <c r="S1457" s="966"/>
      <c r="T1457" s="981">
        <f>SUM(H1457:S1457)</f>
        <v>1919221.577</v>
      </c>
      <c r="U1457" s="966">
        <f>T1457*E1457</f>
        <v>69898049.834340006</v>
      </c>
      <c r="V1457" s="966">
        <f>T1457*G1457</f>
        <v>36391070.067339495</v>
      </c>
      <c r="W1457" s="936">
        <f>T1457/12</f>
        <v>159935.13141666667</v>
      </c>
    </row>
    <row r="1458" spans="1:23" ht="21" hidden="1">
      <c r="A1458" s="964"/>
      <c r="B1458" s="1347"/>
      <c r="C1458" s="1361"/>
      <c r="D1458" s="964"/>
      <c r="E1458" s="1346"/>
      <c r="F1458" s="964"/>
      <c r="G1458" s="964"/>
      <c r="H1458" s="966"/>
      <c r="I1458" s="966"/>
      <c r="J1458" s="966"/>
      <c r="K1458" s="966"/>
      <c r="L1458" s="966"/>
      <c r="M1458" s="966"/>
      <c r="N1458" s="966"/>
      <c r="O1458" s="966"/>
      <c r="P1458" s="966"/>
      <c r="Q1458" s="966"/>
      <c r="R1458" s="966"/>
      <c r="S1458" s="966"/>
      <c r="T1458" s="966"/>
      <c r="U1458" s="966"/>
      <c r="V1458" s="966"/>
      <c r="W1458" s="936"/>
    </row>
    <row r="1459" spans="1:23" ht="21" hidden="1">
      <c r="A1459" s="964">
        <v>6</v>
      </c>
      <c r="B1459" s="1347" t="s">
        <v>818</v>
      </c>
      <c r="C1459" s="1361"/>
      <c r="D1459" s="964" t="s">
        <v>483</v>
      </c>
      <c r="E1459" s="964">
        <v>43.993000000000002</v>
      </c>
      <c r="F1459" s="964"/>
      <c r="G1459" s="964">
        <v>5.32</v>
      </c>
      <c r="H1459" s="966">
        <f>H211+H363+H415+H450+H587+(H776*1000)+(H906*1000)</f>
        <v>20678311.467293024</v>
      </c>
      <c r="I1459" s="966">
        <f t="shared" ref="I1459:J1459" si="518">I211+I363+I415+I450+I587+(I776*1000)+(I906*1000)</f>
        <v>18308413.018754169</v>
      </c>
      <c r="J1459" s="966">
        <f t="shared" si="518"/>
        <v>21040919.781766824</v>
      </c>
      <c r="K1459" s="966"/>
      <c r="L1459" s="966"/>
      <c r="M1459" s="966"/>
      <c r="N1459" s="966"/>
      <c r="O1459" s="966"/>
      <c r="P1459" s="966"/>
      <c r="Q1459" s="966"/>
      <c r="R1459" s="966"/>
      <c r="S1459" s="966"/>
      <c r="T1459" s="981">
        <f>SUM(H1459:S1459)</f>
        <v>60027644.267814018</v>
      </c>
      <c r="U1459" s="966" t="e">
        <f>#REF!+U696+#REF!+U450+U415</f>
        <v>#REF!</v>
      </c>
      <c r="V1459" s="966">
        <f>T1459*G1459</f>
        <v>319347067.50477058</v>
      </c>
      <c r="W1459" s="936">
        <f>T1459/12</f>
        <v>5002303.6889845012</v>
      </c>
    </row>
    <row r="1460" spans="1:23" ht="21" hidden="1">
      <c r="A1460" s="964"/>
      <c r="B1460" s="1347"/>
      <c r="C1460" s="1361"/>
      <c r="D1460" s="964"/>
      <c r="E1460" s="1346"/>
      <c r="F1460" s="964"/>
      <c r="G1460" s="964"/>
      <c r="H1460" s="966"/>
      <c r="I1460" s="966"/>
      <c r="J1460" s="966"/>
      <c r="K1460" s="966"/>
      <c r="L1460" s="966"/>
      <c r="M1460" s="966"/>
      <c r="N1460" s="966"/>
      <c r="O1460" s="966"/>
      <c r="P1460" s="966"/>
      <c r="Q1460" s="966"/>
      <c r="R1460" s="966"/>
      <c r="S1460" s="966"/>
      <c r="T1460" s="966"/>
      <c r="U1460" s="966"/>
      <c r="V1460" s="966"/>
      <c r="W1460" s="936"/>
    </row>
    <row r="1461" spans="1:23" ht="21" hidden="1">
      <c r="A1461" s="964">
        <v>7</v>
      </c>
      <c r="B1461" s="1347" t="s">
        <v>820</v>
      </c>
      <c r="C1461" s="1361"/>
      <c r="D1461" s="964" t="s">
        <v>483</v>
      </c>
      <c r="E1461" s="1362">
        <v>50.22</v>
      </c>
      <c r="F1461" s="984"/>
      <c r="G1461" s="984">
        <v>19.940000000000001</v>
      </c>
      <c r="H1461" s="968">
        <f t="shared" ref="H1461:J1461" si="519">H10+H16+H113+H125+H193+H229+H269+H292+H322+H346+H398+H490+H561</f>
        <v>5689235.1859723218</v>
      </c>
      <c r="I1461" s="968">
        <f t="shared" si="519"/>
        <v>5822448.4317156514</v>
      </c>
      <c r="J1461" s="968">
        <f t="shared" si="519"/>
        <v>6251848.8982718037</v>
      </c>
      <c r="K1461" s="968"/>
      <c r="L1461" s="968"/>
      <c r="M1461" s="968"/>
      <c r="N1461" s="968"/>
      <c r="O1461" s="968"/>
      <c r="P1461" s="968"/>
      <c r="Q1461" s="968"/>
      <c r="R1461" s="968"/>
      <c r="S1461" s="968"/>
      <c r="T1461" s="981">
        <f>SUM(H1461:S1461)</f>
        <v>17763532.515959777</v>
      </c>
      <c r="U1461" s="966">
        <f>T1461*E1461</f>
        <v>892084602.95149994</v>
      </c>
      <c r="V1461" s="966">
        <f>T1461*G1461</f>
        <v>354204838.36823797</v>
      </c>
      <c r="W1461" s="936">
        <f>T1461/12</f>
        <v>1480294.3763299815</v>
      </c>
    </row>
    <row r="1462" spans="1:23" ht="21" hidden="1">
      <c r="A1462" s="964"/>
      <c r="B1462" s="1347"/>
      <c r="C1462" s="1361"/>
      <c r="D1462" s="964"/>
      <c r="E1462" s="1346"/>
      <c r="F1462" s="964"/>
      <c r="G1462" s="964"/>
      <c r="H1462" s="968"/>
      <c r="I1462" s="968"/>
      <c r="J1462" s="968"/>
      <c r="K1462" s="968"/>
      <c r="L1462" s="968"/>
      <c r="M1462" s="968"/>
      <c r="N1462" s="968"/>
      <c r="O1462" s="968"/>
      <c r="P1462" s="968"/>
      <c r="Q1462" s="968"/>
      <c r="R1462" s="968"/>
      <c r="S1462" s="968"/>
      <c r="T1462" s="966"/>
      <c r="U1462" s="966"/>
      <c r="V1462" s="966"/>
      <c r="W1462" s="936"/>
    </row>
    <row r="1463" spans="1:23" ht="21" hidden="1">
      <c r="A1463" s="964">
        <v>8</v>
      </c>
      <c r="B1463" s="1347" t="s">
        <v>690</v>
      </c>
      <c r="C1463" s="1361"/>
      <c r="D1463" s="964" t="s">
        <v>147</v>
      </c>
      <c r="E1463" s="1091">
        <v>39960</v>
      </c>
      <c r="F1463" s="964"/>
      <c r="G1463" s="964"/>
      <c r="H1463" s="966">
        <f>H907</f>
        <v>1085.1000000000001</v>
      </c>
      <c r="I1463" s="966">
        <f t="shared" ref="I1463:J1463" si="520">I907</f>
        <v>1047.3000000000002</v>
      </c>
      <c r="J1463" s="966">
        <f t="shared" si="520"/>
        <v>1245.6999999999996</v>
      </c>
      <c r="K1463" s="966"/>
      <c r="L1463" s="966"/>
      <c r="M1463" s="966"/>
      <c r="N1463" s="966"/>
      <c r="O1463" s="966"/>
      <c r="P1463" s="966"/>
      <c r="Q1463" s="966"/>
      <c r="R1463" s="966"/>
      <c r="S1463" s="966"/>
      <c r="T1463" s="981">
        <f>SUM(H1463:S1463)</f>
        <v>3378.1000000000004</v>
      </c>
      <c r="U1463" s="966">
        <f>T1463*E1463</f>
        <v>134988876</v>
      </c>
      <c r="V1463" s="966">
        <f>T1463*G1463</f>
        <v>0</v>
      </c>
      <c r="W1463" s="936">
        <f>T1463/12</f>
        <v>281.50833333333338</v>
      </c>
    </row>
    <row r="1464" spans="1:23" ht="21" hidden="1">
      <c r="A1464" s="964"/>
      <c r="B1464" s="1347"/>
      <c r="C1464" s="1361"/>
      <c r="D1464" s="964"/>
      <c r="E1464" s="964"/>
      <c r="F1464" s="964"/>
      <c r="G1464" s="964"/>
      <c r="H1464" s="966"/>
      <c r="I1464" s="966"/>
      <c r="J1464" s="966"/>
      <c r="K1464" s="966"/>
      <c r="L1464" s="966"/>
      <c r="M1464" s="966"/>
      <c r="N1464" s="966"/>
      <c r="O1464" s="966"/>
      <c r="P1464" s="966"/>
      <c r="Q1464" s="966"/>
      <c r="R1464" s="966"/>
      <c r="S1464" s="966"/>
      <c r="T1464" s="966"/>
      <c r="U1464" s="966"/>
      <c r="V1464" s="966"/>
      <c r="W1464" s="936"/>
    </row>
    <row r="1465" spans="1:23" ht="21" hidden="1">
      <c r="A1465" s="964">
        <v>9</v>
      </c>
      <c r="B1465" s="1347" t="s">
        <v>822</v>
      </c>
      <c r="C1465" s="1361"/>
      <c r="D1465" s="964" t="s">
        <v>147</v>
      </c>
      <c r="E1465" s="1054">
        <v>39710</v>
      </c>
      <c r="F1465" s="1054"/>
      <c r="G1465" s="1054">
        <v>0</v>
      </c>
      <c r="H1465" s="966">
        <f>H270</f>
        <v>61.982099999999996</v>
      </c>
      <c r="I1465" s="966">
        <f t="shared" ref="I1465:J1465" si="521">I270</f>
        <v>44.36</v>
      </c>
      <c r="J1465" s="966">
        <f t="shared" si="521"/>
        <v>48.78</v>
      </c>
      <c r="K1465" s="966"/>
      <c r="L1465" s="966"/>
      <c r="M1465" s="966"/>
      <c r="N1465" s="966"/>
      <c r="O1465" s="966"/>
      <c r="P1465" s="966"/>
      <c r="Q1465" s="966"/>
      <c r="R1465" s="966"/>
      <c r="S1465" s="966"/>
      <c r="T1465" s="981">
        <f>SUM(H1465:S1465)</f>
        <v>155.12209999999999</v>
      </c>
      <c r="U1465" s="966">
        <f>T1465*E1465</f>
        <v>6159898.591</v>
      </c>
      <c r="V1465" s="966">
        <f>T1465*G1465</f>
        <v>0</v>
      </c>
      <c r="W1465" s="936">
        <f>T1465/12</f>
        <v>12.926841666666666</v>
      </c>
    </row>
    <row r="1466" spans="1:23" ht="21" hidden="1">
      <c r="A1466" s="964"/>
      <c r="B1466" s="1347"/>
      <c r="C1466" s="1361"/>
      <c r="D1466" s="964"/>
      <c r="E1466" s="1346"/>
      <c r="F1466" s="964"/>
      <c r="G1466" s="964"/>
      <c r="H1466" s="966"/>
      <c r="I1466" s="966"/>
      <c r="J1466" s="966"/>
      <c r="K1466" s="966"/>
      <c r="L1466" s="966"/>
      <c r="M1466" s="966"/>
      <c r="N1466" s="966"/>
      <c r="O1466" s="966"/>
      <c r="P1466" s="966"/>
      <c r="Q1466" s="966"/>
      <c r="R1466" s="966"/>
      <c r="S1466" s="966"/>
      <c r="T1466" s="966"/>
      <c r="U1466" s="966"/>
      <c r="V1466" s="966"/>
      <c r="W1466" s="936"/>
    </row>
    <row r="1467" spans="1:23" ht="21" hidden="1">
      <c r="A1467" s="964">
        <v>10</v>
      </c>
      <c r="B1467" s="1347" t="s">
        <v>886</v>
      </c>
      <c r="C1467" s="1361"/>
      <c r="D1467" s="964" t="s">
        <v>483</v>
      </c>
      <c r="E1467" s="1104">
        <f>'[11]Price&amp;Heating-Value'!$R$26/1000</f>
        <v>40.887839999999997</v>
      </c>
      <c r="F1467" s="964"/>
      <c r="G1467" s="964">
        <v>56.63</v>
      </c>
      <c r="H1467" s="966">
        <f>H294</f>
        <v>0</v>
      </c>
      <c r="I1467" s="966">
        <f t="shared" ref="I1467:J1467" si="522">I294</f>
        <v>0</v>
      </c>
      <c r="J1467" s="966">
        <f t="shared" si="522"/>
        <v>0</v>
      </c>
      <c r="K1467" s="966"/>
      <c r="L1467" s="966"/>
      <c r="M1467" s="966"/>
      <c r="N1467" s="966"/>
      <c r="O1467" s="966"/>
      <c r="P1467" s="966"/>
      <c r="Q1467" s="966"/>
      <c r="R1467" s="966"/>
      <c r="S1467" s="966"/>
      <c r="T1467" s="981">
        <f>SUM(H1467:S1467)</f>
        <v>0</v>
      </c>
      <c r="U1467" s="966">
        <f>T1467*E1467</f>
        <v>0</v>
      </c>
      <c r="V1467" s="966">
        <f>T1467*G1467</f>
        <v>0</v>
      </c>
      <c r="W1467" s="936"/>
    </row>
    <row r="1468" spans="1:23" ht="21" hidden="1">
      <c r="A1468" s="964"/>
      <c r="B1468" s="1363"/>
      <c r="C1468" s="1361"/>
      <c r="D1468" s="964"/>
      <c r="E1468" s="984"/>
      <c r="F1468" s="984"/>
      <c r="G1468" s="984"/>
      <c r="H1468" s="966"/>
      <c r="I1468" s="966"/>
      <c r="J1468" s="966"/>
      <c r="K1468" s="966"/>
      <c r="L1468" s="966"/>
      <c r="M1468" s="966"/>
      <c r="N1468" s="966"/>
      <c r="O1468" s="966"/>
      <c r="P1468" s="966"/>
      <c r="Q1468" s="966"/>
      <c r="R1468" s="966"/>
      <c r="S1468" s="966"/>
      <c r="T1468" s="966"/>
      <c r="U1468" s="966"/>
      <c r="V1468" s="966"/>
      <c r="W1468" s="936"/>
    </row>
    <row r="1469" spans="1:23" ht="21" hidden="1">
      <c r="A1469" s="964">
        <v>11</v>
      </c>
      <c r="B1469" s="958" t="s">
        <v>823</v>
      </c>
      <c r="C1469" s="1361"/>
      <c r="D1469" s="964" t="s">
        <v>147</v>
      </c>
      <c r="E1469" s="1054">
        <v>45943.431119999994</v>
      </c>
      <c r="F1469" s="1054"/>
      <c r="G1469" s="1054">
        <v>39032</v>
      </c>
      <c r="H1469" s="966">
        <f>H1162</f>
        <v>0</v>
      </c>
      <c r="I1469" s="966">
        <f t="shared" ref="I1469:J1469" si="523">I1162</f>
        <v>0</v>
      </c>
      <c r="J1469" s="966">
        <f t="shared" si="523"/>
        <v>0</v>
      </c>
      <c r="K1469" s="966"/>
      <c r="L1469" s="966"/>
      <c r="M1469" s="966"/>
      <c r="N1469" s="966"/>
      <c r="O1469" s="966"/>
      <c r="P1469" s="966"/>
      <c r="Q1469" s="966"/>
      <c r="R1469" s="966"/>
      <c r="S1469" s="966"/>
      <c r="T1469" s="981">
        <f>SUM(H1469:S1469)</f>
        <v>0</v>
      </c>
      <c r="U1469" s="966">
        <f>T1469*E1469</f>
        <v>0</v>
      </c>
      <c r="V1469" s="966">
        <f>T1469*G1469</f>
        <v>0</v>
      </c>
      <c r="W1469" s="936"/>
    </row>
    <row r="1470" spans="1:23" ht="21" hidden="1">
      <c r="A1470" s="964"/>
      <c r="B1470" s="1347"/>
      <c r="C1470" s="1361"/>
      <c r="D1470" s="964"/>
      <c r="E1470" s="1054"/>
      <c r="F1470" s="1054"/>
      <c r="G1470" s="1054"/>
      <c r="H1470" s="966"/>
      <c r="I1470" s="966"/>
      <c r="J1470" s="966"/>
      <c r="K1470" s="966"/>
      <c r="L1470" s="966"/>
      <c r="M1470" s="966"/>
      <c r="N1470" s="966"/>
      <c r="O1470" s="966"/>
      <c r="P1470" s="966"/>
      <c r="Q1470" s="966"/>
      <c r="R1470" s="966"/>
      <c r="S1470" s="966"/>
      <c r="T1470" s="981"/>
      <c r="U1470" s="966"/>
      <c r="V1470" s="966"/>
      <c r="W1470" s="936"/>
    </row>
    <row r="1471" spans="1:23" ht="21" hidden="1">
      <c r="A1471" s="964"/>
      <c r="B1471" s="1347"/>
      <c r="C1471" s="1361" t="s">
        <v>887</v>
      </c>
      <c r="D1471" s="964"/>
      <c r="E1471" s="1054"/>
      <c r="F1471" s="1054"/>
      <c r="G1471" s="1054"/>
      <c r="H1471" s="966"/>
      <c r="I1471" s="966"/>
      <c r="J1471" s="966"/>
      <c r="K1471" s="966"/>
      <c r="L1471" s="966"/>
      <c r="M1471" s="966"/>
      <c r="N1471" s="966"/>
      <c r="O1471" s="966"/>
      <c r="P1471" s="966"/>
      <c r="Q1471" s="966"/>
      <c r="R1471" s="966"/>
      <c r="S1471" s="966"/>
      <c r="T1471" s="981"/>
      <c r="U1471" s="981">
        <f>U1463+U1465+U1467+U1469</f>
        <v>141148774.59099999</v>
      </c>
      <c r="V1471" s="981">
        <f>V1463+V1465+V1467+V1469</f>
        <v>0</v>
      </c>
      <c r="W1471" s="936"/>
    </row>
    <row r="1472" spans="1:23" ht="21" hidden="1">
      <c r="A1472" s="964"/>
      <c r="B1472" s="1347"/>
      <c r="C1472" s="1361"/>
      <c r="D1472" s="964"/>
      <c r="E1472" s="1054"/>
      <c r="F1472" s="1054"/>
      <c r="G1472" s="1054"/>
      <c r="H1472" s="966"/>
      <c r="I1472" s="966"/>
      <c r="J1472" s="966"/>
      <c r="K1472" s="966"/>
      <c r="L1472" s="966"/>
      <c r="M1472" s="966"/>
      <c r="N1472" s="966"/>
      <c r="O1472" s="966"/>
      <c r="P1472" s="966"/>
      <c r="Q1472" s="966"/>
      <c r="R1472" s="966"/>
      <c r="S1472" s="966"/>
      <c r="T1472" s="966"/>
      <c r="U1472" s="966"/>
      <c r="V1472" s="966"/>
      <c r="W1472" s="936"/>
    </row>
    <row r="1473" spans="1:23" ht="21" hidden="1">
      <c r="A1473" s="964"/>
      <c r="B1473" s="1347"/>
      <c r="C1473" s="1361"/>
      <c r="D1473" s="964"/>
      <c r="E1473" s="1054"/>
      <c r="F1473" s="1054"/>
      <c r="G1473" s="1054"/>
      <c r="H1473" s="966"/>
      <c r="I1473" s="966"/>
      <c r="J1473" s="966"/>
      <c r="K1473" s="966"/>
      <c r="L1473" s="966"/>
      <c r="M1473" s="966"/>
      <c r="N1473" s="966"/>
      <c r="O1473" s="966"/>
      <c r="P1473" s="966"/>
      <c r="Q1473" s="966"/>
      <c r="R1473" s="966" t="s">
        <v>501</v>
      </c>
      <c r="S1473" s="966"/>
      <c r="T1473" s="966" t="e">
        <f>T1465+T1463+T1461+T1459+T1457+T1455+T1453+T1448+T1434</f>
        <v>#DIV/0!</v>
      </c>
      <c r="U1473" s="966" t="e">
        <f>U1465+U1463+U1461+U1459+U1457+U1455+U1453+U1448+U1434</f>
        <v>#REF!</v>
      </c>
      <c r="V1473" s="966" t="e">
        <f>V1465+V1463+V1461+V1459+V1457+V1455+V1453+V1448+V1434</f>
        <v>#REF!</v>
      </c>
      <c r="W1473" s="936"/>
    </row>
    <row r="1474" spans="1:23" ht="21" hidden="1">
      <c r="A1474" s="964"/>
      <c r="B1474" s="1347"/>
      <c r="C1474" s="1361"/>
      <c r="D1474" s="964"/>
      <c r="E1474" s="1054"/>
      <c r="F1474" s="1054"/>
      <c r="G1474" s="1054"/>
      <c r="H1474" s="966"/>
      <c r="I1474" s="966"/>
      <c r="J1474" s="966"/>
      <c r="K1474" s="966"/>
      <c r="L1474" s="966"/>
      <c r="M1474" s="966"/>
      <c r="N1474" s="966"/>
      <c r="O1474" s="966"/>
      <c r="P1474" s="966"/>
      <c r="Q1474" s="966"/>
      <c r="R1474" s="966"/>
      <c r="S1474" s="966"/>
      <c r="T1474" s="966"/>
      <c r="U1474" s="966"/>
      <c r="V1474" s="966"/>
      <c r="W1474" s="936"/>
    </row>
    <row r="1475" spans="1:23" ht="21" hidden="1">
      <c r="A1475" s="964"/>
      <c r="B1475" s="1363"/>
      <c r="C1475" s="1361" t="s">
        <v>888</v>
      </c>
      <c r="D1475" s="964"/>
      <c r="E1475" s="984"/>
      <c r="F1475" s="984"/>
      <c r="G1475" s="984"/>
      <c r="H1475" s="1091"/>
      <c r="I1475" s="1091"/>
      <c r="J1475" s="1091"/>
      <c r="K1475" s="1091"/>
      <c r="L1475" s="1091"/>
      <c r="M1475" s="1091"/>
      <c r="N1475" s="1091"/>
      <c r="O1475" s="1091"/>
      <c r="P1475" s="1091"/>
      <c r="Q1475" s="1091"/>
      <c r="R1475" s="1091"/>
      <c r="S1475" s="1091"/>
      <c r="T1475" s="966">
        <f>SUM(H1475:S1475)</f>
        <v>0</v>
      </c>
      <c r="U1475" s="966">
        <f>T1475*2690</f>
        <v>0</v>
      </c>
      <c r="V1475" s="966">
        <f>T1475*939</f>
        <v>0</v>
      </c>
      <c r="W1475" s="936"/>
    </row>
    <row r="1476" spans="1:23" ht="21" hidden="1">
      <c r="A1476" s="964"/>
      <c r="B1476" s="1363"/>
      <c r="C1476" s="1361" t="s">
        <v>889</v>
      </c>
      <c r="D1476" s="964"/>
      <c r="E1476" s="984"/>
      <c r="F1476" s="984"/>
      <c r="G1476" s="984"/>
      <c r="H1476" s="1091"/>
      <c r="I1476" s="1091"/>
      <c r="J1476" s="1091"/>
      <c r="K1476" s="1091"/>
      <c r="L1476" s="1091"/>
      <c r="M1476" s="1091"/>
      <c r="N1476" s="1091"/>
      <c r="O1476" s="1091"/>
      <c r="P1476" s="1091"/>
      <c r="Q1476" s="1091"/>
      <c r="R1476" s="1091"/>
      <c r="S1476" s="1091"/>
      <c r="T1476" s="966">
        <f>SUM(H1476:S1476)</f>
        <v>0</v>
      </c>
      <c r="U1476" s="966">
        <f>T1476*2690</f>
        <v>0</v>
      </c>
      <c r="V1476" s="966">
        <f>T1476*939</f>
        <v>0</v>
      </c>
      <c r="W1476" s="936"/>
    </row>
    <row r="1477" spans="1:23" ht="21" hidden="1">
      <c r="A1477" s="964"/>
      <c r="B1477" s="1363"/>
      <c r="C1477" s="1361"/>
      <c r="D1477" s="964"/>
      <c r="E1477" s="984"/>
      <c r="F1477" s="984"/>
      <c r="G1477" s="984"/>
      <c r="H1477" s="966"/>
      <c r="I1477" s="966"/>
      <c r="J1477" s="966"/>
      <c r="K1477" s="966"/>
      <c r="L1477" s="966"/>
      <c r="M1477" s="966"/>
      <c r="N1477" s="966"/>
      <c r="O1477" s="966"/>
      <c r="P1477" s="966"/>
      <c r="Q1477" s="966"/>
      <c r="R1477" s="966"/>
      <c r="S1477" s="966"/>
      <c r="T1477" s="966"/>
      <c r="U1477" s="966"/>
      <c r="V1477" s="966"/>
      <c r="W1477" s="936"/>
    </row>
    <row r="1478" spans="1:23" ht="21" hidden="1">
      <c r="A1478" s="964"/>
      <c r="B1478" s="1347"/>
      <c r="C1478" s="1361"/>
      <c r="D1478" s="964"/>
      <c r="E1478" s="1054"/>
      <c r="F1478" s="1054"/>
      <c r="G1478" s="1054"/>
      <c r="H1478" s="966"/>
      <c r="I1478" s="966"/>
      <c r="J1478" s="966"/>
      <c r="K1478" s="966"/>
      <c r="L1478" s="966"/>
      <c r="M1478" s="966"/>
      <c r="N1478" s="966"/>
      <c r="O1478" s="966"/>
      <c r="P1478" s="966"/>
      <c r="Q1478" s="966"/>
      <c r="R1478" s="966" t="s">
        <v>890</v>
      </c>
      <c r="S1478" s="966"/>
      <c r="T1478" s="966"/>
      <c r="U1478" s="966" t="e">
        <f>U1439+U1453+U1455+U1457+U1459+U1461+U1463+U1465</f>
        <v>#REF!</v>
      </c>
      <c r="V1478" s="966" t="e">
        <f>V1439+V1453+V1455+V1457+V1459+V1461+V1463+V1465</f>
        <v>#REF!</v>
      </c>
      <c r="W1478" s="936">
        <f>T1478/12</f>
        <v>0</v>
      </c>
    </row>
    <row r="1479" spans="1:23" ht="21" hidden="1">
      <c r="A1479" s="964"/>
      <c r="B1479" s="1363"/>
      <c r="C1479" s="1361"/>
      <c r="D1479" s="964"/>
      <c r="E1479" s="964"/>
      <c r="F1479" s="964"/>
      <c r="G1479" s="964"/>
      <c r="H1479" s="966"/>
      <c r="I1479" s="966"/>
      <c r="J1479" s="966"/>
      <c r="K1479" s="966"/>
      <c r="L1479" s="966"/>
      <c r="M1479" s="966"/>
      <c r="N1479" s="966"/>
      <c r="O1479" s="966"/>
      <c r="P1479" s="966"/>
      <c r="Q1479" s="966"/>
      <c r="R1479" s="966" t="s">
        <v>891</v>
      </c>
      <c r="S1479" s="966"/>
      <c r="T1479" s="966"/>
      <c r="U1479" s="966" t="e">
        <f>U1448+#REF!</f>
        <v>#REF!</v>
      </c>
      <c r="V1479" s="966" t="e">
        <f>V1448+#REF!</f>
        <v>#REF!</v>
      </c>
      <c r="W1479" s="936">
        <f>T1479/12</f>
        <v>0</v>
      </c>
    </row>
    <row r="1480" spans="1:23" ht="21" hidden="1">
      <c r="A1480" s="964"/>
      <c r="B1480" s="1363"/>
      <c r="C1480" s="1361"/>
      <c r="D1480" s="964"/>
      <c r="E1480" s="964"/>
      <c r="F1480" s="964"/>
      <c r="G1480" s="964"/>
      <c r="H1480" s="966"/>
      <c r="I1480" s="966"/>
      <c r="J1480" s="966"/>
      <c r="K1480" s="966"/>
      <c r="L1480" s="966"/>
      <c r="M1480" s="966"/>
      <c r="N1480" s="966"/>
      <c r="O1480" s="966"/>
      <c r="P1480" s="934"/>
      <c r="Q1480" s="934"/>
      <c r="R1480" s="966"/>
      <c r="S1480" s="966"/>
      <c r="T1480" s="966"/>
      <c r="U1480" s="966"/>
      <c r="V1480" s="966"/>
      <c r="W1480" s="936"/>
    </row>
    <row r="1481" spans="1:23" ht="21" hidden="1">
      <c r="A1481" s="964"/>
      <c r="B1481" s="1363"/>
      <c r="C1481" s="1361"/>
      <c r="D1481" s="964"/>
      <c r="E1481" s="964"/>
      <c r="F1481" s="964"/>
      <c r="G1481" s="964"/>
      <c r="H1481" s="966"/>
      <c r="I1481" s="966"/>
      <c r="J1481" s="966"/>
      <c r="K1481" s="966"/>
      <c r="L1481" s="966"/>
      <c r="M1481" s="966"/>
      <c r="N1481" s="966"/>
      <c r="O1481" s="966"/>
      <c r="P1481" s="966"/>
      <c r="Q1481" s="966"/>
      <c r="R1481" s="1364" t="s">
        <v>501</v>
      </c>
      <c r="S1481" s="1364"/>
      <c r="T1481" s="1364"/>
      <c r="U1481" s="1364" t="e">
        <f>U1469+U1467+U1465+U1463+U1461+U1459+U1457+U1453+U1446+U1455</f>
        <v>#REF!</v>
      </c>
      <c r="V1481" s="1364"/>
      <c r="W1481" s="936"/>
    </row>
    <row r="1482" spans="1:23" ht="21">
      <c r="A1482" s="937"/>
      <c r="B1482" s="937"/>
      <c r="C1482" s="939"/>
      <c r="D1482" s="937"/>
      <c r="E1482" s="937"/>
      <c r="F1482" s="937"/>
      <c r="G1482" s="937"/>
      <c r="H1482" s="936"/>
      <c r="I1482" s="936"/>
      <c r="J1482" s="936"/>
      <c r="K1482" s="936"/>
      <c r="L1482" s="936"/>
      <c r="M1482" s="936"/>
      <c r="N1482" s="936"/>
      <c r="O1482" s="936"/>
      <c r="P1482" s="936"/>
      <c r="Q1482" s="936"/>
      <c r="R1482" s="936"/>
      <c r="S1482" s="936"/>
      <c r="T1482" s="936"/>
      <c r="U1482" s="936"/>
      <c r="V1482" s="936"/>
      <c r="W1482" s="936"/>
    </row>
    <row r="1483" spans="1:23" ht="21">
      <c r="A1483" s="937"/>
      <c r="B1483" s="939" t="s">
        <v>965</v>
      </c>
      <c r="C1483" s="939"/>
      <c r="D1483" s="937"/>
      <c r="E1483" s="937"/>
      <c r="F1483" s="937"/>
      <c r="G1483" s="937"/>
      <c r="H1483" s="936"/>
      <c r="I1483" s="936"/>
      <c r="J1483" s="936"/>
      <c r="K1483" s="936"/>
      <c r="L1483" s="936"/>
      <c r="M1483" s="936"/>
      <c r="N1483" s="936"/>
      <c r="O1483" s="936"/>
      <c r="P1483" s="936"/>
      <c r="Q1483" s="936"/>
      <c r="R1483" s="936"/>
      <c r="S1483" s="936"/>
      <c r="T1483" s="936"/>
      <c r="U1483" s="936"/>
      <c r="V1483" s="936"/>
      <c r="W1483" s="936"/>
    </row>
    <row r="1484" spans="1:23">
      <c r="A1484" s="1365"/>
      <c r="B1484" s="1365"/>
      <c r="C1484" s="1365"/>
      <c r="D1484" s="1365"/>
      <c r="E1484" s="1365"/>
      <c r="F1484" s="1365"/>
      <c r="G1484" s="1365"/>
      <c r="H1484" s="1365"/>
      <c r="I1484" s="1365"/>
      <c r="J1484" s="1365"/>
      <c r="K1484" s="1365"/>
      <c r="L1484" s="1365"/>
      <c r="M1484" s="1366"/>
      <c r="N1484" s="1366"/>
      <c r="O1484" s="1365"/>
      <c r="P1484" s="1365"/>
      <c r="Q1484" s="1365"/>
      <c r="R1484" s="1365"/>
      <c r="S1484" s="1365"/>
      <c r="T1484" s="1365"/>
      <c r="U1484" s="1365"/>
      <c r="V1484" s="1365"/>
      <c r="W1484" s="1365"/>
    </row>
    <row r="1485" spans="1:23" ht="21" hidden="1">
      <c r="A1485" s="937"/>
      <c r="B1485" s="937"/>
      <c r="C1485" s="939"/>
      <c r="D1485" s="937"/>
      <c r="E1485" s="937" t="s">
        <v>966</v>
      </c>
      <c r="F1485" s="937"/>
      <c r="G1485" s="937"/>
      <c r="H1485" s="936"/>
      <c r="I1485" s="936"/>
      <c r="J1485" s="936"/>
      <c r="K1485" s="936"/>
      <c r="L1485" s="936"/>
      <c r="M1485" s="936"/>
      <c r="N1485" s="936"/>
      <c r="O1485" s="936"/>
      <c r="P1485" s="936"/>
      <c r="Q1485" s="936"/>
      <c r="R1485" s="936"/>
      <c r="S1485" s="936"/>
      <c r="T1485" s="936"/>
      <c r="U1485" s="936"/>
      <c r="V1485" s="936"/>
      <c r="W1485" s="936"/>
    </row>
    <row r="1486" spans="1:23">
      <c r="B1486" s="1367"/>
      <c r="C1486" s="1365"/>
      <c r="D1486" s="1365"/>
      <c r="E1486" s="1365"/>
      <c r="F1486" s="1365"/>
      <c r="G1486" s="1365"/>
      <c r="H1486" s="1365"/>
      <c r="I1486" s="1365"/>
      <c r="J1486" s="1365"/>
      <c r="K1486" s="1365"/>
      <c r="L1486" s="1365"/>
      <c r="M1486" s="1365"/>
      <c r="N1486" s="1365"/>
      <c r="O1486" s="1368"/>
      <c r="P1486" s="1365"/>
      <c r="Q1486" s="1365"/>
      <c r="R1486" s="1365"/>
      <c r="S1486" s="1365"/>
      <c r="T1486" s="1365"/>
      <c r="U1486" s="1365"/>
      <c r="V1486" s="1365"/>
      <c r="W1486" s="1365"/>
    </row>
    <row r="1487" spans="1:23" ht="21">
      <c r="A1487" s="937"/>
      <c r="B1487" s="937"/>
      <c r="C1487" s="939"/>
      <c r="D1487" s="937"/>
      <c r="E1487" s="937"/>
      <c r="F1487" s="937"/>
      <c r="G1487" s="937"/>
      <c r="H1487" s="936"/>
      <c r="I1487" s="936"/>
      <c r="J1487" s="936"/>
      <c r="K1487" s="936"/>
      <c r="L1487" s="936"/>
      <c r="M1487" s="936"/>
      <c r="N1487" s="936"/>
      <c r="O1487" s="936"/>
      <c r="P1487" s="936"/>
      <c r="Q1487" s="936"/>
      <c r="R1487" s="936"/>
      <c r="S1487" s="936"/>
      <c r="T1487" s="936"/>
      <c r="U1487" s="936"/>
      <c r="V1487" s="936"/>
      <c r="W1487" s="936"/>
    </row>
  </sheetData>
  <mergeCells count="15">
    <mergeCell ref="E1302:G1302"/>
    <mergeCell ref="E1315:G1315"/>
    <mergeCell ref="B1434:C1434"/>
    <mergeCell ref="E544:G544"/>
    <mergeCell ref="E554:G554"/>
    <mergeCell ref="D558:G558"/>
    <mergeCell ref="E1276:G1276"/>
    <mergeCell ref="E1289:G1289"/>
    <mergeCell ref="E1293:G1293"/>
    <mergeCell ref="E533:G533"/>
    <mergeCell ref="A1:V1"/>
    <mergeCell ref="H3:S3"/>
    <mergeCell ref="E260:G260"/>
    <mergeCell ref="E353:G353"/>
    <mergeCell ref="E522:G522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9"/>
  <sheetViews>
    <sheetView workbookViewId="0">
      <selection activeCell="G9" sqref="G9"/>
    </sheetView>
  </sheetViews>
  <sheetFormatPr defaultColWidth="8.85546875" defaultRowHeight="18"/>
  <cols>
    <col min="1" max="1" width="4" style="123" customWidth="1"/>
    <col min="2" max="2" width="8.140625" style="123" customWidth="1"/>
    <col min="3" max="3" width="8.7109375" style="123" customWidth="1"/>
    <col min="4" max="4" width="16.85546875" style="123" customWidth="1"/>
    <col min="5" max="5" width="13.7109375" style="123" customWidth="1"/>
    <col min="6" max="6" width="13.85546875" style="123" customWidth="1"/>
    <col min="7" max="7" width="13.42578125" style="123" customWidth="1"/>
    <col min="8" max="16384" width="8.85546875" style="123"/>
  </cols>
  <sheetData>
    <row r="1" spans="2:7" ht="22.5">
      <c r="B1" s="1827" t="s">
        <v>228</v>
      </c>
      <c r="C1" s="1827"/>
      <c r="D1" s="1827"/>
      <c r="E1" s="1827"/>
      <c r="F1" s="1827"/>
    </row>
    <row r="2" spans="2:7" s="126" customFormat="1" ht="30">
      <c r="B2" s="124" t="s">
        <v>27</v>
      </c>
      <c r="C2" s="124" t="s">
        <v>229</v>
      </c>
      <c r="D2" s="125" t="s">
        <v>230</v>
      </c>
      <c r="E2" s="125" t="s">
        <v>231</v>
      </c>
      <c r="F2" s="124" t="s">
        <v>232</v>
      </c>
    </row>
    <row r="3" spans="2:7">
      <c r="B3" s="1825" t="s">
        <v>57</v>
      </c>
      <c r="C3" s="1825"/>
      <c r="D3" s="127">
        <v>120000</v>
      </c>
      <c r="E3" s="128">
        <f>D3/$D$9</f>
        <v>0.13407821229050279</v>
      </c>
      <c r="F3" s="128">
        <f>D3/$D$9</f>
        <v>0.13407821229050279</v>
      </c>
    </row>
    <row r="4" spans="2:7">
      <c r="B4" s="1825" t="s">
        <v>47</v>
      </c>
      <c r="C4" s="129" t="s">
        <v>177</v>
      </c>
      <c r="D4" s="127">
        <v>100000</v>
      </c>
      <c r="E4" s="1828">
        <f>(D4+D5)/$D$9</f>
        <v>0.27932960893854747</v>
      </c>
      <c r="F4" s="128">
        <f t="shared" ref="F4:F9" si="0">D4/$D$9</f>
        <v>0.11173184357541899</v>
      </c>
    </row>
    <row r="5" spans="2:7">
      <c r="B5" s="1825"/>
      <c r="C5" s="129" t="s">
        <v>178</v>
      </c>
      <c r="D5" s="127">
        <v>150000</v>
      </c>
      <c r="E5" s="1829"/>
      <c r="F5" s="128">
        <f t="shared" si="0"/>
        <v>0.16759776536312848</v>
      </c>
    </row>
    <row r="6" spans="2:7">
      <c r="B6" s="1825" t="s">
        <v>178</v>
      </c>
      <c r="C6" s="129" t="s">
        <v>233</v>
      </c>
      <c r="D6" s="127">
        <v>192500</v>
      </c>
      <c r="E6" s="1828">
        <f>(D6+D7)/$D$9</f>
        <v>0.43016759776536312</v>
      </c>
      <c r="F6" s="128">
        <f t="shared" si="0"/>
        <v>0.21508379888268156</v>
      </c>
      <c r="G6" s="130" t="s">
        <v>234</v>
      </c>
    </row>
    <row r="7" spans="2:7">
      <c r="B7" s="1825"/>
      <c r="C7" s="129" t="s">
        <v>235</v>
      </c>
      <c r="D7" s="127">
        <v>192500</v>
      </c>
      <c r="E7" s="1829"/>
      <c r="F7" s="128">
        <f t="shared" si="0"/>
        <v>0.21508379888268156</v>
      </c>
      <c r="G7" s="130" t="s">
        <v>236</v>
      </c>
    </row>
    <row r="8" spans="2:7">
      <c r="B8" s="1825" t="s">
        <v>179</v>
      </c>
      <c r="C8" s="1825"/>
      <c r="D8" s="127">
        <v>140000</v>
      </c>
      <c r="E8" s="128">
        <f t="shared" ref="E8:E9" si="1">D8/$D$9</f>
        <v>0.15642458100558659</v>
      </c>
      <c r="F8" s="128">
        <f t="shared" si="0"/>
        <v>0.15642458100558659</v>
      </c>
    </row>
    <row r="9" spans="2:7">
      <c r="B9" s="1826" t="s">
        <v>52</v>
      </c>
      <c r="C9" s="1826"/>
      <c r="D9" s="131">
        <f>SUM(D3:D8)</f>
        <v>895000</v>
      </c>
      <c r="E9" s="128">
        <f t="shared" si="1"/>
        <v>1</v>
      </c>
      <c r="F9" s="128">
        <f t="shared" si="0"/>
        <v>1</v>
      </c>
    </row>
  </sheetData>
  <mergeCells count="8">
    <mergeCell ref="B8:C8"/>
    <mergeCell ref="B9:C9"/>
    <mergeCell ref="B1:F1"/>
    <mergeCell ref="B3:C3"/>
    <mergeCell ref="B4:B5"/>
    <mergeCell ref="E4:E5"/>
    <mergeCell ref="B6:B7"/>
    <mergeCell ref="E6:E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"/>
  <sheetViews>
    <sheetView zoomScale="60" zoomScaleNormal="60" workbookViewId="0">
      <selection activeCell="N39" sqref="N39"/>
    </sheetView>
  </sheetViews>
  <sheetFormatPr defaultColWidth="9" defaultRowHeight="12.75"/>
  <cols>
    <col min="1" max="1" width="17.85546875" style="586" customWidth="1"/>
    <col min="2" max="2" width="12.140625" style="586" customWidth="1"/>
    <col min="3" max="4" width="8.140625" style="586" customWidth="1"/>
    <col min="5" max="5" width="9.42578125" style="586" customWidth="1"/>
    <col min="6" max="6" width="8.140625" style="587" customWidth="1"/>
    <col min="7" max="7" width="9.42578125" style="586" customWidth="1"/>
    <col min="8" max="10" width="8.140625" style="586" customWidth="1"/>
    <col min="11" max="11" width="8.140625" style="587" customWidth="1"/>
    <col min="12" max="12" width="11.140625" style="586" customWidth="1"/>
    <col min="13" max="13" width="9.85546875" style="586" customWidth="1"/>
    <col min="14" max="14" width="9.42578125" style="586" customWidth="1"/>
    <col min="15" max="15" width="9.28515625" style="586" customWidth="1"/>
    <col min="16" max="16" width="8.140625" style="587" customWidth="1"/>
    <col min="17" max="17" width="11.28515625" style="586" customWidth="1"/>
    <col min="18" max="18" width="9.7109375" style="586" customWidth="1"/>
    <col min="19" max="19" width="8.140625" style="586" customWidth="1"/>
    <col min="20" max="20" width="11.28515625" style="586" customWidth="1"/>
    <col min="21" max="21" width="8.140625" style="587" customWidth="1"/>
    <col min="22" max="22" width="10" style="586" customWidth="1"/>
    <col min="23" max="26" width="9" style="586"/>
    <col min="27" max="27" width="11" style="586" customWidth="1"/>
    <col min="28" max="16384" width="9" style="586"/>
  </cols>
  <sheetData>
    <row r="1" spans="1:32" ht="22.5">
      <c r="A1" s="1841" t="s">
        <v>829</v>
      </c>
      <c r="B1" s="1841"/>
      <c r="C1" s="1841"/>
      <c r="D1" s="1841"/>
      <c r="E1" s="1841"/>
      <c r="F1" s="1841"/>
      <c r="G1" s="1841"/>
      <c r="H1" s="1841"/>
      <c r="I1" s="1841"/>
      <c r="J1" s="1841"/>
      <c r="K1" s="1841"/>
      <c r="L1" s="1841"/>
      <c r="M1" s="1841"/>
      <c r="N1" s="1841"/>
      <c r="O1" s="1841"/>
      <c r="P1" s="1841"/>
      <c r="Q1" s="1841"/>
      <c r="R1" s="1841"/>
      <c r="S1" s="1841"/>
      <c r="T1" s="1841"/>
      <c r="U1" s="1841"/>
    </row>
    <row r="3" spans="1:32" ht="13.5" thickBot="1"/>
    <row r="4" spans="1:32" ht="24.95" customHeight="1">
      <c r="A4" s="588" t="s">
        <v>830</v>
      </c>
      <c r="B4" s="1842" t="s">
        <v>831</v>
      </c>
      <c r="C4" s="1843"/>
      <c r="D4" s="1843"/>
      <c r="E4" s="1843"/>
      <c r="F4" s="1844"/>
      <c r="G4" s="1848" t="s">
        <v>832</v>
      </c>
      <c r="H4" s="1849"/>
      <c r="I4" s="1849"/>
      <c r="J4" s="1849"/>
      <c r="K4" s="1850"/>
      <c r="L4" s="1854" t="s">
        <v>833</v>
      </c>
      <c r="M4" s="1855"/>
      <c r="N4" s="1855"/>
      <c r="O4" s="1855"/>
      <c r="P4" s="1856"/>
      <c r="Q4" s="1854" t="s">
        <v>834</v>
      </c>
      <c r="R4" s="1855"/>
      <c r="S4" s="1855"/>
      <c r="T4" s="1855"/>
      <c r="U4" s="1856"/>
      <c r="V4" s="1854" t="s">
        <v>835</v>
      </c>
      <c r="W4" s="1855"/>
      <c r="X4" s="1855"/>
      <c r="Y4" s="1855"/>
      <c r="Z4" s="1856"/>
      <c r="AA4" s="1830" t="s">
        <v>836</v>
      </c>
      <c r="AB4" s="1831"/>
      <c r="AC4" s="1831"/>
      <c r="AD4" s="1831"/>
      <c r="AE4" s="1832"/>
    </row>
    <row r="5" spans="1:32" ht="24.95" customHeight="1">
      <c r="A5" s="589"/>
      <c r="B5" s="1845"/>
      <c r="C5" s="1846"/>
      <c r="D5" s="1846"/>
      <c r="E5" s="1846"/>
      <c r="F5" s="1847"/>
      <c r="G5" s="1851"/>
      <c r="H5" s="1852"/>
      <c r="I5" s="1852"/>
      <c r="J5" s="1852"/>
      <c r="K5" s="1853"/>
      <c r="L5" s="1857"/>
      <c r="M5" s="1858"/>
      <c r="N5" s="1858"/>
      <c r="O5" s="1858"/>
      <c r="P5" s="1859"/>
      <c r="Q5" s="1857"/>
      <c r="R5" s="1858"/>
      <c r="S5" s="1858"/>
      <c r="T5" s="1858"/>
      <c r="U5" s="1859"/>
      <c r="V5" s="1857"/>
      <c r="W5" s="1858"/>
      <c r="X5" s="1858"/>
      <c r="Y5" s="1858"/>
      <c r="Z5" s="1859"/>
      <c r="AA5" s="1833"/>
      <c r="AB5" s="1834"/>
      <c r="AC5" s="1834"/>
      <c r="AD5" s="1834"/>
      <c r="AE5" s="1835"/>
    </row>
    <row r="6" spans="1:32" ht="24.95" customHeight="1">
      <c r="A6" s="590" t="s">
        <v>837</v>
      </c>
      <c r="B6" s="591" t="s">
        <v>838</v>
      </c>
      <c r="C6" s="592" t="s">
        <v>839</v>
      </c>
      <c r="D6" s="592" t="s">
        <v>840</v>
      </c>
      <c r="E6" s="593" t="s">
        <v>841</v>
      </c>
      <c r="F6" s="594" t="s">
        <v>842</v>
      </c>
      <c r="G6" s="595" t="s">
        <v>838</v>
      </c>
      <c r="H6" s="596" t="s">
        <v>839</v>
      </c>
      <c r="I6" s="596" t="s">
        <v>840</v>
      </c>
      <c r="J6" s="597" t="s">
        <v>841</v>
      </c>
      <c r="K6" s="598" t="s">
        <v>842</v>
      </c>
      <c r="L6" s="599" t="s">
        <v>838</v>
      </c>
      <c r="M6" s="600" t="s">
        <v>839</v>
      </c>
      <c r="N6" s="600" t="s">
        <v>840</v>
      </c>
      <c r="O6" s="601" t="s">
        <v>841</v>
      </c>
      <c r="P6" s="602" t="s">
        <v>842</v>
      </c>
      <c r="Q6" s="599" t="s">
        <v>838</v>
      </c>
      <c r="R6" s="600" t="s">
        <v>839</v>
      </c>
      <c r="S6" s="600" t="s">
        <v>840</v>
      </c>
      <c r="T6" s="601" t="s">
        <v>841</v>
      </c>
      <c r="U6" s="602" t="s">
        <v>842</v>
      </c>
      <c r="V6" s="599" t="s">
        <v>838</v>
      </c>
      <c r="W6" s="600" t="s">
        <v>839</v>
      </c>
      <c r="X6" s="600" t="s">
        <v>840</v>
      </c>
      <c r="Y6" s="601" t="s">
        <v>841</v>
      </c>
      <c r="Z6" s="602" t="s">
        <v>842</v>
      </c>
      <c r="AA6" s="603" t="s">
        <v>838</v>
      </c>
      <c r="AB6" s="604" t="s">
        <v>839</v>
      </c>
      <c r="AC6" s="604" t="s">
        <v>840</v>
      </c>
      <c r="AD6" s="605" t="s">
        <v>841</v>
      </c>
      <c r="AE6" s="606" t="s">
        <v>842</v>
      </c>
    </row>
    <row r="7" spans="1:32" ht="24" hidden="1" customHeight="1">
      <c r="A7" s="607">
        <v>43101</v>
      </c>
      <c r="B7" s="608">
        <v>11167.712</v>
      </c>
      <c r="C7" s="609">
        <v>54.525999999999996</v>
      </c>
      <c r="D7" s="609">
        <v>0</v>
      </c>
      <c r="E7" s="610">
        <f t="shared" ref="E7:E12" si="0">B7*100/(B7+C7+D7)</f>
        <v>99.514125435586024</v>
      </c>
      <c r="F7" s="611"/>
      <c r="G7" s="612">
        <v>834.72499999999991</v>
      </c>
      <c r="H7" s="613">
        <v>0</v>
      </c>
      <c r="I7" s="613">
        <v>0</v>
      </c>
      <c r="J7" s="612">
        <f t="shared" ref="J7:J30" si="1">G7*100/(G7+H7+I7)</f>
        <v>100</v>
      </c>
      <c r="K7" s="614"/>
      <c r="L7" s="615">
        <f>20250.246+235.25</f>
        <v>20485.495999999999</v>
      </c>
      <c r="M7" s="616">
        <v>259.75000000000006</v>
      </c>
      <c r="N7" s="616">
        <v>0</v>
      </c>
      <c r="O7" s="617">
        <f t="shared" ref="O7:O10" si="2">L7*100/(L7+M7+N7)</f>
        <v>98.74790590576751</v>
      </c>
      <c r="P7" s="618"/>
      <c r="Q7" s="615">
        <v>32388.75</v>
      </c>
      <c r="R7" s="616">
        <v>231.15</v>
      </c>
      <c r="S7" s="616">
        <v>0</v>
      </c>
      <c r="T7" s="617">
        <f t="shared" ref="T7:T10" si="3">Q7*100/(Q7+R7+S7)</f>
        <v>99.291383480636043</v>
      </c>
      <c r="U7" s="618"/>
      <c r="V7" s="615">
        <f>L7+Q7</f>
        <v>52874.245999999999</v>
      </c>
      <c r="W7" s="616">
        <f>M7+R7</f>
        <v>490.90000000000009</v>
      </c>
      <c r="X7" s="616">
        <f>N7+S7</f>
        <v>0</v>
      </c>
      <c r="Y7" s="617">
        <f t="shared" ref="Y7:Y30" si="4">V7*100/(V7+W7+X7)</f>
        <v>99.080111202169292</v>
      </c>
      <c r="Z7" s="618"/>
      <c r="AA7" s="619">
        <f t="shared" ref="AA7:AC30" si="5">B7+G7+V7</f>
        <v>64876.682999999997</v>
      </c>
      <c r="AB7" s="620">
        <f t="shared" si="5"/>
        <v>545.42600000000004</v>
      </c>
      <c r="AC7" s="620">
        <f t="shared" si="5"/>
        <v>0</v>
      </c>
      <c r="AD7" s="621">
        <f t="shared" ref="AD7:AD17" si="6">AA7*100/(AA7+AB7+AC7)</f>
        <v>99.166297130531206</v>
      </c>
      <c r="AE7" s="622"/>
    </row>
    <row r="8" spans="1:32" ht="24.95" customHeight="1">
      <c r="A8" s="623" t="s">
        <v>843</v>
      </c>
      <c r="B8" s="624">
        <v>11167.712</v>
      </c>
      <c r="C8" s="625">
        <v>54.525999999999996</v>
      </c>
      <c r="D8" s="625">
        <v>0</v>
      </c>
      <c r="E8" s="626">
        <f t="shared" si="0"/>
        <v>99.514125435586024</v>
      </c>
      <c r="F8" s="627"/>
      <c r="G8" s="628">
        <v>834.72499999999991</v>
      </c>
      <c r="H8" s="629">
        <v>0</v>
      </c>
      <c r="I8" s="629">
        <v>0</v>
      </c>
      <c r="J8" s="628">
        <f t="shared" si="1"/>
        <v>100</v>
      </c>
      <c r="K8" s="630"/>
      <c r="L8" s="631">
        <v>20250.245999999999</v>
      </c>
      <c r="M8" s="632">
        <v>259.75000000000006</v>
      </c>
      <c r="N8" s="632">
        <v>0</v>
      </c>
      <c r="O8" s="633">
        <f t="shared" si="2"/>
        <v>98.733544365391396</v>
      </c>
      <c r="P8" s="634"/>
      <c r="Q8" s="631">
        <v>32388.75</v>
      </c>
      <c r="R8" s="632">
        <v>231.15</v>
      </c>
      <c r="S8" s="632">
        <v>0</v>
      </c>
      <c r="T8" s="633">
        <f t="shared" si="3"/>
        <v>99.291383480636043</v>
      </c>
      <c r="U8" s="634"/>
      <c r="V8" s="631">
        <f>L8+Q8</f>
        <v>52638.995999999999</v>
      </c>
      <c r="W8" s="632">
        <f>M8+R8</f>
        <v>490.90000000000009</v>
      </c>
      <c r="X8" s="632">
        <v>0</v>
      </c>
      <c r="Y8" s="633">
        <f t="shared" si="4"/>
        <v>99.076038093505758</v>
      </c>
      <c r="Z8" s="634"/>
      <c r="AA8" s="635">
        <f t="shared" si="5"/>
        <v>64641.432999999997</v>
      </c>
      <c r="AB8" s="636">
        <f t="shared" si="5"/>
        <v>545.42600000000004</v>
      </c>
      <c r="AC8" s="636">
        <f t="shared" si="5"/>
        <v>0</v>
      </c>
      <c r="AD8" s="637">
        <f>AA8*100/(AA8+AB8+AC8)</f>
        <v>99.163288416765099</v>
      </c>
      <c r="AE8" s="638"/>
    </row>
    <row r="9" spans="1:32" ht="24.95" hidden="1" customHeight="1">
      <c r="A9" s="607">
        <v>43132</v>
      </c>
      <c r="B9" s="608"/>
      <c r="C9" s="609"/>
      <c r="D9" s="609"/>
      <c r="E9" s="610" t="e">
        <f t="shared" si="0"/>
        <v>#DIV/0!</v>
      </c>
      <c r="F9" s="611"/>
      <c r="G9" s="612"/>
      <c r="H9" s="613"/>
      <c r="I9" s="613"/>
      <c r="J9" s="612" t="e">
        <f t="shared" si="1"/>
        <v>#DIV/0!</v>
      </c>
      <c r="K9" s="614"/>
      <c r="L9" s="615"/>
      <c r="M9" s="616"/>
      <c r="N9" s="616"/>
      <c r="O9" s="617" t="e">
        <f t="shared" si="2"/>
        <v>#DIV/0!</v>
      </c>
      <c r="P9" s="618"/>
      <c r="Q9" s="615"/>
      <c r="R9" s="616"/>
      <c r="S9" s="616"/>
      <c r="T9" s="617" t="e">
        <f t="shared" si="3"/>
        <v>#DIV/0!</v>
      </c>
      <c r="U9" s="618"/>
      <c r="V9" s="615"/>
      <c r="W9" s="616"/>
      <c r="X9" s="616"/>
      <c r="Y9" s="617" t="e">
        <f t="shared" si="4"/>
        <v>#DIV/0!</v>
      </c>
      <c r="Z9" s="618"/>
      <c r="AA9" s="619">
        <f t="shared" si="5"/>
        <v>0</v>
      </c>
      <c r="AB9" s="620">
        <f t="shared" si="5"/>
        <v>0</v>
      </c>
      <c r="AC9" s="620">
        <f t="shared" si="5"/>
        <v>0</v>
      </c>
      <c r="AD9" s="621" t="e">
        <f t="shared" ref="AD9" si="7">AA9*100/(AA9+AB9+AC9)</f>
        <v>#DIV/0!</v>
      </c>
      <c r="AE9" s="622"/>
    </row>
    <row r="10" spans="1:32" ht="24.95" hidden="1" customHeight="1">
      <c r="A10" s="639" t="s">
        <v>844</v>
      </c>
      <c r="B10" s="624"/>
      <c r="C10" s="625"/>
      <c r="D10" s="625"/>
      <c r="E10" s="626" t="e">
        <f>B10*100/(B10+C10+D10)</f>
        <v>#DIV/0!</v>
      </c>
      <c r="F10" s="627"/>
      <c r="G10" s="628"/>
      <c r="H10" s="629"/>
      <c r="I10" s="629"/>
      <c r="J10" s="628" t="e">
        <f t="shared" si="1"/>
        <v>#DIV/0!</v>
      </c>
      <c r="K10" s="630"/>
      <c r="L10" s="631"/>
      <c r="M10" s="632"/>
      <c r="N10" s="632"/>
      <c r="O10" s="633" t="e">
        <f t="shared" si="2"/>
        <v>#DIV/0!</v>
      </c>
      <c r="P10" s="634"/>
      <c r="Q10" s="631"/>
      <c r="R10" s="632"/>
      <c r="S10" s="632"/>
      <c r="T10" s="633" t="e">
        <f t="shared" si="3"/>
        <v>#DIV/0!</v>
      </c>
      <c r="U10" s="634"/>
      <c r="V10" s="631"/>
      <c r="W10" s="632"/>
      <c r="X10" s="632"/>
      <c r="Y10" s="633" t="e">
        <f t="shared" si="4"/>
        <v>#DIV/0!</v>
      </c>
      <c r="Z10" s="634"/>
      <c r="AA10" s="635">
        <f t="shared" si="5"/>
        <v>0</v>
      </c>
      <c r="AB10" s="636">
        <f t="shared" si="5"/>
        <v>0</v>
      </c>
      <c r="AC10" s="636">
        <f t="shared" si="5"/>
        <v>0</v>
      </c>
      <c r="AD10" s="637" t="e">
        <f>AA10*100/(AA10+AB10+AC10)</f>
        <v>#DIV/0!</v>
      </c>
      <c r="AE10" s="640"/>
    </row>
    <row r="11" spans="1:32" ht="24.95" hidden="1" customHeight="1">
      <c r="A11" s="641">
        <v>43160</v>
      </c>
      <c r="B11" s="642"/>
      <c r="C11" s="643"/>
      <c r="D11" s="643"/>
      <c r="E11" s="643" t="e">
        <f t="shared" si="0"/>
        <v>#DIV/0!</v>
      </c>
      <c r="F11" s="644"/>
      <c r="G11" s="645"/>
      <c r="H11" s="646"/>
      <c r="I11" s="646"/>
      <c r="J11" s="645" t="e">
        <f t="shared" si="1"/>
        <v>#DIV/0!</v>
      </c>
      <c r="K11" s="647"/>
      <c r="L11" s="648"/>
      <c r="M11" s="649"/>
      <c r="N11" s="649"/>
      <c r="O11" s="650" t="e">
        <f>L11*100/(L11+M11+N11)</f>
        <v>#DIV/0!</v>
      </c>
      <c r="P11" s="651"/>
      <c r="Q11" s="648"/>
      <c r="R11" s="649"/>
      <c r="S11" s="649"/>
      <c r="T11" s="650" t="e">
        <f>Q11*100/(Q11+R11+S11)</f>
        <v>#DIV/0!</v>
      </c>
      <c r="U11" s="651"/>
      <c r="V11" s="648"/>
      <c r="W11" s="649"/>
      <c r="X11" s="649"/>
      <c r="Y11" s="650" t="e">
        <f>V11*100/(V11+W11+X11)</f>
        <v>#DIV/0!</v>
      </c>
      <c r="Z11" s="651"/>
      <c r="AA11" s="652">
        <f t="shared" si="5"/>
        <v>0</v>
      </c>
      <c r="AB11" s="653">
        <f t="shared" si="5"/>
        <v>0</v>
      </c>
      <c r="AC11" s="653">
        <f t="shared" si="5"/>
        <v>0</v>
      </c>
      <c r="AD11" s="654" t="e">
        <f t="shared" si="6"/>
        <v>#DIV/0!</v>
      </c>
      <c r="AE11" s="655"/>
      <c r="AF11" s="656"/>
    </row>
    <row r="12" spans="1:32" ht="24.95" hidden="1" customHeight="1">
      <c r="A12" s="639" t="s">
        <v>845</v>
      </c>
      <c r="B12" s="657"/>
      <c r="C12" s="658"/>
      <c r="D12" s="658"/>
      <c r="E12" s="658" t="e">
        <f t="shared" si="0"/>
        <v>#DIV/0!</v>
      </c>
      <c r="F12" s="659"/>
      <c r="G12" s="660"/>
      <c r="H12" s="661"/>
      <c r="I12" s="661"/>
      <c r="J12" s="662" t="e">
        <f t="shared" si="1"/>
        <v>#DIV/0!</v>
      </c>
      <c r="K12" s="663"/>
      <c r="L12" s="664"/>
      <c r="M12" s="665"/>
      <c r="N12" s="665"/>
      <c r="O12" s="666" t="e">
        <f>L12*100/(L12+M12+N12)</f>
        <v>#DIV/0!</v>
      </c>
      <c r="P12" s="667"/>
      <c r="Q12" s="664"/>
      <c r="R12" s="665"/>
      <c r="S12" s="665"/>
      <c r="T12" s="666" t="e">
        <f>Q12*100/(Q12+R12+S12)</f>
        <v>#DIV/0!</v>
      </c>
      <c r="U12" s="667"/>
      <c r="V12" s="664"/>
      <c r="W12" s="665"/>
      <c r="X12" s="665"/>
      <c r="Y12" s="666" t="e">
        <f>V12*100/(V12+W12+X12)</f>
        <v>#DIV/0!</v>
      </c>
      <c r="Z12" s="667"/>
      <c r="AA12" s="668">
        <f t="shared" si="5"/>
        <v>0</v>
      </c>
      <c r="AB12" s="669">
        <f t="shared" si="5"/>
        <v>0</v>
      </c>
      <c r="AC12" s="669">
        <f t="shared" si="5"/>
        <v>0</v>
      </c>
      <c r="AD12" s="670" t="e">
        <f t="shared" si="6"/>
        <v>#DIV/0!</v>
      </c>
      <c r="AE12" s="640"/>
      <c r="AF12" s="656"/>
    </row>
    <row r="13" spans="1:32" ht="24.95" hidden="1" customHeight="1">
      <c r="A13" s="641">
        <v>43191</v>
      </c>
      <c r="B13" s="642"/>
      <c r="C13" s="643"/>
      <c r="D13" s="643"/>
      <c r="E13" s="643" t="e">
        <f>B13*100/(B13+C13+D13)</f>
        <v>#DIV/0!</v>
      </c>
      <c r="F13" s="644"/>
      <c r="G13" s="671"/>
      <c r="H13" s="672"/>
      <c r="I13" s="673"/>
      <c r="J13" s="671" t="e">
        <f t="shared" si="1"/>
        <v>#DIV/0!</v>
      </c>
      <c r="K13" s="674"/>
      <c r="L13" s="648"/>
      <c r="M13" s="649"/>
      <c r="N13" s="649"/>
      <c r="O13" s="650" t="e">
        <f t="shared" ref="O13:O15" si="8">L13*100/(L13+M13+N13)</f>
        <v>#DIV/0!</v>
      </c>
      <c r="P13" s="651"/>
      <c r="Q13" s="648"/>
      <c r="R13" s="649"/>
      <c r="S13" s="649"/>
      <c r="T13" s="650" t="e">
        <f t="shared" ref="T13:T15" si="9">Q13*100/(Q13+R13+S13)</f>
        <v>#DIV/0!</v>
      </c>
      <c r="U13" s="651"/>
      <c r="V13" s="648"/>
      <c r="W13" s="649"/>
      <c r="X13" s="649"/>
      <c r="Y13" s="650" t="e">
        <f t="shared" si="4"/>
        <v>#DIV/0!</v>
      </c>
      <c r="Z13" s="651"/>
      <c r="AA13" s="652">
        <f t="shared" si="5"/>
        <v>0</v>
      </c>
      <c r="AB13" s="653">
        <f t="shared" si="5"/>
        <v>0</v>
      </c>
      <c r="AC13" s="653">
        <f t="shared" si="5"/>
        <v>0</v>
      </c>
      <c r="AD13" s="654" t="e">
        <f t="shared" si="6"/>
        <v>#DIV/0!</v>
      </c>
      <c r="AE13" s="655"/>
    </row>
    <row r="14" spans="1:32" ht="24.95" hidden="1" customHeight="1">
      <c r="A14" s="639" t="s">
        <v>846</v>
      </c>
      <c r="B14" s="657"/>
      <c r="C14" s="658"/>
      <c r="D14" s="658"/>
      <c r="E14" s="658" t="e">
        <f t="shared" ref="E14:E17" si="10">B14*100/(B14+C14+D14)</f>
        <v>#DIV/0!</v>
      </c>
      <c r="F14" s="659"/>
      <c r="G14" s="662"/>
      <c r="H14" s="675"/>
      <c r="I14" s="661"/>
      <c r="J14" s="662" t="e">
        <f t="shared" si="1"/>
        <v>#DIV/0!</v>
      </c>
      <c r="K14" s="663"/>
      <c r="L14" s="664"/>
      <c r="M14" s="665"/>
      <c r="N14" s="665"/>
      <c r="O14" s="666" t="e">
        <f t="shared" si="8"/>
        <v>#DIV/0!</v>
      </c>
      <c r="P14" s="667"/>
      <c r="Q14" s="664"/>
      <c r="R14" s="665"/>
      <c r="S14" s="665"/>
      <c r="T14" s="666" t="e">
        <f t="shared" si="9"/>
        <v>#DIV/0!</v>
      </c>
      <c r="U14" s="667"/>
      <c r="V14" s="664"/>
      <c r="W14" s="665"/>
      <c r="X14" s="665"/>
      <c r="Y14" s="666" t="e">
        <f t="shared" si="4"/>
        <v>#DIV/0!</v>
      </c>
      <c r="Z14" s="667"/>
      <c r="AA14" s="668">
        <f t="shared" si="5"/>
        <v>0</v>
      </c>
      <c r="AB14" s="669">
        <f t="shared" si="5"/>
        <v>0</v>
      </c>
      <c r="AC14" s="669">
        <f t="shared" si="5"/>
        <v>0</v>
      </c>
      <c r="AD14" s="670" t="e">
        <f t="shared" si="6"/>
        <v>#DIV/0!</v>
      </c>
      <c r="AE14" s="640"/>
    </row>
    <row r="15" spans="1:32" ht="24.95" hidden="1" customHeight="1">
      <c r="A15" s="641">
        <v>43221</v>
      </c>
      <c r="B15" s="676"/>
      <c r="C15" s="677"/>
      <c r="D15" s="677"/>
      <c r="E15" s="677" t="e">
        <f>B15*100/(B15+C15+D15)</f>
        <v>#DIV/0!</v>
      </c>
      <c r="F15" s="678"/>
      <c r="G15" s="679"/>
      <c r="H15" s="680"/>
      <c r="I15" s="680"/>
      <c r="J15" s="679" t="e">
        <f t="shared" si="1"/>
        <v>#DIV/0!</v>
      </c>
      <c r="K15" s="681"/>
      <c r="L15" s="682"/>
      <c r="M15" s="683"/>
      <c r="N15" s="684"/>
      <c r="O15" s="685" t="e">
        <f t="shared" si="8"/>
        <v>#DIV/0!</v>
      </c>
      <c r="P15" s="686"/>
      <c r="Q15" s="682"/>
      <c r="R15" s="683"/>
      <c r="S15" s="684"/>
      <c r="T15" s="685" t="e">
        <f t="shared" si="9"/>
        <v>#DIV/0!</v>
      </c>
      <c r="U15" s="686"/>
      <c r="V15" s="682"/>
      <c r="W15" s="683"/>
      <c r="X15" s="684"/>
      <c r="Y15" s="685" t="e">
        <f t="shared" si="4"/>
        <v>#DIV/0!</v>
      </c>
      <c r="Z15" s="686"/>
      <c r="AA15" s="687">
        <f t="shared" si="5"/>
        <v>0</v>
      </c>
      <c r="AB15" s="688">
        <f t="shared" si="5"/>
        <v>0</v>
      </c>
      <c r="AC15" s="688">
        <f t="shared" si="5"/>
        <v>0</v>
      </c>
      <c r="AD15" s="688" t="e">
        <f t="shared" si="6"/>
        <v>#DIV/0!</v>
      </c>
      <c r="AE15" s="689"/>
    </row>
    <row r="16" spans="1:32" ht="24.95" hidden="1" customHeight="1">
      <c r="A16" s="639" t="s">
        <v>847</v>
      </c>
      <c r="B16" s="624"/>
      <c r="C16" s="625"/>
      <c r="D16" s="625"/>
      <c r="E16" s="625" t="e">
        <f>B16*100/(B16+C16+D16)</f>
        <v>#DIV/0!</v>
      </c>
      <c r="F16" s="690"/>
      <c r="G16" s="628"/>
      <c r="H16" s="629"/>
      <c r="I16" s="629"/>
      <c r="J16" s="628" t="e">
        <f>G16*100/(G16+H16+I16)</f>
        <v>#DIV/0!</v>
      </c>
      <c r="K16" s="630"/>
      <c r="L16" s="691"/>
      <c r="M16" s="632"/>
      <c r="N16" s="692"/>
      <c r="O16" s="633" t="e">
        <f>L16*100/(L16+M16+N16)</f>
        <v>#DIV/0!</v>
      </c>
      <c r="P16" s="634"/>
      <c r="Q16" s="691"/>
      <c r="R16" s="632"/>
      <c r="S16" s="692"/>
      <c r="T16" s="633" t="e">
        <f>Q16*100/(Q16+R16+S16)</f>
        <v>#DIV/0!</v>
      </c>
      <c r="U16" s="634"/>
      <c r="V16" s="691"/>
      <c r="W16" s="632"/>
      <c r="X16" s="692"/>
      <c r="Y16" s="633" t="e">
        <f>V16*100/(V16+W16+X16)</f>
        <v>#DIV/0!</v>
      </c>
      <c r="Z16" s="634"/>
      <c r="AA16" s="635">
        <f t="shared" si="5"/>
        <v>0</v>
      </c>
      <c r="AB16" s="636">
        <f t="shared" si="5"/>
        <v>0</v>
      </c>
      <c r="AC16" s="636">
        <f t="shared" si="5"/>
        <v>0</v>
      </c>
      <c r="AD16" s="637" t="e">
        <f t="shared" si="6"/>
        <v>#DIV/0!</v>
      </c>
      <c r="AE16" s="640"/>
    </row>
    <row r="17" spans="1:31" ht="24.95" hidden="1" customHeight="1">
      <c r="A17" s="641">
        <v>43252</v>
      </c>
      <c r="B17" s="676"/>
      <c r="C17" s="677"/>
      <c r="D17" s="677"/>
      <c r="E17" s="677" t="e">
        <f t="shared" si="10"/>
        <v>#DIV/0!</v>
      </c>
      <c r="F17" s="678"/>
      <c r="G17" s="679"/>
      <c r="H17" s="680"/>
      <c r="I17" s="680"/>
      <c r="J17" s="679" t="e">
        <f t="shared" si="1"/>
        <v>#DIV/0!</v>
      </c>
      <c r="K17" s="681"/>
      <c r="L17" s="682"/>
      <c r="M17" s="683"/>
      <c r="N17" s="684"/>
      <c r="O17" s="685" t="e">
        <f t="shared" ref="O17" si="11">L17*100/(L17+M17+N17)</f>
        <v>#DIV/0!</v>
      </c>
      <c r="P17" s="686"/>
      <c r="Q17" s="682"/>
      <c r="R17" s="683"/>
      <c r="S17" s="684"/>
      <c r="T17" s="685" t="e">
        <f t="shared" ref="T17" si="12">Q17*100/(Q17+R17+S17)</f>
        <v>#DIV/0!</v>
      </c>
      <c r="U17" s="686"/>
      <c r="V17" s="682"/>
      <c r="W17" s="683"/>
      <c r="X17" s="684"/>
      <c r="Y17" s="685" t="e">
        <f t="shared" si="4"/>
        <v>#DIV/0!</v>
      </c>
      <c r="Z17" s="686"/>
      <c r="AA17" s="687">
        <f t="shared" si="5"/>
        <v>0</v>
      </c>
      <c r="AB17" s="688">
        <f t="shared" si="5"/>
        <v>0</v>
      </c>
      <c r="AC17" s="688">
        <f t="shared" si="5"/>
        <v>0</v>
      </c>
      <c r="AD17" s="688" t="e">
        <f t="shared" si="6"/>
        <v>#DIV/0!</v>
      </c>
      <c r="AE17" s="689"/>
    </row>
    <row r="18" spans="1:31" ht="24.95" hidden="1" customHeight="1">
      <c r="A18" s="639" t="s">
        <v>848</v>
      </c>
      <c r="B18" s="624"/>
      <c r="C18" s="625"/>
      <c r="D18" s="625"/>
      <c r="E18" s="625" t="e">
        <f>B18*100/(B18+C18+D18)</f>
        <v>#DIV/0!</v>
      </c>
      <c r="F18" s="690"/>
      <c r="G18" s="628"/>
      <c r="H18" s="629"/>
      <c r="I18" s="693"/>
      <c r="J18" s="628" t="e">
        <f t="shared" si="1"/>
        <v>#DIV/0!</v>
      </c>
      <c r="K18" s="630"/>
      <c r="L18" s="691"/>
      <c r="M18" s="632"/>
      <c r="N18" s="632"/>
      <c r="O18" s="633" t="e">
        <f>L18*100/(L18+M18+N18)</f>
        <v>#DIV/0!</v>
      </c>
      <c r="P18" s="634"/>
      <c r="Q18" s="691"/>
      <c r="R18" s="632"/>
      <c r="S18" s="632"/>
      <c r="T18" s="633" t="e">
        <f>Q18*100/(Q18+R18+S18)</f>
        <v>#DIV/0!</v>
      </c>
      <c r="U18" s="634"/>
      <c r="V18" s="691"/>
      <c r="W18" s="632"/>
      <c r="X18" s="632"/>
      <c r="Y18" s="633" t="e">
        <f>V18*100/(V18+W18+X18)</f>
        <v>#DIV/0!</v>
      </c>
      <c r="Z18" s="634"/>
      <c r="AA18" s="635">
        <f t="shared" si="5"/>
        <v>0</v>
      </c>
      <c r="AB18" s="636">
        <f t="shared" si="5"/>
        <v>0</v>
      </c>
      <c r="AC18" s="636">
        <f t="shared" si="5"/>
        <v>0</v>
      </c>
      <c r="AD18" s="637" t="e">
        <f>AA18*100/(AA18+AB18+AC18)</f>
        <v>#DIV/0!</v>
      </c>
      <c r="AE18" s="640"/>
    </row>
    <row r="19" spans="1:31" ht="24.75" hidden="1" customHeight="1">
      <c r="A19" s="641">
        <v>43282</v>
      </c>
      <c r="B19" s="642"/>
      <c r="C19" s="643"/>
      <c r="D19" s="643"/>
      <c r="E19" s="643" t="e">
        <f t="shared" ref="E19:E30" si="13">B19*100/(B19+C19+D19)</f>
        <v>#DIV/0!</v>
      </c>
      <c r="F19" s="644"/>
      <c r="G19" s="645"/>
      <c r="H19" s="694"/>
      <c r="I19" s="694"/>
      <c r="J19" s="645" t="e">
        <f t="shared" si="1"/>
        <v>#DIV/0!</v>
      </c>
      <c r="K19" s="647"/>
      <c r="L19" s="648"/>
      <c r="M19" s="649"/>
      <c r="N19" s="649"/>
      <c r="O19" s="650" t="e">
        <f t="shared" ref="O19" si="14">L19*100/(L19+M19+N19)</f>
        <v>#DIV/0!</v>
      </c>
      <c r="P19" s="651"/>
      <c r="Q19" s="648"/>
      <c r="R19" s="649"/>
      <c r="S19" s="649"/>
      <c r="T19" s="650" t="e">
        <f t="shared" ref="T19" si="15">Q19*100/(Q19+R19+S19)</f>
        <v>#DIV/0!</v>
      </c>
      <c r="U19" s="651"/>
      <c r="V19" s="648"/>
      <c r="W19" s="649"/>
      <c r="X19" s="649"/>
      <c r="Y19" s="650" t="e">
        <f t="shared" si="4"/>
        <v>#DIV/0!</v>
      </c>
      <c r="Z19" s="651"/>
      <c r="AA19" s="652">
        <f t="shared" si="5"/>
        <v>0</v>
      </c>
      <c r="AB19" s="653">
        <f t="shared" si="5"/>
        <v>0</v>
      </c>
      <c r="AC19" s="653">
        <f t="shared" si="5"/>
        <v>0</v>
      </c>
      <c r="AD19" s="654" t="e">
        <f>AA19*100/(AA19+AB19+AC19)</f>
        <v>#DIV/0!</v>
      </c>
      <c r="AE19" s="655"/>
    </row>
    <row r="20" spans="1:31" ht="24.75" hidden="1" customHeight="1">
      <c r="A20" s="639" t="s">
        <v>849</v>
      </c>
      <c r="B20" s="657"/>
      <c r="C20" s="658"/>
      <c r="D20" s="658"/>
      <c r="E20" s="658" t="e">
        <f t="shared" si="13"/>
        <v>#DIV/0!</v>
      </c>
      <c r="F20" s="659"/>
      <c r="G20" s="662"/>
      <c r="H20" s="675"/>
      <c r="I20" s="675"/>
      <c r="J20" s="662" t="e">
        <f t="shared" si="1"/>
        <v>#DIV/0!</v>
      </c>
      <c r="K20" s="663"/>
      <c r="L20" s="664"/>
      <c r="M20" s="665"/>
      <c r="N20" s="665"/>
      <c r="O20" s="666" t="e">
        <f>L20*100/(L20+M20+N20)</f>
        <v>#DIV/0!</v>
      </c>
      <c r="P20" s="667"/>
      <c r="Q20" s="664"/>
      <c r="R20" s="665"/>
      <c r="S20" s="665"/>
      <c r="T20" s="666" t="e">
        <f>Q20*100/(Q20+R20+S20)</f>
        <v>#DIV/0!</v>
      </c>
      <c r="U20" s="667"/>
      <c r="V20" s="664"/>
      <c r="W20" s="665"/>
      <c r="X20" s="665"/>
      <c r="Y20" s="666" t="e">
        <f>V20*100/(V20+W20+X20)</f>
        <v>#DIV/0!</v>
      </c>
      <c r="Z20" s="667"/>
      <c r="AA20" s="668">
        <f t="shared" si="5"/>
        <v>0</v>
      </c>
      <c r="AB20" s="669">
        <f t="shared" si="5"/>
        <v>0</v>
      </c>
      <c r="AC20" s="669">
        <f t="shared" si="5"/>
        <v>0</v>
      </c>
      <c r="AD20" s="670" t="e">
        <f>AA20*100/(AA20+AB20+AC20)</f>
        <v>#DIV/0!</v>
      </c>
      <c r="AE20" s="640"/>
    </row>
    <row r="21" spans="1:31" ht="24.95" hidden="1" customHeight="1">
      <c r="A21" s="641">
        <v>43313</v>
      </c>
      <c r="B21" s="676"/>
      <c r="C21" s="677"/>
      <c r="D21" s="677"/>
      <c r="E21" s="677" t="e">
        <f t="shared" si="13"/>
        <v>#DIV/0!</v>
      </c>
      <c r="F21" s="678"/>
      <c r="G21" s="679"/>
      <c r="H21" s="680"/>
      <c r="I21" s="680"/>
      <c r="J21" s="679" t="e">
        <f t="shared" si="1"/>
        <v>#DIV/0!</v>
      </c>
      <c r="K21" s="681"/>
      <c r="L21" s="682"/>
      <c r="M21" s="683"/>
      <c r="N21" s="683"/>
      <c r="O21" s="685" t="e">
        <f t="shared" ref="O21:O30" si="16">L21*100/(L21+M21+N21)</f>
        <v>#DIV/0!</v>
      </c>
      <c r="P21" s="686"/>
      <c r="Q21" s="682"/>
      <c r="R21" s="683"/>
      <c r="S21" s="683"/>
      <c r="T21" s="685" t="e">
        <f t="shared" ref="T21:T30" si="17">Q21*100/(Q21+R21+S21)</f>
        <v>#DIV/0!</v>
      </c>
      <c r="U21" s="686"/>
      <c r="V21" s="682"/>
      <c r="W21" s="683"/>
      <c r="X21" s="683"/>
      <c r="Y21" s="685" t="e">
        <f t="shared" si="4"/>
        <v>#DIV/0!</v>
      </c>
      <c r="Z21" s="686"/>
      <c r="AA21" s="687">
        <f t="shared" si="5"/>
        <v>0</v>
      </c>
      <c r="AB21" s="688">
        <f t="shared" si="5"/>
        <v>0</v>
      </c>
      <c r="AC21" s="688">
        <f t="shared" si="5"/>
        <v>0</v>
      </c>
      <c r="AD21" s="695" t="e">
        <f>AA21*100/(AA21+AB21+AC21)</f>
        <v>#DIV/0!</v>
      </c>
      <c r="AE21" s="689"/>
    </row>
    <row r="22" spans="1:31" ht="24.95" hidden="1" customHeight="1">
      <c r="A22" s="639" t="s">
        <v>850</v>
      </c>
      <c r="B22" s="624"/>
      <c r="C22" s="625"/>
      <c r="D22" s="625"/>
      <c r="E22" s="625" t="e">
        <f>B22*100/(B22+C22+D22)</f>
        <v>#DIV/0!</v>
      </c>
      <c r="F22" s="690"/>
      <c r="G22" s="628"/>
      <c r="H22" s="629"/>
      <c r="I22" s="629"/>
      <c r="J22" s="628" t="e">
        <f t="shared" si="1"/>
        <v>#DIV/0!</v>
      </c>
      <c r="K22" s="630"/>
      <c r="L22" s="691"/>
      <c r="M22" s="632"/>
      <c r="N22" s="632"/>
      <c r="O22" s="633" t="e">
        <f t="shared" si="16"/>
        <v>#DIV/0!</v>
      </c>
      <c r="P22" s="634"/>
      <c r="Q22" s="691"/>
      <c r="R22" s="632"/>
      <c r="S22" s="632"/>
      <c r="T22" s="633" t="e">
        <f t="shared" si="17"/>
        <v>#DIV/0!</v>
      </c>
      <c r="U22" s="634"/>
      <c r="V22" s="691"/>
      <c r="W22" s="632"/>
      <c r="X22" s="632"/>
      <c r="Y22" s="633" t="e">
        <f t="shared" si="4"/>
        <v>#DIV/0!</v>
      </c>
      <c r="Z22" s="634"/>
      <c r="AA22" s="635">
        <f t="shared" si="5"/>
        <v>0</v>
      </c>
      <c r="AB22" s="636">
        <f t="shared" si="5"/>
        <v>0</v>
      </c>
      <c r="AC22" s="636">
        <f t="shared" si="5"/>
        <v>0</v>
      </c>
      <c r="AD22" s="637" t="e">
        <f>AA22*100/(AA22+AB22+AC22)</f>
        <v>#DIV/0!</v>
      </c>
      <c r="AE22" s="696"/>
    </row>
    <row r="23" spans="1:31" ht="24.95" hidden="1" customHeight="1">
      <c r="A23" s="641">
        <v>43344</v>
      </c>
      <c r="B23" s="657"/>
      <c r="C23" s="658"/>
      <c r="D23" s="658"/>
      <c r="E23" s="658" t="e">
        <f t="shared" si="13"/>
        <v>#DIV/0!</v>
      </c>
      <c r="F23" s="659"/>
      <c r="G23" s="662"/>
      <c r="H23" s="675"/>
      <c r="I23" s="675"/>
      <c r="J23" s="662" t="e">
        <f t="shared" si="1"/>
        <v>#DIV/0!</v>
      </c>
      <c r="K23" s="663"/>
      <c r="L23" s="664"/>
      <c r="M23" s="665"/>
      <c r="N23" s="665"/>
      <c r="O23" s="666" t="e">
        <f t="shared" si="16"/>
        <v>#DIV/0!</v>
      </c>
      <c r="P23" s="667"/>
      <c r="Q23" s="664"/>
      <c r="R23" s="665"/>
      <c r="S23" s="665"/>
      <c r="T23" s="666" t="e">
        <f t="shared" si="17"/>
        <v>#DIV/0!</v>
      </c>
      <c r="U23" s="667"/>
      <c r="V23" s="664"/>
      <c r="W23" s="665"/>
      <c r="X23" s="665"/>
      <c r="Y23" s="666" t="e">
        <f t="shared" si="4"/>
        <v>#DIV/0!</v>
      </c>
      <c r="Z23" s="667"/>
      <c r="AA23" s="668">
        <f t="shared" si="5"/>
        <v>0</v>
      </c>
      <c r="AB23" s="669">
        <f t="shared" si="5"/>
        <v>0</v>
      </c>
      <c r="AC23" s="669">
        <f t="shared" si="5"/>
        <v>0</v>
      </c>
      <c r="AD23" s="670" t="e">
        <f t="shared" ref="AD23:AD31" si="18">AA23*100/(AA23+AB23+AC23)</f>
        <v>#DIV/0!</v>
      </c>
      <c r="AE23" s="640"/>
    </row>
    <row r="24" spans="1:31" s="697" customFormat="1" ht="24.95" hidden="1" customHeight="1">
      <c r="A24" s="639" t="s">
        <v>851</v>
      </c>
      <c r="B24" s="624"/>
      <c r="C24" s="625"/>
      <c r="D24" s="625"/>
      <c r="E24" s="625" t="e">
        <f t="shared" si="13"/>
        <v>#DIV/0!</v>
      </c>
      <c r="F24" s="690"/>
      <c r="G24" s="628"/>
      <c r="H24" s="629"/>
      <c r="I24" s="629"/>
      <c r="J24" s="628" t="e">
        <f>G24*100/(G24+H24+I24)</f>
        <v>#DIV/0!</v>
      </c>
      <c r="K24" s="630"/>
      <c r="L24" s="691"/>
      <c r="M24" s="632"/>
      <c r="N24" s="632"/>
      <c r="O24" s="633" t="e">
        <f t="shared" si="16"/>
        <v>#DIV/0!</v>
      </c>
      <c r="P24" s="634"/>
      <c r="Q24" s="691"/>
      <c r="R24" s="632"/>
      <c r="S24" s="632"/>
      <c r="T24" s="633" t="e">
        <f t="shared" si="17"/>
        <v>#DIV/0!</v>
      </c>
      <c r="U24" s="634"/>
      <c r="V24" s="691"/>
      <c r="W24" s="632"/>
      <c r="X24" s="632"/>
      <c r="Y24" s="633" t="e">
        <f t="shared" si="4"/>
        <v>#DIV/0!</v>
      </c>
      <c r="Z24" s="634"/>
      <c r="AA24" s="635">
        <f t="shared" si="5"/>
        <v>0</v>
      </c>
      <c r="AB24" s="636">
        <f t="shared" si="5"/>
        <v>0</v>
      </c>
      <c r="AC24" s="636">
        <f t="shared" si="5"/>
        <v>0</v>
      </c>
      <c r="AD24" s="637" t="e">
        <f>AA24*100/(AA24+AB24+AC24)</f>
        <v>#DIV/0!</v>
      </c>
      <c r="AE24" s="696"/>
    </row>
    <row r="25" spans="1:31" ht="24.95" hidden="1" customHeight="1">
      <c r="A25" s="698">
        <v>43374</v>
      </c>
      <c r="B25" s="699"/>
      <c r="C25" s="700"/>
      <c r="D25" s="700"/>
      <c r="E25" s="700" t="e">
        <f t="shared" si="13"/>
        <v>#DIV/0!</v>
      </c>
      <c r="F25" s="701"/>
      <c r="G25" s="702"/>
      <c r="H25" s="703"/>
      <c r="I25" s="703"/>
      <c r="J25" s="702" t="e">
        <f t="shared" si="1"/>
        <v>#DIV/0!</v>
      </c>
      <c r="K25" s="704"/>
      <c r="L25" s="705"/>
      <c r="M25" s="706"/>
      <c r="N25" s="706"/>
      <c r="O25" s="707" t="e">
        <f t="shared" si="16"/>
        <v>#DIV/0!</v>
      </c>
      <c r="P25" s="708"/>
      <c r="Q25" s="705"/>
      <c r="R25" s="706"/>
      <c r="S25" s="706"/>
      <c r="T25" s="707" t="e">
        <f t="shared" si="17"/>
        <v>#DIV/0!</v>
      </c>
      <c r="U25" s="708"/>
      <c r="V25" s="705"/>
      <c r="W25" s="706"/>
      <c r="X25" s="706"/>
      <c r="Y25" s="707" t="e">
        <f t="shared" si="4"/>
        <v>#DIV/0!</v>
      </c>
      <c r="Z25" s="708"/>
      <c r="AA25" s="709">
        <f t="shared" si="5"/>
        <v>0</v>
      </c>
      <c r="AB25" s="710">
        <f t="shared" si="5"/>
        <v>0</v>
      </c>
      <c r="AC25" s="710">
        <f t="shared" si="5"/>
        <v>0</v>
      </c>
      <c r="AD25" s="711" t="e">
        <f t="shared" si="18"/>
        <v>#DIV/0!</v>
      </c>
      <c r="AE25" s="712"/>
    </row>
    <row r="26" spans="1:31" ht="24.95" hidden="1" customHeight="1">
      <c r="A26" s="639" t="s">
        <v>852</v>
      </c>
      <c r="B26" s="624"/>
      <c r="C26" s="625"/>
      <c r="D26" s="625"/>
      <c r="E26" s="625" t="e">
        <f t="shared" si="13"/>
        <v>#DIV/0!</v>
      </c>
      <c r="F26" s="690"/>
      <c r="G26" s="628"/>
      <c r="H26" s="629"/>
      <c r="I26" s="629"/>
      <c r="J26" s="628" t="e">
        <f t="shared" si="1"/>
        <v>#DIV/0!</v>
      </c>
      <c r="K26" s="630"/>
      <c r="L26" s="691"/>
      <c r="M26" s="632"/>
      <c r="N26" s="632"/>
      <c r="O26" s="633" t="e">
        <f t="shared" si="16"/>
        <v>#DIV/0!</v>
      </c>
      <c r="P26" s="634"/>
      <c r="Q26" s="691"/>
      <c r="R26" s="632"/>
      <c r="S26" s="632"/>
      <c r="T26" s="633" t="e">
        <f t="shared" si="17"/>
        <v>#DIV/0!</v>
      </c>
      <c r="U26" s="634"/>
      <c r="V26" s="691"/>
      <c r="W26" s="632"/>
      <c r="X26" s="632"/>
      <c r="Y26" s="633" t="e">
        <f t="shared" si="4"/>
        <v>#DIV/0!</v>
      </c>
      <c r="Z26" s="634"/>
      <c r="AA26" s="635">
        <f t="shared" si="5"/>
        <v>0</v>
      </c>
      <c r="AB26" s="636">
        <f t="shared" si="5"/>
        <v>0</v>
      </c>
      <c r="AC26" s="636">
        <f t="shared" si="5"/>
        <v>0</v>
      </c>
      <c r="AD26" s="637" t="e">
        <f t="shared" si="18"/>
        <v>#DIV/0!</v>
      </c>
      <c r="AE26" s="696"/>
    </row>
    <row r="27" spans="1:31" ht="24.95" hidden="1" customHeight="1">
      <c r="A27" s="698">
        <v>43405</v>
      </c>
      <c r="B27" s="713"/>
      <c r="C27" s="714"/>
      <c r="D27" s="714"/>
      <c r="E27" s="714" t="e">
        <f t="shared" si="13"/>
        <v>#DIV/0!</v>
      </c>
      <c r="F27" s="715"/>
      <c r="G27" s="716"/>
      <c r="H27" s="717"/>
      <c r="I27" s="717"/>
      <c r="J27" s="716" t="e">
        <f t="shared" si="1"/>
        <v>#DIV/0!</v>
      </c>
      <c r="K27" s="718"/>
      <c r="L27" s="719"/>
      <c r="M27" s="720"/>
      <c r="N27" s="720"/>
      <c r="O27" s="721" t="e">
        <f t="shared" si="16"/>
        <v>#DIV/0!</v>
      </c>
      <c r="P27" s="722"/>
      <c r="Q27" s="719"/>
      <c r="R27" s="720"/>
      <c r="S27" s="720"/>
      <c r="T27" s="721" t="e">
        <f t="shared" si="17"/>
        <v>#DIV/0!</v>
      </c>
      <c r="U27" s="722"/>
      <c r="V27" s="719"/>
      <c r="W27" s="720"/>
      <c r="X27" s="720"/>
      <c r="Y27" s="721" t="e">
        <f t="shared" si="4"/>
        <v>#DIV/0!</v>
      </c>
      <c r="Z27" s="722"/>
      <c r="AA27" s="723">
        <f t="shared" si="5"/>
        <v>0</v>
      </c>
      <c r="AB27" s="724">
        <f t="shared" si="5"/>
        <v>0</v>
      </c>
      <c r="AC27" s="724">
        <f t="shared" si="5"/>
        <v>0</v>
      </c>
      <c r="AD27" s="725" t="e">
        <f t="shared" si="18"/>
        <v>#DIV/0!</v>
      </c>
      <c r="AE27" s="726"/>
    </row>
    <row r="28" spans="1:31" ht="24.95" hidden="1" customHeight="1">
      <c r="A28" s="623" t="s">
        <v>853</v>
      </c>
      <c r="B28" s="624"/>
      <c r="C28" s="625"/>
      <c r="D28" s="625"/>
      <c r="E28" s="625" t="e">
        <f t="shared" si="13"/>
        <v>#DIV/0!</v>
      </c>
      <c r="F28" s="690"/>
      <c r="G28" s="628"/>
      <c r="H28" s="629"/>
      <c r="I28" s="629"/>
      <c r="J28" s="628" t="e">
        <f t="shared" si="1"/>
        <v>#DIV/0!</v>
      </c>
      <c r="K28" s="630"/>
      <c r="L28" s="691"/>
      <c r="M28" s="632"/>
      <c r="N28" s="632"/>
      <c r="O28" s="633" t="e">
        <f t="shared" si="16"/>
        <v>#DIV/0!</v>
      </c>
      <c r="P28" s="634"/>
      <c r="Q28" s="691"/>
      <c r="R28" s="632"/>
      <c r="S28" s="632"/>
      <c r="T28" s="633" t="e">
        <f t="shared" si="17"/>
        <v>#DIV/0!</v>
      </c>
      <c r="U28" s="634"/>
      <c r="V28" s="691"/>
      <c r="W28" s="632"/>
      <c r="X28" s="632"/>
      <c r="Y28" s="633" t="e">
        <f t="shared" si="4"/>
        <v>#DIV/0!</v>
      </c>
      <c r="Z28" s="634"/>
      <c r="AA28" s="635">
        <f t="shared" si="5"/>
        <v>0</v>
      </c>
      <c r="AB28" s="636">
        <f t="shared" si="5"/>
        <v>0</v>
      </c>
      <c r="AC28" s="636">
        <f t="shared" si="5"/>
        <v>0</v>
      </c>
      <c r="AD28" s="637" t="e">
        <f t="shared" si="18"/>
        <v>#DIV/0!</v>
      </c>
      <c r="AE28" s="696"/>
    </row>
    <row r="29" spans="1:31" s="728" customFormat="1" ht="24.95" hidden="1" customHeight="1">
      <c r="A29" s="727">
        <v>43435</v>
      </c>
      <c r="B29" s="713"/>
      <c r="C29" s="714"/>
      <c r="D29" s="714"/>
      <c r="E29" s="714" t="e">
        <f t="shared" si="13"/>
        <v>#DIV/0!</v>
      </c>
      <c r="F29" s="715"/>
      <c r="G29" s="716"/>
      <c r="H29" s="717"/>
      <c r="I29" s="717"/>
      <c r="J29" s="716" t="e">
        <f t="shared" si="1"/>
        <v>#DIV/0!</v>
      </c>
      <c r="K29" s="718"/>
      <c r="L29" s="719"/>
      <c r="M29" s="720"/>
      <c r="N29" s="720"/>
      <c r="O29" s="721" t="e">
        <f t="shared" si="16"/>
        <v>#DIV/0!</v>
      </c>
      <c r="P29" s="722"/>
      <c r="Q29" s="719"/>
      <c r="R29" s="720"/>
      <c r="S29" s="720"/>
      <c r="T29" s="721" t="e">
        <f t="shared" si="17"/>
        <v>#DIV/0!</v>
      </c>
      <c r="U29" s="722"/>
      <c r="V29" s="719"/>
      <c r="W29" s="720"/>
      <c r="X29" s="720"/>
      <c r="Y29" s="721" t="e">
        <f t="shared" si="4"/>
        <v>#DIV/0!</v>
      </c>
      <c r="Z29" s="722"/>
      <c r="AA29" s="723">
        <f t="shared" si="5"/>
        <v>0</v>
      </c>
      <c r="AB29" s="724">
        <f t="shared" si="5"/>
        <v>0</v>
      </c>
      <c r="AC29" s="724">
        <f t="shared" si="5"/>
        <v>0</v>
      </c>
      <c r="AD29" s="725" t="e">
        <f t="shared" si="18"/>
        <v>#DIV/0!</v>
      </c>
      <c r="AE29" s="726"/>
    </row>
    <row r="30" spans="1:31" s="730" customFormat="1" ht="24.95" hidden="1" customHeight="1">
      <c r="A30" s="623" t="s">
        <v>854</v>
      </c>
      <c r="B30" s="624"/>
      <c r="C30" s="625"/>
      <c r="D30" s="625"/>
      <c r="E30" s="729" t="e">
        <f t="shared" si="13"/>
        <v>#DIV/0!</v>
      </c>
      <c r="F30" s="690"/>
      <c r="G30" s="628"/>
      <c r="H30" s="629"/>
      <c r="I30" s="629"/>
      <c r="J30" s="628" t="e">
        <f t="shared" si="1"/>
        <v>#DIV/0!</v>
      </c>
      <c r="K30" s="630"/>
      <c r="L30" s="691"/>
      <c r="M30" s="632"/>
      <c r="N30" s="632"/>
      <c r="O30" s="633" t="e">
        <f t="shared" si="16"/>
        <v>#DIV/0!</v>
      </c>
      <c r="P30" s="634"/>
      <c r="Q30" s="691"/>
      <c r="R30" s="632"/>
      <c r="S30" s="632"/>
      <c r="T30" s="633" t="e">
        <f t="shared" si="17"/>
        <v>#DIV/0!</v>
      </c>
      <c r="U30" s="634"/>
      <c r="V30" s="691"/>
      <c r="W30" s="632"/>
      <c r="X30" s="632"/>
      <c r="Y30" s="633" t="e">
        <f t="shared" si="4"/>
        <v>#DIV/0!</v>
      </c>
      <c r="Z30" s="634"/>
      <c r="AA30" s="635">
        <f t="shared" si="5"/>
        <v>0</v>
      </c>
      <c r="AB30" s="636">
        <f t="shared" si="5"/>
        <v>0</v>
      </c>
      <c r="AC30" s="636">
        <f t="shared" si="5"/>
        <v>0</v>
      </c>
      <c r="AD30" s="637" t="e">
        <f t="shared" si="18"/>
        <v>#DIV/0!</v>
      </c>
      <c r="AE30" s="696"/>
    </row>
    <row r="31" spans="1:31" ht="30.75" customHeight="1" thickBot="1">
      <c r="A31" s="731" t="s">
        <v>855</v>
      </c>
      <c r="B31" s="732">
        <f>B8+B10+B12+B14+B16+B18+B20+B22+B24+B26+B28+B30</f>
        <v>11167.712</v>
      </c>
      <c r="C31" s="733">
        <f>C8+C10+C12+C14+C16+C18+C20+C22+C24+C26+C28+C30</f>
        <v>54.525999999999996</v>
      </c>
      <c r="D31" s="733">
        <f>D8+D10+D12+D14+D16+D18+D20+D22+D24+D26+D28+D30</f>
        <v>0</v>
      </c>
      <c r="E31" s="733">
        <f>B31*100/(B31+C31+D31)</f>
        <v>99.514125435586024</v>
      </c>
      <c r="F31" s="734"/>
      <c r="G31" s="735">
        <f>G8+G10+G12+G14+G16+G18+G20+G22+G24+G26+G28+G30</f>
        <v>834.72499999999991</v>
      </c>
      <c r="H31" s="736">
        <f>H8+H10+H12+H14+H16+H18+H20+H22+H24+H26+H28+H30</f>
        <v>0</v>
      </c>
      <c r="I31" s="736">
        <f>I8+I10+I12+I14+I16+I18+I20+I22+I24+I26+I28+I30</f>
        <v>0</v>
      </c>
      <c r="J31" s="735">
        <f>G31*100/(G31+H31+I31)</f>
        <v>100</v>
      </c>
      <c r="K31" s="737"/>
      <c r="L31" s="738">
        <f>L8+L10+L12+L14+L16+L18+L20+L22+L24+L26+L28+L30</f>
        <v>20250.245999999999</v>
      </c>
      <c r="M31" s="739">
        <f>M8+M10+M12+M14+M16+M18+M20+M22+M24+M26+M28+M30</f>
        <v>259.75000000000006</v>
      </c>
      <c r="N31" s="739">
        <f>N8+N10+N12+N14+N16+N18+N20+N22+N24+N26+N28+N30</f>
        <v>0</v>
      </c>
      <c r="O31" s="740">
        <f>L31*100/(L31+M31+N31)</f>
        <v>98.733544365391396</v>
      </c>
      <c r="P31" s="741"/>
      <c r="Q31" s="738">
        <f>Q8+Q10+Q12+Q14+Q16+Q18+Q20+Q22+Q24+Q26+Q28+Q30</f>
        <v>32388.75</v>
      </c>
      <c r="R31" s="739">
        <f>R8+R10+R12+R14+R16+R18+R20+R22+R24+R26+R28+R30</f>
        <v>231.15</v>
      </c>
      <c r="S31" s="739">
        <f>S8+S10+S12+S14+S16+S18+S20+S22+S24+S26+S28+S30</f>
        <v>0</v>
      </c>
      <c r="T31" s="740">
        <f>Q31*100/(Q31+R31+S31)</f>
        <v>99.291383480636043</v>
      </c>
      <c r="U31" s="741"/>
      <c r="V31" s="738">
        <f>V8+V10+V12+V14+V16+V18+V20+V22+V24+V26+V28+V30</f>
        <v>52638.995999999999</v>
      </c>
      <c r="W31" s="739">
        <f>W8+W10+W12+W14+W16+W18+W20+W22+W24+W26+W28+W30</f>
        <v>490.90000000000009</v>
      </c>
      <c r="X31" s="739">
        <f>X8+X10+X12+X14+X16+X18+X20+X22+X24+X26+X28+X30</f>
        <v>0</v>
      </c>
      <c r="Y31" s="740">
        <f>V31*100/(V31+W31+X31)</f>
        <v>99.076038093505758</v>
      </c>
      <c r="Z31" s="741"/>
      <c r="AA31" s="742">
        <f>AA8+AA10+AA12+AA14+AA16+AA18+AA20+AA22+AA24+AA26+AA28+AA30</f>
        <v>64641.432999999997</v>
      </c>
      <c r="AB31" s="743">
        <f>AB8+AB10+AB12+AB14+AB16+AB18+AB20+AB22+AB24+AB26+AB28+AB30</f>
        <v>545.42600000000004</v>
      </c>
      <c r="AC31" s="743">
        <f>AC8+AC10+AC12+AC14+AC16+AC18+AC20+AC22+AC24+AC26+AC28+AC30</f>
        <v>0</v>
      </c>
      <c r="AD31" s="744">
        <f t="shared" si="18"/>
        <v>99.163288416765099</v>
      </c>
      <c r="AE31" s="745"/>
    </row>
    <row r="32" spans="1:31" ht="20.100000000000001" customHeight="1"/>
    <row r="33" spans="1:21" s="746" customFormat="1" ht="20.100000000000001" customHeight="1">
      <c r="B33" s="747"/>
      <c r="C33" s="747"/>
      <c r="D33" s="747"/>
      <c r="E33" s="747"/>
      <c r="F33" s="748"/>
      <c r="G33" s="747"/>
      <c r="H33" s="747"/>
      <c r="I33" s="747"/>
      <c r="J33" s="747"/>
      <c r="K33" s="748"/>
      <c r="L33" s="747"/>
      <c r="M33" s="747"/>
      <c r="N33" s="747"/>
      <c r="O33" s="747"/>
      <c r="P33" s="748"/>
      <c r="Q33" s="747"/>
      <c r="R33" s="747"/>
      <c r="S33" s="747"/>
      <c r="T33" s="747"/>
      <c r="U33" s="748"/>
    </row>
    <row r="34" spans="1:21" ht="20.100000000000001" customHeight="1">
      <c r="A34" s="1836" t="s">
        <v>27</v>
      </c>
      <c r="B34" s="1838" t="s">
        <v>26</v>
      </c>
      <c r="C34" s="1839"/>
      <c r="D34" s="1839"/>
      <c r="E34" s="1839"/>
      <c r="F34" s="1840"/>
      <c r="K34" s="586"/>
      <c r="P34" s="586"/>
      <c r="U34" s="586"/>
    </row>
    <row r="35" spans="1:21" ht="20.100000000000001" customHeight="1">
      <c r="A35" s="1837"/>
      <c r="B35" s="5" t="s">
        <v>42</v>
      </c>
      <c r="C35" s="6" t="s">
        <v>43</v>
      </c>
      <c r="D35" s="7" t="s">
        <v>44</v>
      </c>
      <c r="E35" s="8" t="s">
        <v>45</v>
      </c>
      <c r="F35" s="9" t="s">
        <v>46</v>
      </c>
      <c r="K35" s="586"/>
      <c r="P35" s="586"/>
      <c r="U35" s="586"/>
    </row>
    <row r="36" spans="1:21" ht="20.100000000000001" customHeight="1">
      <c r="A36" s="1" t="s">
        <v>47</v>
      </c>
      <c r="B36" s="11"/>
      <c r="C36" s="11"/>
      <c r="D36" s="11"/>
      <c r="E36" s="11"/>
      <c r="F36" s="11"/>
      <c r="K36" s="586"/>
      <c r="P36" s="586"/>
      <c r="U36" s="586"/>
    </row>
    <row r="37" spans="1:21" ht="20.100000000000001" customHeight="1">
      <c r="A37" s="1" t="s">
        <v>57</v>
      </c>
      <c r="B37" s="11"/>
      <c r="C37" s="11"/>
      <c r="D37" s="11"/>
      <c r="E37" s="11"/>
      <c r="F37" s="11"/>
      <c r="K37" s="586"/>
      <c r="P37" s="586"/>
      <c r="U37" s="586"/>
    </row>
    <row r="38" spans="1:21" ht="20.100000000000001" customHeight="1">
      <c r="A38" s="1" t="s">
        <v>48</v>
      </c>
      <c r="B38" s="11"/>
      <c r="C38" s="11"/>
      <c r="D38" s="11"/>
      <c r="E38" s="11"/>
      <c r="F38" s="11"/>
      <c r="K38" s="586"/>
      <c r="P38" s="586"/>
      <c r="U38" s="586"/>
    </row>
    <row r="39" spans="1:21" ht="20.100000000000001" customHeight="1">
      <c r="A39" s="12" t="s">
        <v>52</v>
      </c>
      <c r="B39" s="11"/>
      <c r="C39" s="11"/>
      <c r="D39" s="11"/>
      <c r="E39" s="11"/>
      <c r="F39" s="11"/>
      <c r="K39" s="586"/>
      <c r="P39" s="586"/>
      <c r="U39" s="586"/>
    </row>
    <row r="40" spans="1:21" ht="20.100000000000001" customHeight="1">
      <c r="A40" s="749"/>
      <c r="B40" s="749"/>
      <c r="C40" s="749"/>
      <c r="D40" s="749"/>
      <c r="E40" s="749"/>
      <c r="F40" s="749"/>
      <c r="G40" s="750"/>
      <c r="K40" s="586"/>
      <c r="P40" s="586"/>
      <c r="U40" s="586"/>
    </row>
    <row r="41" spans="1:21" ht="20.100000000000001" customHeight="1">
      <c r="A41" s="750"/>
      <c r="B41" s="750"/>
      <c r="C41" s="750"/>
      <c r="D41" s="750"/>
      <c r="E41" s="750"/>
      <c r="F41" s="750"/>
      <c r="G41" s="750"/>
      <c r="K41" s="586"/>
      <c r="P41" s="586"/>
      <c r="U41" s="586"/>
    </row>
    <row r="42" spans="1:21" ht="20.100000000000001" customHeight="1">
      <c r="F42" s="586"/>
      <c r="K42" s="586"/>
      <c r="P42" s="586"/>
      <c r="U42" s="586"/>
    </row>
    <row r="43" spans="1:21" ht="20.100000000000001" customHeight="1">
      <c r="F43" s="586"/>
      <c r="K43" s="586"/>
      <c r="P43" s="586"/>
      <c r="U43" s="586"/>
    </row>
    <row r="44" spans="1:21" ht="20.100000000000001" customHeight="1">
      <c r="F44" s="586"/>
      <c r="K44" s="586"/>
      <c r="P44" s="586"/>
      <c r="U44" s="586"/>
    </row>
    <row r="45" spans="1:21" ht="20.100000000000001" customHeight="1">
      <c r="F45" s="586"/>
      <c r="K45" s="586"/>
      <c r="P45" s="586"/>
      <c r="U45" s="586"/>
    </row>
    <row r="46" spans="1:21" ht="20.100000000000001" customHeight="1">
      <c r="F46" s="586"/>
      <c r="K46" s="586"/>
      <c r="P46" s="586"/>
      <c r="U46" s="586"/>
    </row>
    <row r="47" spans="1:21" ht="20.100000000000001" customHeight="1">
      <c r="F47" s="586"/>
      <c r="K47" s="586"/>
      <c r="P47" s="586"/>
      <c r="U47" s="586"/>
    </row>
    <row r="48" spans="1:21" ht="20.100000000000001" customHeight="1">
      <c r="F48" s="586"/>
      <c r="K48" s="586"/>
      <c r="P48" s="586"/>
      <c r="U48" s="586"/>
    </row>
    <row r="49" spans="6:21" ht="20.100000000000001" customHeight="1">
      <c r="F49" s="586"/>
      <c r="K49" s="586"/>
      <c r="P49" s="586"/>
      <c r="U49" s="586"/>
    </row>
    <row r="50" spans="6:21" ht="20.100000000000001" customHeight="1">
      <c r="F50" s="586"/>
      <c r="K50" s="586"/>
      <c r="P50" s="586"/>
      <c r="U50" s="586"/>
    </row>
    <row r="51" spans="6:21" ht="20.100000000000001" customHeight="1">
      <c r="F51" s="586"/>
      <c r="K51" s="586"/>
      <c r="P51" s="586"/>
      <c r="U51" s="586"/>
    </row>
    <row r="52" spans="6:21" ht="20.100000000000001" customHeight="1">
      <c r="F52" s="586"/>
      <c r="K52" s="586"/>
      <c r="P52" s="586"/>
      <c r="U52" s="586"/>
    </row>
  </sheetData>
  <mergeCells count="9">
    <mergeCell ref="AA4:AE5"/>
    <mergeCell ref="A34:A35"/>
    <mergeCell ref="B34:F34"/>
    <mergeCell ref="A1:U1"/>
    <mergeCell ref="B4:F5"/>
    <mergeCell ref="G4:K5"/>
    <mergeCell ref="L4:P5"/>
    <mergeCell ref="Q4:U5"/>
    <mergeCell ref="V4:Z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"/>
  <sheetViews>
    <sheetView workbookViewId="0">
      <selection activeCell="I5" sqref="I5"/>
    </sheetView>
  </sheetViews>
  <sheetFormatPr defaultColWidth="8.85546875" defaultRowHeight="14.25"/>
  <cols>
    <col min="1" max="1" width="1" style="13" customWidth="1"/>
    <col min="2" max="2" width="6" style="14" customWidth="1"/>
    <col min="3" max="3" width="0" style="14" hidden="1" customWidth="1"/>
    <col min="4" max="4" width="10.42578125" style="14" customWidth="1"/>
    <col min="5" max="5" width="10.140625" style="14" customWidth="1"/>
    <col min="6" max="6" width="8.42578125" style="14" customWidth="1"/>
    <col min="7" max="8" width="8" style="14" customWidth="1"/>
    <col min="9" max="15" width="7.42578125" style="14" customWidth="1"/>
    <col min="16" max="17" width="7.5703125" style="14" customWidth="1"/>
    <col min="18" max="21" width="1.85546875" style="14" customWidth="1"/>
    <col min="22" max="22" width="7" style="14" customWidth="1"/>
    <col min="23" max="23" width="1.140625" style="14" customWidth="1"/>
    <col min="24" max="24" width="2.42578125" style="14" customWidth="1"/>
    <col min="25" max="25" width="8.140625" style="14" bestFit="1" customWidth="1"/>
    <col min="26" max="26" width="2.42578125" style="14" customWidth="1"/>
    <col min="27" max="27" width="8.140625" style="14" bestFit="1" customWidth="1"/>
    <col min="28" max="28" width="2.140625" style="14" bestFit="1" customWidth="1"/>
    <col min="29" max="29" width="8.140625" style="14" bestFit="1" customWidth="1"/>
    <col min="30" max="30" width="2.140625" style="14" bestFit="1" customWidth="1"/>
    <col min="31" max="31" width="8.140625" style="14" bestFit="1" customWidth="1"/>
    <col min="32" max="32" width="2.42578125" style="14" customWidth="1"/>
    <col min="33" max="33" width="7.85546875" style="14" customWidth="1"/>
    <col min="34" max="16384" width="8.85546875" style="14"/>
  </cols>
  <sheetData>
    <row r="1" spans="1:33" s="13" customFormat="1"/>
    <row r="2" spans="1:33" ht="26.1" customHeight="1">
      <c r="A2" s="14"/>
      <c r="B2" s="1871" t="s">
        <v>74</v>
      </c>
      <c r="C2" s="1871"/>
      <c r="D2" s="1871"/>
      <c r="E2" s="1871"/>
      <c r="F2" s="1871"/>
      <c r="G2" s="1871"/>
      <c r="H2" s="1871"/>
      <c r="I2" s="1871"/>
      <c r="J2" s="1871"/>
      <c r="K2" s="1871"/>
      <c r="L2" s="1871"/>
      <c r="M2" s="1871"/>
      <c r="N2" s="1871"/>
      <c r="O2" s="1871"/>
      <c r="P2" s="1871"/>
      <c r="Q2" s="1871"/>
      <c r="R2" s="1871"/>
      <c r="S2" s="1871"/>
      <c r="T2" s="1871"/>
      <c r="U2" s="1871"/>
      <c r="V2" s="1871"/>
      <c r="W2" s="2"/>
      <c r="X2" s="1838" t="s">
        <v>26</v>
      </c>
      <c r="Y2" s="1839"/>
      <c r="Z2" s="1839"/>
      <c r="AA2" s="1839"/>
      <c r="AB2" s="1839"/>
      <c r="AC2" s="1839"/>
      <c r="AD2" s="1839"/>
      <c r="AE2" s="1839"/>
      <c r="AF2" s="1839"/>
      <c r="AG2" s="1839"/>
    </row>
    <row r="3" spans="1:33" ht="17.45" customHeight="1">
      <c r="A3" s="14"/>
      <c r="B3" s="1872" t="s">
        <v>27</v>
      </c>
      <c r="C3" s="33"/>
      <c r="D3" s="1874" t="s">
        <v>66</v>
      </c>
      <c r="E3" s="1866" t="s">
        <v>75</v>
      </c>
      <c r="F3" s="1866" t="s">
        <v>28</v>
      </c>
      <c r="G3" s="1866" t="s">
        <v>67</v>
      </c>
      <c r="H3" s="1866" t="s">
        <v>180</v>
      </c>
      <c r="I3" s="1876" t="s">
        <v>68</v>
      </c>
      <c r="J3" s="1877"/>
      <c r="K3" s="1877"/>
      <c r="L3" s="1877"/>
      <c r="M3" s="1877"/>
      <c r="N3" s="1877"/>
      <c r="O3" s="1877"/>
      <c r="P3" s="1877"/>
      <c r="Q3" s="1877"/>
      <c r="R3" s="1877"/>
      <c r="S3" s="1877"/>
      <c r="T3" s="1878"/>
      <c r="U3" s="1879" t="s">
        <v>41</v>
      </c>
      <c r="V3" s="1836" t="s">
        <v>1</v>
      </c>
      <c r="W3" s="2"/>
      <c r="X3" s="1881" t="s">
        <v>42</v>
      </c>
      <c r="Y3" s="1882"/>
      <c r="Z3" s="1885" t="s">
        <v>43</v>
      </c>
      <c r="AA3" s="1885"/>
      <c r="AB3" s="1860" t="s">
        <v>44</v>
      </c>
      <c r="AC3" s="1860"/>
      <c r="AD3" s="1862" t="s">
        <v>45</v>
      </c>
      <c r="AE3" s="1862"/>
      <c r="AF3" s="1864" t="s">
        <v>46</v>
      </c>
      <c r="AG3" s="1864"/>
    </row>
    <row r="4" spans="1:33" ht="15.6" customHeight="1">
      <c r="A4" s="14"/>
      <c r="B4" s="1873"/>
      <c r="C4" s="34" t="s">
        <v>59</v>
      </c>
      <c r="D4" s="1875"/>
      <c r="E4" s="1867"/>
      <c r="F4" s="1867"/>
      <c r="G4" s="1867"/>
      <c r="H4" s="1867"/>
      <c r="I4" s="3" t="s">
        <v>29</v>
      </c>
      <c r="J4" s="3" t="s">
        <v>30</v>
      </c>
      <c r="K4" s="3" t="s">
        <v>31</v>
      </c>
      <c r="L4" s="3" t="s">
        <v>32</v>
      </c>
      <c r="M4" s="3" t="s">
        <v>33</v>
      </c>
      <c r="N4" s="3" t="s">
        <v>34</v>
      </c>
      <c r="O4" s="3" t="s">
        <v>35</v>
      </c>
      <c r="P4" s="3" t="s">
        <v>36</v>
      </c>
      <c r="Q4" s="3" t="s">
        <v>37</v>
      </c>
      <c r="R4" s="3" t="s">
        <v>38</v>
      </c>
      <c r="S4" s="3" t="s">
        <v>39</v>
      </c>
      <c r="T4" s="3" t="s">
        <v>40</v>
      </c>
      <c r="U4" s="1880"/>
      <c r="V4" s="1837"/>
      <c r="W4" s="4"/>
      <c r="X4" s="1883"/>
      <c r="Y4" s="1884"/>
      <c r="Z4" s="1886"/>
      <c r="AA4" s="1886"/>
      <c r="AB4" s="1861"/>
      <c r="AC4" s="1861"/>
      <c r="AD4" s="1863"/>
      <c r="AE4" s="1863"/>
      <c r="AF4" s="1865"/>
      <c r="AG4" s="1865"/>
    </row>
    <row r="5" spans="1:33" ht="21.95" customHeight="1">
      <c r="A5" s="14"/>
      <c r="B5" s="1" t="s">
        <v>57</v>
      </c>
      <c r="C5" s="15">
        <v>91.830601812759284</v>
      </c>
      <c r="D5" s="35">
        <v>2568.164623114511</v>
      </c>
      <c r="E5" s="36">
        <v>51.363292462290218</v>
      </c>
      <c r="F5" s="36">
        <v>2516.8013306522207</v>
      </c>
      <c r="G5" s="37">
        <f>[17]PL!E16</f>
        <v>2261.5663134986153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16"/>
      <c r="S5" s="16"/>
      <c r="T5" s="16"/>
      <c r="U5" s="17"/>
      <c r="V5" s="39">
        <v>5</v>
      </c>
      <c r="W5" s="2"/>
      <c r="X5" s="18" t="s">
        <v>60</v>
      </c>
      <c r="Y5" s="40">
        <f>AA5</f>
        <v>2593.8462693456559</v>
      </c>
      <c r="Z5" s="41" t="s">
        <v>61</v>
      </c>
      <c r="AA5" s="40">
        <f>AC5+(E5/2)</f>
        <v>2593.8462693456559</v>
      </c>
      <c r="AB5" s="19" t="s">
        <v>61</v>
      </c>
      <c r="AC5" s="40">
        <f t="shared" ref="AC5:AC12" si="0">D5</f>
        <v>2568.164623114511</v>
      </c>
      <c r="AD5" s="19" t="s">
        <v>61</v>
      </c>
      <c r="AE5" s="40">
        <f>AC5-(E5/2)</f>
        <v>2542.4829768833661</v>
      </c>
      <c r="AF5" s="19" t="s">
        <v>61</v>
      </c>
      <c r="AG5" s="40">
        <f>AC5-E5</f>
        <v>2516.8013306522207</v>
      </c>
    </row>
    <row r="6" spans="1:33" ht="21.95" customHeight="1">
      <c r="A6" s="14"/>
      <c r="B6" s="1" t="s">
        <v>47</v>
      </c>
      <c r="C6" s="15">
        <v>95.892324044607108</v>
      </c>
      <c r="D6" s="35">
        <v>1101.9092662377113</v>
      </c>
      <c r="E6" s="36">
        <v>22.038185324754227</v>
      </c>
      <c r="F6" s="36">
        <v>1079.871080912957</v>
      </c>
      <c r="G6" s="37">
        <f>[17]PL!K16</f>
        <v>1141.9793818029573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16"/>
      <c r="S6" s="16"/>
      <c r="T6" s="16"/>
      <c r="U6" s="17"/>
      <c r="V6" s="10">
        <v>5</v>
      </c>
      <c r="W6" s="2"/>
      <c r="X6" s="18" t="s">
        <v>60</v>
      </c>
      <c r="Y6" s="40">
        <f t="shared" ref="Y6:Y12" si="1">AA6</f>
        <v>1112.9283589000884</v>
      </c>
      <c r="Z6" s="41" t="s">
        <v>61</v>
      </c>
      <c r="AA6" s="40">
        <f t="shared" ref="AA6:AA12" si="2">AC6+(E6/2)</f>
        <v>1112.9283589000884</v>
      </c>
      <c r="AB6" s="19" t="s">
        <v>61</v>
      </c>
      <c r="AC6" s="40">
        <f t="shared" si="0"/>
        <v>1101.9092662377113</v>
      </c>
      <c r="AD6" s="19" t="s">
        <v>61</v>
      </c>
      <c r="AE6" s="40">
        <f t="shared" ref="AE6:AE12" si="3">AC6-(E6/2)</f>
        <v>1090.8901735753343</v>
      </c>
      <c r="AF6" s="19" t="s">
        <v>61</v>
      </c>
      <c r="AG6" s="40">
        <f t="shared" ref="AG6:AG12" si="4">AC6-E6</f>
        <v>1079.871080912957</v>
      </c>
    </row>
    <row r="7" spans="1:33" ht="21.95" customHeight="1">
      <c r="A7" s="14"/>
      <c r="B7" s="1" t="s">
        <v>48</v>
      </c>
      <c r="C7" s="15">
        <v>92.983296237918424</v>
      </c>
      <c r="D7" s="35">
        <v>5946.1354582788617</v>
      </c>
      <c r="E7" s="36">
        <v>118.92270916557723</v>
      </c>
      <c r="F7" s="36">
        <v>5827.2127491132842</v>
      </c>
      <c r="G7" s="37">
        <f>[17]PL!E33</f>
        <v>4036.3882223584824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16"/>
      <c r="S7" s="16"/>
      <c r="T7" s="16"/>
      <c r="U7" s="17"/>
      <c r="V7" s="10">
        <v>5</v>
      </c>
      <c r="W7" s="2"/>
      <c r="X7" s="18" t="s">
        <v>60</v>
      </c>
      <c r="Y7" s="40">
        <f t="shared" si="1"/>
        <v>6005.5968128616505</v>
      </c>
      <c r="Z7" s="41" t="s">
        <v>61</v>
      </c>
      <c r="AA7" s="40">
        <f t="shared" si="2"/>
        <v>6005.5968128616505</v>
      </c>
      <c r="AB7" s="19" t="s">
        <v>61</v>
      </c>
      <c r="AC7" s="40">
        <f t="shared" si="0"/>
        <v>5946.1354582788617</v>
      </c>
      <c r="AD7" s="19" t="s">
        <v>61</v>
      </c>
      <c r="AE7" s="40">
        <f t="shared" si="3"/>
        <v>5886.674103696073</v>
      </c>
      <c r="AF7" s="19" t="s">
        <v>61</v>
      </c>
      <c r="AG7" s="40">
        <f t="shared" si="4"/>
        <v>5827.2127491132842</v>
      </c>
    </row>
    <row r="8" spans="1:33" ht="21.95" customHeight="1">
      <c r="A8" s="14"/>
      <c r="B8" s="1" t="s">
        <v>51</v>
      </c>
      <c r="C8" s="15">
        <v>64.011758944513417</v>
      </c>
      <c r="D8" s="35">
        <v>32349.030335591982</v>
      </c>
      <c r="E8" s="36">
        <v>646.98060671183964</v>
      </c>
      <c r="F8" s="36">
        <v>31702.049728880142</v>
      </c>
      <c r="G8" s="37"/>
      <c r="H8" s="37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7"/>
      <c r="V8" s="10">
        <v>5</v>
      </c>
      <c r="W8" s="2"/>
      <c r="X8" s="18" t="s">
        <v>60</v>
      </c>
      <c r="Y8" s="40">
        <f t="shared" si="1"/>
        <v>32672.520638947903</v>
      </c>
      <c r="Z8" s="41" t="s">
        <v>61</v>
      </c>
      <c r="AA8" s="40">
        <f t="shared" si="2"/>
        <v>32672.520638947903</v>
      </c>
      <c r="AB8" s="19" t="s">
        <v>61</v>
      </c>
      <c r="AC8" s="40">
        <f t="shared" si="0"/>
        <v>32349.030335591982</v>
      </c>
      <c r="AD8" s="19" t="s">
        <v>61</v>
      </c>
      <c r="AE8" s="40">
        <f t="shared" si="3"/>
        <v>32025.540032236062</v>
      </c>
      <c r="AF8" s="19" t="s">
        <v>61</v>
      </c>
      <c r="AG8" s="40">
        <f t="shared" si="4"/>
        <v>31702.049728880142</v>
      </c>
    </row>
    <row r="9" spans="1:33" ht="21.95" customHeight="1">
      <c r="A9" s="14"/>
      <c r="B9" s="24" t="s">
        <v>53</v>
      </c>
      <c r="C9" s="25">
        <v>91.77673054121486</v>
      </c>
      <c r="D9" s="42">
        <v>2568.164623114511</v>
      </c>
      <c r="E9" s="43">
        <v>51.363292462290218</v>
      </c>
      <c r="F9" s="36">
        <v>2516.8013306522207</v>
      </c>
      <c r="G9" s="44">
        <f>G5</f>
        <v>2261.5663134986153</v>
      </c>
      <c r="H9" s="44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9"/>
      <c r="V9" s="26">
        <v>5</v>
      </c>
      <c r="W9" s="2"/>
      <c r="X9" s="18" t="s">
        <v>60</v>
      </c>
      <c r="Y9" s="45">
        <f>AA9</f>
        <v>2593.8462693456559</v>
      </c>
      <c r="Z9" s="41" t="s">
        <v>61</v>
      </c>
      <c r="AA9" s="40">
        <f t="shared" si="2"/>
        <v>2593.8462693456559</v>
      </c>
      <c r="AB9" s="19" t="s">
        <v>61</v>
      </c>
      <c r="AC9" s="40">
        <f t="shared" si="0"/>
        <v>2568.164623114511</v>
      </c>
      <c r="AD9" s="19" t="s">
        <v>61</v>
      </c>
      <c r="AE9" s="40">
        <f t="shared" si="3"/>
        <v>2542.4829768833661</v>
      </c>
      <c r="AF9" s="19" t="s">
        <v>61</v>
      </c>
      <c r="AG9" s="40">
        <f t="shared" si="4"/>
        <v>2516.8013306522207</v>
      </c>
    </row>
    <row r="10" spans="1:33" ht="21.95" customHeight="1">
      <c r="A10" s="14"/>
      <c r="B10" s="1" t="s">
        <v>55</v>
      </c>
      <c r="C10" s="15">
        <v>95.886148561179624</v>
      </c>
      <c r="D10" s="35">
        <v>1101.9092662377113</v>
      </c>
      <c r="E10" s="36">
        <v>22.038185324754227</v>
      </c>
      <c r="F10" s="36">
        <v>1079.871080912957</v>
      </c>
      <c r="G10" s="37">
        <f>G6</f>
        <v>1141.9793818029573</v>
      </c>
      <c r="H10" s="37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7"/>
      <c r="V10" s="10">
        <v>5</v>
      </c>
      <c r="W10" s="2"/>
      <c r="X10" s="18" t="s">
        <v>60</v>
      </c>
      <c r="Y10" s="45">
        <f t="shared" ref="Y10:Y11" si="5">AA10</f>
        <v>1112.9283589000884</v>
      </c>
      <c r="Z10" s="41" t="s">
        <v>61</v>
      </c>
      <c r="AA10" s="40">
        <f t="shared" si="2"/>
        <v>1112.9283589000884</v>
      </c>
      <c r="AB10" s="19" t="s">
        <v>61</v>
      </c>
      <c r="AC10" s="40">
        <f t="shared" si="0"/>
        <v>1101.9092662377113</v>
      </c>
      <c r="AD10" s="19" t="s">
        <v>61</v>
      </c>
      <c r="AE10" s="40">
        <f t="shared" si="3"/>
        <v>1090.8901735753343</v>
      </c>
      <c r="AF10" s="19" t="s">
        <v>61</v>
      </c>
      <c r="AG10" s="40">
        <f t="shared" si="4"/>
        <v>1079.871080912957</v>
      </c>
    </row>
    <row r="11" spans="1:33" ht="21.95" customHeight="1" thickBot="1">
      <c r="A11" s="14"/>
      <c r="B11" s="20" t="s">
        <v>56</v>
      </c>
      <c r="C11" s="21">
        <v>94.699267222346691</v>
      </c>
      <c r="D11" s="46">
        <v>38295.165793870845</v>
      </c>
      <c r="E11" s="47">
        <v>765.90331587741684</v>
      </c>
      <c r="F11" s="47">
        <v>37529.262477993427</v>
      </c>
      <c r="G11" s="48"/>
      <c r="H11" s="48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49"/>
      <c r="V11" s="23">
        <v>5</v>
      </c>
      <c r="W11" s="27"/>
      <c r="X11" s="18" t="s">
        <v>60</v>
      </c>
      <c r="Y11" s="45">
        <f t="shared" si="5"/>
        <v>38678.11745180955</v>
      </c>
      <c r="Z11" s="41" t="s">
        <v>61</v>
      </c>
      <c r="AA11" s="40">
        <f t="shared" si="2"/>
        <v>38678.11745180955</v>
      </c>
      <c r="AB11" s="19" t="s">
        <v>61</v>
      </c>
      <c r="AC11" s="40">
        <f t="shared" si="0"/>
        <v>38295.165793870845</v>
      </c>
      <c r="AD11" s="19" t="s">
        <v>61</v>
      </c>
      <c r="AE11" s="40">
        <f t="shared" si="3"/>
        <v>37912.214135932139</v>
      </c>
      <c r="AF11" s="19" t="s">
        <v>61</v>
      </c>
      <c r="AG11" s="40">
        <f t="shared" si="4"/>
        <v>37529.262477993427</v>
      </c>
    </row>
    <row r="12" spans="1:33" ht="21.95" customHeight="1" thickTop="1">
      <c r="A12" s="14"/>
      <c r="B12" s="24" t="s">
        <v>52</v>
      </c>
      <c r="C12" s="25">
        <v>94.516735800582978</v>
      </c>
      <c r="D12" s="42">
        <v>2045.2986821137899</v>
      </c>
      <c r="E12" s="43">
        <v>40.905973642275796</v>
      </c>
      <c r="F12" s="43">
        <v>2004.3927084715142</v>
      </c>
      <c r="G12" s="44">
        <f>[17]PL!E42</f>
        <v>1404.1214898663161</v>
      </c>
      <c r="H12" s="44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9"/>
      <c r="V12" s="26">
        <v>5</v>
      </c>
      <c r="W12" s="2"/>
      <c r="X12" s="30" t="s">
        <v>60</v>
      </c>
      <c r="Y12" s="45">
        <f t="shared" si="1"/>
        <v>2065.7516689349277</v>
      </c>
      <c r="Z12" s="50" t="s">
        <v>61</v>
      </c>
      <c r="AA12" s="40">
        <f t="shared" si="2"/>
        <v>2065.7516689349277</v>
      </c>
      <c r="AB12" s="31" t="s">
        <v>61</v>
      </c>
      <c r="AC12" s="40">
        <f t="shared" si="0"/>
        <v>2045.2986821137899</v>
      </c>
      <c r="AD12" s="31" t="s">
        <v>61</v>
      </c>
      <c r="AE12" s="40">
        <f t="shared" si="3"/>
        <v>2024.845695292652</v>
      </c>
      <c r="AF12" s="31" t="s">
        <v>61</v>
      </c>
      <c r="AG12" s="40">
        <f t="shared" si="4"/>
        <v>2004.3927084715142</v>
      </c>
    </row>
    <row r="13" spans="1:33" ht="21.95" customHeight="1">
      <c r="D13" s="32"/>
      <c r="E13" s="32"/>
      <c r="F13" s="32"/>
      <c r="G13" s="32"/>
      <c r="H13" s="32"/>
    </row>
    <row r="14" spans="1:33" ht="21.95" customHeight="1">
      <c r="B14" s="51" t="s">
        <v>62</v>
      </c>
      <c r="C14" s="52"/>
      <c r="D14" s="1868" t="s">
        <v>69</v>
      </c>
      <c r="E14" s="1869"/>
      <c r="F14" s="1870"/>
      <c r="G14" s="53">
        <f>[17]PL!K50</f>
        <v>5150.5769886582402</v>
      </c>
      <c r="H14" s="53"/>
      <c r="I14" s="54"/>
      <c r="J14" s="54"/>
      <c r="K14" s="54"/>
      <c r="L14" s="54"/>
      <c r="M14" s="54"/>
      <c r="N14" s="54"/>
      <c r="O14" s="54"/>
      <c r="P14" s="54"/>
      <c r="Q14" s="54"/>
      <c r="R14" s="55"/>
      <c r="S14" s="55"/>
      <c r="T14" s="55"/>
      <c r="U14" s="55"/>
      <c r="V14" s="55"/>
    </row>
    <row r="16" spans="1:33">
      <c r="B16" s="56" t="s">
        <v>70</v>
      </c>
    </row>
    <row r="17" spans="1:22">
      <c r="A17" s="14"/>
      <c r="B17" s="56"/>
      <c r="D17" s="57" t="s">
        <v>71</v>
      </c>
    </row>
    <row r="18" spans="1:22">
      <c r="A18" s="14"/>
      <c r="D18" s="57" t="s">
        <v>72</v>
      </c>
    </row>
    <row r="19" spans="1:22">
      <c r="A19" s="14"/>
      <c r="D19" s="58" t="s">
        <v>73</v>
      </c>
    </row>
    <row r="20" spans="1:22">
      <c r="A20" s="14"/>
    </row>
    <row r="21" spans="1:22">
      <c r="A21" s="14"/>
      <c r="B21" s="1" t="s">
        <v>47</v>
      </c>
      <c r="C21" s="15">
        <v>95.892324044607108</v>
      </c>
      <c r="D21" s="35">
        <v>1101.9092662377113</v>
      </c>
      <c r="E21" s="36">
        <v>22.038185324754227</v>
      </c>
      <c r="F21" s="36">
        <v>1079.871080912957</v>
      </c>
      <c r="G21" s="37">
        <f>'[17]PP recal.'!BJ520</f>
        <v>1040.9183761203651</v>
      </c>
      <c r="H21" s="37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10">
        <v>5</v>
      </c>
    </row>
    <row r="22" spans="1:22">
      <c r="A22" s="14"/>
      <c r="B22" s="1" t="s">
        <v>55</v>
      </c>
      <c r="C22" s="15">
        <v>95.886148561179624</v>
      </c>
      <c r="D22" s="35">
        <v>1101.9092662377113</v>
      </c>
      <c r="E22" s="36">
        <v>22.038185324754227</v>
      </c>
      <c r="F22" s="36">
        <v>1079.871080912957</v>
      </c>
      <c r="G22" s="37">
        <f>G21</f>
        <v>1040.9183761203651</v>
      </c>
      <c r="H22" s="37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10">
        <v>5</v>
      </c>
    </row>
  </sheetData>
  <mergeCells count="17">
    <mergeCell ref="B2:V2"/>
    <mergeCell ref="X2:AG2"/>
    <mergeCell ref="B3:B4"/>
    <mergeCell ref="D3:D4"/>
    <mergeCell ref="E3:E4"/>
    <mergeCell ref="F3:F4"/>
    <mergeCell ref="G3:G4"/>
    <mergeCell ref="I3:T3"/>
    <mergeCell ref="U3:U4"/>
    <mergeCell ref="V3:V4"/>
    <mergeCell ref="X3:Y4"/>
    <mergeCell ref="Z3:AA4"/>
    <mergeCell ref="AB3:AC4"/>
    <mergeCell ref="AD3:AE4"/>
    <mergeCell ref="AF3:AG4"/>
    <mergeCell ref="H3:H4"/>
    <mergeCell ref="D14:F14"/>
  </mergeCells>
  <conditionalFormatting sqref="V5:V12">
    <cfRule type="cellIs" dxfId="9" priority="6" operator="equal">
      <formula>5</formula>
    </cfRule>
    <cfRule type="cellIs" dxfId="8" priority="7" operator="equal">
      <formula>4</formula>
    </cfRule>
    <cfRule type="cellIs" dxfId="7" priority="8" operator="equal">
      <formula>3</formula>
    </cfRule>
    <cfRule type="cellIs" dxfId="6" priority="9" operator="equal">
      <formula>2</formula>
    </cfRule>
    <cfRule type="cellIs" dxfId="5" priority="10" operator="equal">
      <formula>1</formula>
    </cfRule>
  </conditionalFormatting>
  <conditionalFormatting sqref="V21:V22">
    <cfRule type="cellIs" dxfId="4" priority="1" operator="equal">
      <formula>5</formula>
    </cfRule>
    <cfRule type="cellIs" dxfId="3" priority="2" operator="equal">
      <formula>4</formula>
    </cfRule>
    <cfRule type="cellIs" dxfId="2" priority="3" operator="equal">
      <formula>3</formula>
    </cfRule>
    <cfRule type="cellIs" dxfId="1" priority="4" operator="equal">
      <formula>2</formula>
    </cfRule>
    <cfRule type="cellIs" dxfId="0" priority="5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Deployment</vt:lpstr>
      <vt:lpstr>Reliability Cal. Capacity </vt:lpstr>
      <vt:lpstr>Reliability fr IR</vt:lpstr>
      <vt:lpstr>Reliabiliyt Unit fr IR</vt:lpstr>
      <vt:lpstr>EII cal</vt:lpstr>
      <vt:lpstr>EII จอม</vt:lpstr>
      <vt:lpstr>PL CAP</vt:lpstr>
      <vt:lpstr>Premium fr SI</vt:lpstr>
      <vt:lpstr>Cash 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Sompong Keatikul</dc:creator>
  <cp:lastModifiedBy>Prapart Hemsap</cp:lastModifiedBy>
  <dcterms:created xsi:type="dcterms:W3CDTF">2017-11-29T04:38:10Z</dcterms:created>
  <dcterms:modified xsi:type="dcterms:W3CDTF">2019-03-29T08:44:13Z</dcterms:modified>
</cp:coreProperties>
</file>